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M.Sc\Thesis\My Thesis\ML\Papers\"/>
    </mc:Choice>
  </mc:AlternateContent>
  <xr:revisionPtr revIDLastSave="0" documentId="13_ncr:1_{4895B651-785E-4191-9322-BE46A2DCC89E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2" i="1"/>
  <c r="AI709" i="1"/>
  <c r="AJ709" i="1" s="1"/>
  <c r="AG709" i="1"/>
  <c r="AH709" i="1" s="1"/>
  <c r="AF709" i="1"/>
  <c r="AE709" i="1"/>
  <c r="AD709" i="1"/>
  <c r="AC709" i="1"/>
  <c r="AB709" i="1"/>
  <c r="AA709" i="1"/>
  <c r="O709" i="1"/>
  <c r="AJ708" i="1"/>
  <c r="AI708" i="1"/>
  <c r="AG708" i="1"/>
  <c r="AH708" i="1" s="1"/>
  <c r="AF708" i="1"/>
  <c r="AE708" i="1"/>
  <c r="AD708" i="1"/>
  <c r="AC708" i="1"/>
  <c r="AB708" i="1"/>
  <c r="AA708" i="1"/>
  <c r="AI707" i="1"/>
  <c r="AJ707" i="1" s="1"/>
  <c r="AG707" i="1"/>
  <c r="AH707" i="1" s="1"/>
  <c r="AF707" i="1"/>
  <c r="AE707" i="1"/>
  <c r="AD707" i="1"/>
  <c r="AC707" i="1"/>
  <c r="AB707" i="1"/>
  <c r="AA707" i="1"/>
  <c r="O707" i="1"/>
  <c r="AI706" i="1"/>
  <c r="AJ706" i="1" s="1"/>
  <c r="AG706" i="1"/>
  <c r="AH706" i="1" s="1"/>
  <c r="AF706" i="1"/>
  <c r="AE706" i="1"/>
  <c r="AD706" i="1"/>
  <c r="AC706" i="1"/>
  <c r="AB706" i="1"/>
  <c r="AA706" i="1"/>
  <c r="AI705" i="1"/>
  <c r="AJ705" i="1" s="1"/>
  <c r="AH705" i="1"/>
  <c r="AG705" i="1"/>
  <c r="AF705" i="1"/>
  <c r="AE705" i="1"/>
  <c r="AD705" i="1"/>
  <c r="AC705" i="1"/>
  <c r="AB705" i="1"/>
  <c r="AA705" i="1"/>
  <c r="O705" i="1"/>
  <c r="AI704" i="1"/>
  <c r="AJ704" i="1" s="1"/>
  <c r="AH704" i="1"/>
  <c r="AG704" i="1"/>
  <c r="AF704" i="1"/>
  <c r="AE704" i="1"/>
  <c r="AD704" i="1"/>
  <c r="AC704" i="1"/>
  <c r="AB704" i="1"/>
  <c r="AA704" i="1"/>
  <c r="O704" i="1"/>
  <c r="AI703" i="1"/>
  <c r="AJ703" i="1" s="1"/>
  <c r="AG703" i="1"/>
  <c r="AH703" i="1" s="1"/>
  <c r="AF703" i="1"/>
  <c r="AE703" i="1"/>
  <c r="AD703" i="1"/>
  <c r="AC703" i="1"/>
  <c r="AB703" i="1"/>
  <c r="AA703" i="1"/>
  <c r="O703" i="1"/>
  <c r="AJ702" i="1"/>
  <c r="AI702" i="1"/>
  <c r="AG702" i="1"/>
  <c r="AH702" i="1" s="1"/>
  <c r="AF702" i="1"/>
  <c r="AE702" i="1"/>
  <c r="AD702" i="1"/>
  <c r="AC702" i="1"/>
  <c r="AB702" i="1"/>
  <c r="AA702" i="1"/>
  <c r="O702" i="1"/>
  <c r="AI701" i="1"/>
  <c r="AJ701" i="1" s="1"/>
  <c r="AG701" i="1"/>
  <c r="AH701" i="1" s="1"/>
  <c r="AF701" i="1"/>
  <c r="AE701" i="1"/>
  <c r="AD701" i="1"/>
  <c r="AC701" i="1"/>
  <c r="AB701" i="1"/>
  <c r="AA701" i="1"/>
  <c r="O701" i="1"/>
  <c r="AJ700" i="1"/>
  <c r="AI700" i="1"/>
  <c r="AG700" i="1"/>
  <c r="AH700" i="1" s="1"/>
  <c r="AF700" i="1"/>
  <c r="AE700" i="1"/>
  <c r="AD700" i="1"/>
  <c r="AC700" i="1"/>
  <c r="AB700" i="1"/>
  <c r="AA700" i="1"/>
  <c r="O700" i="1"/>
  <c r="AI699" i="1"/>
  <c r="AJ699" i="1" s="1"/>
  <c r="AG699" i="1"/>
  <c r="AH699" i="1" s="1"/>
  <c r="AF699" i="1"/>
  <c r="AE699" i="1"/>
  <c r="AD699" i="1"/>
  <c r="AC699" i="1"/>
  <c r="AB699" i="1"/>
  <c r="AA699" i="1"/>
  <c r="O699" i="1"/>
  <c r="AI698" i="1"/>
  <c r="AJ698" i="1" s="1"/>
  <c r="AG698" i="1"/>
  <c r="AH698" i="1" s="1"/>
  <c r="AF698" i="1"/>
  <c r="AE698" i="1"/>
  <c r="AD698" i="1"/>
  <c r="AC698" i="1"/>
  <c r="AB698" i="1"/>
  <c r="AA698" i="1"/>
  <c r="O698" i="1"/>
  <c r="AI697" i="1"/>
  <c r="AJ697" i="1" s="1"/>
  <c r="AG697" i="1"/>
  <c r="AH697" i="1" s="1"/>
  <c r="AF697" i="1"/>
  <c r="AE697" i="1"/>
  <c r="AD697" i="1"/>
  <c r="AC697" i="1"/>
  <c r="AB697" i="1"/>
  <c r="AA697" i="1"/>
  <c r="AI696" i="1"/>
  <c r="AJ696" i="1" s="1"/>
  <c r="AG696" i="1"/>
  <c r="AH696" i="1" s="1"/>
  <c r="AF696" i="1"/>
  <c r="AE696" i="1"/>
  <c r="AD696" i="1"/>
  <c r="AC696" i="1"/>
  <c r="AB696" i="1"/>
  <c r="AA696" i="1"/>
  <c r="J696" i="1"/>
  <c r="AI695" i="1"/>
  <c r="AJ695" i="1" s="1"/>
  <c r="AG695" i="1"/>
  <c r="AH695" i="1" s="1"/>
  <c r="AF695" i="1"/>
  <c r="AE695" i="1"/>
  <c r="AD695" i="1"/>
  <c r="AC695" i="1"/>
  <c r="AB695" i="1"/>
  <c r="AA695" i="1"/>
  <c r="O695" i="1"/>
  <c r="AI694" i="1"/>
  <c r="AJ694" i="1" s="1"/>
  <c r="AG694" i="1"/>
  <c r="AH694" i="1" s="1"/>
  <c r="AF694" i="1"/>
  <c r="AE694" i="1"/>
  <c r="AD694" i="1"/>
  <c r="AC694" i="1"/>
  <c r="AB694" i="1"/>
  <c r="AA694" i="1"/>
  <c r="O694" i="1"/>
  <c r="AI693" i="1"/>
  <c r="AJ693" i="1" s="1"/>
  <c r="AG693" i="1"/>
  <c r="AH693" i="1" s="1"/>
  <c r="AF693" i="1"/>
  <c r="AE693" i="1"/>
  <c r="AD693" i="1"/>
  <c r="AC693" i="1"/>
  <c r="AB693" i="1"/>
  <c r="AA693" i="1"/>
  <c r="AI692" i="1"/>
  <c r="AJ692" i="1" s="1"/>
  <c r="AG692" i="1"/>
  <c r="AH692" i="1" s="1"/>
  <c r="AF692" i="1"/>
  <c r="AE692" i="1"/>
  <c r="AD692" i="1"/>
  <c r="AC692" i="1"/>
  <c r="AB692" i="1"/>
  <c r="AA692" i="1"/>
  <c r="O692" i="1"/>
  <c r="AI691" i="1"/>
  <c r="AJ691" i="1" s="1"/>
  <c r="AG691" i="1"/>
  <c r="AH691" i="1" s="1"/>
  <c r="AF691" i="1"/>
  <c r="AE691" i="1"/>
  <c r="AD691" i="1"/>
  <c r="AC691" i="1"/>
  <c r="AB691" i="1"/>
  <c r="AA691" i="1"/>
  <c r="O691" i="1"/>
  <c r="AI690" i="1"/>
  <c r="AJ690" i="1" s="1"/>
  <c r="AG690" i="1"/>
  <c r="AH690" i="1" s="1"/>
  <c r="AF690" i="1"/>
  <c r="AE690" i="1"/>
  <c r="AD690" i="1"/>
  <c r="AC690" i="1"/>
  <c r="AB690" i="1"/>
  <c r="AA690" i="1"/>
  <c r="O690" i="1"/>
  <c r="AI689" i="1"/>
  <c r="AJ689" i="1" s="1"/>
  <c r="AG689" i="1"/>
  <c r="AH689" i="1" s="1"/>
  <c r="AF689" i="1"/>
  <c r="AE689" i="1"/>
  <c r="AD689" i="1"/>
  <c r="AC689" i="1"/>
  <c r="AB689" i="1"/>
  <c r="AA689" i="1"/>
  <c r="AI688" i="1"/>
  <c r="AJ688" i="1" s="1"/>
  <c r="AG688" i="1"/>
  <c r="AH688" i="1" s="1"/>
  <c r="AF688" i="1"/>
  <c r="AE688" i="1"/>
  <c r="AD688" i="1"/>
  <c r="AC688" i="1"/>
  <c r="AB688" i="1"/>
  <c r="AA688" i="1"/>
  <c r="O688" i="1"/>
  <c r="AI687" i="1"/>
  <c r="AJ687" i="1" s="1"/>
  <c r="AG687" i="1"/>
  <c r="AH687" i="1" s="1"/>
  <c r="AF687" i="1"/>
  <c r="AE687" i="1"/>
  <c r="AD687" i="1"/>
  <c r="AC687" i="1"/>
  <c r="AB687" i="1"/>
  <c r="AA687" i="1"/>
  <c r="O687" i="1"/>
  <c r="AI686" i="1"/>
  <c r="AJ686" i="1" s="1"/>
  <c r="AG686" i="1"/>
  <c r="AH686" i="1" s="1"/>
  <c r="AF686" i="1"/>
  <c r="AE686" i="1"/>
  <c r="AD686" i="1"/>
  <c r="AC686" i="1"/>
  <c r="AB686" i="1"/>
  <c r="AA686" i="1"/>
  <c r="O686" i="1"/>
  <c r="AI685" i="1"/>
  <c r="AJ685" i="1" s="1"/>
  <c r="AG685" i="1"/>
  <c r="AH685" i="1" s="1"/>
  <c r="AF685" i="1"/>
  <c r="AE685" i="1"/>
  <c r="AD685" i="1"/>
  <c r="AC685" i="1"/>
  <c r="AB685" i="1"/>
  <c r="AA685" i="1"/>
  <c r="O685" i="1"/>
  <c r="J685" i="1"/>
  <c r="AI684" i="1"/>
  <c r="AJ684" i="1" s="1"/>
  <c r="AG684" i="1"/>
  <c r="AH684" i="1" s="1"/>
  <c r="AF684" i="1"/>
  <c r="AE684" i="1"/>
  <c r="AD684" i="1"/>
  <c r="AC684" i="1"/>
  <c r="AB684" i="1"/>
  <c r="AA684" i="1"/>
  <c r="O684" i="1"/>
  <c r="AI683" i="1"/>
  <c r="AJ683" i="1" s="1"/>
  <c r="AG683" i="1"/>
  <c r="AH683" i="1" s="1"/>
  <c r="AF683" i="1"/>
  <c r="AE683" i="1"/>
  <c r="AD683" i="1"/>
  <c r="AC683" i="1"/>
  <c r="AB683" i="1"/>
  <c r="AA683" i="1"/>
  <c r="O683" i="1"/>
  <c r="AI682" i="1"/>
  <c r="AJ682" i="1" s="1"/>
  <c r="AH682" i="1"/>
  <c r="AG682" i="1"/>
  <c r="AF682" i="1"/>
  <c r="AE682" i="1"/>
  <c r="AD682" i="1"/>
  <c r="AC682" i="1"/>
  <c r="AB682" i="1"/>
  <c r="AA682" i="1"/>
  <c r="AJ681" i="1"/>
  <c r="AI681" i="1"/>
  <c r="AG681" i="1"/>
  <c r="AH681" i="1" s="1"/>
  <c r="AF681" i="1"/>
  <c r="AE681" i="1"/>
  <c r="AD681" i="1"/>
  <c r="AC681" i="1"/>
  <c r="AB681" i="1"/>
  <c r="AA681" i="1"/>
  <c r="AI680" i="1"/>
  <c r="AJ680" i="1" s="1"/>
  <c r="AG680" i="1"/>
  <c r="AH680" i="1" s="1"/>
  <c r="AF680" i="1"/>
  <c r="AE680" i="1"/>
  <c r="AD680" i="1"/>
  <c r="AC680" i="1"/>
  <c r="AB680" i="1"/>
  <c r="AA680" i="1"/>
  <c r="O680" i="1"/>
  <c r="AI679" i="1"/>
  <c r="AJ679" i="1" s="1"/>
  <c r="AG679" i="1"/>
  <c r="AH679" i="1" s="1"/>
  <c r="AF679" i="1"/>
  <c r="AE679" i="1"/>
  <c r="AD679" i="1"/>
  <c r="AC679" i="1"/>
  <c r="AB679" i="1"/>
  <c r="AA679" i="1"/>
  <c r="O679" i="1"/>
  <c r="AI678" i="1"/>
  <c r="AJ678" i="1" s="1"/>
  <c r="AG678" i="1"/>
  <c r="AH678" i="1" s="1"/>
  <c r="AF678" i="1"/>
  <c r="AE678" i="1"/>
  <c r="AD678" i="1"/>
  <c r="AC678" i="1"/>
  <c r="AB678" i="1"/>
  <c r="AA678" i="1"/>
  <c r="O678" i="1"/>
  <c r="AI677" i="1"/>
  <c r="AJ677" i="1" s="1"/>
  <c r="AG677" i="1"/>
  <c r="AH677" i="1" s="1"/>
  <c r="AF677" i="1"/>
  <c r="AE677" i="1"/>
  <c r="AD677" i="1"/>
  <c r="AC677" i="1"/>
  <c r="AB677" i="1"/>
  <c r="AA677" i="1"/>
  <c r="O677" i="1"/>
  <c r="AI676" i="1"/>
  <c r="AJ676" i="1" s="1"/>
  <c r="AG676" i="1"/>
  <c r="AH676" i="1" s="1"/>
  <c r="AF676" i="1"/>
  <c r="AE676" i="1"/>
  <c r="AD676" i="1"/>
  <c r="AC676" i="1"/>
  <c r="AB676" i="1"/>
  <c r="AA676" i="1"/>
  <c r="O676" i="1"/>
  <c r="AI675" i="1"/>
  <c r="AJ675" i="1" s="1"/>
  <c r="AG675" i="1"/>
  <c r="AH675" i="1" s="1"/>
  <c r="AF675" i="1"/>
  <c r="AE675" i="1"/>
  <c r="AD675" i="1"/>
  <c r="AC675" i="1"/>
  <c r="AB675" i="1"/>
  <c r="AA675" i="1"/>
  <c r="O675" i="1"/>
  <c r="AI674" i="1"/>
  <c r="AJ674" i="1" s="1"/>
  <c r="AG674" i="1"/>
  <c r="AH674" i="1" s="1"/>
  <c r="AF674" i="1"/>
  <c r="AE674" i="1"/>
  <c r="AD674" i="1"/>
  <c r="AC674" i="1"/>
  <c r="AB674" i="1"/>
  <c r="AA674" i="1"/>
  <c r="O674" i="1"/>
  <c r="AI673" i="1"/>
  <c r="AJ673" i="1" s="1"/>
  <c r="AG673" i="1"/>
  <c r="AH673" i="1" s="1"/>
  <c r="AF673" i="1"/>
  <c r="AE673" i="1"/>
  <c r="AD673" i="1"/>
  <c r="AC673" i="1"/>
  <c r="AB673" i="1"/>
  <c r="AA673" i="1"/>
  <c r="O673" i="1"/>
  <c r="AI672" i="1"/>
  <c r="AJ672" i="1" s="1"/>
  <c r="AG672" i="1"/>
  <c r="AH672" i="1" s="1"/>
  <c r="AF672" i="1"/>
  <c r="AE672" i="1"/>
  <c r="AD672" i="1"/>
  <c r="AC672" i="1"/>
  <c r="AB672" i="1"/>
  <c r="AA672" i="1"/>
  <c r="AI671" i="1"/>
  <c r="AJ671" i="1" s="1"/>
  <c r="AG671" i="1"/>
  <c r="AH671" i="1" s="1"/>
  <c r="AF671" i="1"/>
  <c r="AE671" i="1"/>
  <c r="AD671" i="1"/>
  <c r="AC671" i="1"/>
  <c r="AB671" i="1"/>
  <c r="AA671" i="1"/>
  <c r="O671" i="1"/>
  <c r="AI670" i="1"/>
  <c r="AJ670" i="1" s="1"/>
  <c r="AG670" i="1"/>
  <c r="AH670" i="1" s="1"/>
  <c r="AF670" i="1"/>
  <c r="AE670" i="1"/>
  <c r="AD670" i="1"/>
  <c r="AC670" i="1"/>
  <c r="AB670" i="1"/>
  <c r="AA670" i="1"/>
  <c r="AI669" i="1"/>
  <c r="AJ669" i="1" s="1"/>
  <c r="AG669" i="1"/>
  <c r="AH669" i="1" s="1"/>
  <c r="AF669" i="1"/>
  <c r="AE669" i="1"/>
  <c r="AD669" i="1"/>
  <c r="AC669" i="1"/>
  <c r="AB669" i="1"/>
  <c r="AA669" i="1"/>
  <c r="O669" i="1"/>
  <c r="AJ668" i="1"/>
  <c r="AI668" i="1"/>
  <c r="AG668" i="1"/>
  <c r="AH668" i="1" s="1"/>
  <c r="AF668" i="1"/>
  <c r="AE668" i="1"/>
  <c r="AD668" i="1"/>
  <c r="AC668" i="1"/>
  <c r="AB668" i="1"/>
  <c r="AA668" i="1"/>
  <c r="AI667" i="1"/>
  <c r="AJ667" i="1" s="1"/>
  <c r="AH667" i="1"/>
  <c r="AG667" i="1"/>
  <c r="AF667" i="1"/>
  <c r="AE667" i="1"/>
  <c r="AD667" i="1"/>
  <c r="AC667" i="1"/>
  <c r="AB667" i="1"/>
  <c r="AA667" i="1"/>
  <c r="O667" i="1"/>
  <c r="AI666" i="1"/>
  <c r="AJ666" i="1" s="1"/>
  <c r="AG666" i="1"/>
  <c r="AH666" i="1" s="1"/>
  <c r="AF666" i="1"/>
  <c r="AE666" i="1"/>
  <c r="AD666" i="1"/>
  <c r="AC666" i="1"/>
  <c r="AB666" i="1"/>
  <c r="AA666" i="1"/>
  <c r="AI665" i="1"/>
  <c r="AJ665" i="1" s="1"/>
  <c r="AG665" i="1"/>
  <c r="AH665" i="1" s="1"/>
  <c r="AF665" i="1"/>
  <c r="AE665" i="1"/>
  <c r="AD665" i="1"/>
  <c r="AC665" i="1"/>
  <c r="AB665" i="1"/>
  <c r="AA665" i="1"/>
  <c r="O665" i="1"/>
  <c r="AI664" i="1"/>
  <c r="AJ664" i="1" s="1"/>
  <c r="AG664" i="1"/>
  <c r="AH664" i="1" s="1"/>
  <c r="AF664" i="1"/>
  <c r="AE664" i="1"/>
  <c r="AD664" i="1"/>
  <c r="AC664" i="1"/>
  <c r="AB664" i="1"/>
  <c r="AA664" i="1"/>
  <c r="O664" i="1"/>
  <c r="AI663" i="1"/>
  <c r="AJ663" i="1" s="1"/>
  <c r="AG663" i="1"/>
  <c r="AH663" i="1" s="1"/>
  <c r="AF663" i="1"/>
  <c r="AE663" i="1"/>
  <c r="AD663" i="1"/>
  <c r="AC663" i="1"/>
  <c r="AB663" i="1"/>
  <c r="AA663" i="1"/>
  <c r="O663" i="1"/>
  <c r="AI662" i="1"/>
  <c r="AJ662" i="1" s="1"/>
  <c r="AG662" i="1"/>
  <c r="AH662" i="1" s="1"/>
  <c r="AF662" i="1"/>
  <c r="AE662" i="1"/>
  <c r="AD662" i="1"/>
  <c r="AC662" i="1"/>
  <c r="AB662" i="1"/>
  <c r="AA662" i="1"/>
  <c r="O662" i="1"/>
  <c r="AI661" i="1"/>
  <c r="AJ661" i="1" s="1"/>
  <c r="AG661" i="1"/>
  <c r="AH661" i="1" s="1"/>
  <c r="AF661" i="1"/>
  <c r="AE661" i="1"/>
  <c r="AD661" i="1"/>
  <c r="AC661" i="1"/>
  <c r="AB661" i="1"/>
  <c r="AA661" i="1"/>
  <c r="O661" i="1"/>
  <c r="AI660" i="1"/>
  <c r="AJ660" i="1" s="1"/>
  <c r="AG660" i="1"/>
  <c r="AH660" i="1" s="1"/>
  <c r="AF660" i="1"/>
  <c r="AE660" i="1"/>
  <c r="AD660" i="1"/>
  <c r="AC660" i="1"/>
  <c r="AB660" i="1"/>
  <c r="AA660" i="1"/>
  <c r="AI659" i="1"/>
  <c r="AJ659" i="1" s="1"/>
  <c r="AG659" i="1"/>
  <c r="AH659" i="1" s="1"/>
  <c r="AF659" i="1"/>
  <c r="AE659" i="1"/>
  <c r="AD659" i="1"/>
  <c r="AC659" i="1"/>
  <c r="AB659" i="1"/>
  <c r="AA659" i="1"/>
  <c r="O659" i="1"/>
  <c r="AI658" i="1"/>
  <c r="AJ658" i="1" s="1"/>
  <c r="AG658" i="1"/>
  <c r="AH658" i="1" s="1"/>
  <c r="AF658" i="1"/>
  <c r="AE658" i="1"/>
  <c r="AD658" i="1"/>
  <c r="AC658" i="1"/>
  <c r="AB658" i="1"/>
  <c r="AA658" i="1"/>
  <c r="O658" i="1"/>
  <c r="AI657" i="1"/>
  <c r="AJ657" i="1" s="1"/>
  <c r="AG657" i="1"/>
  <c r="AH657" i="1" s="1"/>
  <c r="AF657" i="1"/>
  <c r="AE657" i="1"/>
  <c r="AD657" i="1"/>
  <c r="AC657" i="1"/>
  <c r="AB657" i="1"/>
  <c r="AA657" i="1"/>
  <c r="O657" i="1"/>
  <c r="AI656" i="1"/>
  <c r="AJ656" i="1" s="1"/>
  <c r="AG656" i="1"/>
  <c r="AH656" i="1" s="1"/>
  <c r="AF656" i="1"/>
  <c r="AE656" i="1"/>
  <c r="AD656" i="1"/>
  <c r="AC656" i="1"/>
  <c r="AB656" i="1"/>
  <c r="AA656" i="1"/>
  <c r="O656" i="1"/>
  <c r="AI655" i="1"/>
  <c r="AJ655" i="1" s="1"/>
  <c r="AG655" i="1"/>
  <c r="AH655" i="1" s="1"/>
  <c r="AF655" i="1"/>
  <c r="AE655" i="1"/>
  <c r="AD655" i="1"/>
  <c r="AC655" i="1"/>
  <c r="AB655" i="1"/>
  <c r="AA655" i="1"/>
  <c r="O655" i="1"/>
  <c r="AI654" i="1"/>
  <c r="AJ654" i="1" s="1"/>
  <c r="AG654" i="1"/>
  <c r="AH654" i="1" s="1"/>
  <c r="AF654" i="1"/>
  <c r="AE654" i="1"/>
  <c r="AD654" i="1"/>
  <c r="AC654" i="1"/>
  <c r="AB654" i="1"/>
  <c r="AA654" i="1"/>
  <c r="O654" i="1"/>
  <c r="AI653" i="1"/>
  <c r="AJ653" i="1" s="1"/>
  <c r="AG653" i="1"/>
  <c r="AH653" i="1" s="1"/>
  <c r="AF653" i="1"/>
  <c r="AE653" i="1"/>
  <c r="AD653" i="1"/>
  <c r="AC653" i="1"/>
  <c r="AB653" i="1"/>
  <c r="AA653" i="1"/>
  <c r="AI652" i="1"/>
  <c r="AJ652" i="1" s="1"/>
  <c r="AG652" i="1"/>
  <c r="AH652" i="1" s="1"/>
  <c r="AF652" i="1"/>
  <c r="AE652" i="1"/>
  <c r="AD652" i="1"/>
  <c r="AC652" i="1"/>
  <c r="AB652" i="1"/>
  <c r="AA652" i="1"/>
  <c r="AI651" i="1"/>
  <c r="AJ651" i="1" s="1"/>
  <c r="AG651" i="1"/>
  <c r="AH651" i="1" s="1"/>
  <c r="AF651" i="1"/>
  <c r="AE651" i="1"/>
  <c r="AD651" i="1"/>
  <c r="AC651" i="1"/>
  <c r="AB651" i="1"/>
  <c r="AA651" i="1"/>
  <c r="AI650" i="1"/>
  <c r="AJ650" i="1" s="1"/>
  <c r="AG650" i="1"/>
  <c r="AH650" i="1" s="1"/>
  <c r="AF650" i="1"/>
  <c r="AE650" i="1"/>
  <c r="AD650" i="1"/>
  <c r="AC650" i="1"/>
  <c r="AB650" i="1"/>
  <c r="AA650" i="1"/>
  <c r="O650" i="1"/>
  <c r="AI649" i="1"/>
  <c r="AJ649" i="1" s="1"/>
  <c r="AG649" i="1"/>
  <c r="AH649" i="1" s="1"/>
  <c r="AF649" i="1"/>
  <c r="AE649" i="1"/>
  <c r="AD649" i="1"/>
  <c r="AC649" i="1"/>
  <c r="AB649" i="1"/>
  <c r="AA649" i="1"/>
  <c r="AI648" i="1"/>
  <c r="AJ648" i="1" s="1"/>
  <c r="AG648" i="1"/>
  <c r="AH648" i="1" s="1"/>
  <c r="AF648" i="1"/>
  <c r="AE648" i="1"/>
  <c r="AD648" i="1"/>
  <c r="AC648" i="1"/>
  <c r="AB648" i="1"/>
  <c r="AA648" i="1"/>
  <c r="O648" i="1"/>
  <c r="AI647" i="1"/>
  <c r="AJ647" i="1" s="1"/>
  <c r="AG647" i="1"/>
  <c r="AH647" i="1" s="1"/>
  <c r="AF647" i="1"/>
  <c r="AE647" i="1"/>
  <c r="AD647" i="1"/>
  <c r="AC647" i="1"/>
  <c r="AB647" i="1"/>
  <c r="AA647" i="1"/>
  <c r="O647" i="1"/>
  <c r="AI646" i="1"/>
  <c r="AJ646" i="1" s="1"/>
  <c r="AG646" i="1"/>
  <c r="AH646" i="1" s="1"/>
  <c r="AF646" i="1"/>
  <c r="AE646" i="1"/>
  <c r="AD646" i="1"/>
  <c r="AC646" i="1"/>
  <c r="AB646" i="1"/>
  <c r="AA646" i="1"/>
  <c r="AI645" i="1"/>
  <c r="AJ645" i="1" s="1"/>
  <c r="AG645" i="1"/>
  <c r="AH645" i="1" s="1"/>
  <c r="AF645" i="1"/>
  <c r="AE645" i="1"/>
  <c r="AD645" i="1"/>
  <c r="AC645" i="1"/>
  <c r="AB645" i="1"/>
  <c r="AA645" i="1"/>
  <c r="AI644" i="1"/>
  <c r="AJ644" i="1" s="1"/>
  <c r="AG644" i="1"/>
  <c r="AH644" i="1" s="1"/>
  <c r="AF644" i="1"/>
  <c r="AE644" i="1"/>
  <c r="AD644" i="1"/>
  <c r="AC644" i="1"/>
  <c r="AB644" i="1"/>
  <c r="AA644" i="1"/>
  <c r="O644" i="1"/>
  <c r="AI643" i="1"/>
  <c r="AJ643" i="1" s="1"/>
  <c r="AG643" i="1"/>
  <c r="AH643" i="1" s="1"/>
  <c r="AF643" i="1"/>
  <c r="AE643" i="1"/>
  <c r="AD643" i="1"/>
  <c r="AC643" i="1"/>
  <c r="AB643" i="1"/>
  <c r="AA643" i="1"/>
  <c r="O643" i="1"/>
  <c r="AI642" i="1"/>
  <c r="AJ642" i="1" s="1"/>
  <c r="AG642" i="1"/>
  <c r="AH642" i="1" s="1"/>
  <c r="AF642" i="1"/>
  <c r="AE642" i="1"/>
  <c r="AD642" i="1"/>
  <c r="AC642" i="1"/>
  <c r="AB642" i="1"/>
  <c r="AA642" i="1"/>
  <c r="O642" i="1"/>
  <c r="AI641" i="1"/>
  <c r="AJ641" i="1" s="1"/>
  <c r="AG641" i="1"/>
  <c r="AH641" i="1" s="1"/>
  <c r="AF641" i="1"/>
  <c r="AE641" i="1"/>
  <c r="AD641" i="1"/>
  <c r="AC641" i="1"/>
  <c r="AB641" i="1"/>
  <c r="AA641" i="1"/>
  <c r="O641" i="1"/>
  <c r="AI640" i="1"/>
  <c r="AJ640" i="1" s="1"/>
  <c r="AG640" i="1"/>
  <c r="AH640" i="1" s="1"/>
  <c r="AF640" i="1"/>
  <c r="AE640" i="1"/>
  <c r="AD640" i="1"/>
  <c r="AC640" i="1"/>
  <c r="AB640" i="1"/>
  <c r="AA640" i="1"/>
  <c r="AI639" i="1"/>
  <c r="AJ639" i="1" s="1"/>
  <c r="AG639" i="1"/>
  <c r="AH639" i="1" s="1"/>
  <c r="AF639" i="1"/>
  <c r="AE639" i="1"/>
  <c r="AD639" i="1"/>
  <c r="AC639" i="1"/>
  <c r="AB639" i="1"/>
  <c r="AA639" i="1"/>
  <c r="O639" i="1"/>
  <c r="AI638" i="1"/>
  <c r="AJ638" i="1" s="1"/>
  <c r="AG638" i="1"/>
  <c r="AH638" i="1" s="1"/>
  <c r="AF638" i="1"/>
  <c r="AE638" i="1"/>
  <c r="AD638" i="1"/>
  <c r="AC638" i="1"/>
  <c r="AB638" i="1"/>
  <c r="AA638" i="1"/>
  <c r="O638" i="1"/>
  <c r="AI637" i="1"/>
  <c r="AJ637" i="1" s="1"/>
  <c r="AG637" i="1"/>
  <c r="AH637" i="1" s="1"/>
  <c r="AF637" i="1"/>
  <c r="AE637" i="1"/>
  <c r="AD637" i="1"/>
  <c r="AC637" i="1"/>
  <c r="AB637" i="1"/>
  <c r="AA637" i="1"/>
  <c r="O637" i="1"/>
  <c r="AI636" i="1"/>
  <c r="AJ636" i="1" s="1"/>
  <c r="AG636" i="1"/>
  <c r="AH636" i="1" s="1"/>
  <c r="AF636" i="1"/>
  <c r="AE636" i="1"/>
  <c r="AD636" i="1"/>
  <c r="AC636" i="1"/>
  <c r="AB636" i="1"/>
  <c r="AA636" i="1"/>
  <c r="O636" i="1"/>
  <c r="AI635" i="1"/>
  <c r="AJ635" i="1" s="1"/>
  <c r="AG635" i="1"/>
  <c r="AH635" i="1" s="1"/>
  <c r="AF635" i="1"/>
  <c r="AE635" i="1"/>
  <c r="AD635" i="1"/>
  <c r="AC635" i="1"/>
  <c r="AB635" i="1"/>
  <c r="AA635" i="1"/>
  <c r="O635" i="1"/>
  <c r="AI634" i="1"/>
  <c r="AJ634" i="1" s="1"/>
  <c r="AG634" i="1"/>
  <c r="AH634" i="1" s="1"/>
  <c r="AF634" i="1"/>
  <c r="AE634" i="1"/>
  <c r="AD634" i="1"/>
  <c r="AC634" i="1"/>
  <c r="AB634" i="1"/>
  <c r="AA634" i="1"/>
  <c r="O634" i="1"/>
  <c r="AI633" i="1"/>
  <c r="AJ633" i="1" s="1"/>
  <c r="AH633" i="1"/>
  <c r="AG633" i="1"/>
  <c r="AF633" i="1"/>
  <c r="AE633" i="1"/>
  <c r="AD633" i="1"/>
  <c r="AC633" i="1"/>
  <c r="AB633" i="1"/>
  <c r="AA633" i="1"/>
  <c r="O633" i="1"/>
  <c r="AI632" i="1"/>
  <c r="AJ632" i="1" s="1"/>
  <c r="AG632" i="1"/>
  <c r="AH632" i="1" s="1"/>
  <c r="AF632" i="1"/>
  <c r="AE632" i="1"/>
  <c r="AD632" i="1"/>
  <c r="AC632" i="1"/>
  <c r="AB632" i="1"/>
  <c r="AA632" i="1"/>
  <c r="AI631" i="1"/>
  <c r="AJ631" i="1" s="1"/>
  <c r="AG631" i="1"/>
  <c r="AH631" i="1" s="1"/>
  <c r="AF631" i="1"/>
  <c r="AE631" i="1"/>
  <c r="AD631" i="1"/>
  <c r="AC631" i="1"/>
  <c r="AB631" i="1"/>
  <c r="AA631" i="1"/>
  <c r="O631" i="1"/>
  <c r="AI630" i="1"/>
  <c r="AJ630" i="1" s="1"/>
  <c r="AG630" i="1"/>
  <c r="AH630" i="1" s="1"/>
  <c r="AF630" i="1"/>
  <c r="AE630" i="1"/>
  <c r="AD630" i="1"/>
  <c r="AC630" i="1"/>
  <c r="AB630" i="1"/>
  <c r="AA630" i="1"/>
  <c r="O630" i="1"/>
  <c r="AI629" i="1"/>
  <c r="AJ629" i="1" s="1"/>
  <c r="AH629" i="1"/>
  <c r="AG629" i="1"/>
  <c r="AF629" i="1"/>
  <c r="AE629" i="1"/>
  <c r="AD629" i="1"/>
  <c r="AC629" i="1"/>
  <c r="AB629" i="1"/>
  <c r="AA629" i="1"/>
  <c r="O629" i="1"/>
  <c r="AI628" i="1"/>
  <c r="AJ628" i="1" s="1"/>
  <c r="AG628" i="1"/>
  <c r="AH628" i="1" s="1"/>
  <c r="AF628" i="1"/>
  <c r="AE628" i="1"/>
  <c r="AD628" i="1"/>
  <c r="AC628" i="1"/>
  <c r="AB628" i="1"/>
  <c r="AA628" i="1"/>
  <c r="O628" i="1"/>
  <c r="AI627" i="1"/>
  <c r="AJ627" i="1" s="1"/>
  <c r="AG627" i="1"/>
  <c r="AH627" i="1" s="1"/>
  <c r="AF627" i="1"/>
  <c r="AE627" i="1"/>
  <c r="AD627" i="1"/>
  <c r="AC627" i="1"/>
  <c r="AB627" i="1"/>
  <c r="AA627" i="1"/>
  <c r="O627" i="1"/>
  <c r="AI626" i="1"/>
  <c r="AJ626" i="1" s="1"/>
  <c r="AG626" i="1"/>
  <c r="AH626" i="1" s="1"/>
  <c r="AF626" i="1"/>
  <c r="AE626" i="1"/>
  <c r="AD626" i="1"/>
  <c r="AC626" i="1"/>
  <c r="AB626" i="1"/>
  <c r="AA626" i="1"/>
  <c r="O626" i="1"/>
  <c r="AI625" i="1"/>
  <c r="AJ625" i="1" s="1"/>
  <c r="AG625" i="1"/>
  <c r="AH625" i="1" s="1"/>
  <c r="AF625" i="1"/>
  <c r="AE625" i="1"/>
  <c r="AD625" i="1"/>
  <c r="AC625" i="1"/>
  <c r="AB625" i="1"/>
  <c r="AA625" i="1"/>
  <c r="AI624" i="1"/>
  <c r="AJ624" i="1" s="1"/>
  <c r="AG624" i="1"/>
  <c r="AH624" i="1" s="1"/>
  <c r="AF624" i="1"/>
  <c r="AE624" i="1"/>
  <c r="AD624" i="1"/>
  <c r="AC624" i="1"/>
  <c r="AB624" i="1"/>
  <c r="AA624" i="1"/>
  <c r="AI623" i="1"/>
  <c r="AJ623" i="1" s="1"/>
  <c r="AG623" i="1"/>
  <c r="AH623" i="1" s="1"/>
  <c r="AF623" i="1"/>
  <c r="AE623" i="1"/>
  <c r="AD623" i="1"/>
  <c r="AC623" i="1"/>
  <c r="AB623" i="1"/>
  <c r="AA623" i="1"/>
  <c r="AI622" i="1"/>
  <c r="AJ622" i="1" s="1"/>
  <c r="AG622" i="1"/>
  <c r="AH622" i="1" s="1"/>
  <c r="AF622" i="1"/>
  <c r="AE622" i="1"/>
  <c r="AD622" i="1"/>
  <c r="AC622" i="1"/>
  <c r="AB622" i="1"/>
  <c r="AA622" i="1"/>
  <c r="O622" i="1"/>
  <c r="AI621" i="1"/>
  <c r="AJ621" i="1" s="1"/>
  <c r="AG621" i="1"/>
  <c r="AH621" i="1" s="1"/>
  <c r="AF621" i="1"/>
  <c r="AE621" i="1"/>
  <c r="AD621" i="1"/>
  <c r="AC621" i="1"/>
  <c r="AB621" i="1"/>
  <c r="AA621" i="1"/>
  <c r="O621" i="1"/>
  <c r="AI620" i="1"/>
  <c r="AJ620" i="1" s="1"/>
  <c r="AG620" i="1"/>
  <c r="AH620" i="1" s="1"/>
  <c r="AF620" i="1"/>
  <c r="AE620" i="1"/>
  <c r="AD620" i="1"/>
  <c r="AC620" i="1"/>
  <c r="AB620" i="1"/>
  <c r="AA620" i="1"/>
  <c r="AI619" i="1"/>
  <c r="AJ619" i="1" s="1"/>
  <c r="AG619" i="1"/>
  <c r="AH619" i="1" s="1"/>
  <c r="AF619" i="1"/>
  <c r="AE619" i="1"/>
  <c r="AD619" i="1"/>
  <c r="AC619" i="1"/>
  <c r="AB619" i="1"/>
  <c r="AA619" i="1"/>
  <c r="O619" i="1"/>
  <c r="AI618" i="1"/>
  <c r="AJ618" i="1" s="1"/>
  <c r="AG618" i="1"/>
  <c r="AH618" i="1" s="1"/>
  <c r="AF618" i="1"/>
  <c r="AE618" i="1"/>
  <c r="AD618" i="1"/>
  <c r="AC618" i="1"/>
  <c r="AB618" i="1"/>
  <c r="AA618" i="1"/>
  <c r="O618" i="1"/>
  <c r="AI617" i="1"/>
  <c r="AJ617" i="1" s="1"/>
  <c r="AG617" i="1"/>
  <c r="AH617" i="1" s="1"/>
  <c r="AF617" i="1"/>
  <c r="AE617" i="1"/>
  <c r="AD617" i="1"/>
  <c r="AC617" i="1"/>
  <c r="AB617" i="1"/>
  <c r="AA617" i="1"/>
  <c r="AI616" i="1"/>
  <c r="AJ616" i="1" s="1"/>
  <c r="AG616" i="1"/>
  <c r="AH616" i="1" s="1"/>
  <c r="AF616" i="1"/>
  <c r="AE616" i="1"/>
  <c r="AD616" i="1"/>
  <c r="AC616" i="1"/>
  <c r="AB616" i="1"/>
  <c r="AA616" i="1"/>
  <c r="O616" i="1"/>
  <c r="AI615" i="1"/>
  <c r="AJ615" i="1" s="1"/>
  <c r="AG615" i="1"/>
  <c r="AH615" i="1" s="1"/>
  <c r="AF615" i="1"/>
  <c r="AE615" i="1"/>
  <c r="AD615" i="1"/>
  <c r="AC615" i="1"/>
  <c r="AB615" i="1"/>
  <c r="AA615" i="1"/>
  <c r="O615" i="1"/>
  <c r="AI614" i="1"/>
  <c r="AJ614" i="1" s="1"/>
  <c r="AG614" i="1"/>
  <c r="AH614" i="1" s="1"/>
  <c r="AF614" i="1"/>
  <c r="AE614" i="1"/>
  <c r="AD614" i="1"/>
  <c r="AC614" i="1"/>
  <c r="AB614" i="1"/>
  <c r="AA614" i="1"/>
  <c r="O614" i="1"/>
  <c r="AI613" i="1"/>
  <c r="AJ613" i="1" s="1"/>
  <c r="AG613" i="1"/>
  <c r="AH613" i="1" s="1"/>
  <c r="AF613" i="1"/>
  <c r="AE613" i="1"/>
  <c r="AD613" i="1"/>
  <c r="AC613" i="1"/>
  <c r="AB613" i="1"/>
  <c r="AA613" i="1"/>
  <c r="AI612" i="1"/>
  <c r="AJ612" i="1" s="1"/>
  <c r="AG612" i="1"/>
  <c r="AH612" i="1" s="1"/>
  <c r="AF612" i="1"/>
  <c r="AE612" i="1"/>
  <c r="AD612" i="1"/>
  <c r="AC612" i="1"/>
  <c r="AB612" i="1"/>
  <c r="AA612" i="1"/>
  <c r="AI611" i="1"/>
  <c r="AJ611" i="1" s="1"/>
  <c r="AG611" i="1"/>
  <c r="AH611" i="1" s="1"/>
  <c r="AF611" i="1"/>
  <c r="AE611" i="1"/>
  <c r="AD611" i="1"/>
  <c r="AC611" i="1"/>
  <c r="AB611" i="1"/>
  <c r="AA611" i="1"/>
  <c r="AI610" i="1"/>
  <c r="AJ610" i="1" s="1"/>
  <c r="AG610" i="1"/>
  <c r="AH610" i="1" s="1"/>
  <c r="AF610" i="1"/>
  <c r="AE610" i="1"/>
  <c r="AD610" i="1"/>
  <c r="AC610" i="1"/>
  <c r="AB610" i="1"/>
  <c r="AA610" i="1"/>
  <c r="O610" i="1"/>
  <c r="AI609" i="1"/>
  <c r="AJ609" i="1" s="1"/>
  <c r="AG609" i="1"/>
  <c r="AH609" i="1" s="1"/>
  <c r="AF609" i="1"/>
  <c r="AE609" i="1"/>
  <c r="AD609" i="1"/>
  <c r="AC609" i="1"/>
  <c r="AB609" i="1"/>
  <c r="AA609" i="1"/>
  <c r="O609" i="1"/>
  <c r="AI608" i="1"/>
  <c r="AJ608" i="1" s="1"/>
  <c r="AG608" i="1"/>
  <c r="AH608" i="1" s="1"/>
  <c r="AF608" i="1"/>
  <c r="AE608" i="1"/>
  <c r="AD608" i="1"/>
  <c r="AC608" i="1"/>
  <c r="AB608" i="1"/>
  <c r="AA608" i="1"/>
  <c r="O608" i="1"/>
  <c r="AJ607" i="1"/>
  <c r="AI607" i="1"/>
  <c r="AH607" i="1"/>
  <c r="AG607" i="1"/>
  <c r="AF607" i="1"/>
  <c r="AE607" i="1"/>
  <c r="AD607" i="1"/>
  <c r="AC607" i="1"/>
  <c r="AB607" i="1"/>
  <c r="AA607" i="1"/>
  <c r="AJ606" i="1"/>
  <c r="AI606" i="1"/>
  <c r="AG606" i="1"/>
  <c r="AH606" i="1" s="1"/>
  <c r="AF606" i="1"/>
  <c r="AE606" i="1"/>
  <c r="AD606" i="1"/>
  <c r="AC606" i="1"/>
  <c r="AB606" i="1"/>
  <c r="AA606" i="1"/>
  <c r="O606" i="1"/>
  <c r="AI605" i="1"/>
  <c r="AJ605" i="1" s="1"/>
  <c r="AG605" i="1"/>
  <c r="AH605" i="1" s="1"/>
  <c r="AF605" i="1"/>
  <c r="AE605" i="1"/>
  <c r="AD605" i="1"/>
  <c r="AC605" i="1"/>
  <c r="AB605" i="1"/>
  <c r="AA605" i="1"/>
  <c r="O605" i="1"/>
  <c r="AI604" i="1"/>
  <c r="AJ604" i="1" s="1"/>
  <c r="AG604" i="1"/>
  <c r="AH604" i="1" s="1"/>
  <c r="AF604" i="1"/>
  <c r="AE604" i="1"/>
  <c r="AD604" i="1"/>
  <c r="AC604" i="1"/>
  <c r="AB604" i="1"/>
  <c r="AA604" i="1"/>
  <c r="O604" i="1"/>
  <c r="AI603" i="1"/>
  <c r="AJ603" i="1" s="1"/>
  <c r="AG603" i="1"/>
  <c r="AH603" i="1" s="1"/>
  <c r="AF603" i="1"/>
  <c r="AE603" i="1"/>
  <c r="AD603" i="1"/>
  <c r="AC603" i="1"/>
  <c r="AB603" i="1"/>
  <c r="AA603" i="1"/>
  <c r="AI602" i="1"/>
  <c r="AJ602" i="1" s="1"/>
  <c r="AG602" i="1"/>
  <c r="AH602" i="1" s="1"/>
  <c r="AF602" i="1"/>
  <c r="AE602" i="1"/>
  <c r="AD602" i="1"/>
  <c r="AC602" i="1"/>
  <c r="AB602" i="1"/>
  <c r="AA602" i="1"/>
  <c r="O602" i="1"/>
  <c r="AI601" i="1"/>
  <c r="AJ601" i="1" s="1"/>
  <c r="AG601" i="1"/>
  <c r="AH601" i="1" s="1"/>
  <c r="AF601" i="1"/>
  <c r="AE601" i="1"/>
  <c r="AD601" i="1"/>
  <c r="AC601" i="1"/>
  <c r="AB601" i="1"/>
  <c r="AA601" i="1"/>
  <c r="AI600" i="1"/>
  <c r="AJ600" i="1" s="1"/>
  <c r="AG600" i="1"/>
  <c r="AH600" i="1" s="1"/>
  <c r="AF600" i="1"/>
  <c r="AE600" i="1"/>
  <c r="AD600" i="1"/>
  <c r="AC600" i="1"/>
  <c r="AB600" i="1"/>
  <c r="AA600" i="1"/>
  <c r="O600" i="1"/>
  <c r="AI599" i="1"/>
  <c r="AJ599" i="1" s="1"/>
  <c r="AG599" i="1"/>
  <c r="AH599" i="1" s="1"/>
  <c r="AF599" i="1"/>
  <c r="AE599" i="1"/>
  <c r="AD599" i="1"/>
  <c r="AC599" i="1"/>
  <c r="AB599" i="1"/>
  <c r="AA599" i="1"/>
  <c r="O599" i="1"/>
  <c r="AI598" i="1"/>
  <c r="AJ598" i="1" s="1"/>
  <c r="AG598" i="1"/>
  <c r="AH598" i="1" s="1"/>
  <c r="AF598" i="1"/>
  <c r="AE598" i="1"/>
  <c r="AD598" i="1"/>
  <c r="AC598" i="1"/>
  <c r="AB598" i="1"/>
  <c r="AA598" i="1"/>
  <c r="O598" i="1"/>
  <c r="AI597" i="1"/>
  <c r="AJ597" i="1" s="1"/>
  <c r="AG597" i="1"/>
  <c r="AH597" i="1" s="1"/>
  <c r="AF597" i="1"/>
  <c r="AE597" i="1"/>
  <c r="AD597" i="1"/>
  <c r="AC597" i="1"/>
  <c r="AB597" i="1"/>
  <c r="AA597" i="1"/>
  <c r="AI596" i="1"/>
  <c r="AJ596" i="1" s="1"/>
  <c r="AG596" i="1"/>
  <c r="AH596" i="1" s="1"/>
  <c r="AF596" i="1"/>
  <c r="AE596" i="1"/>
  <c r="AD596" i="1"/>
  <c r="AC596" i="1"/>
  <c r="AB596" i="1"/>
  <c r="AA596" i="1"/>
  <c r="O596" i="1"/>
  <c r="AI595" i="1"/>
  <c r="AJ595" i="1" s="1"/>
  <c r="AG595" i="1"/>
  <c r="AH595" i="1" s="1"/>
  <c r="AF595" i="1"/>
  <c r="AE595" i="1"/>
  <c r="AD595" i="1"/>
  <c r="AC595" i="1"/>
  <c r="AB595" i="1"/>
  <c r="AA595" i="1"/>
  <c r="O595" i="1"/>
  <c r="AI594" i="1"/>
  <c r="AJ594" i="1" s="1"/>
  <c r="AG594" i="1"/>
  <c r="AH594" i="1" s="1"/>
  <c r="AF594" i="1"/>
  <c r="AE594" i="1"/>
  <c r="AD594" i="1"/>
  <c r="AC594" i="1"/>
  <c r="AB594" i="1"/>
  <c r="AA594" i="1"/>
  <c r="O594" i="1"/>
  <c r="AI593" i="1"/>
  <c r="AJ593" i="1" s="1"/>
  <c r="AG593" i="1"/>
  <c r="AH593" i="1" s="1"/>
  <c r="AF593" i="1"/>
  <c r="AE593" i="1"/>
  <c r="AD593" i="1"/>
  <c r="AC593" i="1"/>
  <c r="AB593" i="1"/>
  <c r="AA593" i="1"/>
  <c r="O593" i="1"/>
  <c r="AI592" i="1"/>
  <c r="AJ592" i="1" s="1"/>
  <c r="AG592" i="1"/>
  <c r="AH592" i="1" s="1"/>
  <c r="AF592" i="1"/>
  <c r="AE592" i="1"/>
  <c r="AD592" i="1"/>
  <c r="AC592" i="1"/>
  <c r="AB592" i="1"/>
  <c r="AA592" i="1"/>
  <c r="O592" i="1"/>
  <c r="AI591" i="1"/>
  <c r="AJ591" i="1" s="1"/>
  <c r="AG591" i="1"/>
  <c r="AH591" i="1" s="1"/>
  <c r="AF591" i="1"/>
  <c r="AE591" i="1"/>
  <c r="AD591" i="1"/>
  <c r="AC591" i="1"/>
  <c r="AB591" i="1"/>
  <c r="AA591" i="1"/>
  <c r="O591" i="1"/>
  <c r="AI590" i="1"/>
  <c r="AJ590" i="1" s="1"/>
  <c r="AG590" i="1"/>
  <c r="AH590" i="1" s="1"/>
  <c r="AF590" i="1"/>
  <c r="AE590" i="1"/>
  <c r="AD590" i="1"/>
  <c r="AC590" i="1"/>
  <c r="AB590" i="1"/>
  <c r="AA590" i="1"/>
  <c r="O590" i="1"/>
  <c r="AI589" i="1"/>
  <c r="AJ589" i="1" s="1"/>
  <c r="AG589" i="1"/>
  <c r="AH589" i="1" s="1"/>
  <c r="AF589" i="1"/>
  <c r="AE589" i="1"/>
  <c r="AD589" i="1"/>
  <c r="AC589" i="1"/>
  <c r="AB589" i="1"/>
  <c r="AA589" i="1"/>
  <c r="O589" i="1"/>
  <c r="AI588" i="1"/>
  <c r="AJ588" i="1" s="1"/>
  <c r="AG588" i="1"/>
  <c r="AH588" i="1" s="1"/>
  <c r="AF588" i="1"/>
  <c r="AE588" i="1"/>
  <c r="AD588" i="1"/>
  <c r="AC588" i="1"/>
  <c r="AB588" i="1"/>
  <c r="AA588" i="1"/>
  <c r="O588" i="1"/>
  <c r="AI587" i="1"/>
  <c r="AJ587" i="1" s="1"/>
  <c r="AG587" i="1"/>
  <c r="AH587" i="1" s="1"/>
  <c r="AF587" i="1"/>
  <c r="AE587" i="1"/>
  <c r="AD587" i="1"/>
  <c r="AC587" i="1"/>
  <c r="AB587" i="1"/>
  <c r="AA587" i="1"/>
  <c r="O587" i="1"/>
  <c r="AI586" i="1"/>
  <c r="AJ586" i="1" s="1"/>
  <c r="AG586" i="1"/>
  <c r="AH586" i="1" s="1"/>
  <c r="AF586" i="1"/>
  <c r="AE586" i="1"/>
  <c r="AD586" i="1"/>
  <c r="AC586" i="1"/>
  <c r="AB586" i="1"/>
  <c r="AA586" i="1"/>
  <c r="O586" i="1"/>
  <c r="AI585" i="1"/>
  <c r="AJ585" i="1" s="1"/>
  <c r="AG585" i="1"/>
  <c r="AH585" i="1" s="1"/>
  <c r="AF585" i="1"/>
  <c r="AE585" i="1"/>
  <c r="AD585" i="1"/>
  <c r="AC585" i="1"/>
  <c r="AB585" i="1"/>
  <c r="AA585" i="1"/>
  <c r="O585" i="1"/>
  <c r="AI584" i="1"/>
  <c r="AJ584" i="1" s="1"/>
  <c r="AG584" i="1"/>
  <c r="AH584" i="1" s="1"/>
  <c r="AF584" i="1"/>
  <c r="AE584" i="1"/>
  <c r="AD584" i="1"/>
  <c r="AC584" i="1"/>
  <c r="AB584" i="1"/>
  <c r="AA584" i="1"/>
  <c r="O584" i="1"/>
  <c r="AI583" i="1"/>
  <c r="AJ583" i="1" s="1"/>
  <c r="AG583" i="1"/>
  <c r="AH583" i="1" s="1"/>
  <c r="AF583" i="1"/>
  <c r="AE583" i="1"/>
  <c r="AD583" i="1"/>
  <c r="AC583" i="1"/>
  <c r="AB583" i="1"/>
  <c r="AA583" i="1"/>
  <c r="AI582" i="1"/>
  <c r="AJ582" i="1" s="1"/>
  <c r="AH582" i="1"/>
  <c r="AG582" i="1"/>
  <c r="AF582" i="1"/>
  <c r="AE582" i="1"/>
  <c r="AD582" i="1"/>
  <c r="AC582" i="1"/>
  <c r="AB582" i="1"/>
  <c r="AA582" i="1"/>
  <c r="O582" i="1"/>
  <c r="AI581" i="1"/>
  <c r="AJ581" i="1" s="1"/>
  <c r="AG581" i="1"/>
  <c r="AH581" i="1" s="1"/>
  <c r="AF581" i="1"/>
  <c r="AE581" i="1"/>
  <c r="AD581" i="1"/>
  <c r="AC581" i="1"/>
  <c r="AB581" i="1"/>
  <c r="AA581" i="1"/>
  <c r="O581" i="1"/>
  <c r="AI580" i="1"/>
  <c r="AJ580" i="1" s="1"/>
  <c r="AG580" i="1"/>
  <c r="AH580" i="1" s="1"/>
  <c r="AF580" i="1"/>
  <c r="AE580" i="1"/>
  <c r="AD580" i="1"/>
  <c r="AC580" i="1"/>
  <c r="AB580" i="1"/>
  <c r="AA580" i="1"/>
  <c r="AI579" i="1"/>
  <c r="AJ579" i="1" s="1"/>
  <c r="AG579" i="1"/>
  <c r="AH579" i="1" s="1"/>
  <c r="AF579" i="1"/>
  <c r="AE579" i="1"/>
  <c r="AD579" i="1"/>
  <c r="AC579" i="1"/>
  <c r="AB579" i="1"/>
  <c r="AA579" i="1"/>
  <c r="O579" i="1"/>
  <c r="AI578" i="1"/>
  <c r="AJ578" i="1" s="1"/>
  <c r="AG578" i="1"/>
  <c r="AH578" i="1" s="1"/>
  <c r="AF578" i="1"/>
  <c r="AE578" i="1"/>
  <c r="AD578" i="1"/>
  <c r="AC578" i="1"/>
  <c r="AB578" i="1"/>
  <c r="AA578" i="1"/>
  <c r="O578" i="1"/>
  <c r="AI577" i="1"/>
  <c r="AJ577" i="1" s="1"/>
  <c r="AG577" i="1"/>
  <c r="AH577" i="1" s="1"/>
  <c r="AF577" i="1"/>
  <c r="AE577" i="1"/>
  <c r="AD577" i="1"/>
  <c r="AC577" i="1"/>
  <c r="AB577" i="1"/>
  <c r="AA577" i="1"/>
  <c r="O577" i="1"/>
  <c r="AI576" i="1"/>
  <c r="AJ576" i="1" s="1"/>
  <c r="AG576" i="1"/>
  <c r="AH576" i="1" s="1"/>
  <c r="AF576" i="1"/>
  <c r="AE576" i="1"/>
  <c r="AD576" i="1"/>
  <c r="AC576" i="1"/>
  <c r="AB576" i="1"/>
  <c r="AA576" i="1"/>
  <c r="O576" i="1"/>
  <c r="AI575" i="1"/>
  <c r="AJ575" i="1" s="1"/>
  <c r="AG575" i="1"/>
  <c r="AH575" i="1" s="1"/>
  <c r="AF575" i="1"/>
  <c r="AE575" i="1"/>
  <c r="AD575" i="1"/>
  <c r="AC575" i="1"/>
  <c r="AB575" i="1"/>
  <c r="AA575" i="1"/>
  <c r="O575" i="1"/>
  <c r="AI574" i="1"/>
  <c r="AJ574" i="1" s="1"/>
  <c r="AG574" i="1"/>
  <c r="AH574" i="1" s="1"/>
  <c r="AF574" i="1"/>
  <c r="AE574" i="1"/>
  <c r="AD574" i="1"/>
  <c r="AC574" i="1"/>
  <c r="AB574" i="1"/>
  <c r="AA574" i="1"/>
  <c r="O574" i="1"/>
  <c r="AJ573" i="1"/>
  <c r="AI573" i="1"/>
  <c r="AG573" i="1"/>
  <c r="AH573" i="1" s="1"/>
  <c r="AF573" i="1"/>
  <c r="AE573" i="1"/>
  <c r="AD573" i="1"/>
  <c r="AC573" i="1"/>
  <c r="AB573" i="1"/>
  <c r="AA573" i="1"/>
  <c r="AI572" i="1"/>
  <c r="AJ572" i="1" s="1"/>
  <c r="AG572" i="1"/>
  <c r="AH572" i="1" s="1"/>
  <c r="AF572" i="1"/>
  <c r="AE572" i="1"/>
  <c r="AD572" i="1"/>
  <c r="AC572" i="1"/>
  <c r="AB572" i="1"/>
  <c r="AA572" i="1"/>
  <c r="O572" i="1"/>
  <c r="AI571" i="1"/>
  <c r="AJ571" i="1" s="1"/>
  <c r="AG571" i="1"/>
  <c r="AH571" i="1" s="1"/>
  <c r="AF571" i="1"/>
  <c r="AE571" i="1"/>
  <c r="AD571" i="1"/>
  <c r="AC571" i="1"/>
  <c r="AB571" i="1"/>
  <c r="AA571" i="1"/>
  <c r="O571" i="1"/>
  <c r="AI570" i="1"/>
  <c r="AJ570" i="1" s="1"/>
  <c r="AH570" i="1"/>
  <c r="AG570" i="1"/>
  <c r="AF570" i="1"/>
  <c r="AE570" i="1"/>
  <c r="AD570" i="1"/>
  <c r="AC570" i="1"/>
  <c r="AB570" i="1"/>
  <c r="AA570" i="1"/>
  <c r="AJ569" i="1"/>
  <c r="AI569" i="1"/>
  <c r="AG569" i="1"/>
  <c r="AH569" i="1" s="1"/>
  <c r="AF569" i="1"/>
  <c r="AE569" i="1"/>
  <c r="AD569" i="1"/>
  <c r="AC569" i="1"/>
  <c r="AB569" i="1"/>
  <c r="AA569" i="1"/>
  <c r="O569" i="1"/>
  <c r="AI568" i="1"/>
  <c r="AJ568" i="1" s="1"/>
  <c r="AG568" i="1"/>
  <c r="AH568" i="1" s="1"/>
  <c r="AF568" i="1"/>
  <c r="AE568" i="1"/>
  <c r="AD568" i="1"/>
  <c r="AC568" i="1"/>
  <c r="AB568" i="1"/>
  <c r="AA568" i="1"/>
  <c r="O568" i="1"/>
  <c r="AI567" i="1"/>
  <c r="AJ567" i="1" s="1"/>
  <c r="AG567" i="1"/>
  <c r="AH567" i="1" s="1"/>
  <c r="AF567" i="1"/>
  <c r="AE567" i="1"/>
  <c r="AD567" i="1"/>
  <c r="AC567" i="1"/>
  <c r="AB567" i="1"/>
  <c r="AA567" i="1"/>
  <c r="O567" i="1"/>
  <c r="AI566" i="1"/>
  <c r="AJ566" i="1" s="1"/>
  <c r="AG566" i="1"/>
  <c r="AH566" i="1" s="1"/>
  <c r="AF566" i="1"/>
  <c r="AE566" i="1"/>
  <c r="AD566" i="1"/>
  <c r="AC566" i="1"/>
  <c r="AB566" i="1"/>
  <c r="AA566" i="1"/>
  <c r="AI565" i="1"/>
  <c r="AJ565" i="1" s="1"/>
  <c r="AG565" i="1"/>
  <c r="AH565" i="1" s="1"/>
  <c r="AF565" i="1"/>
  <c r="AE565" i="1"/>
  <c r="AD565" i="1"/>
  <c r="AC565" i="1"/>
  <c r="AB565" i="1"/>
  <c r="AA565" i="1"/>
  <c r="O565" i="1"/>
  <c r="AJ564" i="1"/>
  <c r="AI564" i="1"/>
  <c r="AG564" i="1"/>
  <c r="AH564" i="1" s="1"/>
  <c r="AF564" i="1"/>
  <c r="AE564" i="1"/>
  <c r="AD564" i="1"/>
  <c r="AC564" i="1"/>
  <c r="AB564" i="1"/>
  <c r="AA564" i="1"/>
  <c r="O564" i="1"/>
  <c r="AI563" i="1"/>
  <c r="AJ563" i="1" s="1"/>
  <c r="AH563" i="1"/>
  <c r="AG563" i="1"/>
  <c r="AF563" i="1"/>
  <c r="AE563" i="1"/>
  <c r="AD563" i="1"/>
  <c r="AC563" i="1"/>
  <c r="AB563" i="1"/>
  <c r="AA563" i="1"/>
  <c r="O563" i="1"/>
  <c r="AI562" i="1"/>
  <c r="AJ562" i="1" s="1"/>
  <c r="AH562" i="1"/>
  <c r="AG562" i="1"/>
  <c r="AF562" i="1"/>
  <c r="AE562" i="1"/>
  <c r="AD562" i="1"/>
  <c r="AC562" i="1"/>
  <c r="AB562" i="1"/>
  <c r="AA562" i="1"/>
  <c r="O562" i="1"/>
  <c r="AI561" i="1"/>
  <c r="AJ561" i="1" s="1"/>
  <c r="AG561" i="1"/>
  <c r="AH561" i="1" s="1"/>
  <c r="AF561" i="1"/>
  <c r="AE561" i="1"/>
  <c r="AD561" i="1"/>
  <c r="AC561" i="1"/>
  <c r="AB561" i="1"/>
  <c r="AA561" i="1"/>
  <c r="O561" i="1"/>
  <c r="AI560" i="1"/>
  <c r="AJ560" i="1" s="1"/>
  <c r="AG560" i="1"/>
  <c r="AH560" i="1" s="1"/>
  <c r="AF560" i="1"/>
  <c r="AE560" i="1"/>
  <c r="AD560" i="1"/>
  <c r="AC560" i="1"/>
  <c r="AB560" i="1"/>
  <c r="AA560" i="1"/>
  <c r="O560" i="1"/>
  <c r="AI559" i="1"/>
  <c r="AJ559" i="1" s="1"/>
  <c r="AG559" i="1"/>
  <c r="AH559" i="1" s="1"/>
  <c r="AF559" i="1"/>
  <c r="AE559" i="1"/>
  <c r="AD559" i="1"/>
  <c r="AC559" i="1"/>
  <c r="AB559" i="1"/>
  <c r="AA559" i="1"/>
  <c r="O559" i="1"/>
  <c r="AJ558" i="1"/>
  <c r="AI558" i="1"/>
  <c r="AG558" i="1"/>
  <c r="AH558" i="1" s="1"/>
  <c r="AF558" i="1"/>
  <c r="AE558" i="1"/>
  <c r="AD558" i="1"/>
  <c r="AC558" i="1"/>
  <c r="AB558" i="1"/>
  <c r="AA558" i="1"/>
  <c r="AI557" i="1"/>
  <c r="AJ557" i="1" s="1"/>
  <c r="AG557" i="1"/>
  <c r="AH557" i="1" s="1"/>
  <c r="AF557" i="1"/>
  <c r="AE557" i="1"/>
  <c r="AD557" i="1"/>
  <c r="AC557" i="1"/>
  <c r="AB557" i="1"/>
  <c r="AA557" i="1"/>
  <c r="AI556" i="1"/>
  <c r="AJ556" i="1" s="1"/>
  <c r="AH556" i="1"/>
  <c r="AG556" i="1"/>
  <c r="AF556" i="1"/>
  <c r="AE556" i="1"/>
  <c r="AD556" i="1"/>
  <c r="AC556" i="1"/>
  <c r="AB556" i="1"/>
  <c r="AA556" i="1"/>
  <c r="AJ555" i="1"/>
  <c r="AI555" i="1"/>
  <c r="AH555" i="1"/>
  <c r="AG555" i="1"/>
  <c r="AF555" i="1"/>
  <c r="AE555" i="1"/>
  <c r="AD555" i="1"/>
  <c r="AC555" i="1"/>
  <c r="AB555" i="1"/>
  <c r="AA555" i="1"/>
  <c r="AJ554" i="1"/>
  <c r="AI554" i="1"/>
  <c r="AG554" i="1"/>
  <c r="AH554" i="1" s="1"/>
  <c r="AF554" i="1"/>
  <c r="AE554" i="1"/>
  <c r="AD554" i="1"/>
  <c r="AC554" i="1"/>
  <c r="AB554" i="1"/>
  <c r="AA554" i="1"/>
  <c r="AI553" i="1"/>
  <c r="AJ553" i="1" s="1"/>
  <c r="AG553" i="1"/>
  <c r="AH553" i="1" s="1"/>
  <c r="AF553" i="1"/>
  <c r="AE553" i="1"/>
  <c r="AD553" i="1"/>
  <c r="AC553" i="1"/>
  <c r="AB553" i="1"/>
  <c r="AA553" i="1"/>
  <c r="AI552" i="1"/>
  <c r="AJ552" i="1" s="1"/>
  <c r="AH552" i="1"/>
  <c r="AG552" i="1"/>
  <c r="AF552" i="1"/>
  <c r="AE552" i="1"/>
  <c r="AD552" i="1"/>
  <c r="AC552" i="1"/>
  <c r="AB552" i="1"/>
  <c r="AA552" i="1"/>
  <c r="AJ551" i="1"/>
  <c r="AI551" i="1"/>
  <c r="AG551" i="1"/>
  <c r="AH551" i="1" s="1"/>
  <c r="AF551" i="1"/>
  <c r="AE551" i="1"/>
  <c r="AD551" i="1"/>
  <c r="AC551" i="1"/>
  <c r="AB551" i="1"/>
  <c r="AA551" i="1"/>
  <c r="AI550" i="1"/>
  <c r="AJ550" i="1" s="1"/>
  <c r="AG550" i="1"/>
  <c r="AH550" i="1" s="1"/>
  <c r="AF550" i="1"/>
  <c r="AE550" i="1"/>
  <c r="AD550" i="1"/>
  <c r="AC550" i="1"/>
  <c r="AB550" i="1"/>
  <c r="AA550" i="1"/>
  <c r="AI549" i="1"/>
  <c r="AJ549" i="1" s="1"/>
  <c r="AG549" i="1"/>
  <c r="AH549" i="1" s="1"/>
  <c r="AF549" i="1"/>
  <c r="AE549" i="1"/>
  <c r="AD549" i="1"/>
  <c r="AC549" i="1"/>
  <c r="AB549" i="1"/>
  <c r="AA549" i="1"/>
  <c r="AI548" i="1"/>
  <c r="AJ548" i="1" s="1"/>
  <c r="AH548" i="1"/>
  <c r="AG548" i="1"/>
  <c r="AF548" i="1"/>
  <c r="AE548" i="1"/>
  <c r="AD548" i="1"/>
  <c r="AC548" i="1"/>
  <c r="AB548" i="1"/>
  <c r="AA548" i="1"/>
  <c r="AJ547" i="1"/>
  <c r="AI547" i="1"/>
  <c r="AH547" i="1"/>
  <c r="AG547" i="1"/>
  <c r="AF547" i="1"/>
  <c r="AE547" i="1"/>
  <c r="AD547" i="1"/>
  <c r="AC547" i="1"/>
  <c r="AB547" i="1"/>
  <c r="AA547" i="1"/>
  <c r="AJ546" i="1"/>
  <c r="AI546" i="1"/>
  <c r="AG546" i="1"/>
  <c r="AH546" i="1" s="1"/>
  <c r="AF546" i="1"/>
  <c r="AE546" i="1"/>
  <c r="AD546" i="1"/>
  <c r="AC546" i="1"/>
  <c r="AB546" i="1"/>
  <c r="AA546" i="1"/>
  <c r="AI545" i="1"/>
  <c r="AJ545" i="1" s="1"/>
  <c r="AG545" i="1"/>
  <c r="AH545" i="1" s="1"/>
  <c r="AF545" i="1"/>
  <c r="AE545" i="1"/>
  <c r="AD545" i="1"/>
  <c r="AC545" i="1"/>
  <c r="AB545" i="1"/>
  <c r="AA545" i="1"/>
  <c r="AI544" i="1"/>
  <c r="AJ544" i="1" s="1"/>
  <c r="AH544" i="1"/>
  <c r="AG544" i="1"/>
  <c r="AF544" i="1"/>
  <c r="AE544" i="1"/>
  <c r="AD544" i="1"/>
  <c r="AC544" i="1"/>
  <c r="AB544" i="1"/>
  <c r="AA544" i="1"/>
  <c r="AJ543" i="1"/>
  <c r="AI543" i="1"/>
  <c r="AG543" i="1"/>
  <c r="AH543" i="1" s="1"/>
  <c r="AF543" i="1"/>
  <c r="AE543" i="1"/>
  <c r="AD543" i="1"/>
  <c r="AC543" i="1"/>
  <c r="AB543" i="1"/>
  <c r="AA543" i="1"/>
  <c r="AI542" i="1"/>
  <c r="AJ542" i="1" s="1"/>
  <c r="AG542" i="1"/>
  <c r="AH542" i="1" s="1"/>
  <c r="AF542" i="1"/>
  <c r="AE542" i="1"/>
  <c r="AD542" i="1"/>
  <c r="AC542" i="1"/>
  <c r="AB542" i="1"/>
  <c r="AA542" i="1"/>
  <c r="AI541" i="1"/>
  <c r="AJ541" i="1" s="1"/>
  <c r="AG541" i="1"/>
  <c r="AH541" i="1" s="1"/>
  <c r="AF541" i="1"/>
  <c r="AE541" i="1"/>
  <c r="AD541" i="1"/>
  <c r="AC541" i="1"/>
  <c r="AB541" i="1"/>
  <c r="AA541" i="1"/>
  <c r="AI540" i="1"/>
  <c r="AJ540" i="1" s="1"/>
  <c r="AH540" i="1"/>
  <c r="AG540" i="1"/>
  <c r="AF540" i="1"/>
  <c r="AE540" i="1"/>
  <c r="AD540" i="1"/>
  <c r="AC540" i="1"/>
  <c r="AB540" i="1"/>
  <c r="AA540" i="1"/>
  <c r="AJ539" i="1"/>
  <c r="AI539" i="1"/>
  <c r="AH539" i="1"/>
  <c r="AG539" i="1"/>
  <c r="AF539" i="1"/>
  <c r="AE539" i="1"/>
  <c r="AD539" i="1"/>
  <c r="AC539" i="1"/>
  <c r="AB539" i="1"/>
  <c r="AA539" i="1"/>
  <c r="AJ538" i="1"/>
  <c r="AI538" i="1"/>
  <c r="AG538" i="1"/>
  <c r="AH538" i="1" s="1"/>
  <c r="AF538" i="1"/>
  <c r="AE538" i="1"/>
  <c r="AD538" i="1"/>
  <c r="AC538" i="1"/>
  <c r="AB538" i="1"/>
  <c r="AA538" i="1"/>
  <c r="AI537" i="1"/>
  <c r="AJ537" i="1" s="1"/>
  <c r="AG537" i="1"/>
  <c r="AH537" i="1" s="1"/>
  <c r="AF537" i="1"/>
  <c r="AE537" i="1"/>
  <c r="AD537" i="1"/>
  <c r="AC537" i="1"/>
  <c r="AB537" i="1"/>
  <c r="AA537" i="1"/>
  <c r="AI536" i="1"/>
  <c r="AJ536" i="1" s="1"/>
  <c r="AH536" i="1"/>
  <c r="AG536" i="1"/>
  <c r="AF536" i="1"/>
  <c r="AE536" i="1"/>
  <c r="AD536" i="1"/>
  <c r="AC536" i="1"/>
  <c r="AB536" i="1"/>
  <c r="AA536" i="1"/>
  <c r="AJ535" i="1"/>
  <c r="AI535" i="1"/>
  <c r="AG535" i="1"/>
  <c r="AH535" i="1" s="1"/>
  <c r="AF535" i="1"/>
  <c r="AE535" i="1"/>
  <c r="AD535" i="1"/>
  <c r="AC535" i="1"/>
  <c r="AB535" i="1"/>
  <c r="AA535" i="1"/>
  <c r="AI534" i="1"/>
  <c r="AJ534" i="1" s="1"/>
  <c r="AG534" i="1"/>
  <c r="AH534" i="1" s="1"/>
  <c r="AF534" i="1"/>
  <c r="AE534" i="1"/>
  <c r="AD534" i="1"/>
  <c r="AC534" i="1"/>
  <c r="AB534" i="1"/>
  <c r="AA534" i="1"/>
  <c r="AI533" i="1"/>
  <c r="AJ533" i="1" s="1"/>
  <c r="AG533" i="1"/>
  <c r="AH533" i="1" s="1"/>
  <c r="AF533" i="1"/>
  <c r="AE533" i="1"/>
  <c r="AD533" i="1"/>
  <c r="AC533" i="1"/>
  <c r="AB533" i="1"/>
  <c r="AA533" i="1"/>
  <c r="AI532" i="1"/>
  <c r="AJ532" i="1" s="1"/>
  <c r="AH532" i="1"/>
  <c r="AG532" i="1"/>
  <c r="AF532" i="1"/>
  <c r="AE532" i="1"/>
  <c r="AD532" i="1"/>
  <c r="AC532" i="1"/>
  <c r="AB532" i="1"/>
  <c r="AA532" i="1"/>
  <c r="AJ531" i="1"/>
  <c r="AI531" i="1"/>
  <c r="AH531" i="1"/>
  <c r="AG531" i="1"/>
  <c r="AF531" i="1"/>
  <c r="AE531" i="1"/>
  <c r="AD531" i="1"/>
  <c r="AC531" i="1"/>
  <c r="AB531" i="1"/>
  <c r="AA531" i="1"/>
  <c r="AJ530" i="1"/>
  <c r="AI530" i="1"/>
  <c r="AG530" i="1"/>
  <c r="AH530" i="1" s="1"/>
  <c r="AF530" i="1"/>
  <c r="AE530" i="1"/>
  <c r="AD530" i="1"/>
  <c r="AC530" i="1"/>
  <c r="AB530" i="1"/>
  <c r="AA530" i="1"/>
  <c r="AI529" i="1"/>
  <c r="AJ529" i="1" s="1"/>
  <c r="AG529" i="1"/>
  <c r="AH529" i="1" s="1"/>
  <c r="AF529" i="1"/>
  <c r="AE529" i="1"/>
  <c r="AD529" i="1"/>
  <c r="AC529" i="1"/>
  <c r="AB529" i="1"/>
  <c r="AA529" i="1"/>
  <c r="AI528" i="1"/>
  <c r="AJ528" i="1" s="1"/>
  <c r="AH528" i="1"/>
  <c r="AG528" i="1"/>
  <c r="AF528" i="1"/>
  <c r="AE528" i="1"/>
  <c r="AD528" i="1"/>
  <c r="AC528" i="1"/>
  <c r="AB528" i="1"/>
  <c r="AA528" i="1"/>
  <c r="AJ527" i="1"/>
  <c r="AI527" i="1"/>
  <c r="AG527" i="1"/>
  <c r="AH527" i="1" s="1"/>
  <c r="AF527" i="1"/>
  <c r="AE527" i="1"/>
  <c r="AD527" i="1"/>
  <c r="AC527" i="1"/>
  <c r="AB527" i="1"/>
  <c r="AA527" i="1"/>
  <c r="AI526" i="1"/>
  <c r="AJ526" i="1" s="1"/>
  <c r="AG526" i="1"/>
  <c r="AH526" i="1" s="1"/>
  <c r="AF526" i="1"/>
  <c r="AE526" i="1"/>
  <c r="AD526" i="1"/>
  <c r="AC526" i="1"/>
  <c r="AB526" i="1"/>
  <c r="AA526" i="1"/>
  <c r="AI525" i="1"/>
  <c r="AJ525" i="1" s="1"/>
  <c r="AG525" i="1"/>
  <c r="AH525" i="1" s="1"/>
  <c r="AF525" i="1"/>
  <c r="AE525" i="1"/>
  <c r="AD525" i="1"/>
  <c r="AC525" i="1"/>
  <c r="AB525" i="1"/>
  <c r="AA525" i="1"/>
  <c r="AI524" i="1"/>
  <c r="AJ524" i="1" s="1"/>
  <c r="AH524" i="1"/>
  <c r="AG524" i="1"/>
  <c r="AF524" i="1"/>
  <c r="AE524" i="1"/>
  <c r="AD524" i="1"/>
  <c r="AC524" i="1"/>
  <c r="AB524" i="1"/>
  <c r="AA524" i="1"/>
  <c r="AJ523" i="1"/>
  <c r="AI523" i="1"/>
  <c r="AH523" i="1"/>
  <c r="AG523" i="1"/>
  <c r="AF523" i="1"/>
  <c r="AE523" i="1"/>
  <c r="AD523" i="1"/>
  <c r="AC523" i="1"/>
  <c r="AB523" i="1"/>
  <c r="AA523" i="1"/>
  <c r="AJ522" i="1"/>
  <c r="AI522" i="1"/>
  <c r="AG522" i="1"/>
  <c r="AH522" i="1" s="1"/>
  <c r="AF522" i="1"/>
  <c r="AE522" i="1"/>
  <c r="AD522" i="1"/>
  <c r="AC522" i="1"/>
  <c r="AB522" i="1"/>
  <c r="AA522" i="1"/>
  <c r="AI521" i="1"/>
  <c r="AJ521" i="1" s="1"/>
  <c r="AG521" i="1"/>
  <c r="AH521" i="1" s="1"/>
  <c r="AF521" i="1"/>
  <c r="AE521" i="1"/>
  <c r="AD521" i="1"/>
  <c r="AC521" i="1"/>
  <c r="AB521" i="1"/>
  <c r="AA521" i="1"/>
  <c r="AI520" i="1"/>
  <c r="AJ520" i="1" s="1"/>
  <c r="AH520" i="1"/>
  <c r="AG520" i="1"/>
  <c r="AF520" i="1"/>
  <c r="AE520" i="1"/>
  <c r="AD520" i="1"/>
  <c r="AC520" i="1"/>
  <c r="AB520" i="1"/>
  <c r="AA520" i="1"/>
  <c r="AJ519" i="1"/>
  <c r="AI519" i="1"/>
  <c r="AG519" i="1"/>
  <c r="AH519" i="1" s="1"/>
  <c r="AF519" i="1"/>
  <c r="AE519" i="1"/>
  <c r="AD519" i="1"/>
  <c r="AC519" i="1"/>
  <c r="AB519" i="1"/>
  <c r="AA519" i="1"/>
  <c r="AI518" i="1"/>
  <c r="AJ518" i="1" s="1"/>
  <c r="AG518" i="1"/>
  <c r="AH518" i="1" s="1"/>
  <c r="AF518" i="1"/>
  <c r="AE518" i="1"/>
  <c r="AD518" i="1"/>
  <c r="AC518" i="1"/>
  <c r="AB518" i="1"/>
  <c r="AA518" i="1"/>
  <c r="AI517" i="1"/>
  <c r="AJ517" i="1" s="1"/>
  <c r="AG517" i="1"/>
  <c r="AH517" i="1" s="1"/>
  <c r="AF517" i="1"/>
  <c r="AE517" i="1"/>
  <c r="AD517" i="1"/>
  <c r="AC517" i="1"/>
  <c r="AB517" i="1"/>
  <c r="AA517" i="1"/>
  <c r="AI516" i="1"/>
  <c r="AJ516" i="1" s="1"/>
  <c r="AH516" i="1"/>
  <c r="AG516" i="1"/>
  <c r="AF516" i="1"/>
  <c r="AE516" i="1"/>
  <c r="AD516" i="1"/>
  <c r="AC516" i="1"/>
  <c r="AB516" i="1"/>
  <c r="AA516" i="1"/>
  <c r="AJ515" i="1"/>
  <c r="AI515" i="1"/>
  <c r="AG515" i="1"/>
  <c r="AH515" i="1" s="1"/>
  <c r="AF515" i="1"/>
  <c r="AE515" i="1"/>
  <c r="AD515" i="1"/>
  <c r="AC515" i="1"/>
  <c r="AB515" i="1"/>
  <c r="AA515" i="1"/>
  <c r="AI514" i="1"/>
  <c r="AJ514" i="1" s="1"/>
  <c r="AG514" i="1"/>
  <c r="AH514" i="1" s="1"/>
  <c r="AF514" i="1"/>
  <c r="AE514" i="1"/>
  <c r="AD514" i="1"/>
  <c r="AC514" i="1"/>
  <c r="AB514" i="1"/>
  <c r="AA514" i="1"/>
  <c r="AI513" i="1"/>
  <c r="AJ513" i="1" s="1"/>
  <c r="AG513" i="1"/>
  <c r="AH513" i="1" s="1"/>
  <c r="AF513" i="1"/>
  <c r="AE513" i="1"/>
  <c r="AD513" i="1"/>
  <c r="AC513" i="1"/>
  <c r="AB513" i="1"/>
  <c r="AA513" i="1"/>
  <c r="AI512" i="1"/>
  <c r="AJ512" i="1" s="1"/>
  <c r="AH512" i="1"/>
  <c r="AG512" i="1"/>
  <c r="AF512" i="1"/>
  <c r="AE512" i="1"/>
  <c r="AD512" i="1"/>
  <c r="AC512" i="1"/>
  <c r="AB512" i="1"/>
  <c r="AA512" i="1"/>
  <c r="AJ511" i="1"/>
  <c r="AI511" i="1"/>
  <c r="AH511" i="1"/>
  <c r="AG511" i="1"/>
  <c r="AF511" i="1"/>
  <c r="AE511" i="1"/>
  <c r="AD511" i="1"/>
  <c r="AC511" i="1"/>
  <c r="AB511" i="1"/>
  <c r="AA511" i="1"/>
  <c r="AJ510" i="1"/>
  <c r="AI510" i="1"/>
  <c r="AG510" i="1"/>
  <c r="AH510" i="1" s="1"/>
  <c r="AF510" i="1"/>
  <c r="AE510" i="1"/>
  <c r="AD510" i="1"/>
  <c r="AC510" i="1"/>
  <c r="AB510" i="1"/>
  <c r="AA510" i="1"/>
  <c r="AI509" i="1"/>
  <c r="AJ509" i="1" s="1"/>
  <c r="AG509" i="1"/>
  <c r="AH509" i="1" s="1"/>
  <c r="AF509" i="1"/>
  <c r="AE509" i="1"/>
  <c r="AD509" i="1"/>
  <c r="AC509" i="1"/>
  <c r="AB509" i="1"/>
  <c r="AA509" i="1"/>
  <c r="AI508" i="1"/>
  <c r="AJ508" i="1" s="1"/>
  <c r="AG508" i="1"/>
  <c r="AH508" i="1" s="1"/>
  <c r="AF508" i="1"/>
  <c r="AE508" i="1"/>
  <c r="AD508" i="1"/>
  <c r="AC508" i="1"/>
  <c r="AB508" i="1"/>
  <c r="AA508" i="1"/>
  <c r="AI507" i="1"/>
  <c r="AJ507" i="1" s="1"/>
  <c r="AG507" i="1"/>
  <c r="AH507" i="1" s="1"/>
  <c r="AF507" i="1"/>
  <c r="AE507" i="1"/>
  <c r="AD507" i="1"/>
  <c r="AC507" i="1"/>
  <c r="AB507" i="1"/>
  <c r="AA507" i="1"/>
  <c r="AI506" i="1"/>
  <c r="AJ506" i="1" s="1"/>
  <c r="AG506" i="1"/>
  <c r="AH506" i="1" s="1"/>
  <c r="AF506" i="1"/>
  <c r="AE506" i="1"/>
  <c r="AD506" i="1"/>
  <c r="AC506" i="1"/>
  <c r="AB506" i="1"/>
  <c r="AA506" i="1"/>
  <c r="AI505" i="1"/>
  <c r="AJ505" i="1" s="1"/>
  <c r="AG505" i="1"/>
  <c r="AH505" i="1" s="1"/>
  <c r="AF505" i="1"/>
  <c r="AE505" i="1"/>
  <c r="AD505" i="1"/>
  <c r="AC505" i="1"/>
  <c r="AB505" i="1"/>
  <c r="AA505" i="1"/>
  <c r="AI504" i="1"/>
  <c r="AJ504" i="1" s="1"/>
  <c r="AH504" i="1"/>
  <c r="AG504" i="1"/>
  <c r="AF504" i="1"/>
  <c r="AE504" i="1"/>
  <c r="AD504" i="1"/>
  <c r="AC504" i="1"/>
  <c r="AB504" i="1"/>
  <c r="AA504" i="1"/>
  <c r="AJ503" i="1"/>
  <c r="AI503" i="1"/>
  <c r="AH503" i="1"/>
  <c r="AG503" i="1"/>
  <c r="AF503" i="1"/>
  <c r="AE503" i="1"/>
  <c r="AD503" i="1"/>
  <c r="AC503" i="1"/>
  <c r="AB503" i="1"/>
  <c r="AA503" i="1"/>
  <c r="AJ502" i="1"/>
  <c r="AI502" i="1"/>
  <c r="AG502" i="1"/>
  <c r="AH502" i="1" s="1"/>
  <c r="AF502" i="1"/>
  <c r="AE502" i="1"/>
  <c r="AD502" i="1"/>
  <c r="AC502" i="1"/>
  <c r="AB502" i="1"/>
  <c r="AA502" i="1"/>
  <c r="AI501" i="1"/>
  <c r="AJ501" i="1" s="1"/>
  <c r="AG501" i="1"/>
  <c r="AH501" i="1" s="1"/>
  <c r="AF501" i="1"/>
  <c r="AE501" i="1"/>
  <c r="AD501" i="1"/>
  <c r="AC501" i="1"/>
  <c r="AB501" i="1"/>
  <c r="AA501" i="1"/>
  <c r="AI500" i="1"/>
  <c r="AJ500" i="1" s="1"/>
  <c r="AH500" i="1"/>
  <c r="AG500" i="1"/>
  <c r="AF500" i="1"/>
  <c r="AE500" i="1"/>
  <c r="AD500" i="1"/>
  <c r="AC500" i="1"/>
  <c r="AB500" i="1"/>
  <c r="AA500" i="1"/>
  <c r="AJ499" i="1"/>
  <c r="AI499" i="1"/>
  <c r="AG499" i="1"/>
  <c r="AH499" i="1" s="1"/>
  <c r="AF499" i="1"/>
  <c r="AE499" i="1"/>
  <c r="AD499" i="1"/>
  <c r="AC499" i="1"/>
  <c r="AB499" i="1"/>
  <c r="AA499" i="1"/>
  <c r="AI498" i="1"/>
  <c r="AJ498" i="1" s="1"/>
  <c r="AG498" i="1"/>
  <c r="AH498" i="1" s="1"/>
  <c r="AF498" i="1"/>
  <c r="AE498" i="1"/>
  <c r="AD498" i="1"/>
  <c r="AC498" i="1"/>
  <c r="AB498" i="1"/>
  <c r="AA498" i="1"/>
  <c r="AI497" i="1"/>
  <c r="AJ497" i="1" s="1"/>
  <c r="AG497" i="1"/>
  <c r="AH497" i="1" s="1"/>
  <c r="AF497" i="1"/>
  <c r="AE497" i="1"/>
  <c r="AD497" i="1"/>
  <c r="AC497" i="1"/>
  <c r="AB497" i="1"/>
  <c r="AA497" i="1"/>
  <c r="AI496" i="1"/>
  <c r="AJ496" i="1" s="1"/>
  <c r="AG496" i="1"/>
  <c r="AH496" i="1" s="1"/>
  <c r="AF496" i="1"/>
  <c r="AE496" i="1"/>
  <c r="AD496" i="1"/>
  <c r="AC496" i="1"/>
  <c r="AB496" i="1"/>
  <c r="AA496" i="1"/>
  <c r="AI495" i="1"/>
  <c r="AJ495" i="1" s="1"/>
  <c r="AG495" i="1"/>
  <c r="AH495" i="1" s="1"/>
  <c r="AF495" i="1"/>
  <c r="AE495" i="1"/>
  <c r="AD495" i="1"/>
  <c r="AC495" i="1"/>
  <c r="AB495" i="1"/>
  <c r="AA495" i="1"/>
  <c r="AI494" i="1"/>
  <c r="AJ494" i="1" s="1"/>
  <c r="AG494" i="1"/>
  <c r="AH494" i="1" s="1"/>
  <c r="AF494" i="1"/>
  <c r="AE494" i="1"/>
  <c r="AD494" i="1"/>
  <c r="AC494" i="1"/>
  <c r="AB494" i="1"/>
  <c r="AA494" i="1"/>
  <c r="AI493" i="1"/>
  <c r="AJ493" i="1" s="1"/>
  <c r="AG493" i="1"/>
  <c r="AH493" i="1" s="1"/>
  <c r="AF493" i="1"/>
  <c r="AE493" i="1"/>
  <c r="AD493" i="1"/>
  <c r="AC493" i="1"/>
  <c r="AB493" i="1"/>
  <c r="AA493" i="1"/>
  <c r="AI492" i="1"/>
  <c r="AJ492" i="1" s="1"/>
  <c r="AH492" i="1"/>
  <c r="AG492" i="1"/>
  <c r="AF492" i="1"/>
  <c r="AE492" i="1"/>
  <c r="AD492" i="1"/>
  <c r="AC492" i="1"/>
  <c r="AB492" i="1"/>
  <c r="AA492" i="1"/>
  <c r="AJ491" i="1"/>
  <c r="AI491" i="1"/>
  <c r="AG491" i="1"/>
  <c r="AH491" i="1" s="1"/>
  <c r="AF491" i="1"/>
  <c r="AE491" i="1"/>
  <c r="AD491" i="1"/>
  <c r="AC491" i="1"/>
  <c r="AB491" i="1"/>
  <c r="AA491" i="1"/>
  <c r="AI490" i="1"/>
  <c r="AJ490" i="1" s="1"/>
  <c r="AG490" i="1"/>
  <c r="AH490" i="1" s="1"/>
  <c r="AF490" i="1"/>
  <c r="AE490" i="1"/>
  <c r="AD490" i="1"/>
  <c r="AC490" i="1"/>
  <c r="AB490" i="1"/>
  <c r="AA490" i="1"/>
  <c r="AI489" i="1"/>
  <c r="AJ489" i="1" s="1"/>
  <c r="AG489" i="1"/>
  <c r="AH489" i="1" s="1"/>
  <c r="AF489" i="1"/>
  <c r="AE489" i="1"/>
  <c r="AD489" i="1"/>
  <c r="AC489" i="1"/>
  <c r="AB489" i="1"/>
  <c r="AA489" i="1"/>
  <c r="AI488" i="1"/>
  <c r="AJ488" i="1" s="1"/>
  <c r="AH488" i="1"/>
  <c r="AG488" i="1"/>
  <c r="AF488" i="1"/>
  <c r="AE488" i="1"/>
  <c r="AD488" i="1"/>
  <c r="AC488" i="1"/>
  <c r="AB488" i="1"/>
  <c r="AA488" i="1"/>
  <c r="AJ487" i="1"/>
  <c r="AI487" i="1"/>
  <c r="AG487" i="1"/>
  <c r="AH487" i="1" s="1"/>
  <c r="AF487" i="1"/>
  <c r="AE487" i="1"/>
  <c r="AD487" i="1"/>
  <c r="AC487" i="1"/>
  <c r="AB487" i="1"/>
  <c r="AA487" i="1"/>
  <c r="AI486" i="1"/>
  <c r="AJ486" i="1" s="1"/>
  <c r="AG486" i="1"/>
  <c r="AH486" i="1" s="1"/>
  <c r="AF486" i="1"/>
  <c r="AE486" i="1"/>
  <c r="AD486" i="1"/>
  <c r="AC486" i="1"/>
  <c r="AB486" i="1"/>
  <c r="AA486" i="1"/>
  <c r="AI485" i="1"/>
  <c r="AJ485" i="1" s="1"/>
  <c r="AG485" i="1"/>
  <c r="AH485" i="1" s="1"/>
  <c r="AF485" i="1"/>
  <c r="AE485" i="1"/>
  <c r="AD485" i="1"/>
  <c r="AC485" i="1"/>
  <c r="AB485" i="1"/>
  <c r="AA485" i="1"/>
  <c r="AI484" i="1"/>
  <c r="AJ484" i="1" s="1"/>
  <c r="AH484" i="1"/>
  <c r="AG484" i="1"/>
  <c r="AF484" i="1"/>
  <c r="AE484" i="1"/>
  <c r="AD484" i="1"/>
  <c r="AC484" i="1"/>
  <c r="AB484" i="1"/>
  <c r="AA484" i="1"/>
  <c r="AJ483" i="1"/>
  <c r="AI483" i="1"/>
  <c r="AG483" i="1"/>
  <c r="AH483" i="1" s="1"/>
  <c r="AF483" i="1"/>
  <c r="AE483" i="1"/>
  <c r="AD483" i="1"/>
  <c r="AC483" i="1"/>
  <c r="AB483" i="1"/>
  <c r="AA483" i="1"/>
  <c r="AI482" i="1"/>
  <c r="AJ482" i="1" s="1"/>
  <c r="AG482" i="1"/>
  <c r="AH482" i="1" s="1"/>
  <c r="AF482" i="1"/>
  <c r="AE482" i="1"/>
  <c r="AD482" i="1"/>
  <c r="AC482" i="1"/>
  <c r="AB482" i="1"/>
  <c r="AA482" i="1"/>
  <c r="AI481" i="1"/>
  <c r="AJ481" i="1" s="1"/>
  <c r="AG481" i="1"/>
  <c r="AH481" i="1" s="1"/>
  <c r="AF481" i="1"/>
  <c r="AE481" i="1"/>
  <c r="AD481" i="1"/>
  <c r="AC481" i="1"/>
  <c r="AB481" i="1"/>
  <c r="AA481" i="1"/>
  <c r="AI480" i="1"/>
  <c r="AJ480" i="1" s="1"/>
  <c r="AG480" i="1"/>
  <c r="AH480" i="1" s="1"/>
  <c r="AF480" i="1"/>
  <c r="AE480" i="1"/>
  <c r="AD480" i="1"/>
  <c r="AC480" i="1"/>
  <c r="AB480" i="1"/>
  <c r="AA480" i="1"/>
  <c r="AI479" i="1"/>
  <c r="AJ479" i="1" s="1"/>
  <c r="AG479" i="1"/>
  <c r="AH479" i="1" s="1"/>
  <c r="AF479" i="1"/>
  <c r="AE479" i="1"/>
  <c r="AD479" i="1"/>
  <c r="AC479" i="1"/>
  <c r="AB479" i="1"/>
  <c r="AA479" i="1"/>
  <c r="AI478" i="1"/>
  <c r="AJ478" i="1" s="1"/>
  <c r="AG478" i="1"/>
  <c r="AH478" i="1" s="1"/>
  <c r="AF478" i="1"/>
  <c r="AE478" i="1"/>
  <c r="AD478" i="1"/>
  <c r="AC478" i="1"/>
  <c r="AB478" i="1"/>
  <c r="AA478" i="1"/>
  <c r="AI477" i="1"/>
  <c r="AJ477" i="1" s="1"/>
  <c r="AG477" i="1"/>
  <c r="AH477" i="1" s="1"/>
  <c r="AF477" i="1"/>
  <c r="AE477" i="1"/>
  <c r="AD477" i="1"/>
  <c r="AC477" i="1"/>
  <c r="AB477" i="1"/>
  <c r="AA477" i="1"/>
  <c r="AI476" i="1"/>
  <c r="AJ476" i="1" s="1"/>
  <c r="AH476" i="1"/>
  <c r="AG476" i="1"/>
  <c r="AF476" i="1"/>
  <c r="AE476" i="1"/>
  <c r="AD476" i="1"/>
  <c r="AC476" i="1"/>
  <c r="AB476" i="1"/>
  <c r="AA476" i="1"/>
  <c r="AJ475" i="1"/>
  <c r="AI475" i="1"/>
  <c r="AG475" i="1"/>
  <c r="AH475" i="1" s="1"/>
  <c r="AF475" i="1"/>
  <c r="AE475" i="1"/>
  <c r="AD475" i="1"/>
  <c r="AC475" i="1"/>
  <c r="AB475" i="1"/>
  <c r="AA475" i="1"/>
  <c r="AI474" i="1"/>
  <c r="AJ474" i="1" s="1"/>
  <c r="AG474" i="1"/>
  <c r="AH474" i="1" s="1"/>
  <c r="AF474" i="1"/>
  <c r="AE474" i="1"/>
  <c r="AD474" i="1"/>
  <c r="AC474" i="1"/>
  <c r="AB474" i="1"/>
  <c r="AA474" i="1"/>
  <c r="AI473" i="1"/>
  <c r="AJ473" i="1" s="1"/>
  <c r="AG473" i="1"/>
  <c r="AH473" i="1" s="1"/>
  <c r="AF473" i="1"/>
  <c r="AE473" i="1"/>
  <c r="AD473" i="1"/>
  <c r="AC473" i="1"/>
  <c r="AB473" i="1"/>
  <c r="AA473" i="1"/>
  <c r="AI472" i="1"/>
  <c r="AJ472" i="1" s="1"/>
  <c r="AG472" i="1"/>
  <c r="AH472" i="1" s="1"/>
  <c r="AF472" i="1"/>
  <c r="AE472" i="1"/>
  <c r="AD472" i="1"/>
  <c r="AC472" i="1"/>
  <c r="AB472" i="1"/>
  <c r="AA472" i="1"/>
  <c r="AI471" i="1"/>
  <c r="AJ471" i="1" s="1"/>
  <c r="AG471" i="1"/>
  <c r="AH471" i="1" s="1"/>
  <c r="AF471" i="1"/>
  <c r="AE471" i="1"/>
  <c r="AD471" i="1"/>
  <c r="AC471" i="1"/>
  <c r="AB471" i="1"/>
  <c r="AA471" i="1"/>
  <c r="AI470" i="1"/>
  <c r="AJ470" i="1" s="1"/>
  <c r="AH470" i="1"/>
  <c r="AG470" i="1"/>
  <c r="AF470" i="1"/>
  <c r="AE470" i="1"/>
  <c r="AD470" i="1"/>
  <c r="AC470" i="1"/>
  <c r="AB470" i="1"/>
  <c r="AA470" i="1"/>
  <c r="AJ469" i="1"/>
  <c r="AI469" i="1"/>
  <c r="AG469" i="1"/>
  <c r="AH469" i="1" s="1"/>
  <c r="AF469" i="1"/>
  <c r="AE469" i="1"/>
  <c r="AD469" i="1"/>
  <c r="AC469" i="1"/>
  <c r="AB469" i="1"/>
  <c r="AA469" i="1"/>
  <c r="AI468" i="1"/>
  <c r="AJ468" i="1" s="1"/>
  <c r="AG468" i="1"/>
  <c r="AH468" i="1" s="1"/>
  <c r="AF468" i="1"/>
  <c r="AE468" i="1"/>
  <c r="AD468" i="1"/>
  <c r="AC468" i="1"/>
  <c r="AB468" i="1"/>
  <c r="AA468" i="1"/>
  <c r="AI467" i="1"/>
  <c r="AJ467" i="1" s="1"/>
  <c r="AG467" i="1"/>
  <c r="AH467" i="1" s="1"/>
  <c r="AF467" i="1"/>
  <c r="AE467" i="1"/>
  <c r="AD467" i="1"/>
  <c r="AC467" i="1"/>
  <c r="AB467" i="1"/>
  <c r="AA467" i="1"/>
  <c r="AI466" i="1"/>
  <c r="AJ466" i="1" s="1"/>
  <c r="AH466" i="1"/>
  <c r="AG466" i="1"/>
  <c r="AF466" i="1"/>
  <c r="AE466" i="1"/>
  <c r="AD466" i="1"/>
  <c r="AC466" i="1"/>
  <c r="AB466" i="1"/>
  <c r="AA466" i="1"/>
  <c r="AJ465" i="1"/>
  <c r="AI465" i="1"/>
  <c r="AG465" i="1"/>
  <c r="AH465" i="1" s="1"/>
  <c r="AF465" i="1"/>
  <c r="AE465" i="1"/>
  <c r="AD465" i="1"/>
  <c r="AC465" i="1"/>
  <c r="AB465" i="1"/>
  <c r="AA465" i="1"/>
  <c r="AI464" i="1"/>
  <c r="AJ464" i="1" s="1"/>
  <c r="AG464" i="1"/>
  <c r="AH464" i="1" s="1"/>
  <c r="AF464" i="1"/>
  <c r="AE464" i="1"/>
  <c r="AD464" i="1"/>
  <c r="AC464" i="1"/>
  <c r="AB464" i="1"/>
  <c r="AA464" i="1"/>
  <c r="AI463" i="1"/>
  <c r="AJ463" i="1" s="1"/>
  <c r="AG463" i="1"/>
  <c r="AH463" i="1" s="1"/>
  <c r="AF463" i="1"/>
  <c r="AE463" i="1"/>
  <c r="AD463" i="1"/>
  <c r="AC463" i="1"/>
  <c r="AB463" i="1"/>
  <c r="AA463" i="1"/>
  <c r="AI462" i="1"/>
  <c r="AJ462" i="1" s="1"/>
  <c r="AG462" i="1"/>
  <c r="AH462" i="1" s="1"/>
  <c r="AF462" i="1"/>
  <c r="AE462" i="1"/>
  <c r="AD462" i="1"/>
  <c r="AC462" i="1"/>
  <c r="AB462" i="1"/>
  <c r="AA462" i="1"/>
  <c r="O462" i="1"/>
  <c r="AI461" i="1"/>
  <c r="AJ461" i="1" s="1"/>
  <c r="AG461" i="1"/>
  <c r="AH461" i="1" s="1"/>
  <c r="AF461" i="1"/>
  <c r="AE461" i="1"/>
  <c r="AD461" i="1"/>
  <c r="AC461" i="1"/>
  <c r="AB461" i="1"/>
  <c r="AA461" i="1"/>
  <c r="AI460" i="1"/>
  <c r="AJ460" i="1" s="1"/>
  <c r="AG460" i="1"/>
  <c r="AH460" i="1" s="1"/>
  <c r="AF460" i="1"/>
  <c r="AE460" i="1"/>
  <c r="AD460" i="1"/>
  <c r="AC460" i="1"/>
  <c r="AB460" i="1"/>
  <c r="AA460" i="1"/>
  <c r="AI459" i="1"/>
  <c r="AJ459" i="1" s="1"/>
  <c r="AG459" i="1"/>
  <c r="AH459" i="1" s="1"/>
  <c r="AF459" i="1"/>
  <c r="AE459" i="1"/>
  <c r="AD459" i="1"/>
  <c r="AC459" i="1"/>
  <c r="AB459" i="1"/>
  <c r="AA459" i="1"/>
  <c r="O459" i="1"/>
  <c r="AI458" i="1"/>
  <c r="AJ458" i="1" s="1"/>
  <c r="AG458" i="1"/>
  <c r="AH458" i="1" s="1"/>
  <c r="AF458" i="1"/>
  <c r="AE458" i="1"/>
  <c r="AD458" i="1"/>
  <c r="AC458" i="1"/>
  <c r="AB458" i="1"/>
  <c r="AA458" i="1"/>
  <c r="AI457" i="1"/>
  <c r="AJ457" i="1" s="1"/>
  <c r="AG457" i="1"/>
  <c r="AH457" i="1" s="1"/>
  <c r="AF457" i="1"/>
  <c r="AE457" i="1"/>
  <c r="AD457" i="1"/>
  <c r="AC457" i="1"/>
  <c r="AB457" i="1"/>
  <c r="AA457" i="1"/>
  <c r="AI456" i="1"/>
  <c r="AJ456" i="1" s="1"/>
  <c r="AG456" i="1"/>
  <c r="AH456" i="1" s="1"/>
  <c r="AF456" i="1"/>
  <c r="AE456" i="1"/>
  <c r="AD456" i="1"/>
  <c r="AC456" i="1"/>
  <c r="AB456" i="1"/>
  <c r="AA456" i="1"/>
  <c r="O456" i="1"/>
  <c r="AJ455" i="1"/>
  <c r="AI455" i="1"/>
  <c r="AG455" i="1"/>
  <c r="AH455" i="1" s="1"/>
  <c r="AF455" i="1"/>
  <c r="AE455" i="1"/>
  <c r="AD455" i="1"/>
  <c r="AC455" i="1"/>
  <c r="AB455" i="1"/>
  <c r="AA455" i="1"/>
  <c r="AI454" i="1"/>
  <c r="AJ454" i="1" s="1"/>
  <c r="AG454" i="1"/>
  <c r="AH454" i="1" s="1"/>
  <c r="AF454" i="1"/>
  <c r="AE454" i="1"/>
  <c r="AD454" i="1"/>
  <c r="AC454" i="1"/>
  <c r="AB454" i="1"/>
  <c r="AA454" i="1"/>
  <c r="AI453" i="1"/>
  <c r="AJ453" i="1" s="1"/>
  <c r="AG453" i="1"/>
  <c r="AH453" i="1" s="1"/>
  <c r="AF453" i="1"/>
  <c r="AE453" i="1"/>
  <c r="AD453" i="1"/>
  <c r="AC453" i="1"/>
  <c r="AB453" i="1"/>
  <c r="AA453" i="1"/>
  <c r="O453" i="1"/>
  <c r="AI452" i="1"/>
  <c r="AJ452" i="1" s="1"/>
  <c r="AG452" i="1"/>
  <c r="AH452" i="1" s="1"/>
  <c r="AF452" i="1"/>
  <c r="AE452" i="1"/>
  <c r="AD452" i="1"/>
  <c r="AC452" i="1"/>
  <c r="AB452" i="1"/>
  <c r="AA452" i="1"/>
  <c r="AI451" i="1"/>
  <c r="AJ451" i="1" s="1"/>
  <c r="AG451" i="1"/>
  <c r="AH451" i="1" s="1"/>
  <c r="AF451" i="1"/>
  <c r="AE451" i="1"/>
  <c r="AD451" i="1"/>
  <c r="AC451" i="1"/>
  <c r="AB451" i="1"/>
  <c r="AA451" i="1"/>
  <c r="J451" i="1"/>
  <c r="AI450" i="1"/>
  <c r="AJ450" i="1" s="1"/>
  <c r="AG450" i="1"/>
  <c r="AH450" i="1" s="1"/>
  <c r="AF450" i="1"/>
  <c r="AE450" i="1"/>
  <c r="AD450" i="1"/>
  <c r="AC450" i="1"/>
  <c r="AB450" i="1"/>
  <c r="AA450" i="1"/>
  <c r="O450" i="1"/>
  <c r="AI449" i="1"/>
  <c r="AJ449" i="1" s="1"/>
  <c r="AG449" i="1"/>
  <c r="AH449" i="1" s="1"/>
  <c r="AF449" i="1"/>
  <c r="AE449" i="1"/>
  <c r="AD449" i="1"/>
  <c r="AC449" i="1"/>
  <c r="AB449" i="1"/>
  <c r="AA449" i="1"/>
  <c r="O449" i="1"/>
  <c r="AI448" i="1"/>
  <c r="AJ448" i="1" s="1"/>
  <c r="AG448" i="1"/>
  <c r="AH448" i="1" s="1"/>
  <c r="AF448" i="1"/>
  <c r="AE448" i="1"/>
  <c r="AD448" i="1"/>
  <c r="AC448" i="1"/>
  <c r="AB448" i="1"/>
  <c r="AA448" i="1"/>
  <c r="O448" i="1"/>
  <c r="J448" i="1"/>
  <c r="AI447" i="1"/>
  <c r="AJ447" i="1" s="1"/>
  <c r="AG447" i="1"/>
  <c r="AH447" i="1" s="1"/>
  <c r="AF447" i="1"/>
  <c r="AE447" i="1"/>
  <c r="AD447" i="1"/>
  <c r="AC447" i="1"/>
  <c r="AB447" i="1"/>
  <c r="AA447" i="1"/>
  <c r="O447" i="1"/>
  <c r="AI446" i="1"/>
  <c r="AJ446" i="1" s="1"/>
  <c r="AG446" i="1"/>
  <c r="AH446" i="1" s="1"/>
  <c r="AF446" i="1"/>
  <c r="AE446" i="1"/>
  <c r="AD446" i="1"/>
  <c r="AC446" i="1"/>
  <c r="AB446" i="1"/>
  <c r="AA446" i="1"/>
  <c r="O446" i="1"/>
  <c r="AI445" i="1"/>
  <c r="AJ445" i="1" s="1"/>
  <c r="AG445" i="1"/>
  <c r="AH445" i="1" s="1"/>
  <c r="AF445" i="1"/>
  <c r="AE445" i="1"/>
  <c r="AD445" i="1"/>
  <c r="AC445" i="1"/>
  <c r="AB445" i="1"/>
  <c r="AA445" i="1"/>
  <c r="O445" i="1"/>
  <c r="AI444" i="1"/>
  <c r="AJ444" i="1" s="1"/>
  <c r="AG444" i="1"/>
  <c r="AH444" i="1" s="1"/>
  <c r="AF444" i="1"/>
  <c r="AE444" i="1"/>
  <c r="AD444" i="1"/>
  <c r="AC444" i="1"/>
  <c r="AB444" i="1"/>
  <c r="AA444" i="1"/>
  <c r="AI443" i="1"/>
  <c r="AJ443" i="1" s="1"/>
  <c r="AG443" i="1"/>
  <c r="AH443" i="1" s="1"/>
  <c r="AF443" i="1"/>
  <c r="AE443" i="1"/>
  <c r="AD443" i="1"/>
  <c r="AC443" i="1"/>
  <c r="AB443" i="1"/>
  <c r="AA443" i="1"/>
  <c r="O443" i="1"/>
  <c r="AI442" i="1"/>
  <c r="AJ442" i="1" s="1"/>
  <c r="AG442" i="1"/>
  <c r="AH442" i="1" s="1"/>
  <c r="AF442" i="1"/>
  <c r="AE442" i="1"/>
  <c r="AD442" i="1"/>
  <c r="AC442" i="1"/>
  <c r="AB442" i="1"/>
  <c r="AA442" i="1"/>
  <c r="AI441" i="1"/>
  <c r="AJ441" i="1" s="1"/>
  <c r="AG441" i="1"/>
  <c r="AH441" i="1" s="1"/>
  <c r="AF441" i="1"/>
  <c r="AE441" i="1"/>
  <c r="AD441" i="1"/>
  <c r="AC441" i="1"/>
  <c r="AB441" i="1"/>
  <c r="AA441" i="1"/>
  <c r="O441" i="1"/>
  <c r="AI440" i="1"/>
  <c r="AJ440" i="1" s="1"/>
  <c r="AG440" i="1"/>
  <c r="AH440" i="1" s="1"/>
  <c r="AF440" i="1"/>
  <c r="AE440" i="1"/>
  <c r="AD440" i="1"/>
  <c r="AC440" i="1"/>
  <c r="AB440" i="1"/>
  <c r="AA440" i="1"/>
  <c r="O440" i="1"/>
  <c r="AI439" i="1"/>
  <c r="AJ439" i="1" s="1"/>
  <c r="AG439" i="1"/>
  <c r="AH439" i="1" s="1"/>
  <c r="AF439" i="1"/>
  <c r="AE439" i="1"/>
  <c r="AD439" i="1"/>
  <c r="AC439" i="1"/>
  <c r="AB439" i="1"/>
  <c r="AA439" i="1"/>
  <c r="O439" i="1"/>
  <c r="AI438" i="1"/>
  <c r="AJ438" i="1" s="1"/>
  <c r="AG438" i="1"/>
  <c r="AH438" i="1" s="1"/>
  <c r="AF438" i="1"/>
  <c r="AE438" i="1"/>
  <c r="AD438" i="1"/>
  <c r="AC438" i="1"/>
  <c r="AB438" i="1"/>
  <c r="AA438" i="1"/>
  <c r="AI437" i="1"/>
  <c r="AJ437" i="1" s="1"/>
  <c r="AG437" i="1"/>
  <c r="AH437" i="1" s="1"/>
  <c r="AF437" i="1"/>
  <c r="AE437" i="1"/>
  <c r="AD437" i="1"/>
  <c r="AC437" i="1"/>
  <c r="AB437" i="1"/>
  <c r="AA437" i="1"/>
  <c r="O437" i="1"/>
  <c r="AI436" i="1"/>
  <c r="AJ436" i="1" s="1"/>
  <c r="AG436" i="1"/>
  <c r="AH436" i="1" s="1"/>
  <c r="AF436" i="1"/>
  <c r="AE436" i="1"/>
  <c r="AD436" i="1"/>
  <c r="AC436" i="1"/>
  <c r="AB436" i="1"/>
  <c r="AA436" i="1"/>
  <c r="O436" i="1"/>
  <c r="AI435" i="1"/>
  <c r="AJ435" i="1" s="1"/>
  <c r="AG435" i="1"/>
  <c r="AH435" i="1" s="1"/>
  <c r="AF435" i="1"/>
  <c r="AE435" i="1"/>
  <c r="AD435" i="1"/>
  <c r="AC435" i="1"/>
  <c r="AB435" i="1"/>
  <c r="AA435" i="1"/>
  <c r="AI434" i="1"/>
  <c r="AJ434" i="1" s="1"/>
  <c r="AG434" i="1"/>
  <c r="AH434" i="1" s="1"/>
  <c r="AF434" i="1"/>
  <c r="AE434" i="1"/>
  <c r="AD434" i="1"/>
  <c r="AC434" i="1"/>
  <c r="AB434" i="1"/>
  <c r="AA434" i="1"/>
  <c r="O434" i="1"/>
  <c r="AI433" i="1"/>
  <c r="AJ433" i="1" s="1"/>
  <c r="AG433" i="1"/>
  <c r="AH433" i="1" s="1"/>
  <c r="AF433" i="1"/>
  <c r="AE433" i="1"/>
  <c r="AD433" i="1"/>
  <c r="AC433" i="1"/>
  <c r="AB433" i="1"/>
  <c r="AA433" i="1"/>
  <c r="O433" i="1"/>
  <c r="AI432" i="1"/>
  <c r="AJ432" i="1" s="1"/>
  <c r="AG432" i="1"/>
  <c r="AH432" i="1" s="1"/>
  <c r="AF432" i="1"/>
  <c r="AE432" i="1"/>
  <c r="AD432" i="1"/>
  <c r="AC432" i="1"/>
  <c r="AB432" i="1"/>
  <c r="AA432" i="1"/>
  <c r="O432" i="1"/>
  <c r="AI431" i="1"/>
  <c r="AJ431" i="1" s="1"/>
  <c r="AG431" i="1"/>
  <c r="AH431" i="1" s="1"/>
  <c r="AF431" i="1"/>
  <c r="AE431" i="1"/>
  <c r="AD431" i="1"/>
  <c r="AC431" i="1"/>
  <c r="AB431" i="1"/>
  <c r="AA431" i="1"/>
  <c r="O431" i="1"/>
  <c r="AI430" i="1"/>
  <c r="AJ430" i="1" s="1"/>
  <c r="AG430" i="1"/>
  <c r="AH430" i="1" s="1"/>
  <c r="AF430" i="1"/>
  <c r="AE430" i="1"/>
  <c r="AD430" i="1"/>
  <c r="AC430" i="1"/>
  <c r="AB430" i="1"/>
  <c r="AA430" i="1"/>
  <c r="O430" i="1"/>
  <c r="AI429" i="1"/>
  <c r="AJ429" i="1" s="1"/>
  <c r="AG429" i="1"/>
  <c r="AH429" i="1" s="1"/>
  <c r="AF429" i="1"/>
  <c r="AE429" i="1"/>
  <c r="AD429" i="1"/>
  <c r="AC429" i="1"/>
  <c r="AB429" i="1"/>
  <c r="AA429" i="1"/>
  <c r="O429" i="1"/>
  <c r="L429" i="1"/>
  <c r="AI428" i="1"/>
  <c r="AJ428" i="1" s="1"/>
  <c r="AG428" i="1"/>
  <c r="AH428" i="1" s="1"/>
  <c r="AF428" i="1"/>
  <c r="AE428" i="1"/>
  <c r="AD428" i="1"/>
  <c r="AC428" i="1"/>
  <c r="AB428" i="1"/>
  <c r="AA428" i="1"/>
  <c r="AI427" i="1"/>
  <c r="AJ427" i="1" s="1"/>
  <c r="AG427" i="1"/>
  <c r="AH427" i="1" s="1"/>
  <c r="AF427" i="1"/>
  <c r="AE427" i="1"/>
  <c r="AD427" i="1"/>
  <c r="AC427" i="1"/>
  <c r="AB427" i="1"/>
  <c r="AA427" i="1"/>
  <c r="AI426" i="1"/>
  <c r="AJ426" i="1" s="1"/>
  <c r="AG426" i="1"/>
  <c r="AH426" i="1" s="1"/>
  <c r="AF426" i="1"/>
  <c r="AE426" i="1"/>
  <c r="AD426" i="1"/>
  <c r="AC426" i="1"/>
  <c r="AB426" i="1"/>
  <c r="AA426" i="1"/>
  <c r="O426" i="1"/>
  <c r="AI425" i="1"/>
  <c r="AJ425" i="1" s="1"/>
  <c r="AG425" i="1"/>
  <c r="AH425" i="1" s="1"/>
  <c r="AF425" i="1"/>
  <c r="AE425" i="1"/>
  <c r="AD425" i="1"/>
  <c r="AC425" i="1"/>
  <c r="AB425" i="1"/>
  <c r="AA425" i="1"/>
  <c r="AI424" i="1"/>
  <c r="AJ424" i="1" s="1"/>
  <c r="AG424" i="1"/>
  <c r="AH424" i="1" s="1"/>
  <c r="AF424" i="1"/>
  <c r="AE424" i="1"/>
  <c r="AD424" i="1"/>
  <c r="AC424" i="1"/>
  <c r="AB424" i="1"/>
  <c r="AA424" i="1"/>
  <c r="O424" i="1"/>
  <c r="AI423" i="1"/>
  <c r="AJ423" i="1" s="1"/>
  <c r="AG423" i="1"/>
  <c r="AH423" i="1" s="1"/>
  <c r="AF423" i="1"/>
  <c r="AE423" i="1"/>
  <c r="AD423" i="1"/>
  <c r="AC423" i="1"/>
  <c r="AB423" i="1"/>
  <c r="AA423" i="1"/>
  <c r="O423" i="1"/>
  <c r="AI422" i="1"/>
  <c r="AJ422" i="1" s="1"/>
  <c r="AG422" i="1"/>
  <c r="AH422" i="1" s="1"/>
  <c r="AF422" i="1"/>
  <c r="AE422" i="1"/>
  <c r="AD422" i="1"/>
  <c r="AC422" i="1"/>
  <c r="AB422" i="1"/>
  <c r="AA422" i="1"/>
  <c r="AI421" i="1"/>
  <c r="AJ421" i="1" s="1"/>
  <c r="AG421" i="1"/>
  <c r="AH421" i="1" s="1"/>
  <c r="AF421" i="1"/>
  <c r="AE421" i="1"/>
  <c r="AD421" i="1"/>
  <c r="AC421" i="1"/>
  <c r="AB421" i="1"/>
  <c r="AA421" i="1"/>
  <c r="O421" i="1"/>
  <c r="AI420" i="1"/>
  <c r="AJ420" i="1" s="1"/>
  <c r="AG420" i="1"/>
  <c r="AH420" i="1" s="1"/>
  <c r="AF420" i="1"/>
  <c r="AE420" i="1"/>
  <c r="AD420" i="1"/>
  <c r="AC420" i="1"/>
  <c r="AB420" i="1"/>
  <c r="AA420" i="1"/>
  <c r="AI419" i="1"/>
  <c r="AJ419" i="1" s="1"/>
  <c r="AG419" i="1"/>
  <c r="AH419" i="1" s="1"/>
  <c r="AF419" i="1"/>
  <c r="AE419" i="1"/>
  <c r="AD419" i="1"/>
  <c r="AC419" i="1"/>
  <c r="AB419" i="1"/>
  <c r="AA419" i="1"/>
  <c r="O419" i="1"/>
  <c r="AI418" i="1"/>
  <c r="AJ418" i="1" s="1"/>
  <c r="AG418" i="1"/>
  <c r="AH418" i="1" s="1"/>
  <c r="AF418" i="1"/>
  <c r="AE418" i="1"/>
  <c r="AD418" i="1"/>
  <c r="AC418" i="1"/>
  <c r="AB418" i="1"/>
  <c r="AA418" i="1"/>
  <c r="O418" i="1"/>
  <c r="AI417" i="1"/>
  <c r="AJ417" i="1" s="1"/>
  <c r="AG417" i="1"/>
  <c r="AH417" i="1" s="1"/>
  <c r="AF417" i="1"/>
  <c r="AE417" i="1"/>
  <c r="AD417" i="1"/>
  <c r="AC417" i="1"/>
  <c r="AB417" i="1"/>
  <c r="AA417" i="1"/>
  <c r="AI416" i="1"/>
  <c r="AJ416" i="1" s="1"/>
  <c r="AG416" i="1"/>
  <c r="AH416" i="1" s="1"/>
  <c r="AF416" i="1"/>
  <c r="AE416" i="1"/>
  <c r="AD416" i="1"/>
  <c r="AC416" i="1"/>
  <c r="AB416" i="1"/>
  <c r="AA416" i="1"/>
  <c r="O416" i="1"/>
  <c r="AI415" i="1"/>
  <c r="AJ415" i="1" s="1"/>
  <c r="AG415" i="1"/>
  <c r="AH415" i="1" s="1"/>
  <c r="AF415" i="1"/>
  <c r="AE415" i="1"/>
  <c r="AD415" i="1"/>
  <c r="AC415" i="1"/>
  <c r="AB415" i="1"/>
  <c r="AA415" i="1"/>
  <c r="AI414" i="1"/>
  <c r="AJ414" i="1" s="1"/>
  <c r="AG414" i="1"/>
  <c r="AH414" i="1" s="1"/>
  <c r="AF414" i="1"/>
  <c r="AE414" i="1"/>
  <c r="AD414" i="1"/>
  <c r="AC414" i="1"/>
  <c r="AB414" i="1"/>
  <c r="AA414" i="1"/>
  <c r="O414" i="1"/>
  <c r="AI413" i="1"/>
  <c r="AJ413" i="1" s="1"/>
  <c r="AG413" i="1"/>
  <c r="AH413" i="1" s="1"/>
  <c r="AF413" i="1"/>
  <c r="AE413" i="1"/>
  <c r="AD413" i="1"/>
  <c r="AC413" i="1"/>
  <c r="AB413" i="1"/>
  <c r="AA413" i="1"/>
  <c r="O413" i="1"/>
  <c r="AI412" i="1"/>
  <c r="AJ412" i="1" s="1"/>
  <c r="AG412" i="1"/>
  <c r="AH412" i="1" s="1"/>
  <c r="AF412" i="1"/>
  <c r="AE412" i="1"/>
  <c r="AD412" i="1"/>
  <c r="AC412" i="1"/>
  <c r="AB412" i="1"/>
  <c r="AA412" i="1"/>
  <c r="O412" i="1"/>
  <c r="AI411" i="1"/>
  <c r="AJ411" i="1" s="1"/>
  <c r="AG411" i="1"/>
  <c r="AH411" i="1" s="1"/>
  <c r="AF411" i="1"/>
  <c r="AE411" i="1"/>
  <c r="AD411" i="1"/>
  <c r="AC411" i="1"/>
  <c r="AB411" i="1"/>
  <c r="AA411" i="1"/>
  <c r="O411" i="1"/>
  <c r="AI410" i="1"/>
  <c r="AJ410" i="1" s="1"/>
  <c r="AG410" i="1"/>
  <c r="AH410" i="1" s="1"/>
  <c r="AF410" i="1"/>
  <c r="AE410" i="1"/>
  <c r="AD410" i="1"/>
  <c r="AC410" i="1"/>
  <c r="AB410" i="1"/>
  <c r="AA410" i="1"/>
  <c r="AI409" i="1"/>
  <c r="AJ409" i="1" s="1"/>
  <c r="AG409" i="1"/>
  <c r="AH409" i="1" s="1"/>
  <c r="AF409" i="1"/>
  <c r="AE409" i="1"/>
  <c r="AD409" i="1"/>
  <c r="AC409" i="1"/>
  <c r="AB409" i="1"/>
  <c r="AA409" i="1"/>
  <c r="O409" i="1"/>
  <c r="AI408" i="1"/>
  <c r="AJ408" i="1" s="1"/>
  <c r="AG408" i="1"/>
  <c r="AH408" i="1" s="1"/>
  <c r="AF408" i="1"/>
  <c r="AE408" i="1"/>
  <c r="AD408" i="1"/>
  <c r="AC408" i="1"/>
  <c r="AB408" i="1"/>
  <c r="AA408" i="1"/>
  <c r="O408" i="1"/>
  <c r="AI407" i="1"/>
  <c r="AJ407" i="1" s="1"/>
  <c r="AG407" i="1"/>
  <c r="AH407" i="1" s="1"/>
  <c r="AF407" i="1"/>
  <c r="AE407" i="1"/>
  <c r="AD407" i="1"/>
  <c r="AC407" i="1"/>
  <c r="AB407" i="1"/>
  <c r="AA407" i="1"/>
  <c r="O407" i="1"/>
  <c r="AI406" i="1"/>
  <c r="AJ406" i="1" s="1"/>
  <c r="AG406" i="1"/>
  <c r="AH406" i="1" s="1"/>
  <c r="AF406" i="1"/>
  <c r="AE406" i="1"/>
  <c r="AD406" i="1"/>
  <c r="AC406" i="1"/>
  <c r="AB406" i="1"/>
  <c r="AA406" i="1"/>
  <c r="O406" i="1"/>
  <c r="AI405" i="1"/>
  <c r="AJ405" i="1" s="1"/>
  <c r="AG405" i="1"/>
  <c r="AH405" i="1" s="1"/>
  <c r="AF405" i="1"/>
  <c r="AE405" i="1"/>
  <c r="AD405" i="1"/>
  <c r="AC405" i="1"/>
  <c r="AB405" i="1"/>
  <c r="AA405" i="1"/>
  <c r="O405" i="1"/>
  <c r="AI404" i="1"/>
  <c r="AJ404" i="1" s="1"/>
  <c r="AG404" i="1"/>
  <c r="AH404" i="1" s="1"/>
  <c r="AF404" i="1"/>
  <c r="AE404" i="1"/>
  <c r="AD404" i="1"/>
  <c r="AC404" i="1"/>
  <c r="AB404" i="1"/>
  <c r="AA404" i="1"/>
  <c r="O404" i="1"/>
  <c r="AI403" i="1"/>
  <c r="AJ403" i="1" s="1"/>
  <c r="AG403" i="1"/>
  <c r="AH403" i="1" s="1"/>
  <c r="AF403" i="1"/>
  <c r="AE403" i="1"/>
  <c r="AD403" i="1"/>
  <c r="AC403" i="1"/>
  <c r="AB403" i="1"/>
  <c r="AA403" i="1"/>
  <c r="O403" i="1"/>
  <c r="AI402" i="1"/>
  <c r="AJ402" i="1" s="1"/>
  <c r="AG402" i="1"/>
  <c r="AH402" i="1" s="1"/>
  <c r="AF402" i="1"/>
  <c r="AE402" i="1"/>
  <c r="AD402" i="1"/>
  <c r="AC402" i="1"/>
  <c r="AB402" i="1"/>
  <c r="AA402" i="1"/>
  <c r="O402" i="1"/>
  <c r="AI401" i="1"/>
  <c r="AJ401" i="1" s="1"/>
  <c r="AG401" i="1"/>
  <c r="AH401" i="1" s="1"/>
  <c r="AF401" i="1"/>
  <c r="AE401" i="1"/>
  <c r="AD401" i="1"/>
  <c r="AC401" i="1"/>
  <c r="AB401" i="1"/>
  <c r="AA401" i="1"/>
  <c r="O401" i="1"/>
  <c r="AI400" i="1"/>
  <c r="AJ400" i="1" s="1"/>
  <c r="AG400" i="1"/>
  <c r="AH400" i="1" s="1"/>
  <c r="AF400" i="1"/>
  <c r="AE400" i="1"/>
  <c r="AD400" i="1"/>
  <c r="AC400" i="1"/>
  <c r="AB400" i="1"/>
  <c r="AA400" i="1"/>
  <c r="O400" i="1"/>
  <c r="AI399" i="1"/>
  <c r="AJ399" i="1" s="1"/>
  <c r="AG399" i="1"/>
  <c r="AH399" i="1" s="1"/>
  <c r="AF399" i="1"/>
  <c r="AE399" i="1"/>
  <c r="AD399" i="1"/>
  <c r="AC399" i="1"/>
  <c r="AB399" i="1"/>
  <c r="AA399" i="1"/>
  <c r="O399" i="1"/>
  <c r="AI398" i="1"/>
  <c r="AJ398" i="1" s="1"/>
  <c r="AG398" i="1"/>
  <c r="AH398" i="1" s="1"/>
  <c r="AF398" i="1"/>
  <c r="AE398" i="1"/>
  <c r="AD398" i="1"/>
  <c r="AC398" i="1"/>
  <c r="AB398" i="1"/>
  <c r="AA398" i="1"/>
  <c r="AI397" i="1"/>
  <c r="AJ397" i="1" s="1"/>
  <c r="AG397" i="1"/>
  <c r="AH397" i="1" s="1"/>
  <c r="AF397" i="1"/>
  <c r="AE397" i="1"/>
  <c r="AD397" i="1"/>
  <c r="AC397" i="1"/>
  <c r="AB397" i="1"/>
  <c r="AA397" i="1"/>
  <c r="O397" i="1"/>
  <c r="AI396" i="1"/>
  <c r="AJ396" i="1" s="1"/>
  <c r="AG396" i="1"/>
  <c r="AH396" i="1" s="1"/>
  <c r="AF396" i="1"/>
  <c r="AE396" i="1"/>
  <c r="AD396" i="1"/>
  <c r="AC396" i="1"/>
  <c r="AB396" i="1"/>
  <c r="AA396" i="1"/>
  <c r="AI395" i="1"/>
  <c r="AJ395" i="1" s="1"/>
  <c r="AG395" i="1"/>
  <c r="AH395" i="1" s="1"/>
  <c r="AF395" i="1"/>
  <c r="AE395" i="1"/>
  <c r="AD395" i="1"/>
  <c r="AC395" i="1"/>
  <c r="AB395" i="1"/>
  <c r="AA395" i="1"/>
  <c r="AI394" i="1"/>
  <c r="AJ394" i="1" s="1"/>
  <c r="AG394" i="1"/>
  <c r="AH394" i="1" s="1"/>
  <c r="AF394" i="1"/>
  <c r="AE394" i="1"/>
  <c r="AD394" i="1"/>
  <c r="AC394" i="1"/>
  <c r="AB394" i="1"/>
  <c r="AA394" i="1"/>
  <c r="AI393" i="1"/>
  <c r="AJ393" i="1" s="1"/>
  <c r="AG393" i="1"/>
  <c r="AH393" i="1" s="1"/>
  <c r="AF393" i="1"/>
  <c r="AE393" i="1"/>
  <c r="AD393" i="1"/>
  <c r="AC393" i="1"/>
  <c r="AB393" i="1"/>
  <c r="AA393" i="1"/>
  <c r="O393" i="1"/>
  <c r="AI392" i="1"/>
  <c r="AJ392" i="1" s="1"/>
  <c r="AG392" i="1"/>
  <c r="AH392" i="1" s="1"/>
  <c r="AF392" i="1"/>
  <c r="AE392" i="1"/>
  <c r="AD392" i="1"/>
  <c r="AC392" i="1"/>
  <c r="AB392" i="1"/>
  <c r="AA392" i="1"/>
  <c r="AI391" i="1"/>
  <c r="AJ391" i="1" s="1"/>
  <c r="AG391" i="1"/>
  <c r="AH391" i="1" s="1"/>
  <c r="AF391" i="1"/>
  <c r="AE391" i="1"/>
  <c r="AD391" i="1"/>
  <c r="AC391" i="1"/>
  <c r="AB391" i="1"/>
  <c r="AA391" i="1"/>
  <c r="O391" i="1"/>
  <c r="AI390" i="1"/>
  <c r="AJ390" i="1" s="1"/>
  <c r="AG390" i="1"/>
  <c r="AH390" i="1" s="1"/>
  <c r="AF390" i="1"/>
  <c r="AE390" i="1"/>
  <c r="AD390" i="1"/>
  <c r="AC390" i="1"/>
  <c r="AB390" i="1"/>
  <c r="AA390" i="1"/>
  <c r="O390" i="1"/>
  <c r="AI389" i="1"/>
  <c r="AJ389" i="1" s="1"/>
  <c r="AG389" i="1"/>
  <c r="AH389" i="1" s="1"/>
  <c r="AF389" i="1"/>
  <c r="AE389" i="1"/>
  <c r="AD389" i="1"/>
  <c r="AC389" i="1"/>
  <c r="AB389" i="1"/>
  <c r="AA389" i="1"/>
  <c r="O389" i="1"/>
  <c r="AI388" i="1"/>
  <c r="AJ388" i="1" s="1"/>
  <c r="AG388" i="1"/>
  <c r="AH388" i="1" s="1"/>
  <c r="AF388" i="1"/>
  <c r="AE388" i="1"/>
  <c r="AD388" i="1"/>
  <c r="AC388" i="1"/>
  <c r="AB388" i="1"/>
  <c r="AA388" i="1"/>
  <c r="O388" i="1"/>
  <c r="AI387" i="1"/>
  <c r="AJ387" i="1" s="1"/>
  <c r="AG387" i="1"/>
  <c r="AH387" i="1" s="1"/>
  <c r="AF387" i="1"/>
  <c r="AE387" i="1"/>
  <c r="AD387" i="1"/>
  <c r="AC387" i="1"/>
  <c r="AB387" i="1"/>
  <c r="AA387" i="1"/>
  <c r="O387" i="1"/>
  <c r="AI386" i="1"/>
  <c r="AJ386" i="1" s="1"/>
  <c r="AG386" i="1"/>
  <c r="AH386" i="1" s="1"/>
  <c r="AF386" i="1"/>
  <c r="AE386" i="1"/>
  <c r="AD386" i="1"/>
  <c r="AC386" i="1"/>
  <c r="AB386" i="1"/>
  <c r="AA386" i="1"/>
  <c r="AI385" i="1"/>
  <c r="AJ385" i="1" s="1"/>
  <c r="AG385" i="1"/>
  <c r="AH385" i="1" s="1"/>
  <c r="AF385" i="1"/>
  <c r="AE385" i="1"/>
  <c r="AD385" i="1"/>
  <c r="AC385" i="1"/>
  <c r="AB385" i="1"/>
  <c r="AA385" i="1"/>
  <c r="AI384" i="1"/>
  <c r="AJ384" i="1" s="1"/>
  <c r="AG384" i="1"/>
  <c r="AH384" i="1" s="1"/>
  <c r="AF384" i="1"/>
  <c r="AE384" i="1"/>
  <c r="AD384" i="1"/>
  <c r="AC384" i="1"/>
  <c r="AB384" i="1"/>
  <c r="AA384" i="1"/>
  <c r="O384" i="1"/>
  <c r="AI383" i="1"/>
  <c r="AJ383" i="1" s="1"/>
  <c r="AG383" i="1"/>
  <c r="AH383" i="1" s="1"/>
  <c r="AF383" i="1"/>
  <c r="AE383" i="1"/>
  <c r="AD383" i="1"/>
  <c r="AC383" i="1"/>
  <c r="AB383" i="1"/>
  <c r="AA383" i="1"/>
  <c r="AI382" i="1"/>
  <c r="AJ382" i="1" s="1"/>
  <c r="AG382" i="1"/>
  <c r="AH382" i="1" s="1"/>
  <c r="AF382" i="1"/>
  <c r="AE382" i="1"/>
  <c r="AD382" i="1"/>
  <c r="AC382" i="1"/>
  <c r="AB382" i="1"/>
  <c r="AA382" i="1"/>
  <c r="AI381" i="1"/>
  <c r="AJ381" i="1" s="1"/>
  <c r="AG381" i="1"/>
  <c r="AH381" i="1" s="1"/>
  <c r="AF381" i="1"/>
  <c r="AE381" i="1"/>
  <c r="AD381" i="1"/>
  <c r="AC381" i="1"/>
  <c r="AB381" i="1"/>
  <c r="AA381" i="1"/>
  <c r="O381" i="1"/>
  <c r="AI380" i="1"/>
  <c r="AJ380" i="1" s="1"/>
  <c r="AG380" i="1"/>
  <c r="AH380" i="1" s="1"/>
  <c r="AF380" i="1"/>
  <c r="AE380" i="1"/>
  <c r="AD380" i="1"/>
  <c r="AC380" i="1"/>
  <c r="AB380" i="1"/>
  <c r="AA380" i="1"/>
  <c r="O380" i="1"/>
  <c r="AI379" i="1"/>
  <c r="AJ379" i="1" s="1"/>
  <c r="AG379" i="1"/>
  <c r="AH379" i="1" s="1"/>
  <c r="AF379" i="1"/>
  <c r="AE379" i="1"/>
  <c r="AD379" i="1"/>
  <c r="AC379" i="1"/>
  <c r="AB379" i="1"/>
  <c r="AA379" i="1"/>
  <c r="AI378" i="1"/>
  <c r="AJ378" i="1" s="1"/>
  <c r="AG378" i="1"/>
  <c r="AH378" i="1" s="1"/>
  <c r="AF378" i="1"/>
  <c r="AE378" i="1"/>
  <c r="AD378" i="1"/>
  <c r="AC378" i="1"/>
  <c r="AB378" i="1"/>
  <c r="AA378" i="1"/>
  <c r="O378" i="1"/>
  <c r="AI377" i="1"/>
  <c r="AJ377" i="1" s="1"/>
  <c r="AG377" i="1"/>
  <c r="AH377" i="1" s="1"/>
  <c r="AF377" i="1"/>
  <c r="AE377" i="1"/>
  <c r="AD377" i="1"/>
  <c r="AC377" i="1"/>
  <c r="AB377" i="1"/>
  <c r="AA377" i="1"/>
  <c r="AI376" i="1"/>
  <c r="AJ376" i="1" s="1"/>
  <c r="AG376" i="1"/>
  <c r="AH376" i="1" s="1"/>
  <c r="AF376" i="1"/>
  <c r="AE376" i="1"/>
  <c r="AD376" i="1"/>
  <c r="AC376" i="1"/>
  <c r="AB376" i="1"/>
  <c r="AA376" i="1"/>
  <c r="AI375" i="1"/>
  <c r="AJ375" i="1" s="1"/>
  <c r="AG375" i="1"/>
  <c r="AH375" i="1" s="1"/>
  <c r="AF375" i="1"/>
  <c r="AE375" i="1"/>
  <c r="AD375" i="1"/>
  <c r="AC375" i="1"/>
  <c r="AB375" i="1"/>
  <c r="AA375" i="1"/>
  <c r="O375" i="1"/>
  <c r="AI374" i="1"/>
  <c r="AJ374" i="1" s="1"/>
  <c r="AG374" i="1"/>
  <c r="AH374" i="1" s="1"/>
  <c r="AF374" i="1"/>
  <c r="AE374" i="1"/>
  <c r="AD374" i="1"/>
  <c r="AC374" i="1"/>
  <c r="AB374" i="1"/>
  <c r="AA374" i="1"/>
  <c r="O374" i="1"/>
  <c r="AI373" i="1"/>
  <c r="AJ373" i="1" s="1"/>
  <c r="AG373" i="1"/>
  <c r="AH373" i="1" s="1"/>
  <c r="AF373" i="1"/>
  <c r="AE373" i="1"/>
  <c r="AD373" i="1"/>
  <c r="AC373" i="1"/>
  <c r="AB373" i="1"/>
  <c r="AA373" i="1"/>
  <c r="O373" i="1"/>
  <c r="AI372" i="1"/>
  <c r="AJ372" i="1" s="1"/>
  <c r="AG372" i="1"/>
  <c r="AH372" i="1" s="1"/>
  <c r="AF372" i="1"/>
  <c r="AE372" i="1"/>
  <c r="AD372" i="1"/>
  <c r="AC372" i="1"/>
  <c r="AB372" i="1"/>
  <c r="AA372" i="1"/>
  <c r="AI371" i="1"/>
  <c r="AJ371" i="1" s="1"/>
  <c r="AG371" i="1"/>
  <c r="AH371" i="1" s="1"/>
  <c r="AF371" i="1"/>
  <c r="AE371" i="1"/>
  <c r="AD371" i="1"/>
  <c r="AC371" i="1"/>
  <c r="AB371" i="1"/>
  <c r="AA371" i="1"/>
  <c r="AI370" i="1"/>
  <c r="AJ370" i="1" s="1"/>
  <c r="AG370" i="1"/>
  <c r="AH370" i="1" s="1"/>
  <c r="AF370" i="1"/>
  <c r="AE370" i="1"/>
  <c r="AD370" i="1"/>
  <c r="AC370" i="1"/>
  <c r="AB370" i="1"/>
  <c r="AA370" i="1"/>
  <c r="O370" i="1"/>
  <c r="AI369" i="1"/>
  <c r="AJ369" i="1" s="1"/>
  <c r="AG369" i="1"/>
  <c r="AH369" i="1" s="1"/>
  <c r="AF369" i="1"/>
  <c r="AE369" i="1"/>
  <c r="AD369" i="1"/>
  <c r="AC369" i="1"/>
  <c r="AB369" i="1"/>
  <c r="AA369" i="1"/>
  <c r="O369" i="1"/>
  <c r="K369" i="1"/>
  <c r="AI368" i="1"/>
  <c r="AJ368" i="1" s="1"/>
  <c r="AG368" i="1"/>
  <c r="AH368" i="1" s="1"/>
  <c r="AF368" i="1"/>
  <c r="AE368" i="1"/>
  <c r="AD368" i="1"/>
  <c r="AC368" i="1"/>
  <c r="AB368" i="1"/>
  <c r="AA368" i="1"/>
  <c r="O368" i="1"/>
  <c r="AI367" i="1"/>
  <c r="AJ367" i="1" s="1"/>
  <c r="AG367" i="1"/>
  <c r="AH367" i="1" s="1"/>
  <c r="AF367" i="1"/>
  <c r="AE367" i="1"/>
  <c r="AD367" i="1"/>
  <c r="AC367" i="1"/>
  <c r="AB367" i="1"/>
  <c r="AA367" i="1"/>
  <c r="O367" i="1"/>
  <c r="AI366" i="1"/>
  <c r="AJ366" i="1" s="1"/>
  <c r="AG366" i="1"/>
  <c r="AH366" i="1" s="1"/>
  <c r="AF366" i="1"/>
  <c r="AE366" i="1"/>
  <c r="AD366" i="1"/>
  <c r="AC366" i="1"/>
  <c r="AB366" i="1"/>
  <c r="AA366" i="1"/>
  <c r="O366" i="1"/>
  <c r="AI365" i="1"/>
  <c r="AJ365" i="1" s="1"/>
  <c r="AG365" i="1"/>
  <c r="AH365" i="1" s="1"/>
  <c r="AF365" i="1"/>
  <c r="AE365" i="1"/>
  <c r="AD365" i="1"/>
  <c r="AC365" i="1"/>
  <c r="AB365" i="1"/>
  <c r="AA365" i="1"/>
  <c r="AI364" i="1"/>
  <c r="AJ364" i="1" s="1"/>
  <c r="AG364" i="1"/>
  <c r="AH364" i="1" s="1"/>
  <c r="AF364" i="1"/>
  <c r="AE364" i="1"/>
  <c r="AD364" i="1"/>
  <c r="AC364" i="1"/>
  <c r="AB364" i="1"/>
  <c r="AA364" i="1"/>
  <c r="O364" i="1"/>
  <c r="AI363" i="1"/>
  <c r="AJ363" i="1" s="1"/>
  <c r="AG363" i="1"/>
  <c r="AH363" i="1" s="1"/>
  <c r="AF363" i="1"/>
  <c r="AE363" i="1"/>
  <c r="AD363" i="1"/>
  <c r="AC363" i="1"/>
  <c r="AB363" i="1"/>
  <c r="AA363" i="1"/>
  <c r="O363" i="1"/>
  <c r="AI362" i="1"/>
  <c r="AJ362" i="1" s="1"/>
  <c r="AG362" i="1"/>
  <c r="AH362" i="1" s="1"/>
  <c r="AF362" i="1"/>
  <c r="AE362" i="1"/>
  <c r="AD362" i="1"/>
  <c r="AC362" i="1"/>
  <c r="AB362" i="1"/>
  <c r="AA362" i="1"/>
  <c r="O362" i="1"/>
  <c r="AI361" i="1"/>
  <c r="AJ361" i="1" s="1"/>
  <c r="AG361" i="1"/>
  <c r="AH361" i="1" s="1"/>
  <c r="AF361" i="1"/>
  <c r="AE361" i="1"/>
  <c r="AD361" i="1"/>
  <c r="AC361" i="1"/>
  <c r="AB361" i="1"/>
  <c r="AA361" i="1"/>
  <c r="O361" i="1"/>
  <c r="AI360" i="1"/>
  <c r="AJ360" i="1" s="1"/>
  <c r="AG360" i="1"/>
  <c r="AH360" i="1" s="1"/>
  <c r="AF360" i="1"/>
  <c r="AE360" i="1"/>
  <c r="AD360" i="1"/>
  <c r="AC360" i="1"/>
  <c r="AB360" i="1"/>
  <c r="AA360" i="1"/>
  <c r="AI359" i="1"/>
  <c r="AJ359" i="1" s="1"/>
  <c r="AG359" i="1"/>
  <c r="AH359" i="1" s="1"/>
  <c r="AF359" i="1"/>
  <c r="AE359" i="1"/>
  <c r="AD359" i="1"/>
  <c r="AC359" i="1"/>
  <c r="AB359" i="1"/>
  <c r="AA359" i="1"/>
  <c r="AI358" i="1"/>
  <c r="AJ358" i="1" s="1"/>
  <c r="AH358" i="1"/>
  <c r="AG358" i="1"/>
  <c r="AF358" i="1"/>
  <c r="AE358" i="1"/>
  <c r="AD358" i="1"/>
  <c r="AC358" i="1"/>
  <c r="AB358" i="1"/>
  <c r="AA358" i="1"/>
  <c r="O358" i="1"/>
  <c r="AI357" i="1"/>
  <c r="AJ357" i="1" s="1"/>
  <c r="AG357" i="1"/>
  <c r="AH357" i="1" s="1"/>
  <c r="AF357" i="1"/>
  <c r="AE357" i="1"/>
  <c r="AD357" i="1"/>
  <c r="AC357" i="1"/>
  <c r="AB357" i="1"/>
  <c r="AA357" i="1"/>
  <c r="O357" i="1"/>
  <c r="AI356" i="1"/>
  <c r="AJ356" i="1" s="1"/>
  <c r="AH356" i="1"/>
  <c r="AG356" i="1"/>
  <c r="AF356" i="1"/>
  <c r="AE356" i="1"/>
  <c r="AD356" i="1"/>
  <c r="AC356" i="1"/>
  <c r="AB356" i="1"/>
  <c r="AA356" i="1"/>
  <c r="O356" i="1"/>
  <c r="AI355" i="1"/>
  <c r="AJ355" i="1" s="1"/>
  <c r="AG355" i="1"/>
  <c r="AH355" i="1" s="1"/>
  <c r="AF355" i="1"/>
  <c r="AE355" i="1"/>
  <c r="AD355" i="1"/>
  <c r="AC355" i="1"/>
  <c r="AB355" i="1"/>
  <c r="AA355" i="1"/>
  <c r="O355" i="1"/>
  <c r="AI354" i="1"/>
  <c r="AJ354" i="1" s="1"/>
  <c r="AG354" i="1"/>
  <c r="AH354" i="1" s="1"/>
  <c r="AF354" i="1"/>
  <c r="AE354" i="1"/>
  <c r="AD354" i="1"/>
  <c r="AC354" i="1"/>
  <c r="AB354" i="1"/>
  <c r="AA354" i="1"/>
  <c r="O354" i="1"/>
  <c r="AI353" i="1"/>
  <c r="AJ353" i="1" s="1"/>
  <c r="AG353" i="1"/>
  <c r="AH353" i="1" s="1"/>
  <c r="AF353" i="1"/>
  <c r="AE353" i="1"/>
  <c r="AD353" i="1"/>
  <c r="AC353" i="1"/>
  <c r="AB353" i="1"/>
  <c r="AA353" i="1"/>
  <c r="O353" i="1"/>
  <c r="AI352" i="1"/>
  <c r="AJ352" i="1" s="1"/>
  <c r="AG352" i="1"/>
  <c r="AH352" i="1" s="1"/>
  <c r="AF352" i="1"/>
  <c r="AE352" i="1"/>
  <c r="AD352" i="1"/>
  <c r="AC352" i="1"/>
  <c r="AB352" i="1"/>
  <c r="AA352" i="1"/>
  <c r="O352" i="1"/>
  <c r="AI351" i="1"/>
  <c r="AJ351" i="1" s="1"/>
  <c r="AG351" i="1"/>
  <c r="AH351" i="1" s="1"/>
  <c r="AF351" i="1"/>
  <c r="AE351" i="1"/>
  <c r="AD351" i="1"/>
  <c r="AC351" i="1"/>
  <c r="AB351" i="1"/>
  <c r="AA351" i="1"/>
  <c r="O351" i="1"/>
  <c r="AJ350" i="1"/>
  <c r="AI350" i="1"/>
  <c r="AH350" i="1"/>
  <c r="AG350" i="1"/>
  <c r="AF350" i="1"/>
  <c r="AE350" i="1"/>
  <c r="AD350" i="1"/>
  <c r="AC350" i="1"/>
  <c r="AB350" i="1"/>
  <c r="AA350" i="1"/>
  <c r="O350" i="1"/>
  <c r="AI349" i="1"/>
  <c r="AJ349" i="1" s="1"/>
  <c r="AG349" i="1"/>
  <c r="AH349" i="1" s="1"/>
  <c r="AF349" i="1"/>
  <c r="AE349" i="1"/>
  <c r="AD349" i="1"/>
  <c r="AC349" i="1"/>
  <c r="AB349" i="1"/>
  <c r="AA349" i="1"/>
  <c r="O349" i="1"/>
  <c r="AI348" i="1"/>
  <c r="AJ348" i="1" s="1"/>
  <c r="AG348" i="1"/>
  <c r="AH348" i="1" s="1"/>
  <c r="AF348" i="1"/>
  <c r="AE348" i="1"/>
  <c r="AD348" i="1"/>
  <c r="AC348" i="1"/>
  <c r="AB348" i="1"/>
  <c r="AA348" i="1"/>
  <c r="O348" i="1"/>
  <c r="AI347" i="1"/>
  <c r="AJ347" i="1" s="1"/>
  <c r="AG347" i="1"/>
  <c r="AH347" i="1" s="1"/>
  <c r="AF347" i="1"/>
  <c r="AE347" i="1"/>
  <c r="AD347" i="1"/>
  <c r="AC347" i="1"/>
  <c r="AB347" i="1"/>
  <c r="AA347" i="1"/>
  <c r="O347" i="1"/>
  <c r="AI346" i="1"/>
  <c r="AJ346" i="1" s="1"/>
  <c r="AG346" i="1"/>
  <c r="AH346" i="1" s="1"/>
  <c r="AF346" i="1"/>
  <c r="AE346" i="1"/>
  <c r="AD346" i="1"/>
  <c r="AC346" i="1"/>
  <c r="AB346" i="1"/>
  <c r="AA346" i="1"/>
  <c r="O346" i="1"/>
  <c r="AI345" i="1"/>
  <c r="AJ345" i="1" s="1"/>
  <c r="AG345" i="1"/>
  <c r="AH345" i="1" s="1"/>
  <c r="AF345" i="1"/>
  <c r="AE345" i="1"/>
  <c r="AD345" i="1"/>
  <c r="AC345" i="1"/>
  <c r="AB345" i="1"/>
  <c r="AA345" i="1"/>
  <c r="AI344" i="1"/>
  <c r="AJ344" i="1" s="1"/>
  <c r="AG344" i="1"/>
  <c r="AH344" i="1" s="1"/>
  <c r="AF344" i="1"/>
  <c r="AE344" i="1"/>
  <c r="AD344" i="1"/>
  <c r="AC344" i="1"/>
  <c r="AB344" i="1"/>
  <c r="AA344" i="1"/>
  <c r="AI343" i="1"/>
  <c r="AJ343" i="1" s="1"/>
  <c r="AH343" i="1"/>
  <c r="AG343" i="1"/>
  <c r="AF343" i="1"/>
  <c r="AE343" i="1"/>
  <c r="AD343" i="1"/>
  <c r="AC343" i="1"/>
  <c r="AB343" i="1"/>
  <c r="AA343" i="1"/>
  <c r="AJ342" i="1"/>
  <c r="AI342" i="1"/>
  <c r="AG342" i="1"/>
  <c r="AH342" i="1" s="1"/>
  <c r="AF342" i="1"/>
  <c r="AE342" i="1"/>
  <c r="AD342" i="1"/>
  <c r="AC342" i="1"/>
  <c r="AB342" i="1"/>
  <c r="AA342" i="1"/>
  <c r="AI341" i="1"/>
  <c r="AJ341" i="1" s="1"/>
  <c r="AG341" i="1"/>
  <c r="AH341" i="1" s="1"/>
  <c r="AF341" i="1"/>
  <c r="AE341" i="1"/>
  <c r="AD341" i="1"/>
  <c r="AC341" i="1"/>
  <c r="AB341" i="1"/>
  <c r="AA341" i="1"/>
  <c r="AI340" i="1"/>
  <c r="AJ340" i="1" s="1"/>
  <c r="AG340" i="1"/>
  <c r="AH340" i="1" s="1"/>
  <c r="AF340" i="1"/>
  <c r="AE340" i="1"/>
  <c r="AD340" i="1"/>
  <c r="AC340" i="1"/>
  <c r="AB340" i="1"/>
  <c r="AA340" i="1"/>
  <c r="O340" i="1"/>
  <c r="AI339" i="1"/>
  <c r="AJ339" i="1" s="1"/>
  <c r="AG339" i="1"/>
  <c r="AH339" i="1" s="1"/>
  <c r="AF339" i="1"/>
  <c r="AE339" i="1"/>
  <c r="AD339" i="1"/>
  <c r="AC339" i="1"/>
  <c r="AB339" i="1"/>
  <c r="AA339" i="1"/>
  <c r="O339" i="1"/>
  <c r="AI338" i="1"/>
  <c r="AJ338" i="1" s="1"/>
  <c r="AG338" i="1"/>
  <c r="AH338" i="1" s="1"/>
  <c r="AF338" i="1"/>
  <c r="AE338" i="1"/>
  <c r="AD338" i="1"/>
  <c r="AC338" i="1"/>
  <c r="AB338" i="1"/>
  <c r="AA338" i="1"/>
  <c r="O338" i="1"/>
  <c r="AI337" i="1"/>
  <c r="AJ337" i="1" s="1"/>
  <c r="AG337" i="1"/>
  <c r="AH337" i="1" s="1"/>
  <c r="AF337" i="1"/>
  <c r="AE337" i="1"/>
  <c r="AD337" i="1"/>
  <c r="AC337" i="1"/>
  <c r="AB337" i="1"/>
  <c r="AA337" i="1"/>
  <c r="O337" i="1"/>
  <c r="AJ336" i="1"/>
  <c r="AI336" i="1"/>
  <c r="AG336" i="1"/>
  <c r="AH336" i="1" s="1"/>
  <c r="AF336" i="1"/>
  <c r="AE336" i="1"/>
  <c r="AD336" i="1"/>
  <c r="AC336" i="1"/>
  <c r="AB336" i="1"/>
  <c r="AA336" i="1"/>
  <c r="O336" i="1"/>
  <c r="AJ335" i="1"/>
  <c r="AI335" i="1"/>
  <c r="AH335" i="1"/>
  <c r="AG335" i="1"/>
  <c r="AF335" i="1"/>
  <c r="AE335" i="1"/>
  <c r="AD335" i="1"/>
  <c r="AC335" i="1"/>
  <c r="AB335" i="1"/>
  <c r="AA335" i="1"/>
  <c r="AJ334" i="1"/>
  <c r="AI334" i="1"/>
  <c r="AG334" i="1"/>
  <c r="AH334" i="1" s="1"/>
  <c r="AF334" i="1"/>
  <c r="AE334" i="1"/>
  <c r="AD334" i="1"/>
  <c r="AC334" i="1"/>
  <c r="AB334" i="1"/>
  <c r="AA334" i="1"/>
  <c r="AI333" i="1"/>
  <c r="AJ333" i="1" s="1"/>
  <c r="AG333" i="1"/>
  <c r="AH333" i="1" s="1"/>
  <c r="AF333" i="1"/>
  <c r="AE333" i="1"/>
  <c r="AD333" i="1"/>
  <c r="AC333" i="1"/>
  <c r="AB333" i="1"/>
  <c r="AA333" i="1"/>
  <c r="AI332" i="1"/>
  <c r="AJ332" i="1" s="1"/>
  <c r="AG332" i="1"/>
  <c r="AH332" i="1" s="1"/>
  <c r="AF332" i="1"/>
  <c r="AE332" i="1"/>
  <c r="AD332" i="1"/>
  <c r="AC332" i="1"/>
  <c r="AB332" i="1"/>
  <c r="AA332" i="1"/>
  <c r="AI331" i="1"/>
  <c r="AJ331" i="1" s="1"/>
  <c r="AG331" i="1"/>
  <c r="AH331" i="1" s="1"/>
  <c r="AF331" i="1"/>
  <c r="AE331" i="1"/>
  <c r="AD331" i="1"/>
  <c r="AC331" i="1"/>
  <c r="AB331" i="1"/>
  <c r="AA331" i="1"/>
  <c r="O331" i="1"/>
  <c r="AI330" i="1"/>
  <c r="AJ330" i="1" s="1"/>
  <c r="AH330" i="1"/>
  <c r="AG330" i="1"/>
  <c r="AF330" i="1"/>
  <c r="AE330" i="1"/>
  <c r="AD330" i="1"/>
  <c r="AC330" i="1"/>
  <c r="AB330" i="1"/>
  <c r="AA330" i="1"/>
  <c r="O330" i="1"/>
  <c r="AI329" i="1"/>
  <c r="AJ329" i="1" s="1"/>
  <c r="AH329" i="1"/>
  <c r="AG329" i="1"/>
  <c r="AF329" i="1"/>
  <c r="AE329" i="1"/>
  <c r="AD329" i="1"/>
  <c r="AC329" i="1"/>
  <c r="AB329" i="1"/>
  <c r="AA329" i="1"/>
  <c r="AJ328" i="1"/>
  <c r="AI328" i="1"/>
  <c r="AG328" i="1"/>
  <c r="AH328" i="1" s="1"/>
  <c r="AF328" i="1"/>
  <c r="AE328" i="1"/>
  <c r="AD328" i="1"/>
  <c r="AC328" i="1"/>
  <c r="AB328" i="1"/>
  <c r="AA328" i="1"/>
  <c r="O328" i="1"/>
  <c r="AI327" i="1"/>
  <c r="AJ327" i="1" s="1"/>
  <c r="AH327" i="1"/>
  <c r="AG327" i="1"/>
  <c r="AF327" i="1"/>
  <c r="AE327" i="1"/>
  <c r="AD327" i="1"/>
  <c r="AC327" i="1"/>
  <c r="AB327" i="1"/>
  <c r="AA327" i="1"/>
  <c r="O327" i="1"/>
  <c r="AI326" i="1"/>
  <c r="AJ326" i="1" s="1"/>
  <c r="AG326" i="1"/>
  <c r="AH326" i="1" s="1"/>
  <c r="AF326" i="1"/>
  <c r="AE326" i="1"/>
  <c r="AD326" i="1"/>
  <c r="AC326" i="1"/>
  <c r="AB326" i="1"/>
  <c r="AA326" i="1"/>
  <c r="O326" i="1"/>
  <c r="AI325" i="1"/>
  <c r="AJ325" i="1" s="1"/>
  <c r="AG325" i="1"/>
  <c r="AH325" i="1" s="1"/>
  <c r="AF325" i="1"/>
  <c r="AE325" i="1"/>
  <c r="AD325" i="1"/>
  <c r="AC325" i="1"/>
  <c r="AB325" i="1"/>
  <c r="AA325" i="1"/>
  <c r="O325" i="1"/>
  <c r="AI324" i="1"/>
  <c r="AJ324" i="1" s="1"/>
  <c r="AG324" i="1"/>
  <c r="AH324" i="1" s="1"/>
  <c r="AF324" i="1"/>
  <c r="AE324" i="1"/>
  <c r="AD324" i="1"/>
  <c r="AC324" i="1"/>
  <c r="AB324" i="1"/>
  <c r="AA324" i="1"/>
  <c r="O324" i="1"/>
  <c r="AI323" i="1"/>
  <c r="AJ323" i="1" s="1"/>
  <c r="AG323" i="1"/>
  <c r="AH323" i="1" s="1"/>
  <c r="AF323" i="1"/>
  <c r="AE323" i="1"/>
  <c r="AD323" i="1"/>
  <c r="AC323" i="1"/>
  <c r="AB323" i="1"/>
  <c r="AA323" i="1"/>
  <c r="O323" i="1"/>
  <c r="AI322" i="1"/>
  <c r="AJ322" i="1" s="1"/>
  <c r="AG322" i="1"/>
  <c r="AH322" i="1" s="1"/>
  <c r="AF322" i="1"/>
  <c r="AE322" i="1"/>
  <c r="AD322" i="1"/>
  <c r="AC322" i="1"/>
  <c r="AB322" i="1"/>
  <c r="AA322" i="1"/>
  <c r="O322" i="1"/>
  <c r="AJ321" i="1"/>
  <c r="AI321" i="1"/>
  <c r="AG321" i="1"/>
  <c r="AH321" i="1" s="1"/>
  <c r="AF321" i="1"/>
  <c r="AE321" i="1"/>
  <c r="AD321" i="1"/>
  <c r="AC321" i="1"/>
  <c r="AB321" i="1"/>
  <c r="AA321" i="1"/>
  <c r="O321" i="1"/>
  <c r="AJ320" i="1"/>
  <c r="AI320" i="1"/>
  <c r="AH320" i="1"/>
  <c r="AG320" i="1"/>
  <c r="AF320" i="1"/>
  <c r="AE320" i="1"/>
  <c r="AD320" i="1"/>
  <c r="AC320" i="1"/>
  <c r="AB320" i="1"/>
  <c r="AA320" i="1"/>
  <c r="AJ319" i="1"/>
  <c r="AI319" i="1"/>
  <c r="AG319" i="1"/>
  <c r="AH319" i="1" s="1"/>
  <c r="AF319" i="1"/>
  <c r="AE319" i="1"/>
  <c r="AD319" i="1"/>
  <c r="AC319" i="1"/>
  <c r="AB319" i="1"/>
  <c r="AA319" i="1"/>
  <c r="O319" i="1"/>
  <c r="AI318" i="1"/>
  <c r="AJ318" i="1" s="1"/>
  <c r="AG318" i="1"/>
  <c r="AH318" i="1" s="1"/>
  <c r="AF318" i="1"/>
  <c r="AE318" i="1"/>
  <c r="AD318" i="1"/>
  <c r="AC318" i="1"/>
  <c r="AB318" i="1"/>
  <c r="AA318" i="1"/>
  <c r="O318" i="1"/>
  <c r="J318" i="1"/>
  <c r="AI317" i="1"/>
  <c r="AJ317" i="1" s="1"/>
  <c r="AG317" i="1"/>
  <c r="AH317" i="1" s="1"/>
  <c r="AF317" i="1"/>
  <c r="AE317" i="1"/>
  <c r="AD317" i="1"/>
  <c r="AC317" i="1"/>
  <c r="AB317" i="1"/>
  <c r="AA317" i="1"/>
  <c r="O317" i="1"/>
  <c r="AI316" i="1"/>
  <c r="AJ316" i="1" s="1"/>
  <c r="AG316" i="1"/>
  <c r="AH316" i="1" s="1"/>
  <c r="AF316" i="1"/>
  <c r="AE316" i="1"/>
  <c r="AD316" i="1"/>
  <c r="AC316" i="1"/>
  <c r="AB316" i="1"/>
  <c r="AA316" i="1"/>
  <c r="O316" i="1"/>
  <c r="AI315" i="1"/>
  <c r="AJ315" i="1" s="1"/>
  <c r="AG315" i="1"/>
  <c r="AH315" i="1" s="1"/>
  <c r="AF315" i="1"/>
  <c r="AE315" i="1"/>
  <c r="AD315" i="1"/>
  <c r="AC315" i="1"/>
  <c r="AB315" i="1"/>
  <c r="AA315" i="1"/>
  <c r="O315" i="1"/>
  <c r="AI314" i="1"/>
  <c r="AJ314" i="1" s="1"/>
  <c r="AG314" i="1"/>
  <c r="AH314" i="1" s="1"/>
  <c r="AF314" i="1"/>
  <c r="AE314" i="1"/>
  <c r="AD314" i="1"/>
  <c r="AC314" i="1"/>
  <c r="AB314" i="1"/>
  <c r="AA314" i="1"/>
  <c r="O314" i="1"/>
  <c r="AI313" i="1"/>
  <c r="AJ313" i="1" s="1"/>
  <c r="AG313" i="1"/>
  <c r="AH313" i="1" s="1"/>
  <c r="AF313" i="1"/>
  <c r="AE313" i="1"/>
  <c r="AD313" i="1"/>
  <c r="AC313" i="1"/>
  <c r="AB313" i="1"/>
  <c r="AA313" i="1"/>
  <c r="O313" i="1"/>
  <c r="AJ312" i="1"/>
  <c r="AI312" i="1"/>
  <c r="AG312" i="1"/>
  <c r="AH312" i="1" s="1"/>
  <c r="AF312" i="1"/>
  <c r="AE312" i="1"/>
  <c r="AD312" i="1"/>
  <c r="AC312" i="1"/>
  <c r="AB312" i="1"/>
  <c r="AA312" i="1"/>
  <c r="AJ311" i="1"/>
  <c r="AI311" i="1"/>
  <c r="AG311" i="1"/>
  <c r="AH311" i="1" s="1"/>
  <c r="AF311" i="1"/>
  <c r="AE311" i="1"/>
  <c r="AD311" i="1"/>
  <c r="AC311" i="1"/>
  <c r="AB311" i="1"/>
  <c r="AA311" i="1"/>
  <c r="AI310" i="1"/>
  <c r="AJ310" i="1" s="1"/>
  <c r="AG310" i="1"/>
  <c r="AH310" i="1" s="1"/>
  <c r="AF310" i="1"/>
  <c r="AE310" i="1"/>
  <c r="AD310" i="1"/>
  <c r="AC310" i="1"/>
  <c r="AB310" i="1"/>
  <c r="AA310" i="1"/>
  <c r="O310" i="1"/>
  <c r="AI309" i="1"/>
  <c r="AJ309" i="1" s="1"/>
  <c r="AG309" i="1"/>
  <c r="AH309" i="1" s="1"/>
  <c r="AF309" i="1"/>
  <c r="AE309" i="1"/>
  <c r="AD309" i="1"/>
  <c r="AC309" i="1"/>
  <c r="AB309" i="1"/>
  <c r="AA309" i="1"/>
  <c r="AI308" i="1"/>
  <c r="AJ308" i="1" s="1"/>
  <c r="AG308" i="1"/>
  <c r="AH308" i="1" s="1"/>
  <c r="AF308" i="1"/>
  <c r="AE308" i="1"/>
  <c r="AD308" i="1"/>
  <c r="AC308" i="1"/>
  <c r="AB308" i="1"/>
  <c r="AA308" i="1"/>
  <c r="O308" i="1"/>
  <c r="AI307" i="1"/>
  <c r="AJ307" i="1" s="1"/>
  <c r="AG307" i="1"/>
  <c r="AH307" i="1" s="1"/>
  <c r="AF307" i="1"/>
  <c r="AE307" i="1"/>
  <c r="AD307" i="1"/>
  <c r="AC307" i="1"/>
  <c r="AB307" i="1"/>
  <c r="AA307" i="1"/>
  <c r="O307" i="1"/>
  <c r="AI306" i="1"/>
  <c r="AJ306" i="1" s="1"/>
  <c r="AG306" i="1"/>
  <c r="AH306" i="1" s="1"/>
  <c r="AF306" i="1"/>
  <c r="AE306" i="1"/>
  <c r="AD306" i="1"/>
  <c r="AC306" i="1"/>
  <c r="AB306" i="1"/>
  <c r="AA306" i="1"/>
  <c r="O306" i="1"/>
  <c r="AI305" i="1"/>
  <c r="AJ305" i="1" s="1"/>
  <c r="AG305" i="1"/>
  <c r="AH305" i="1" s="1"/>
  <c r="AF305" i="1"/>
  <c r="AE305" i="1"/>
  <c r="AD305" i="1"/>
  <c r="AC305" i="1"/>
  <c r="AB305" i="1"/>
  <c r="AA305" i="1"/>
  <c r="O305" i="1"/>
  <c r="AI304" i="1"/>
  <c r="AJ304" i="1" s="1"/>
  <c r="AG304" i="1"/>
  <c r="AH304" i="1" s="1"/>
  <c r="AF304" i="1"/>
  <c r="AE304" i="1"/>
  <c r="AD304" i="1"/>
  <c r="AC304" i="1"/>
  <c r="AB304" i="1"/>
  <c r="AA304" i="1"/>
  <c r="AI303" i="1"/>
  <c r="AJ303" i="1" s="1"/>
  <c r="AG303" i="1"/>
  <c r="AH303" i="1" s="1"/>
  <c r="AF303" i="1"/>
  <c r="AE303" i="1"/>
  <c r="AD303" i="1"/>
  <c r="AC303" i="1"/>
  <c r="AB303" i="1"/>
  <c r="AA303" i="1"/>
  <c r="O303" i="1"/>
  <c r="AI302" i="1"/>
  <c r="AJ302" i="1" s="1"/>
  <c r="AG302" i="1"/>
  <c r="AH302" i="1" s="1"/>
  <c r="AF302" i="1"/>
  <c r="AE302" i="1"/>
  <c r="AD302" i="1"/>
  <c r="AC302" i="1"/>
  <c r="AB302" i="1"/>
  <c r="AA302" i="1"/>
  <c r="O302" i="1"/>
  <c r="AI301" i="1"/>
  <c r="AJ301" i="1" s="1"/>
  <c r="AG301" i="1"/>
  <c r="AH301" i="1" s="1"/>
  <c r="AF301" i="1"/>
  <c r="AE301" i="1"/>
  <c r="AD301" i="1"/>
  <c r="AC301" i="1"/>
  <c r="AB301" i="1"/>
  <c r="AA301" i="1"/>
  <c r="O301" i="1"/>
  <c r="AI300" i="1"/>
  <c r="AJ300" i="1" s="1"/>
  <c r="AG300" i="1"/>
  <c r="AH300" i="1" s="1"/>
  <c r="AF300" i="1"/>
  <c r="AE300" i="1"/>
  <c r="AD300" i="1"/>
  <c r="AC300" i="1"/>
  <c r="AB300" i="1"/>
  <c r="AA300" i="1"/>
  <c r="O300" i="1"/>
  <c r="AJ299" i="1"/>
  <c r="AI299" i="1"/>
  <c r="AH299" i="1"/>
  <c r="AG299" i="1"/>
  <c r="AF299" i="1"/>
  <c r="AE299" i="1"/>
  <c r="AD299" i="1"/>
  <c r="AC299" i="1"/>
  <c r="AB299" i="1"/>
  <c r="AA299" i="1"/>
  <c r="AJ298" i="1"/>
  <c r="AI298" i="1"/>
  <c r="AG298" i="1"/>
  <c r="AH298" i="1" s="1"/>
  <c r="AF298" i="1"/>
  <c r="AE298" i="1"/>
  <c r="AD298" i="1"/>
  <c r="AC298" i="1"/>
  <c r="AB298" i="1"/>
  <c r="AA298" i="1"/>
  <c r="O298" i="1"/>
  <c r="AI297" i="1"/>
  <c r="AJ297" i="1" s="1"/>
  <c r="AH297" i="1"/>
  <c r="AG297" i="1"/>
  <c r="AF297" i="1"/>
  <c r="AE297" i="1"/>
  <c r="AD297" i="1"/>
  <c r="AC297" i="1"/>
  <c r="AB297" i="1"/>
  <c r="AA297" i="1"/>
  <c r="AJ296" i="1"/>
  <c r="AI296" i="1"/>
  <c r="AG296" i="1"/>
  <c r="AH296" i="1" s="1"/>
  <c r="AF296" i="1"/>
  <c r="AE296" i="1"/>
  <c r="AD296" i="1"/>
  <c r="AC296" i="1"/>
  <c r="AB296" i="1"/>
  <c r="AA296" i="1"/>
  <c r="O296" i="1"/>
  <c r="AI295" i="1"/>
  <c r="AJ295" i="1" s="1"/>
  <c r="AG295" i="1"/>
  <c r="AH295" i="1" s="1"/>
  <c r="AF295" i="1"/>
  <c r="AE295" i="1"/>
  <c r="AD295" i="1"/>
  <c r="AC295" i="1"/>
  <c r="AB295" i="1"/>
  <c r="AA295" i="1"/>
  <c r="O295" i="1"/>
  <c r="AI294" i="1"/>
  <c r="AJ294" i="1" s="1"/>
  <c r="AG294" i="1"/>
  <c r="AH294" i="1" s="1"/>
  <c r="AF294" i="1"/>
  <c r="AE294" i="1"/>
  <c r="AD294" i="1"/>
  <c r="AC294" i="1"/>
  <c r="AB294" i="1"/>
  <c r="AA294" i="1"/>
  <c r="O294" i="1"/>
  <c r="AI293" i="1"/>
  <c r="AJ293" i="1" s="1"/>
  <c r="AH293" i="1"/>
  <c r="AG293" i="1"/>
  <c r="AF293" i="1"/>
  <c r="AE293" i="1"/>
  <c r="AD293" i="1"/>
  <c r="AC293" i="1"/>
  <c r="AB293" i="1"/>
  <c r="AA293" i="1"/>
  <c r="O293" i="1"/>
  <c r="AI292" i="1"/>
  <c r="AJ292" i="1" s="1"/>
  <c r="AG292" i="1"/>
  <c r="AH292" i="1" s="1"/>
  <c r="AF292" i="1"/>
  <c r="AE292" i="1"/>
  <c r="AD292" i="1"/>
  <c r="AC292" i="1"/>
  <c r="AB292" i="1"/>
  <c r="AA292" i="1"/>
  <c r="O292" i="1"/>
  <c r="AI291" i="1"/>
  <c r="AJ291" i="1" s="1"/>
  <c r="AG291" i="1"/>
  <c r="AH291" i="1" s="1"/>
  <c r="AF291" i="1"/>
  <c r="AE291" i="1"/>
  <c r="AD291" i="1"/>
  <c r="AC291" i="1"/>
  <c r="AB291" i="1"/>
  <c r="AA291" i="1"/>
  <c r="O291" i="1"/>
  <c r="AI290" i="1"/>
  <c r="AJ290" i="1" s="1"/>
  <c r="AG290" i="1"/>
  <c r="AH290" i="1" s="1"/>
  <c r="AF290" i="1"/>
  <c r="AE290" i="1"/>
  <c r="AD290" i="1"/>
  <c r="AC290" i="1"/>
  <c r="AB290" i="1"/>
  <c r="AA290" i="1"/>
  <c r="AI289" i="1"/>
  <c r="AJ289" i="1" s="1"/>
  <c r="AG289" i="1"/>
  <c r="AH289" i="1" s="1"/>
  <c r="AF289" i="1"/>
  <c r="AE289" i="1"/>
  <c r="AD289" i="1"/>
  <c r="AC289" i="1"/>
  <c r="AB289" i="1"/>
  <c r="AA289" i="1"/>
  <c r="O289" i="1"/>
  <c r="AI288" i="1"/>
  <c r="AJ288" i="1" s="1"/>
  <c r="AG288" i="1"/>
  <c r="AH288" i="1" s="1"/>
  <c r="AF288" i="1"/>
  <c r="AE288" i="1"/>
  <c r="AD288" i="1"/>
  <c r="AC288" i="1"/>
  <c r="AB288" i="1"/>
  <c r="AA288" i="1"/>
  <c r="O288" i="1"/>
  <c r="AI287" i="1"/>
  <c r="AJ287" i="1" s="1"/>
  <c r="AG287" i="1"/>
  <c r="AH287" i="1" s="1"/>
  <c r="AF287" i="1"/>
  <c r="AE287" i="1"/>
  <c r="AD287" i="1"/>
  <c r="AC287" i="1"/>
  <c r="AB287" i="1"/>
  <c r="AA287" i="1"/>
  <c r="AI286" i="1"/>
  <c r="AJ286" i="1" s="1"/>
  <c r="AG286" i="1"/>
  <c r="AH286" i="1" s="1"/>
  <c r="AF286" i="1"/>
  <c r="AE286" i="1"/>
  <c r="AD286" i="1"/>
  <c r="AC286" i="1"/>
  <c r="AB286" i="1"/>
  <c r="AA286" i="1"/>
  <c r="O286" i="1"/>
  <c r="AI285" i="1"/>
  <c r="AJ285" i="1" s="1"/>
  <c r="AG285" i="1"/>
  <c r="AH285" i="1" s="1"/>
  <c r="AF285" i="1"/>
  <c r="AE285" i="1"/>
  <c r="AD285" i="1"/>
  <c r="AC285" i="1"/>
  <c r="AB285" i="1"/>
  <c r="AA285" i="1"/>
  <c r="O285" i="1"/>
  <c r="AI284" i="1"/>
  <c r="AJ284" i="1" s="1"/>
  <c r="AG284" i="1"/>
  <c r="AH284" i="1" s="1"/>
  <c r="AF284" i="1"/>
  <c r="AE284" i="1"/>
  <c r="AD284" i="1"/>
  <c r="AC284" i="1"/>
  <c r="AB284" i="1"/>
  <c r="AA284" i="1"/>
  <c r="O284" i="1"/>
  <c r="AI283" i="1"/>
  <c r="AJ283" i="1" s="1"/>
  <c r="AG283" i="1"/>
  <c r="AH283" i="1" s="1"/>
  <c r="AF283" i="1"/>
  <c r="AE283" i="1"/>
  <c r="AD283" i="1"/>
  <c r="AC283" i="1"/>
  <c r="AB283" i="1"/>
  <c r="AA283" i="1"/>
  <c r="O283" i="1"/>
  <c r="AI282" i="1"/>
  <c r="AJ282" i="1" s="1"/>
  <c r="AG282" i="1"/>
  <c r="AH282" i="1" s="1"/>
  <c r="AF282" i="1"/>
  <c r="AE282" i="1"/>
  <c r="AD282" i="1"/>
  <c r="AC282" i="1"/>
  <c r="AB282" i="1"/>
  <c r="AA282" i="1"/>
  <c r="O282" i="1"/>
  <c r="K282" i="1"/>
  <c r="AI281" i="1"/>
  <c r="AJ281" i="1" s="1"/>
  <c r="AG281" i="1"/>
  <c r="AH281" i="1" s="1"/>
  <c r="AF281" i="1"/>
  <c r="AE281" i="1"/>
  <c r="AD281" i="1"/>
  <c r="AC281" i="1"/>
  <c r="AB281" i="1"/>
  <c r="AA281" i="1"/>
  <c r="O281" i="1"/>
  <c r="AI280" i="1"/>
  <c r="AJ280" i="1" s="1"/>
  <c r="AH280" i="1"/>
  <c r="AG280" i="1"/>
  <c r="AF280" i="1"/>
  <c r="AE280" i="1"/>
  <c r="AD280" i="1"/>
  <c r="AC280" i="1"/>
  <c r="AB280" i="1"/>
  <c r="AA280" i="1"/>
  <c r="O280" i="1"/>
  <c r="AI279" i="1"/>
  <c r="AJ279" i="1" s="1"/>
  <c r="AG279" i="1"/>
  <c r="AH279" i="1" s="1"/>
  <c r="AF279" i="1"/>
  <c r="AE279" i="1"/>
  <c r="AD279" i="1"/>
  <c r="AC279" i="1"/>
  <c r="AB279" i="1"/>
  <c r="AA279" i="1"/>
  <c r="O279" i="1"/>
  <c r="AI278" i="1"/>
  <c r="AJ278" i="1" s="1"/>
  <c r="AG278" i="1"/>
  <c r="AH278" i="1" s="1"/>
  <c r="AF278" i="1"/>
  <c r="AE278" i="1"/>
  <c r="AD278" i="1"/>
  <c r="AC278" i="1"/>
  <c r="AB278" i="1"/>
  <c r="AA278" i="1"/>
  <c r="AI277" i="1"/>
  <c r="AJ277" i="1" s="1"/>
  <c r="AG277" i="1"/>
  <c r="AH277" i="1" s="1"/>
  <c r="AF277" i="1"/>
  <c r="AE277" i="1"/>
  <c r="AD277" i="1"/>
  <c r="AC277" i="1"/>
  <c r="AB277" i="1"/>
  <c r="AA277" i="1"/>
  <c r="O277" i="1"/>
  <c r="AI276" i="1"/>
  <c r="AJ276" i="1" s="1"/>
  <c r="AG276" i="1"/>
  <c r="AH276" i="1" s="1"/>
  <c r="AF276" i="1"/>
  <c r="AE276" i="1"/>
  <c r="AD276" i="1"/>
  <c r="AC276" i="1"/>
  <c r="AB276" i="1"/>
  <c r="AA276" i="1"/>
  <c r="AI275" i="1"/>
  <c r="AJ275" i="1" s="1"/>
  <c r="AG275" i="1"/>
  <c r="AH275" i="1" s="1"/>
  <c r="AF275" i="1"/>
  <c r="AE275" i="1"/>
  <c r="AD275" i="1"/>
  <c r="AC275" i="1"/>
  <c r="AB275" i="1"/>
  <c r="AA275" i="1"/>
  <c r="O275" i="1"/>
  <c r="AI274" i="1"/>
  <c r="AJ274" i="1" s="1"/>
  <c r="AG274" i="1"/>
  <c r="AH274" i="1" s="1"/>
  <c r="AF274" i="1"/>
  <c r="AE274" i="1"/>
  <c r="AD274" i="1"/>
  <c r="AC274" i="1"/>
  <c r="AB274" i="1"/>
  <c r="AA274" i="1"/>
  <c r="O274" i="1"/>
  <c r="AI273" i="1"/>
  <c r="AJ273" i="1" s="1"/>
  <c r="AG273" i="1"/>
  <c r="AH273" i="1" s="1"/>
  <c r="AF273" i="1"/>
  <c r="AE273" i="1"/>
  <c r="AD273" i="1"/>
  <c r="AC273" i="1"/>
  <c r="AB273" i="1"/>
  <c r="AA273" i="1"/>
  <c r="O273" i="1"/>
  <c r="AI272" i="1"/>
  <c r="AJ272" i="1" s="1"/>
  <c r="AG272" i="1"/>
  <c r="AH272" i="1" s="1"/>
  <c r="AF272" i="1"/>
  <c r="AE272" i="1"/>
  <c r="AD272" i="1"/>
  <c r="AC272" i="1"/>
  <c r="AB272" i="1"/>
  <c r="AA272" i="1"/>
  <c r="O272" i="1"/>
  <c r="AJ271" i="1"/>
  <c r="AI271" i="1"/>
  <c r="AG271" i="1"/>
  <c r="AH271" i="1" s="1"/>
  <c r="AF271" i="1"/>
  <c r="AE271" i="1"/>
  <c r="AD271" i="1"/>
  <c r="AC271" i="1"/>
  <c r="AB271" i="1"/>
  <c r="AA271" i="1"/>
  <c r="O271" i="1"/>
  <c r="AI270" i="1"/>
  <c r="AJ270" i="1" s="1"/>
  <c r="AG270" i="1"/>
  <c r="AH270" i="1" s="1"/>
  <c r="AF270" i="1"/>
  <c r="AE270" i="1"/>
  <c r="AD270" i="1"/>
  <c r="AC270" i="1"/>
  <c r="AB270" i="1"/>
  <c r="AA270" i="1"/>
  <c r="O270" i="1"/>
  <c r="AI269" i="1"/>
  <c r="AJ269" i="1" s="1"/>
  <c r="AG269" i="1"/>
  <c r="AH269" i="1" s="1"/>
  <c r="AF269" i="1"/>
  <c r="AE269" i="1"/>
  <c r="AD269" i="1"/>
  <c r="AC269" i="1"/>
  <c r="AB269" i="1"/>
  <c r="AA269" i="1"/>
  <c r="AI268" i="1"/>
  <c r="AJ268" i="1" s="1"/>
  <c r="AG268" i="1"/>
  <c r="AH268" i="1" s="1"/>
  <c r="AF268" i="1"/>
  <c r="AE268" i="1"/>
  <c r="AD268" i="1"/>
  <c r="AC268" i="1"/>
  <c r="AB268" i="1"/>
  <c r="AA268" i="1"/>
  <c r="O268" i="1"/>
  <c r="AI267" i="1"/>
  <c r="AJ267" i="1" s="1"/>
  <c r="AG267" i="1"/>
  <c r="AH267" i="1" s="1"/>
  <c r="AF267" i="1"/>
  <c r="AE267" i="1"/>
  <c r="AD267" i="1"/>
  <c r="AC267" i="1"/>
  <c r="AB267" i="1"/>
  <c r="AA267" i="1"/>
  <c r="O267" i="1"/>
  <c r="AI266" i="1"/>
  <c r="AJ266" i="1" s="1"/>
  <c r="AG266" i="1"/>
  <c r="AH266" i="1" s="1"/>
  <c r="AF266" i="1"/>
  <c r="AE266" i="1"/>
  <c r="AD266" i="1"/>
  <c r="AC266" i="1"/>
  <c r="AB266" i="1"/>
  <c r="AA266" i="1"/>
  <c r="O266" i="1"/>
  <c r="AI265" i="1"/>
  <c r="AJ265" i="1" s="1"/>
  <c r="AG265" i="1"/>
  <c r="AH265" i="1" s="1"/>
  <c r="AF265" i="1"/>
  <c r="AE265" i="1"/>
  <c r="AD265" i="1"/>
  <c r="AC265" i="1"/>
  <c r="AB265" i="1"/>
  <c r="AA265" i="1"/>
  <c r="O265" i="1"/>
  <c r="AI264" i="1"/>
  <c r="AJ264" i="1" s="1"/>
  <c r="AG264" i="1"/>
  <c r="AH264" i="1" s="1"/>
  <c r="AF264" i="1"/>
  <c r="AE264" i="1"/>
  <c r="AD264" i="1"/>
  <c r="AC264" i="1"/>
  <c r="AB264" i="1"/>
  <c r="AA264" i="1"/>
  <c r="O264" i="1"/>
  <c r="AI263" i="1"/>
  <c r="AJ263" i="1" s="1"/>
  <c r="AG263" i="1"/>
  <c r="AH263" i="1" s="1"/>
  <c r="AF263" i="1"/>
  <c r="AE263" i="1"/>
  <c r="AD263" i="1"/>
  <c r="AC263" i="1"/>
  <c r="AB263" i="1"/>
  <c r="AA263" i="1"/>
  <c r="O263" i="1"/>
  <c r="AI262" i="1"/>
  <c r="AJ262" i="1" s="1"/>
  <c r="AG262" i="1"/>
  <c r="AH262" i="1" s="1"/>
  <c r="AF262" i="1"/>
  <c r="AE262" i="1"/>
  <c r="AD262" i="1"/>
  <c r="AC262" i="1"/>
  <c r="AB262" i="1"/>
  <c r="AA262" i="1"/>
  <c r="O262" i="1"/>
  <c r="AI261" i="1"/>
  <c r="AJ261" i="1" s="1"/>
  <c r="AG261" i="1"/>
  <c r="AH261" i="1" s="1"/>
  <c r="AF261" i="1"/>
  <c r="AE261" i="1"/>
  <c r="AD261" i="1"/>
  <c r="AC261" i="1"/>
  <c r="AB261" i="1"/>
  <c r="AA261" i="1"/>
  <c r="O261" i="1"/>
  <c r="AJ260" i="1"/>
  <c r="AI260" i="1"/>
  <c r="AG260" i="1"/>
  <c r="AH260" i="1" s="1"/>
  <c r="AF260" i="1"/>
  <c r="AE260" i="1"/>
  <c r="AD260" i="1"/>
  <c r="AC260" i="1"/>
  <c r="AB260" i="1"/>
  <c r="AA260" i="1"/>
  <c r="AI259" i="1"/>
  <c r="AJ259" i="1" s="1"/>
  <c r="AG259" i="1"/>
  <c r="AH259" i="1" s="1"/>
  <c r="AF259" i="1"/>
  <c r="AE259" i="1"/>
  <c r="AD259" i="1"/>
  <c r="AC259" i="1"/>
  <c r="AB259" i="1"/>
  <c r="AA259" i="1"/>
  <c r="AI258" i="1"/>
  <c r="AJ258" i="1" s="1"/>
  <c r="AG258" i="1"/>
  <c r="AH258" i="1" s="1"/>
  <c r="AF258" i="1"/>
  <c r="AE258" i="1"/>
  <c r="AD258" i="1"/>
  <c r="AC258" i="1"/>
  <c r="AB258" i="1"/>
  <c r="AA258" i="1"/>
  <c r="O258" i="1"/>
  <c r="AI257" i="1"/>
  <c r="AJ257" i="1" s="1"/>
  <c r="AG257" i="1"/>
  <c r="AH257" i="1" s="1"/>
  <c r="AF257" i="1"/>
  <c r="AE257" i="1"/>
  <c r="AD257" i="1"/>
  <c r="AC257" i="1"/>
  <c r="AB257" i="1"/>
  <c r="AA257" i="1"/>
  <c r="O257" i="1"/>
  <c r="AI256" i="1"/>
  <c r="AJ256" i="1" s="1"/>
  <c r="AG256" i="1"/>
  <c r="AH256" i="1" s="1"/>
  <c r="AF256" i="1"/>
  <c r="AE256" i="1"/>
  <c r="AD256" i="1"/>
  <c r="AC256" i="1"/>
  <c r="AB256" i="1"/>
  <c r="AA256" i="1"/>
  <c r="O256" i="1"/>
  <c r="AI255" i="1"/>
  <c r="AJ255" i="1" s="1"/>
  <c r="AG255" i="1"/>
  <c r="AH255" i="1" s="1"/>
  <c r="AF255" i="1"/>
  <c r="AE255" i="1"/>
  <c r="AD255" i="1"/>
  <c r="AC255" i="1"/>
  <c r="AB255" i="1"/>
  <c r="AA255" i="1"/>
  <c r="O255" i="1"/>
  <c r="AI254" i="1"/>
  <c r="AJ254" i="1" s="1"/>
  <c r="AG254" i="1"/>
  <c r="AH254" i="1" s="1"/>
  <c r="AF254" i="1"/>
  <c r="AE254" i="1"/>
  <c r="AD254" i="1"/>
  <c r="AC254" i="1"/>
  <c r="AB254" i="1"/>
  <c r="AA254" i="1"/>
  <c r="O254" i="1"/>
  <c r="AI253" i="1"/>
  <c r="AJ253" i="1" s="1"/>
  <c r="AG253" i="1"/>
  <c r="AH253" i="1" s="1"/>
  <c r="AF253" i="1"/>
  <c r="AE253" i="1"/>
  <c r="AD253" i="1"/>
  <c r="AC253" i="1"/>
  <c r="AB253" i="1"/>
  <c r="AA253" i="1"/>
  <c r="AI252" i="1"/>
  <c r="AJ252" i="1" s="1"/>
  <c r="AG252" i="1"/>
  <c r="AH252" i="1" s="1"/>
  <c r="AF252" i="1"/>
  <c r="AE252" i="1"/>
  <c r="AD252" i="1"/>
  <c r="AC252" i="1"/>
  <c r="AB252" i="1"/>
  <c r="AA252" i="1"/>
  <c r="O252" i="1"/>
  <c r="AI251" i="1"/>
  <c r="AJ251" i="1" s="1"/>
  <c r="AG251" i="1"/>
  <c r="AH251" i="1" s="1"/>
  <c r="AF251" i="1"/>
  <c r="AE251" i="1"/>
  <c r="AD251" i="1"/>
  <c r="AC251" i="1"/>
  <c r="AB251" i="1"/>
  <c r="AA251" i="1"/>
  <c r="O251" i="1"/>
  <c r="AI250" i="1"/>
  <c r="AJ250" i="1" s="1"/>
  <c r="AG250" i="1"/>
  <c r="AH250" i="1" s="1"/>
  <c r="AF250" i="1"/>
  <c r="AE250" i="1"/>
  <c r="AD250" i="1"/>
  <c r="AC250" i="1"/>
  <c r="AB250" i="1"/>
  <c r="AA250" i="1"/>
  <c r="O250" i="1"/>
  <c r="AI249" i="1"/>
  <c r="AJ249" i="1" s="1"/>
  <c r="AG249" i="1"/>
  <c r="AH249" i="1" s="1"/>
  <c r="AF249" i="1"/>
  <c r="AE249" i="1"/>
  <c r="AD249" i="1"/>
  <c r="AC249" i="1"/>
  <c r="AB249" i="1"/>
  <c r="AA249" i="1"/>
  <c r="O249" i="1"/>
  <c r="K249" i="1"/>
  <c r="AI248" i="1"/>
  <c r="AJ248" i="1" s="1"/>
  <c r="AG248" i="1"/>
  <c r="AH248" i="1" s="1"/>
  <c r="AF248" i="1"/>
  <c r="AE248" i="1"/>
  <c r="AD248" i="1"/>
  <c r="AC248" i="1"/>
  <c r="AB248" i="1"/>
  <c r="AA248" i="1"/>
  <c r="O248" i="1"/>
  <c r="AI247" i="1"/>
  <c r="AJ247" i="1" s="1"/>
  <c r="AG247" i="1"/>
  <c r="AH247" i="1" s="1"/>
  <c r="AF247" i="1"/>
  <c r="AE247" i="1"/>
  <c r="AD247" i="1"/>
  <c r="AC247" i="1"/>
  <c r="AB247" i="1"/>
  <c r="AA247" i="1"/>
  <c r="O247" i="1"/>
  <c r="AI246" i="1"/>
  <c r="AJ246" i="1" s="1"/>
  <c r="AG246" i="1"/>
  <c r="AH246" i="1" s="1"/>
  <c r="AF246" i="1"/>
  <c r="AE246" i="1"/>
  <c r="AD246" i="1"/>
  <c r="AC246" i="1"/>
  <c r="AB246" i="1"/>
  <c r="AA246" i="1"/>
  <c r="O246" i="1"/>
  <c r="AI245" i="1"/>
  <c r="AJ245" i="1" s="1"/>
  <c r="AG245" i="1"/>
  <c r="AH245" i="1" s="1"/>
  <c r="AF245" i="1"/>
  <c r="AE245" i="1"/>
  <c r="AD245" i="1"/>
  <c r="AC245" i="1"/>
  <c r="AB245" i="1"/>
  <c r="AA245" i="1"/>
  <c r="O245" i="1"/>
  <c r="K245" i="1"/>
  <c r="AI244" i="1"/>
  <c r="AJ244" i="1" s="1"/>
  <c r="AG244" i="1"/>
  <c r="AH244" i="1" s="1"/>
  <c r="AF244" i="1"/>
  <c r="AE244" i="1"/>
  <c r="AD244" i="1"/>
  <c r="AC244" i="1"/>
  <c r="AB244" i="1"/>
  <c r="AA244" i="1"/>
  <c r="O244" i="1"/>
  <c r="AI243" i="1"/>
  <c r="AJ243" i="1" s="1"/>
  <c r="AG243" i="1"/>
  <c r="AH243" i="1" s="1"/>
  <c r="AF243" i="1"/>
  <c r="AE243" i="1"/>
  <c r="AD243" i="1"/>
  <c r="AC243" i="1"/>
  <c r="AB243" i="1"/>
  <c r="AA243" i="1"/>
  <c r="O243" i="1"/>
  <c r="AI242" i="1"/>
  <c r="AJ242" i="1" s="1"/>
  <c r="AG242" i="1"/>
  <c r="AH242" i="1" s="1"/>
  <c r="AF242" i="1"/>
  <c r="AE242" i="1"/>
  <c r="AD242" i="1"/>
  <c r="AC242" i="1"/>
  <c r="AB242" i="1"/>
  <c r="AA242" i="1"/>
  <c r="O242" i="1"/>
  <c r="AJ241" i="1"/>
  <c r="AI241" i="1"/>
  <c r="AG241" i="1"/>
  <c r="AH241" i="1" s="1"/>
  <c r="AF241" i="1"/>
  <c r="AE241" i="1"/>
  <c r="AD241" i="1"/>
  <c r="AC241" i="1"/>
  <c r="AB241" i="1"/>
  <c r="AA241" i="1"/>
  <c r="O241" i="1"/>
  <c r="AJ240" i="1"/>
  <c r="AI240" i="1"/>
  <c r="AG240" i="1"/>
  <c r="AH240" i="1" s="1"/>
  <c r="AF240" i="1"/>
  <c r="AE240" i="1"/>
  <c r="AD240" i="1"/>
  <c r="AC240" i="1"/>
  <c r="AB240" i="1"/>
  <c r="AA240" i="1"/>
  <c r="O240" i="1"/>
  <c r="AJ239" i="1"/>
  <c r="AI239" i="1"/>
  <c r="AG239" i="1"/>
  <c r="AH239" i="1" s="1"/>
  <c r="AF239" i="1"/>
  <c r="AE239" i="1"/>
  <c r="AD239" i="1"/>
  <c r="AC239" i="1"/>
  <c r="AB239" i="1"/>
  <c r="AA239" i="1"/>
  <c r="O239" i="1"/>
  <c r="AI238" i="1"/>
  <c r="AJ238" i="1" s="1"/>
  <c r="AG238" i="1"/>
  <c r="AH238" i="1" s="1"/>
  <c r="AF238" i="1"/>
  <c r="AE238" i="1"/>
  <c r="AD238" i="1"/>
  <c r="AC238" i="1"/>
  <c r="AB238" i="1"/>
  <c r="AA238" i="1"/>
  <c r="O238" i="1"/>
  <c r="AI237" i="1"/>
  <c r="AJ237" i="1" s="1"/>
  <c r="AG237" i="1"/>
  <c r="AH237" i="1" s="1"/>
  <c r="AF237" i="1"/>
  <c r="AE237" i="1"/>
  <c r="AD237" i="1"/>
  <c r="AC237" i="1"/>
  <c r="AB237" i="1"/>
  <c r="AA237" i="1"/>
  <c r="O237" i="1"/>
  <c r="AI236" i="1"/>
  <c r="AJ236" i="1" s="1"/>
  <c r="AG236" i="1"/>
  <c r="AH236" i="1" s="1"/>
  <c r="AF236" i="1"/>
  <c r="AE236" i="1"/>
  <c r="AD236" i="1"/>
  <c r="AC236" i="1"/>
  <c r="AB236" i="1"/>
  <c r="AA236" i="1"/>
  <c r="O236" i="1"/>
  <c r="AI235" i="1"/>
  <c r="AJ235" i="1" s="1"/>
  <c r="AG235" i="1"/>
  <c r="AH235" i="1" s="1"/>
  <c r="AF235" i="1"/>
  <c r="AE235" i="1"/>
  <c r="AD235" i="1"/>
  <c r="AC235" i="1"/>
  <c r="AB235" i="1"/>
  <c r="AA235" i="1"/>
  <c r="O235" i="1"/>
  <c r="AI234" i="1"/>
  <c r="AJ234" i="1" s="1"/>
  <c r="AG234" i="1"/>
  <c r="AH234" i="1" s="1"/>
  <c r="AF234" i="1"/>
  <c r="AE234" i="1"/>
  <c r="AD234" i="1"/>
  <c r="AC234" i="1"/>
  <c r="AB234" i="1"/>
  <c r="AA234" i="1"/>
  <c r="O234" i="1"/>
  <c r="AI233" i="1"/>
  <c r="AJ233" i="1" s="1"/>
  <c r="AG233" i="1"/>
  <c r="AH233" i="1" s="1"/>
  <c r="AF233" i="1"/>
  <c r="AE233" i="1"/>
  <c r="AD233" i="1"/>
  <c r="AC233" i="1"/>
  <c r="AB233" i="1"/>
  <c r="AA233" i="1"/>
  <c r="O233" i="1"/>
  <c r="AJ232" i="1"/>
  <c r="AI232" i="1"/>
  <c r="AG232" i="1"/>
  <c r="AH232" i="1" s="1"/>
  <c r="AF232" i="1"/>
  <c r="AE232" i="1"/>
  <c r="AD232" i="1"/>
  <c r="AC232" i="1"/>
  <c r="AB232" i="1"/>
  <c r="AA232" i="1"/>
  <c r="O232" i="1"/>
  <c r="AI231" i="1"/>
  <c r="AJ231" i="1" s="1"/>
  <c r="AG231" i="1"/>
  <c r="AH231" i="1" s="1"/>
  <c r="AF231" i="1"/>
  <c r="AE231" i="1"/>
  <c r="AD231" i="1"/>
  <c r="AC231" i="1"/>
  <c r="AB231" i="1"/>
  <c r="AA231" i="1"/>
  <c r="O231" i="1"/>
  <c r="AI230" i="1"/>
  <c r="AJ230" i="1" s="1"/>
  <c r="AG230" i="1"/>
  <c r="AH230" i="1" s="1"/>
  <c r="AF230" i="1"/>
  <c r="AE230" i="1"/>
  <c r="AD230" i="1"/>
  <c r="AC230" i="1"/>
  <c r="AB230" i="1"/>
  <c r="AA230" i="1"/>
  <c r="O230" i="1"/>
  <c r="AI229" i="1"/>
  <c r="AJ229" i="1" s="1"/>
  <c r="AG229" i="1"/>
  <c r="AH229" i="1" s="1"/>
  <c r="AF229" i="1"/>
  <c r="AE229" i="1"/>
  <c r="AD229" i="1"/>
  <c r="AC229" i="1"/>
  <c r="AB229" i="1"/>
  <c r="AA229" i="1"/>
  <c r="O229" i="1"/>
  <c r="AI228" i="1"/>
  <c r="AJ228" i="1" s="1"/>
  <c r="AG228" i="1"/>
  <c r="AH228" i="1" s="1"/>
  <c r="AF228" i="1"/>
  <c r="AE228" i="1"/>
  <c r="AD228" i="1"/>
  <c r="AC228" i="1"/>
  <c r="AB228" i="1"/>
  <c r="AA228" i="1"/>
  <c r="O228" i="1"/>
  <c r="L228" i="1"/>
  <c r="AI227" i="1"/>
  <c r="AJ227" i="1" s="1"/>
  <c r="AG227" i="1"/>
  <c r="AH227" i="1" s="1"/>
  <c r="AF227" i="1"/>
  <c r="AE227" i="1"/>
  <c r="AD227" i="1"/>
  <c r="AC227" i="1"/>
  <c r="AB227" i="1"/>
  <c r="AA227" i="1"/>
  <c r="O227" i="1"/>
  <c r="J227" i="1"/>
  <c r="AI226" i="1"/>
  <c r="AJ226" i="1" s="1"/>
  <c r="AG226" i="1"/>
  <c r="AH226" i="1" s="1"/>
  <c r="AF226" i="1"/>
  <c r="AE226" i="1"/>
  <c r="AD226" i="1"/>
  <c r="AC226" i="1"/>
  <c r="AB226" i="1"/>
  <c r="AA226" i="1"/>
  <c r="O226" i="1"/>
  <c r="AI225" i="1"/>
  <c r="AJ225" i="1" s="1"/>
  <c r="AG225" i="1"/>
  <c r="AH225" i="1" s="1"/>
  <c r="AF225" i="1"/>
  <c r="AE225" i="1"/>
  <c r="AD225" i="1"/>
  <c r="AC225" i="1"/>
  <c r="AB225" i="1"/>
  <c r="AA225" i="1"/>
  <c r="AI224" i="1"/>
  <c r="AJ224" i="1" s="1"/>
  <c r="AG224" i="1"/>
  <c r="AH224" i="1" s="1"/>
  <c r="AF224" i="1"/>
  <c r="AE224" i="1"/>
  <c r="AD224" i="1"/>
  <c r="AC224" i="1"/>
  <c r="AB224" i="1"/>
  <c r="AA224" i="1"/>
  <c r="O224" i="1"/>
  <c r="AI223" i="1"/>
  <c r="AJ223" i="1" s="1"/>
  <c r="AG223" i="1"/>
  <c r="AH223" i="1" s="1"/>
  <c r="AF223" i="1"/>
  <c r="AE223" i="1"/>
  <c r="AD223" i="1"/>
  <c r="AC223" i="1"/>
  <c r="AB223" i="1"/>
  <c r="AA223" i="1"/>
  <c r="O223" i="1"/>
  <c r="AI222" i="1"/>
  <c r="AJ222" i="1" s="1"/>
  <c r="AG222" i="1"/>
  <c r="AH222" i="1" s="1"/>
  <c r="AF222" i="1"/>
  <c r="AE222" i="1"/>
  <c r="AD222" i="1"/>
  <c r="AC222" i="1"/>
  <c r="AB222" i="1"/>
  <c r="AA222" i="1"/>
  <c r="O222" i="1"/>
  <c r="AI221" i="1"/>
  <c r="AJ221" i="1" s="1"/>
  <c r="AG221" i="1"/>
  <c r="AH221" i="1" s="1"/>
  <c r="AF221" i="1"/>
  <c r="AE221" i="1"/>
  <c r="AD221" i="1"/>
  <c r="AC221" i="1"/>
  <c r="AB221" i="1"/>
  <c r="AA221" i="1"/>
  <c r="O221" i="1"/>
  <c r="AJ220" i="1"/>
  <c r="AI220" i="1"/>
  <c r="AG220" i="1"/>
  <c r="AH220" i="1" s="1"/>
  <c r="AF220" i="1"/>
  <c r="AE220" i="1"/>
  <c r="AD220" i="1"/>
  <c r="AC220" i="1"/>
  <c r="AB220" i="1"/>
  <c r="AA220" i="1"/>
  <c r="O220" i="1"/>
  <c r="AI219" i="1"/>
  <c r="AJ219" i="1" s="1"/>
  <c r="AG219" i="1"/>
  <c r="AH219" i="1" s="1"/>
  <c r="AF219" i="1"/>
  <c r="AE219" i="1"/>
  <c r="AD219" i="1"/>
  <c r="AC219" i="1"/>
  <c r="AB219" i="1"/>
  <c r="AA219" i="1"/>
  <c r="O219" i="1"/>
  <c r="AI218" i="1"/>
  <c r="AJ218" i="1" s="1"/>
  <c r="AG218" i="1"/>
  <c r="AH218" i="1" s="1"/>
  <c r="AF218" i="1"/>
  <c r="AE218" i="1"/>
  <c r="AD218" i="1"/>
  <c r="AC218" i="1"/>
  <c r="AB218" i="1"/>
  <c r="AA218" i="1"/>
  <c r="O218" i="1"/>
  <c r="AI217" i="1"/>
  <c r="AJ217" i="1" s="1"/>
  <c r="AG217" i="1"/>
  <c r="AH217" i="1" s="1"/>
  <c r="AF217" i="1"/>
  <c r="AE217" i="1"/>
  <c r="AD217" i="1"/>
  <c r="AC217" i="1"/>
  <c r="AB217" i="1"/>
  <c r="AA217" i="1"/>
  <c r="O217" i="1"/>
  <c r="AI216" i="1"/>
  <c r="AJ216" i="1" s="1"/>
  <c r="AG216" i="1"/>
  <c r="AH216" i="1" s="1"/>
  <c r="AF216" i="1"/>
  <c r="AE216" i="1"/>
  <c r="AD216" i="1"/>
  <c r="AC216" i="1"/>
  <c r="AB216" i="1"/>
  <c r="AA216" i="1"/>
  <c r="O216" i="1"/>
  <c r="J216" i="1"/>
  <c r="AI215" i="1"/>
  <c r="AJ215" i="1" s="1"/>
  <c r="AG215" i="1"/>
  <c r="AH215" i="1" s="1"/>
  <c r="AF215" i="1"/>
  <c r="AE215" i="1"/>
  <c r="AD215" i="1"/>
  <c r="AC215" i="1"/>
  <c r="AB215" i="1"/>
  <c r="AA215" i="1"/>
  <c r="O215" i="1"/>
  <c r="AI214" i="1"/>
  <c r="AJ214" i="1" s="1"/>
  <c r="AG214" i="1"/>
  <c r="AH214" i="1" s="1"/>
  <c r="AF214" i="1"/>
  <c r="AE214" i="1"/>
  <c r="AD214" i="1"/>
  <c r="AC214" i="1"/>
  <c r="AB214" i="1"/>
  <c r="AA214" i="1"/>
  <c r="O214" i="1"/>
  <c r="AI213" i="1"/>
  <c r="AJ213" i="1" s="1"/>
  <c r="AG213" i="1"/>
  <c r="AH213" i="1" s="1"/>
  <c r="AF213" i="1"/>
  <c r="AE213" i="1"/>
  <c r="AD213" i="1"/>
  <c r="AC213" i="1"/>
  <c r="AB213" i="1"/>
  <c r="AA213" i="1"/>
  <c r="O213" i="1"/>
  <c r="AI212" i="1"/>
  <c r="AJ212" i="1" s="1"/>
  <c r="AG212" i="1"/>
  <c r="AH212" i="1" s="1"/>
  <c r="AF212" i="1"/>
  <c r="AE212" i="1"/>
  <c r="AD212" i="1"/>
  <c r="AC212" i="1"/>
  <c r="AB212" i="1"/>
  <c r="AA212" i="1"/>
  <c r="O212" i="1"/>
  <c r="AI211" i="1"/>
  <c r="AJ211" i="1" s="1"/>
  <c r="AG211" i="1"/>
  <c r="AH211" i="1" s="1"/>
  <c r="AF211" i="1"/>
  <c r="AE211" i="1"/>
  <c r="AD211" i="1"/>
  <c r="AC211" i="1"/>
  <c r="AB211" i="1"/>
  <c r="AA211" i="1"/>
  <c r="O211" i="1"/>
  <c r="AI210" i="1"/>
  <c r="AJ210" i="1" s="1"/>
  <c r="AH210" i="1"/>
  <c r="AG210" i="1"/>
  <c r="AF210" i="1"/>
  <c r="AE210" i="1"/>
  <c r="AD210" i="1"/>
  <c r="AC210" i="1"/>
  <c r="AB210" i="1"/>
  <c r="AA210" i="1"/>
  <c r="O210" i="1"/>
  <c r="AI209" i="1"/>
  <c r="AJ209" i="1" s="1"/>
  <c r="AG209" i="1"/>
  <c r="AH209" i="1" s="1"/>
  <c r="AF209" i="1"/>
  <c r="AE209" i="1"/>
  <c r="AD209" i="1"/>
  <c r="AC209" i="1"/>
  <c r="AB209" i="1"/>
  <c r="AA209" i="1"/>
  <c r="O209" i="1"/>
  <c r="AI208" i="1"/>
  <c r="AJ208" i="1" s="1"/>
  <c r="AG208" i="1"/>
  <c r="AH208" i="1" s="1"/>
  <c r="AF208" i="1"/>
  <c r="AE208" i="1"/>
  <c r="AD208" i="1"/>
  <c r="AC208" i="1"/>
  <c r="AB208" i="1"/>
  <c r="AA208" i="1"/>
  <c r="O208" i="1"/>
  <c r="AI207" i="1"/>
  <c r="AJ207" i="1" s="1"/>
  <c r="AG207" i="1"/>
  <c r="AH207" i="1" s="1"/>
  <c r="AF207" i="1"/>
  <c r="AE207" i="1"/>
  <c r="AD207" i="1"/>
  <c r="AC207" i="1"/>
  <c r="AB207" i="1"/>
  <c r="AA207" i="1"/>
  <c r="O207" i="1"/>
  <c r="AI206" i="1"/>
  <c r="AJ206" i="1" s="1"/>
  <c r="AG206" i="1"/>
  <c r="AH206" i="1" s="1"/>
  <c r="AF206" i="1"/>
  <c r="AE206" i="1"/>
  <c r="AD206" i="1"/>
  <c r="AC206" i="1"/>
  <c r="AB206" i="1"/>
  <c r="AA206" i="1"/>
  <c r="O206" i="1"/>
  <c r="AI205" i="1"/>
  <c r="AJ205" i="1" s="1"/>
  <c r="AG205" i="1"/>
  <c r="AH205" i="1" s="1"/>
  <c r="AF205" i="1"/>
  <c r="AE205" i="1"/>
  <c r="AD205" i="1"/>
  <c r="AC205" i="1"/>
  <c r="AB205" i="1"/>
  <c r="AA205" i="1"/>
  <c r="K205" i="1"/>
  <c r="AI204" i="1"/>
  <c r="AJ204" i="1" s="1"/>
  <c r="AH204" i="1"/>
  <c r="AG204" i="1"/>
  <c r="AF204" i="1"/>
  <c r="AE204" i="1"/>
  <c r="AD204" i="1"/>
  <c r="AC204" i="1"/>
  <c r="AB204" i="1"/>
  <c r="AA204" i="1"/>
  <c r="O204" i="1"/>
  <c r="AI203" i="1"/>
  <c r="AJ203" i="1" s="1"/>
  <c r="AG203" i="1"/>
  <c r="AH203" i="1" s="1"/>
  <c r="AF203" i="1"/>
  <c r="AE203" i="1"/>
  <c r="AD203" i="1"/>
  <c r="AC203" i="1"/>
  <c r="AB203" i="1"/>
  <c r="AA203" i="1"/>
  <c r="O203" i="1"/>
  <c r="AI202" i="1"/>
  <c r="AJ202" i="1" s="1"/>
  <c r="AG202" i="1"/>
  <c r="AH202" i="1" s="1"/>
  <c r="AF202" i="1"/>
  <c r="AE202" i="1"/>
  <c r="AD202" i="1"/>
  <c r="AC202" i="1"/>
  <c r="AB202" i="1"/>
  <c r="AA202" i="1"/>
  <c r="O202" i="1"/>
  <c r="AI201" i="1"/>
  <c r="AJ201" i="1" s="1"/>
  <c r="AG201" i="1"/>
  <c r="AH201" i="1" s="1"/>
  <c r="AF201" i="1"/>
  <c r="AE201" i="1"/>
  <c r="AD201" i="1"/>
  <c r="AC201" i="1"/>
  <c r="AB201" i="1"/>
  <c r="AA201" i="1"/>
  <c r="O201" i="1"/>
  <c r="AI200" i="1"/>
  <c r="AJ200" i="1" s="1"/>
  <c r="AG200" i="1"/>
  <c r="AH200" i="1" s="1"/>
  <c r="AF200" i="1"/>
  <c r="AE200" i="1"/>
  <c r="AD200" i="1"/>
  <c r="AC200" i="1"/>
  <c r="AB200" i="1"/>
  <c r="AA200" i="1"/>
  <c r="O200" i="1"/>
  <c r="AI199" i="1"/>
  <c r="AJ199" i="1" s="1"/>
  <c r="AG199" i="1"/>
  <c r="AH199" i="1" s="1"/>
  <c r="AF199" i="1"/>
  <c r="AE199" i="1"/>
  <c r="AD199" i="1"/>
  <c r="AC199" i="1"/>
  <c r="AB199" i="1"/>
  <c r="AA199" i="1"/>
  <c r="O199" i="1"/>
  <c r="AI198" i="1"/>
  <c r="AJ198" i="1" s="1"/>
  <c r="AG198" i="1"/>
  <c r="AH198" i="1" s="1"/>
  <c r="AF198" i="1"/>
  <c r="AE198" i="1"/>
  <c r="AD198" i="1"/>
  <c r="AC198" i="1"/>
  <c r="AB198" i="1"/>
  <c r="AA198" i="1"/>
  <c r="O198" i="1"/>
  <c r="AI197" i="1"/>
  <c r="AJ197" i="1" s="1"/>
  <c r="AG197" i="1"/>
  <c r="AH197" i="1" s="1"/>
  <c r="AF197" i="1"/>
  <c r="AE197" i="1"/>
  <c r="AD197" i="1"/>
  <c r="AC197" i="1"/>
  <c r="AB197" i="1"/>
  <c r="AA197" i="1"/>
  <c r="O197" i="1"/>
  <c r="K197" i="1"/>
  <c r="AI196" i="1"/>
  <c r="AJ196" i="1" s="1"/>
  <c r="AG196" i="1"/>
  <c r="AH196" i="1" s="1"/>
  <c r="AF196" i="1"/>
  <c r="AE196" i="1"/>
  <c r="AD196" i="1"/>
  <c r="AC196" i="1"/>
  <c r="AB196" i="1"/>
  <c r="AA196" i="1"/>
  <c r="O196" i="1"/>
  <c r="AI195" i="1"/>
  <c r="AJ195" i="1" s="1"/>
  <c r="AG195" i="1"/>
  <c r="AH195" i="1" s="1"/>
  <c r="AF195" i="1"/>
  <c r="AE195" i="1"/>
  <c r="AD195" i="1"/>
  <c r="AC195" i="1"/>
  <c r="AB195" i="1"/>
  <c r="AA195" i="1"/>
  <c r="O195" i="1"/>
  <c r="AI194" i="1"/>
  <c r="AJ194" i="1" s="1"/>
  <c r="AG194" i="1"/>
  <c r="AH194" i="1" s="1"/>
  <c r="AF194" i="1"/>
  <c r="AE194" i="1"/>
  <c r="AD194" i="1"/>
  <c r="AC194" i="1"/>
  <c r="AB194" i="1"/>
  <c r="AA194" i="1"/>
  <c r="O194" i="1"/>
  <c r="AI193" i="1"/>
  <c r="AJ193" i="1" s="1"/>
  <c r="AG193" i="1"/>
  <c r="AH193" i="1" s="1"/>
  <c r="AF193" i="1"/>
  <c r="AE193" i="1"/>
  <c r="AD193" i="1"/>
  <c r="AC193" i="1"/>
  <c r="AB193" i="1"/>
  <c r="AA193" i="1"/>
  <c r="O193" i="1"/>
  <c r="AI192" i="1"/>
  <c r="AJ192" i="1" s="1"/>
  <c r="AG192" i="1"/>
  <c r="AH192" i="1" s="1"/>
  <c r="AF192" i="1"/>
  <c r="AE192" i="1"/>
  <c r="AD192" i="1"/>
  <c r="AC192" i="1"/>
  <c r="AB192" i="1"/>
  <c r="AA192" i="1"/>
  <c r="O192" i="1"/>
  <c r="AJ191" i="1"/>
  <c r="AI191" i="1"/>
  <c r="AG191" i="1"/>
  <c r="AH191" i="1" s="1"/>
  <c r="AF191" i="1"/>
  <c r="AE191" i="1"/>
  <c r="AD191" i="1"/>
  <c r="AC191" i="1"/>
  <c r="AB191" i="1"/>
  <c r="AA191" i="1"/>
  <c r="O191" i="1"/>
  <c r="AI190" i="1"/>
  <c r="AJ190" i="1" s="1"/>
  <c r="AG190" i="1"/>
  <c r="AH190" i="1" s="1"/>
  <c r="AF190" i="1"/>
  <c r="AE190" i="1"/>
  <c r="AD190" i="1"/>
  <c r="AC190" i="1"/>
  <c r="AB190" i="1"/>
  <c r="AA190" i="1"/>
  <c r="O190" i="1"/>
  <c r="AI189" i="1"/>
  <c r="AJ189" i="1" s="1"/>
  <c r="AG189" i="1"/>
  <c r="AH189" i="1" s="1"/>
  <c r="AF189" i="1"/>
  <c r="AE189" i="1"/>
  <c r="AD189" i="1"/>
  <c r="AC189" i="1"/>
  <c r="AB189" i="1"/>
  <c r="AA189" i="1"/>
  <c r="O189" i="1"/>
  <c r="AI188" i="1"/>
  <c r="AJ188" i="1" s="1"/>
  <c r="AG188" i="1"/>
  <c r="AH188" i="1" s="1"/>
  <c r="AF188" i="1"/>
  <c r="AE188" i="1"/>
  <c r="AD188" i="1"/>
  <c r="AC188" i="1"/>
  <c r="AB188" i="1"/>
  <c r="AA188" i="1"/>
  <c r="O188" i="1"/>
  <c r="AI187" i="1"/>
  <c r="AJ187" i="1" s="1"/>
  <c r="AG187" i="1"/>
  <c r="AH187" i="1" s="1"/>
  <c r="AF187" i="1"/>
  <c r="AE187" i="1"/>
  <c r="AD187" i="1"/>
  <c r="AC187" i="1"/>
  <c r="AB187" i="1"/>
  <c r="AA187" i="1"/>
  <c r="O187" i="1"/>
  <c r="AI186" i="1"/>
  <c r="AJ186" i="1" s="1"/>
  <c r="AG186" i="1"/>
  <c r="AH186" i="1" s="1"/>
  <c r="AF186" i="1"/>
  <c r="AE186" i="1"/>
  <c r="AD186" i="1"/>
  <c r="AC186" i="1"/>
  <c r="AB186" i="1"/>
  <c r="AA186" i="1"/>
  <c r="O186" i="1"/>
  <c r="AI185" i="1"/>
  <c r="AJ185" i="1" s="1"/>
  <c r="AG185" i="1"/>
  <c r="AH185" i="1" s="1"/>
  <c r="AF185" i="1"/>
  <c r="AE185" i="1"/>
  <c r="AD185" i="1"/>
  <c r="AC185" i="1"/>
  <c r="AB185" i="1"/>
  <c r="AA185" i="1"/>
  <c r="O185" i="1"/>
  <c r="AI184" i="1"/>
  <c r="AJ184" i="1" s="1"/>
  <c r="AG184" i="1"/>
  <c r="AH184" i="1" s="1"/>
  <c r="AF184" i="1"/>
  <c r="AE184" i="1"/>
  <c r="AD184" i="1"/>
  <c r="AC184" i="1"/>
  <c r="AB184" i="1"/>
  <c r="AA184" i="1"/>
  <c r="AI183" i="1"/>
  <c r="AJ183" i="1" s="1"/>
  <c r="AG183" i="1"/>
  <c r="AH183" i="1" s="1"/>
  <c r="AF183" i="1"/>
  <c r="AE183" i="1"/>
  <c r="AD183" i="1"/>
  <c r="AC183" i="1"/>
  <c r="AB183" i="1"/>
  <c r="AA183" i="1"/>
  <c r="O183" i="1"/>
  <c r="AI182" i="1"/>
  <c r="AJ182" i="1" s="1"/>
  <c r="AG182" i="1"/>
  <c r="AH182" i="1" s="1"/>
  <c r="AF182" i="1"/>
  <c r="AE182" i="1"/>
  <c r="AD182" i="1"/>
  <c r="AC182" i="1"/>
  <c r="AB182" i="1"/>
  <c r="AA182" i="1"/>
  <c r="O182" i="1"/>
  <c r="AI181" i="1"/>
  <c r="AJ181" i="1" s="1"/>
  <c r="AG181" i="1"/>
  <c r="AH181" i="1" s="1"/>
  <c r="AF181" i="1"/>
  <c r="AE181" i="1"/>
  <c r="AD181" i="1"/>
  <c r="AC181" i="1"/>
  <c r="AB181" i="1"/>
  <c r="AA181" i="1"/>
  <c r="O181" i="1"/>
  <c r="AI180" i="1"/>
  <c r="AJ180" i="1" s="1"/>
  <c r="AH180" i="1"/>
  <c r="AG180" i="1"/>
  <c r="AF180" i="1"/>
  <c r="AE180" i="1"/>
  <c r="AD180" i="1"/>
  <c r="AC180" i="1"/>
  <c r="AB180" i="1"/>
  <c r="AA180" i="1"/>
  <c r="O180" i="1"/>
  <c r="AI179" i="1"/>
  <c r="AJ179" i="1" s="1"/>
  <c r="AG179" i="1"/>
  <c r="AH179" i="1" s="1"/>
  <c r="AF179" i="1"/>
  <c r="AE179" i="1"/>
  <c r="AD179" i="1"/>
  <c r="AC179" i="1"/>
  <c r="AB179" i="1"/>
  <c r="AA179" i="1"/>
  <c r="O179" i="1"/>
  <c r="AI178" i="1"/>
  <c r="AJ178" i="1" s="1"/>
  <c r="AG178" i="1"/>
  <c r="AH178" i="1" s="1"/>
  <c r="AF178" i="1"/>
  <c r="AE178" i="1"/>
  <c r="AD178" i="1"/>
  <c r="AC178" i="1"/>
  <c r="AB178" i="1"/>
  <c r="AA178" i="1"/>
  <c r="J178" i="1"/>
  <c r="AI177" i="1"/>
  <c r="AJ177" i="1" s="1"/>
  <c r="AG177" i="1"/>
  <c r="AH177" i="1" s="1"/>
  <c r="AF177" i="1"/>
  <c r="AE177" i="1"/>
  <c r="AD177" i="1"/>
  <c r="AC177" i="1"/>
  <c r="AB177" i="1"/>
  <c r="AA177" i="1"/>
  <c r="O177" i="1"/>
  <c r="AI176" i="1"/>
  <c r="AJ176" i="1" s="1"/>
  <c r="AG176" i="1"/>
  <c r="AH176" i="1" s="1"/>
  <c r="AF176" i="1"/>
  <c r="AE176" i="1"/>
  <c r="AD176" i="1"/>
  <c r="AC176" i="1"/>
  <c r="AB176" i="1"/>
  <c r="AA176" i="1"/>
  <c r="O176" i="1"/>
  <c r="AI175" i="1"/>
  <c r="AJ175" i="1" s="1"/>
  <c r="AG175" i="1"/>
  <c r="AH175" i="1" s="1"/>
  <c r="AF175" i="1"/>
  <c r="AE175" i="1"/>
  <c r="AD175" i="1"/>
  <c r="AC175" i="1"/>
  <c r="AB175" i="1"/>
  <c r="AA175" i="1"/>
  <c r="AI174" i="1"/>
  <c r="AJ174" i="1" s="1"/>
  <c r="AG174" i="1"/>
  <c r="AH174" i="1" s="1"/>
  <c r="AF174" i="1"/>
  <c r="AE174" i="1"/>
  <c r="AD174" i="1"/>
  <c r="AC174" i="1"/>
  <c r="AB174" i="1"/>
  <c r="AA174" i="1"/>
  <c r="O174" i="1"/>
  <c r="AI173" i="1"/>
  <c r="AJ173" i="1" s="1"/>
  <c r="AG173" i="1"/>
  <c r="AH173" i="1" s="1"/>
  <c r="AF173" i="1"/>
  <c r="AE173" i="1"/>
  <c r="AD173" i="1"/>
  <c r="AC173" i="1"/>
  <c r="AB173" i="1"/>
  <c r="AA173" i="1"/>
  <c r="AI172" i="1"/>
  <c r="AJ172" i="1" s="1"/>
  <c r="AH172" i="1"/>
  <c r="AG172" i="1"/>
  <c r="AF172" i="1"/>
  <c r="AE172" i="1"/>
  <c r="AD172" i="1"/>
  <c r="AC172" i="1"/>
  <c r="AB172" i="1"/>
  <c r="AA172" i="1"/>
  <c r="O172" i="1"/>
  <c r="AI171" i="1"/>
  <c r="AJ171" i="1" s="1"/>
  <c r="AG171" i="1"/>
  <c r="AH171" i="1" s="1"/>
  <c r="AF171" i="1"/>
  <c r="AE171" i="1"/>
  <c r="AD171" i="1"/>
  <c r="AC171" i="1"/>
  <c r="AB171" i="1"/>
  <c r="AA171" i="1"/>
  <c r="O171" i="1"/>
  <c r="AI170" i="1"/>
  <c r="AJ170" i="1" s="1"/>
  <c r="AG170" i="1"/>
  <c r="AH170" i="1" s="1"/>
  <c r="AF170" i="1"/>
  <c r="AE170" i="1"/>
  <c r="AD170" i="1"/>
  <c r="AC170" i="1"/>
  <c r="AB170" i="1"/>
  <c r="AA170" i="1"/>
  <c r="AI169" i="1"/>
  <c r="AJ169" i="1" s="1"/>
  <c r="AG169" i="1"/>
  <c r="AH169" i="1" s="1"/>
  <c r="AF169" i="1"/>
  <c r="AE169" i="1"/>
  <c r="AD169" i="1"/>
  <c r="AC169" i="1"/>
  <c r="AB169" i="1"/>
  <c r="AA169" i="1"/>
  <c r="AI168" i="1"/>
  <c r="AJ168" i="1" s="1"/>
  <c r="AG168" i="1"/>
  <c r="AH168" i="1" s="1"/>
  <c r="AF168" i="1"/>
  <c r="AE168" i="1"/>
  <c r="AD168" i="1"/>
  <c r="AC168" i="1"/>
  <c r="AB168" i="1"/>
  <c r="AA168" i="1"/>
  <c r="AI167" i="1"/>
  <c r="AJ167" i="1" s="1"/>
  <c r="AG167" i="1"/>
  <c r="AH167" i="1" s="1"/>
  <c r="AF167" i="1"/>
  <c r="AE167" i="1"/>
  <c r="AD167" i="1"/>
  <c r="AC167" i="1"/>
  <c r="AB167" i="1"/>
  <c r="AA167" i="1"/>
  <c r="O167" i="1"/>
  <c r="AI166" i="1"/>
  <c r="AJ166" i="1" s="1"/>
  <c r="AG166" i="1"/>
  <c r="AH166" i="1" s="1"/>
  <c r="AF166" i="1"/>
  <c r="AE166" i="1"/>
  <c r="AD166" i="1"/>
  <c r="AC166" i="1"/>
  <c r="AB166" i="1"/>
  <c r="AA166" i="1"/>
  <c r="AI165" i="1"/>
  <c r="AJ165" i="1" s="1"/>
  <c r="AG165" i="1"/>
  <c r="AH165" i="1" s="1"/>
  <c r="AF165" i="1"/>
  <c r="AE165" i="1"/>
  <c r="AD165" i="1"/>
  <c r="AC165" i="1"/>
  <c r="AB165" i="1"/>
  <c r="AA165" i="1"/>
  <c r="AI164" i="1"/>
  <c r="AJ164" i="1" s="1"/>
  <c r="AG164" i="1"/>
  <c r="AH164" i="1" s="1"/>
  <c r="AF164" i="1"/>
  <c r="AE164" i="1"/>
  <c r="AD164" i="1"/>
  <c r="AC164" i="1"/>
  <c r="AB164" i="1"/>
  <c r="AA164" i="1"/>
  <c r="O164" i="1"/>
  <c r="K164" i="1"/>
  <c r="AI163" i="1"/>
  <c r="AJ163" i="1" s="1"/>
  <c r="AG163" i="1"/>
  <c r="AH163" i="1" s="1"/>
  <c r="AF163" i="1"/>
  <c r="AE163" i="1"/>
  <c r="AD163" i="1"/>
  <c r="AC163" i="1"/>
  <c r="AB163" i="1"/>
  <c r="AA163" i="1"/>
  <c r="O163" i="1"/>
  <c r="AJ162" i="1"/>
  <c r="AI162" i="1"/>
  <c r="AG162" i="1"/>
  <c r="AH162" i="1" s="1"/>
  <c r="AF162" i="1"/>
  <c r="AE162" i="1"/>
  <c r="AD162" i="1"/>
  <c r="AC162" i="1"/>
  <c r="AB162" i="1"/>
  <c r="AA162" i="1"/>
  <c r="O162" i="1"/>
  <c r="AI161" i="1"/>
  <c r="AJ161" i="1" s="1"/>
  <c r="AG161" i="1"/>
  <c r="AH161" i="1" s="1"/>
  <c r="AF161" i="1"/>
  <c r="AE161" i="1"/>
  <c r="AD161" i="1"/>
  <c r="AC161" i="1"/>
  <c r="AB161" i="1"/>
  <c r="AA161" i="1"/>
  <c r="O161" i="1"/>
  <c r="AI160" i="1"/>
  <c r="AJ160" i="1" s="1"/>
  <c r="AG160" i="1"/>
  <c r="AH160" i="1" s="1"/>
  <c r="AF160" i="1"/>
  <c r="AE160" i="1"/>
  <c r="AD160" i="1"/>
  <c r="AC160" i="1"/>
  <c r="AB160" i="1"/>
  <c r="AA160" i="1"/>
  <c r="AI159" i="1"/>
  <c r="AJ159" i="1" s="1"/>
  <c r="AH159" i="1"/>
  <c r="AG159" i="1"/>
  <c r="AF159" i="1"/>
  <c r="AE159" i="1"/>
  <c r="AD159" i="1"/>
  <c r="AC159" i="1"/>
  <c r="AB159" i="1"/>
  <c r="AA159" i="1"/>
  <c r="O159" i="1"/>
  <c r="AI158" i="1"/>
  <c r="AJ158" i="1" s="1"/>
  <c r="AG158" i="1"/>
  <c r="AH158" i="1" s="1"/>
  <c r="AF158" i="1"/>
  <c r="AE158" i="1"/>
  <c r="AD158" i="1"/>
  <c r="AC158" i="1"/>
  <c r="AB158" i="1"/>
  <c r="AA158" i="1"/>
  <c r="O158" i="1"/>
  <c r="AI157" i="1"/>
  <c r="AJ157" i="1" s="1"/>
  <c r="AG157" i="1"/>
  <c r="AH157" i="1" s="1"/>
  <c r="AF157" i="1"/>
  <c r="AE157" i="1"/>
  <c r="AD157" i="1"/>
  <c r="AC157" i="1"/>
  <c r="AB157" i="1"/>
  <c r="AA157" i="1"/>
  <c r="O157" i="1"/>
  <c r="AI156" i="1"/>
  <c r="AJ156" i="1" s="1"/>
  <c r="AG156" i="1"/>
  <c r="AH156" i="1" s="1"/>
  <c r="AF156" i="1"/>
  <c r="AE156" i="1"/>
  <c r="AD156" i="1"/>
  <c r="AC156" i="1"/>
  <c r="AB156" i="1"/>
  <c r="AA156" i="1"/>
  <c r="O156" i="1"/>
  <c r="AI155" i="1"/>
  <c r="AJ155" i="1" s="1"/>
  <c r="AG155" i="1"/>
  <c r="AH155" i="1" s="1"/>
  <c r="AF155" i="1"/>
  <c r="AE155" i="1"/>
  <c r="AD155" i="1"/>
  <c r="AC155" i="1"/>
  <c r="AB155" i="1"/>
  <c r="AA155" i="1"/>
  <c r="O155" i="1"/>
  <c r="AJ154" i="1"/>
  <c r="AI154" i="1"/>
  <c r="AG154" i="1"/>
  <c r="AH154" i="1" s="1"/>
  <c r="AF154" i="1"/>
  <c r="AE154" i="1"/>
  <c r="AD154" i="1"/>
  <c r="AC154" i="1"/>
  <c r="AB154" i="1"/>
  <c r="AA154" i="1"/>
  <c r="O154" i="1"/>
  <c r="AI153" i="1"/>
  <c r="AJ153" i="1" s="1"/>
  <c r="AG153" i="1"/>
  <c r="AH153" i="1" s="1"/>
  <c r="AF153" i="1"/>
  <c r="AE153" i="1"/>
  <c r="AD153" i="1"/>
  <c r="AC153" i="1"/>
  <c r="AB153" i="1"/>
  <c r="AA153" i="1"/>
  <c r="AI152" i="1"/>
  <c r="AJ152" i="1" s="1"/>
  <c r="AG152" i="1"/>
  <c r="AH152" i="1" s="1"/>
  <c r="AF152" i="1"/>
  <c r="AE152" i="1"/>
  <c r="AD152" i="1"/>
  <c r="AC152" i="1"/>
  <c r="AB152" i="1"/>
  <c r="AA152" i="1"/>
  <c r="AI151" i="1"/>
  <c r="AJ151" i="1" s="1"/>
  <c r="AG151" i="1"/>
  <c r="AH151" i="1" s="1"/>
  <c r="AF151" i="1"/>
  <c r="AE151" i="1"/>
  <c r="AD151" i="1"/>
  <c r="AC151" i="1"/>
  <c r="AB151" i="1"/>
  <c r="AA151" i="1"/>
  <c r="O151" i="1"/>
  <c r="AI150" i="1"/>
  <c r="AJ150" i="1" s="1"/>
  <c r="AG150" i="1"/>
  <c r="AH150" i="1" s="1"/>
  <c r="AF150" i="1"/>
  <c r="AE150" i="1"/>
  <c r="AD150" i="1"/>
  <c r="AC150" i="1"/>
  <c r="AB150" i="1"/>
  <c r="AA150" i="1"/>
  <c r="AI149" i="1"/>
  <c r="AJ149" i="1" s="1"/>
  <c r="AG149" i="1"/>
  <c r="AH149" i="1" s="1"/>
  <c r="AF149" i="1"/>
  <c r="AE149" i="1"/>
  <c r="AD149" i="1"/>
  <c r="AC149" i="1"/>
  <c r="AB149" i="1"/>
  <c r="AA149" i="1"/>
  <c r="AI148" i="1"/>
  <c r="AJ148" i="1" s="1"/>
  <c r="AG148" i="1"/>
  <c r="AH148" i="1" s="1"/>
  <c r="AF148" i="1"/>
  <c r="AE148" i="1"/>
  <c r="AD148" i="1"/>
  <c r="AC148" i="1"/>
  <c r="AB148" i="1"/>
  <c r="AA148" i="1"/>
  <c r="O148" i="1"/>
  <c r="J148" i="1"/>
  <c r="AI147" i="1"/>
  <c r="AJ147" i="1" s="1"/>
  <c r="AG147" i="1"/>
  <c r="AH147" i="1" s="1"/>
  <c r="AF147" i="1"/>
  <c r="AE147" i="1"/>
  <c r="AD147" i="1"/>
  <c r="AC147" i="1"/>
  <c r="AB147" i="1"/>
  <c r="AA147" i="1"/>
  <c r="O147" i="1"/>
  <c r="AI146" i="1"/>
  <c r="AJ146" i="1" s="1"/>
  <c r="AG146" i="1"/>
  <c r="AH146" i="1" s="1"/>
  <c r="AF146" i="1"/>
  <c r="AE146" i="1"/>
  <c r="AD146" i="1"/>
  <c r="AC146" i="1"/>
  <c r="AB146" i="1"/>
  <c r="AA146" i="1"/>
  <c r="O146" i="1"/>
  <c r="AI145" i="1"/>
  <c r="AJ145" i="1" s="1"/>
  <c r="AG145" i="1"/>
  <c r="AH145" i="1" s="1"/>
  <c r="AF145" i="1"/>
  <c r="AE145" i="1"/>
  <c r="AD145" i="1"/>
  <c r="AC145" i="1"/>
  <c r="AB145" i="1"/>
  <c r="AA145" i="1"/>
  <c r="AI144" i="1"/>
  <c r="AJ144" i="1" s="1"/>
  <c r="AG144" i="1"/>
  <c r="AH144" i="1" s="1"/>
  <c r="AF144" i="1"/>
  <c r="AE144" i="1"/>
  <c r="AD144" i="1"/>
  <c r="AC144" i="1"/>
  <c r="AB144" i="1"/>
  <c r="AA144" i="1"/>
  <c r="AI143" i="1"/>
  <c r="AJ143" i="1" s="1"/>
  <c r="AG143" i="1"/>
  <c r="AH143" i="1" s="1"/>
  <c r="AF143" i="1"/>
  <c r="AE143" i="1"/>
  <c r="AD143" i="1"/>
  <c r="AC143" i="1"/>
  <c r="AB143" i="1"/>
  <c r="AA143" i="1"/>
  <c r="AI142" i="1"/>
  <c r="AJ142" i="1" s="1"/>
  <c r="AG142" i="1"/>
  <c r="AH142" i="1" s="1"/>
  <c r="AF142" i="1"/>
  <c r="AE142" i="1"/>
  <c r="AD142" i="1"/>
  <c r="AC142" i="1"/>
  <c r="AB142" i="1"/>
  <c r="AA142" i="1"/>
  <c r="O142" i="1"/>
  <c r="AI141" i="1"/>
  <c r="AJ141" i="1" s="1"/>
  <c r="AG141" i="1"/>
  <c r="AH141" i="1" s="1"/>
  <c r="AF141" i="1"/>
  <c r="AE141" i="1"/>
  <c r="AD141" i="1"/>
  <c r="AC141" i="1"/>
  <c r="AB141" i="1"/>
  <c r="AA141" i="1"/>
  <c r="AI140" i="1"/>
  <c r="AJ140" i="1" s="1"/>
  <c r="AG140" i="1"/>
  <c r="AH140" i="1" s="1"/>
  <c r="AF140" i="1"/>
  <c r="AE140" i="1"/>
  <c r="AD140" i="1"/>
  <c r="AC140" i="1"/>
  <c r="AB140" i="1"/>
  <c r="AA140" i="1"/>
  <c r="O140" i="1"/>
  <c r="AI139" i="1"/>
  <c r="AJ139" i="1" s="1"/>
  <c r="AG139" i="1"/>
  <c r="AH139" i="1" s="1"/>
  <c r="AF139" i="1"/>
  <c r="AE139" i="1"/>
  <c r="AD139" i="1"/>
  <c r="AC139" i="1"/>
  <c r="AB139" i="1"/>
  <c r="AA139" i="1"/>
  <c r="AI138" i="1"/>
  <c r="AJ138" i="1" s="1"/>
  <c r="AG138" i="1"/>
  <c r="AH138" i="1" s="1"/>
  <c r="AF138" i="1"/>
  <c r="AE138" i="1"/>
  <c r="AD138" i="1"/>
  <c r="AC138" i="1"/>
  <c r="AB138" i="1"/>
  <c r="AA138" i="1"/>
  <c r="AI137" i="1"/>
  <c r="AJ137" i="1" s="1"/>
  <c r="AG137" i="1"/>
  <c r="AH137" i="1" s="1"/>
  <c r="AF137" i="1"/>
  <c r="AE137" i="1"/>
  <c r="AD137" i="1"/>
  <c r="AC137" i="1"/>
  <c r="AB137" i="1"/>
  <c r="AA137" i="1"/>
  <c r="O137" i="1"/>
  <c r="AI136" i="1"/>
  <c r="AJ136" i="1" s="1"/>
  <c r="AG136" i="1"/>
  <c r="AH136" i="1" s="1"/>
  <c r="AF136" i="1"/>
  <c r="AE136" i="1"/>
  <c r="AD136" i="1"/>
  <c r="AC136" i="1"/>
  <c r="AB136" i="1"/>
  <c r="AA136" i="1"/>
  <c r="O136" i="1"/>
  <c r="AI135" i="1"/>
  <c r="AJ135" i="1" s="1"/>
  <c r="AG135" i="1"/>
  <c r="AH135" i="1" s="1"/>
  <c r="AF135" i="1"/>
  <c r="AE135" i="1"/>
  <c r="AD135" i="1"/>
  <c r="AC135" i="1"/>
  <c r="AB135" i="1"/>
  <c r="AA135" i="1"/>
  <c r="O135" i="1"/>
  <c r="AI134" i="1"/>
  <c r="AJ134" i="1" s="1"/>
  <c r="AG134" i="1"/>
  <c r="AH134" i="1" s="1"/>
  <c r="AF134" i="1"/>
  <c r="AE134" i="1"/>
  <c r="AD134" i="1"/>
  <c r="AC134" i="1"/>
  <c r="AB134" i="1"/>
  <c r="AA134" i="1"/>
  <c r="O134" i="1"/>
  <c r="AI133" i="1"/>
  <c r="AJ133" i="1" s="1"/>
  <c r="AG133" i="1"/>
  <c r="AH133" i="1" s="1"/>
  <c r="AF133" i="1"/>
  <c r="AE133" i="1"/>
  <c r="AD133" i="1"/>
  <c r="AC133" i="1"/>
  <c r="AB133" i="1"/>
  <c r="AA133" i="1"/>
  <c r="AI132" i="1"/>
  <c r="AJ132" i="1" s="1"/>
  <c r="AG132" i="1"/>
  <c r="AH132" i="1" s="1"/>
  <c r="AF132" i="1"/>
  <c r="AE132" i="1"/>
  <c r="AD132" i="1"/>
  <c r="AC132" i="1"/>
  <c r="AB132" i="1"/>
  <c r="AA132" i="1"/>
  <c r="O132" i="1"/>
  <c r="AI131" i="1"/>
  <c r="AJ131" i="1" s="1"/>
  <c r="AG131" i="1"/>
  <c r="AH131" i="1" s="1"/>
  <c r="AF131" i="1"/>
  <c r="AE131" i="1"/>
  <c r="AD131" i="1"/>
  <c r="AC131" i="1"/>
  <c r="AB131" i="1"/>
  <c r="AA131" i="1"/>
  <c r="O131" i="1"/>
  <c r="AI130" i="1"/>
  <c r="AJ130" i="1" s="1"/>
  <c r="AG130" i="1"/>
  <c r="AH130" i="1" s="1"/>
  <c r="AF130" i="1"/>
  <c r="AE130" i="1"/>
  <c r="AD130" i="1"/>
  <c r="AC130" i="1"/>
  <c r="AB130" i="1"/>
  <c r="AA130" i="1"/>
  <c r="O130" i="1"/>
  <c r="AI129" i="1"/>
  <c r="AJ129" i="1" s="1"/>
  <c r="AG129" i="1"/>
  <c r="AH129" i="1" s="1"/>
  <c r="AF129" i="1"/>
  <c r="AE129" i="1"/>
  <c r="AD129" i="1"/>
  <c r="AC129" i="1"/>
  <c r="AB129" i="1"/>
  <c r="AA129" i="1"/>
  <c r="O129" i="1"/>
  <c r="AI128" i="1"/>
  <c r="AJ128" i="1" s="1"/>
  <c r="AH128" i="1"/>
  <c r="AG128" i="1"/>
  <c r="AF128" i="1"/>
  <c r="AE128" i="1"/>
  <c r="AD128" i="1"/>
  <c r="AC128" i="1"/>
  <c r="AB128" i="1"/>
  <c r="AA128" i="1"/>
  <c r="AJ127" i="1"/>
  <c r="AI127" i="1"/>
  <c r="AG127" i="1"/>
  <c r="AH127" i="1" s="1"/>
  <c r="AF127" i="1"/>
  <c r="AE127" i="1"/>
  <c r="AD127" i="1"/>
  <c r="AC127" i="1"/>
  <c r="AB127" i="1"/>
  <c r="AA127" i="1"/>
  <c r="AI126" i="1"/>
  <c r="AJ126" i="1" s="1"/>
  <c r="AG126" i="1"/>
  <c r="AH126" i="1" s="1"/>
  <c r="AF126" i="1"/>
  <c r="AE126" i="1"/>
  <c r="AD126" i="1"/>
  <c r="AC126" i="1"/>
  <c r="AB126" i="1"/>
  <c r="AA126" i="1"/>
  <c r="O126" i="1"/>
  <c r="AJ125" i="1"/>
  <c r="AI125" i="1"/>
  <c r="AG125" i="1"/>
  <c r="AH125" i="1" s="1"/>
  <c r="AF125" i="1"/>
  <c r="AE125" i="1"/>
  <c r="AD125" i="1"/>
  <c r="AC125" i="1"/>
  <c r="AB125" i="1"/>
  <c r="AA125" i="1"/>
  <c r="AI124" i="1"/>
  <c r="AJ124" i="1" s="1"/>
  <c r="AH124" i="1"/>
  <c r="AG124" i="1"/>
  <c r="AF124" i="1"/>
  <c r="AE124" i="1"/>
  <c r="AD124" i="1"/>
  <c r="AC124" i="1"/>
  <c r="AB124" i="1"/>
  <c r="AA124" i="1"/>
  <c r="O124" i="1"/>
  <c r="AI123" i="1"/>
  <c r="AJ123" i="1" s="1"/>
  <c r="AG123" i="1"/>
  <c r="AH123" i="1" s="1"/>
  <c r="AF123" i="1"/>
  <c r="AE123" i="1"/>
  <c r="AD123" i="1"/>
  <c r="AC123" i="1"/>
  <c r="AB123" i="1"/>
  <c r="AA123" i="1"/>
  <c r="O123" i="1"/>
  <c r="AI122" i="1"/>
  <c r="AJ122" i="1" s="1"/>
  <c r="AG122" i="1"/>
  <c r="AH122" i="1" s="1"/>
  <c r="AF122" i="1"/>
  <c r="AE122" i="1"/>
  <c r="AD122" i="1"/>
  <c r="AC122" i="1"/>
  <c r="AB122" i="1"/>
  <c r="AA122" i="1"/>
  <c r="AI121" i="1"/>
  <c r="AJ121" i="1" s="1"/>
  <c r="AH121" i="1"/>
  <c r="AG121" i="1"/>
  <c r="AF121" i="1"/>
  <c r="AE121" i="1"/>
  <c r="AD121" i="1"/>
  <c r="AC121" i="1"/>
  <c r="AB121" i="1"/>
  <c r="AA121" i="1"/>
  <c r="AJ120" i="1"/>
  <c r="AI120" i="1"/>
  <c r="AH120" i="1"/>
  <c r="AG120" i="1"/>
  <c r="AF120" i="1"/>
  <c r="AE120" i="1"/>
  <c r="AD120" i="1"/>
  <c r="AC120" i="1"/>
  <c r="AB120" i="1"/>
  <c r="AA120" i="1"/>
  <c r="AJ119" i="1"/>
  <c r="AI119" i="1"/>
  <c r="AH119" i="1"/>
  <c r="AG119" i="1"/>
  <c r="AF119" i="1"/>
  <c r="AE119" i="1"/>
  <c r="AD119" i="1"/>
  <c r="AC119" i="1"/>
  <c r="AB119" i="1"/>
  <c r="AA119" i="1"/>
  <c r="O119" i="1"/>
  <c r="AI118" i="1"/>
  <c r="AJ118" i="1" s="1"/>
  <c r="AG118" i="1"/>
  <c r="AH118" i="1" s="1"/>
  <c r="AF118" i="1"/>
  <c r="AE118" i="1"/>
  <c r="AD118" i="1"/>
  <c r="AC118" i="1"/>
  <c r="AB118" i="1"/>
  <c r="AA118" i="1"/>
  <c r="AI117" i="1"/>
  <c r="AJ117" i="1" s="1"/>
  <c r="AG117" i="1"/>
  <c r="AH117" i="1" s="1"/>
  <c r="AF117" i="1"/>
  <c r="AE117" i="1"/>
  <c r="AD117" i="1"/>
  <c r="AC117" i="1"/>
  <c r="AB117" i="1"/>
  <c r="AA117" i="1"/>
  <c r="AI116" i="1"/>
  <c r="AJ116" i="1" s="1"/>
  <c r="AG116" i="1"/>
  <c r="AH116" i="1" s="1"/>
  <c r="AF116" i="1"/>
  <c r="AE116" i="1"/>
  <c r="AD116" i="1"/>
  <c r="AC116" i="1"/>
  <c r="AB116" i="1"/>
  <c r="AA116" i="1"/>
  <c r="O116" i="1"/>
  <c r="AI115" i="1"/>
  <c r="AJ115" i="1" s="1"/>
  <c r="AG115" i="1"/>
  <c r="AH115" i="1" s="1"/>
  <c r="AF115" i="1"/>
  <c r="AE115" i="1"/>
  <c r="AD115" i="1"/>
  <c r="AC115" i="1"/>
  <c r="AB115" i="1"/>
  <c r="AA115" i="1"/>
  <c r="O115" i="1"/>
  <c r="AI114" i="1"/>
  <c r="AJ114" i="1" s="1"/>
  <c r="AG114" i="1"/>
  <c r="AH114" i="1" s="1"/>
  <c r="AF114" i="1"/>
  <c r="AE114" i="1"/>
  <c r="AD114" i="1"/>
  <c r="AC114" i="1"/>
  <c r="AB114" i="1"/>
  <c r="AA114" i="1"/>
  <c r="AI113" i="1"/>
  <c r="AJ113" i="1" s="1"/>
  <c r="AG113" i="1"/>
  <c r="AH113" i="1" s="1"/>
  <c r="AF113" i="1"/>
  <c r="AE113" i="1"/>
  <c r="AD113" i="1"/>
  <c r="AC113" i="1"/>
  <c r="AB113" i="1"/>
  <c r="AA113" i="1"/>
  <c r="J113" i="1"/>
  <c r="AI112" i="1"/>
  <c r="AJ112" i="1" s="1"/>
  <c r="AG112" i="1"/>
  <c r="AH112" i="1" s="1"/>
  <c r="AF112" i="1"/>
  <c r="AE112" i="1"/>
  <c r="AD112" i="1"/>
  <c r="AC112" i="1"/>
  <c r="AB112" i="1"/>
  <c r="AA112" i="1"/>
  <c r="AI111" i="1"/>
  <c r="AJ111" i="1" s="1"/>
  <c r="AG111" i="1"/>
  <c r="AH111" i="1" s="1"/>
  <c r="AF111" i="1"/>
  <c r="AE111" i="1"/>
  <c r="AD111" i="1"/>
  <c r="AC111" i="1"/>
  <c r="AB111" i="1"/>
  <c r="AA111" i="1"/>
  <c r="O111" i="1"/>
  <c r="AI110" i="1"/>
  <c r="AJ110" i="1" s="1"/>
  <c r="AG110" i="1"/>
  <c r="AH110" i="1" s="1"/>
  <c r="AF110" i="1"/>
  <c r="AE110" i="1"/>
  <c r="AD110" i="1"/>
  <c r="AC110" i="1"/>
  <c r="AB110" i="1"/>
  <c r="AA110" i="1"/>
  <c r="O110" i="1"/>
  <c r="J110" i="1"/>
  <c r="AI109" i="1"/>
  <c r="AJ109" i="1" s="1"/>
  <c r="AH109" i="1"/>
  <c r="AG109" i="1"/>
  <c r="AF109" i="1"/>
  <c r="AE109" i="1"/>
  <c r="AD109" i="1"/>
  <c r="AC109" i="1"/>
  <c r="AB109" i="1"/>
  <c r="AA109" i="1"/>
  <c r="O109" i="1"/>
  <c r="AI108" i="1"/>
  <c r="AJ108" i="1" s="1"/>
  <c r="AG108" i="1"/>
  <c r="AH108" i="1" s="1"/>
  <c r="AF108" i="1"/>
  <c r="AE108" i="1"/>
  <c r="AD108" i="1"/>
  <c r="AC108" i="1"/>
  <c r="AB108" i="1"/>
  <c r="AA108" i="1"/>
  <c r="O108" i="1"/>
  <c r="AI107" i="1"/>
  <c r="AJ107" i="1" s="1"/>
  <c r="AG107" i="1"/>
  <c r="AH107" i="1" s="1"/>
  <c r="AF107" i="1"/>
  <c r="AE107" i="1"/>
  <c r="AD107" i="1"/>
  <c r="AC107" i="1"/>
  <c r="AB107" i="1"/>
  <c r="AA107" i="1"/>
  <c r="O107" i="1"/>
  <c r="AI106" i="1"/>
  <c r="AJ106" i="1" s="1"/>
  <c r="AG106" i="1"/>
  <c r="AH106" i="1" s="1"/>
  <c r="AF106" i="1"/>
  <c r="AE106" i="1"/>
  <c r="AD106" i="1"/>
  <c r="AC106" i="1"/>
  <c r="AB106" i="1"/>
  <c r="AA106" i="1"/>
  <c r="AI105" i="1"/>
  <c r="AJ105" i="1" s="1"/>
  <c r="AG105" i="1"/>
  <c r="AH105" i="1" s="1"/>
  <c r="AF105" i="1"/>
  <c r="AE105" i="1"/>
  <c r="AD105" i="1"/>
  <c r="AC105" i="1"/>
  <c r="AB105" i="1"/>
  <c r="AA105" i="1"/>
  <c r="AI104" i="1"/>
  <c r="AJ104" i="1" s="1"/>
  <c r="AG104" i="1"/>
  <c r="AH104" i="1" s="1"/>
  <c r="AF104" i="1"/>
  <c r="AE104" i="1"/>
  <c r="AD104" i="1"/>
  <c r="AC104" i="1"/>
  <c r="AB104" i="1"/>
  <c r="AA104" i="1"/>
  <c r="O104" i="1"/>
  <c r="AI103" i="1"/>
  <c r="AJ103" i="1" s="1"/>
  <c r="AG103" i="1"/>
  <c r="AH103" i="1" s="1"/>
  <c r="AF103" i="1"/>
  <c r="AE103" i="1"/>
  <c r="AD103" i="1"/>
  <c r="AC103" i="1"/>
  <c r="AB103" i="1"/>
  <c r="AA103" i="1"/>
  <c r="O103" i="1"/>
  <c r="AI102" i="1"/>
  <c r="AJ102" i="1" s="1"/>
  <c r="AG102" i="1"/>
  <c r="AH102" i="1" s="1"/>
  <c r="AF102" i="1"/>
  <c r="AE102" i="1"/>
  <c r="AD102" i="1"/>
  <c r="AC102" i="1"/>
  <c r="AB102" i="1"/>
  <c r="AA102" i="1"/>
  <c r="O102" i="1"/>
  <c r="AI101" i="1"/>
  <c r="AJ101" i="1" s="1"/>
  <c r="AG101" i="1"/>
  <c r="AH101" i="1" s="1"/>
  <c r="AF101" i="1"/>
  <c r="AE101" i="1"/>
  <c r="AD101" i="1"/>
  <c r="AC101" i="1"/>
  <c r="AB101" i="1"/>
  <c r="AA101" i="1"/>
  <c r="O101" i="1"/>
  <c r="AI100" i="1"/>
  <c r="AJ100" i="1" s="1"/>
  <c r="AG100" i="1"/>
  <c r="AH100" i="1" s="1"/>
  <c r="AF100" i="1"/>
  <c r="AE100" i="1"/>
  <c r="AD100" i="1"/>
  <c r="AC100" i="1"/>
  <c r="AB100" i="1"/>
  <c r="AA100" i="1"/>
  <c r="O100" i="1"/>
  <c r="AI99" i="1"/>
  <c r="AJ99" i="1" s="1"/>
  <c r="AG99" i="1"/>
  <c r="AH99" i="1" s="1"/>
  <c r="AF99" i="1"/>
  <c r="AE99" i="1"/>
  <c r="AD99" i="1"/>
  <c r="AC99" i="1"/>
  <c r="AB99" i="1"/>
  <c r="AA99" i="1"/>
  <c r="AI98" i="1"/>
  <c r="AJ98" i="1" s="1"/>
  <c r="AG98" i="1"/>
  <c r="AH98" i="1" s="1"/>
  <c r="AF98" i="1"/>
  <c r="AE98" i="1"/>
  <c r="AD98" i="1"/>
  <c r="AC98" i="1"/>
  <c r="AB98" i="1"/>
  <c r="AA98" i="1"/>
  <c r="O98" i="1"/>
  <c r="AI97" i="1"/>
  <c r="AJ97" i="1" s="1"/>
  <c r="AG97" i="1"/>
  <c r="AH97" i="1" s="1"/>
  <c r="AF97" i="1"/>
  <c r="AE97" i="1"/>
  <c r="AD97" i="1"/>
  <c r="AC97" i="1"/>
  <c r="AB97" i="1"/>
  <c r="AA97" i="1"/>
  <c r="O97" i="1"/>
  <c r="AI96" i="1"/>
  <c r="AJ96" i="1" s="1"/>
  <c r="AG96" i="1"/>
  <c r="AH96" i="1" s="1"/>
  <c r="AF96" i="1"/>
  <c r="AE96" i="1"/>
  <c r="AD96" i="1"/>
  <c r="AC96" i="1"/>
  <c r="AB96" i="1"/>
  <c r="AA96" i="1"/>
  <c r="O96" i="1"/>
  <c r="AI95" i="1"/>
  <c r="AJ95" i="1" s="1"/>
  <c r="AG95" i="1"/>
  <c r="AH95" i="1" s="1"/>
  <c r="AF95" i="1"/>
  <c r="AE95" i="1"/>
  <c r="AD95" i="1"/>
  <c r="AC95" i="1"/>
  <c r="AB95" i="1"/>
  <c r="AA95" i="1"/>
  <c r="O95" i="1"/>
  <c r="AI94" i="1"/>
  <c r="AJ94" i="1" s="1"/>
  <c r="AG94" i="1"/>
  <c r="AH94" i="1" s="1"/>
  <c r="AF94" i="1"/>
  <c r="AE94" i="1"/>
  <c r="AD94" i="1"/>
  <c r="AC94" i="1"/>
  <c r="AB94" i="1"/>
  <c r="AA94" i="1"/>
  <c r="O94" i="1"/>
  <c r="AI93" i="1"/>
  <c r="AJ93" i="1" s="1"/>
  <c r="AG93" i="1"/>
  <c r="AH93" i="1" s="1"/>
  <c r="AF93" i="1"/>
  <c r="AE93" i="1"/>
  <c r="AD93" i="1"/>
  <c r="AC93" i="1"/>
  <c r="AB93" i="1"/>
  <c r="AA93" i="1"/>
  <c r="O93" i="1"/>
  <c r="L93" i="1"/>
  <c r="J93" i="1"/>
  <c r="AI92" i="1"/>
  <c r="AJ92" i="1" s="1"/>
  <c r="AG92" i="1"/>
  <c r="AH92" i="1" s="1"/>
  <c r="AF92" i="1"/>
  <c r="AE92" i="1"/>
  <c r="AD92" i="1"/>
  <c r="AC92" i="1"/>
  <c r="AB92" i="1"/>
  <c r="AA92" i="1"/>
  <c r="AI91" i="1"/>
  <c r="AJ91" i="1" s="1"/>
  <c r="AG91" i="1"/>
  <c r="AH91" i="1" s="1"/>
  <c r="AF91" i="1"/>
  <c r="AE91" i="1"/>
  <c r="AD91" i="1"/>
  <c r="AC91" i="1"/>
  <c r="AB91" i="1"/>
  <c r="AA91" i="1"/>
  <c r="AI90" i="1"/>
  <c r="AJ90" i="1" s="1"/>
  <c r="AG90" i="1"/>
  <c r="AH90" i="1" s="1"/>
  <c r="AF90" i="1"/>
  <c r="AE90" i="1"/>
  <c r="AD90" i="1"/>
  <c r="AC90" i="1"/>
  <c r="AB90" i="1"/>
  <c r="AA90" i="1"/>
  <c r="AI89" i="1"/>
  <c r="AJ89" i="1" s="1"/>
  <c r="AG89" i="1"/>
  <c r="AH89" i="1" s="1"/>
  <c r="AF89" i="1"/>
  <c r="AE89" i="1"/>
  <c r="AD89" i="1"/>
  <c r="AC89" i="1"/>
  <c r="AB89" i="1"/>
  <c r="AA89" i="1"/>
  <c r="AI88" i="1"/>
  <c r="AJ88" i="1" s="1"/>
  <c r="AG88" i="1"/>
  <c r="AH88" i="1" s="1"/>
  <c r="AF88" i="1"/>
  <c r="AE88" i="1"/>
  <c r="AD88" i="1"/>
  <c r="AC88" i="1"/>
  <c r="AB88" i="1"/>
  <c r="AA88" i="1"/>
  <c r="O88" i="1"/>
  <c r="AI87" i="1"/>
  <c r="AJ87" i="1" s="1"/>
  <c r="AG87" i="1"/>
  <c r="AH87" i="1" s="1"/>
  <c r="AF87" i="1"/>
  <c r="AE87" i="1"/>
  <c r="AD87" i="1"/>
  <c r="AC87" i="1"/>
  <c r="AB87" i="1"/>
  <c r="AA87" i="1"/>
  <c r="AI86" i="1"/>
  <c r="AJ86" i="1" s="1"/>
  <c r="AG86" i="1"/>
  <c r="AH86" i="1" s="1"/>
  <c r="AF86" i="1"/>
  <c r="AE86" i="1"/>
  <c r="AD86" i="1"/>
  <c r="AC86" i="1"/>
  <c r="AB86" i="1"/>
  <c r="AA86" i="1"/>
  <c r="AI85" i="1"/>
  <c r="AJ85" i="1" s="1"/>
  <c r="AG85" i="1"/>
  <c r="AH85" i="1" s="1"/>
  <c r="AF85" i="1"/>
  <c r="AE85" i="1"/>
  <c r="AD85" i="1"/>
  <c r="AC85" i="1"/>
  <c r="AB85" i="1"/>
  <c r="AA85" i="1"/>
  <c r="O85" i="1"/>
  <c r="AI84" i="1"/>
  <c r="AJ84" i="1" s="1"/>
  <c r="AG84" i="1"/>
  <c r="AH84" i="1" s="1"/>
  <c r="AF84" i="1"/>
  <c r="AE84" i="1"/>
  <c r="AD84" i="1"/>
  <c r="AC84" i="1"/>
  <c r="AB84" i="1"/>
  <c r="AA84" i="1"/>
  <c r="O84" i="1"/>
  <c r="AI83" i="1"/>
  <c r="AJ83" i="1" s="1"/>
  <c r="AG83" i="1"/>
  <c r="AH83" i="1" s="1"/>
  <c r="AF83" i="1"/>
  <c r="AE83" i="1"/>
  <c r="AD83" i="1"/>
  <c r="AC83" i="1"/>
  <c r="AB83" i="1"/>
  <c r="AA83" i="1"/>
  <c r="O83" i="1"/>
  <c r="AI82" i="1"/>
  <c r="AJ82" i="1" s="1"/>
  <c r="AG82" i="1"/>
  <c r="AH82" i="1" s="1"/>
  <c r="AF82" i="1"/>
  <c r="AE82" i="1"/>
  <c r="AD82" i="1"/>
  <c r="AC82" i="1"/>
  <c r="AB82" i="1"/>
  <c r="AA82" i="1"/>
  <c r="O82" i="1"/>
  <c r="AI81" i="1"/>
  <c r="AJ81" i="1" s="1"/>
  <c r="AG81" i="1"/>
  <c r="AH81" i="1" s="1"/>
  <c r="AF81" i="1"/>
  <c r="AE81" i="1"/>
  <c r="AD81" i="1"/>
  <c r="AC81" i="1"/>
  <c r="AB81" i="1"/>
  <c r="AA81" i="1"/>
  <c r="O81" i="1"/>
  <c r="AI80" i="1"/>
  <c r="AJ80" i="1" s="1"/>
  <c r="AG80" i="1"/>
  <c r="AH80" i="1" s="1"/>
  <c r="AF80" i="1"/>
  <c r="AE80" i="1"/>
  <c r="AD80" i="1"/>
  <c r="AC80" i="1"/>
  <c r="AB80" i="1"/>
  <c r="AA80" i="1"/>
  <c r="O80" i="1"/>
  <c r="AI79" i="1"/>
  <c r="AJ79" i="1" s="1"/>
  <c r="AG79" i="1"/>
  <c r="AH79" i="1" s="1"/>
  <c r="AF79" i="1"/>
  <c r="AE79" i="1"/>
  <c r="AD79" i="1"/>
  <c r="AC79" i="1"/>
  <c r="AB79" i="1"/>
  <c r="AA79" i="1"/>
  <c r="O79" i="1"/>
  <c r="AI78" i="1"/>
  <c r="AJ78" i="1" s="1"/>
  <c r="AG78" i="1"/>
  <c r="AH78" i="1" s="1"/>
  <c r="AF78" i="1"/>
  <c r="AE78" i="1"/>
  <c r="AD78" i="1"/>
  <c r="AC78" i="1"/>
  <c r="AB78" i="1"/>
  <c r="AA78" i="1"/>
  <c r="O78" i="1"/>
  <c r="AI77" i="1"/>
  <c r="AJ77" i="1" s="1"/>
  <c r="AG77" i="1"/>
  <c r="AH77" i="1" s="1"/>
  <c r="AF77" i="1"/>
  <c r="AE77" i="1"/>
  <c r="AD77" i="1"/>
  <c r="AC77" i="1"/>
  <c r="AB77" i="1"/>
  <c r="AA77" i="1"/>
  <c r="AI76" i="1"/>
  <c r="AJ76" i="1" s="1"/>
  <c r="AG76" i="1"/>
  <c r="AH76" i="1" s="1"/>
  <c r="AF76" i="1"/>
  <c r="AE76" i="1"/>
  <c r="AD76" i="1"/>
  <c r="AC76" i="1"/>
  <c r="AB76" i="1"/>
  <c r="AA76" i="1"/>
  <c r="O76" i="1"/>
  <c r="AI75" i="1"/>
  <c r="AJ75" i="1" s="1"/>
  <c r="AG75" i="1"/>
  <c r="AH75" i="1" s="1"/>
  <c r="AF75" i="1"/>
  <c r="AE75" i="1"/>
  <c r="AD75" i="1"/>
  <c r="AC75" i="1"/>
  <c r="AB75" i="1"/>
  <c r="AA75" i="1"/>
  <c r="AI74" i="1"/>
  <c r="AJ74" i="1" s="1"/>
  <c r="AG74" i="1"/>
  <c r="AH74" i="1" s="1"/>
  <c r="AF74" i="1"/>
  <c r="AE74" i="1"/>
  <c r="AD74" i="1"/>
  <c r="AC74" i="1"/>
  <c r="AB74" i="1"/>
  <c r="AA74" i="1"/>
  <c r="O74" i="1"/>
  <c r="AI73" i="1"/>
  <c r="AJ73" i="1" s="1"/>
  <c r="AG73" i="1"/>
  <c r="AH73" i="1" s="1"/>
  <c r="AF73" i="1"/>
  <c r="AE73" i="1"/>
  <c r="AD73" i="1"/>
  <c r="AC73" i="1"/>
  <c r="AB73" i="1"/>
  <c r="AA73" i="1"/>
  <c r="O73" i="1"/>
  <c r="AI72" i="1"/>
  <c r="AJ72" i="1" s="1"/>
  <c r="AG72" i="1"/>
  <c r="AH72" i="1" s="1"/>
  <c r="AF72" i="1"/>
  <c r="AE72" i="1"/>
  <c r="AD72" i="1"/>
  <c r="AC72" i="1"/>
  <c r="AB72" i="1"/>
  <c r="AA72" i="1"/>
  <c r="O72" i="1"/>
  <c r="AI71" i="1"/>
  <c r="AJ71" i="1" s="1"/>
  <c r="AG71" i="1"/>
  <c r="AH71" i="1" s="1"/>
  <c r="AF71" i="1"/>
  <c r="AE71" i="1"/>
  <c r="AD71" i="1"/>
  <c r="AC71" i="1"/>
  <c r="AB71" i="1"/>
  <c r="AA71" i="1"/>
  <c r="O71" i="1"/>
  <c r="AI70" i="1"/>
  <c r="AJ70" i="1" s="1"/>
  <c r="AG70" i="1"/>
  <c r="AH70" i="1" s="1"/>
  <c r="AF70" i="1"/>
  <c r="AE70" i="1"/>
  <c r="AD70" i="1"/>
  <c r="AC70" i="1"/>
  <c r="AB70" i="1"/>
  <c r="AA70" i="1"/>
  <c r="O70" i="1"/>
  <c r="AI69" i="1"/>
  <c r="AJ69" i="1" s="1"/>
  <c r="AG69" i="1"/>
  <c r="AH69" i="1" s="1"/>
  <c r="AF69" i="1"/>
  <c r="AE69" i="1"/>
  <c r="AD69" i="1"/>
  <c r="AC69" i="1"/>
  <c r="AB69" i="1"/>
  <c r="AA69" i="1"/>
  <c r="O69" i="1"/>
  <c r="AI68" i="1"/>
  <c r="AJ68" i="1" s="1"/>
  <c r="AG68" i="1"/>
  <c r="AH68" i="1" s="1"/>
  <c r="AF68" i="1"/>
  <c r="AE68" i="1"/>
  <c r="AD68" i="1"/>
  <c r="AC68" i="1"/>
  <c r="AB68" i="1"/>
  <c r="AA68" i="1"/>
  <c r="AI67" i="1"/>
  <c r="AJ67" i="1" s="1"/>
  <c r="AG67" i="1"/>
  <c r="AH67" i="1" s="1"/>
  <c r="AF67" i="1"/>
  <c r="AE67" i="1"/>
  <c r="AD67" i="1"/>
  <c r="AC67" i="1"/>
  <c r="AB67" i="1"/>
  <c r="AA67" i="1"/>
  <c r="O67" i="1"/>
  <c r="AI66" i="1"/>
  <c r="AJ66" i="1" s="1"/>
  <c r="AG66" i="1"/>
  <c r="AH66" i="1" s="1"/>
  <c r="AF66" i="1"/>
  <c r="AE66" i="1"/>
  <c r="AD66" i="1"/>
  <c r="AC66" i="1"/>
  <c r="AB66" i="1"/>
  <c r="AA66" i="1"/>
  <c r="AI65" i="1"/>
  <c r="AJ65" i="1" s="1"/>
  <c r="AG65" i="1"/>
  <c r="AH65" i="1" s="1"/>
  <c r="AF65" i="1"/>
  <c r="AE65" i="1"/>
  <c r="AD65" i="1"/>
  <c r="AC65" i="1"/>
  <c r="AB65" i="1"/>
  <c r="AA65" i="1"/>
  <c r="AI64" i="1"/>
  <c r="AJ64" i="1" s="1"/>
  <c r="AG64" i="1"/>
  <c r="AH64" i="1" s="1"/>
  <c r="AF64" i="1"/>
  <c r="AE64" i="1"/>
  <c r="AD64" i="1"/>
  <c r="AC64" i="1"/>
  <c r="AB64" i="1"/>
  <c r="AA64" i="1"/>
  <c r="O64" i="1"/>
  <c r="AI63" i="1"/>
  <c r="AJ63" i="1" s="1"/>
  <c r="AG63" i="1"/>
  <c r="AH63" i="1" s="1"/>
  <c r="AF63" i="1"/>
  <c r="AE63" i="1"/>
  <c r="AD63" i="1"/>
  <c r="AC63" i="1"/>
  <c r="AB63" i="1"/>
  <c r="AA63" i="1"/>
  <c r="O63" i="1"/>
  <c r="AI62" i="1"/>
  <c r="AJ62" i="1" s="1"/>
  <c r="AG62" i="1"/>
  <c r="AH62" i="1" s="1"/>
  <c r="AF62" i="1"/>
  <c r="AE62" i="1"/>
  <c r="AD62" i="1"/>
  <c r="AC62" i="1"/>
  <c r="AB62" i="1"/>
  <c r="AA62" i="1"/>
  <c r="O62" i="1"/>
  <c r="AI61" i="1"/>
  <c r="AJ61" i="1" s="1"/>
  <c r="AG61" i="1"/>
  <c r="AH61" i="1" s="1"/>
  <c r="AF61" i="1"/>
  <c r="AE61" i="1"/>
  <c r="AD61" i="1"/>
  <c r="AC61" i="1"/>
  <c r="AB61" i="1"/>
  <c r="AA61" i="1"/>
  <c r="O61" i="1"/>
  <c r="AI60" i="1"/>
  <c r="AJ60" i="1" s="1"/>
  <c r="AG60" i="1"/>
  <c r="AH60" i="1" s="1"/>
  <c r="AF60" i="1"/>
  <c r="AE60" i="1"/>
  <c r="AD60" i="1"/>
  <c r="AC60" i="1"/>
  <c r="AB60" i="1"/>
  <c r="AA60" i="1"/>
  <c r="O60" i="1"/>
  <c r="AI59" i="1"/>
  <c r="AJ59" i="1" s="1"/>
  <c r="AG59" i="1"/>
  <c r="AH59" i="1" s="1"/>
  <c r="AF59" i="1"/>
  <c r="AE59" i="1"/>
  <c r="AD59" i="1"/>
  <c r="AC59" i="1"/>
  <c r="AB59" i="1"/>
  <c r="AA59" i="1"/>
  <c r="O59" i="1"/>
  <c r="AI58" i="1"/>
  <c r="AJ58" i="1" s="1"/>
  <c r="AG58" i="1"/>
  <c r="AH58" i="1" s="1"/>
  <c r="AF58" i="1"/>
  <c r="AE58" i="1"/>
  <c r="AD58" i="1"/>
  <c r="AC58" i="1"/>
  <c r="AB58" i="1"/>
  <c r="AA58" i="1"/>
  <c r="O58" i="1"/>
  <c r="AI57" i="1"/>
  <c r="AJ57" i="1" s="1"/>
  <c r="AG57" i="1"/>
  <c r="AH57" i="1" s="1"/>
  <c r="AF57" i="1"/>
  <c r="AE57" i="1"/>
  <c r="AD57" i="1"/>
  <c r="AC57" i="1"/>
  <c r="AB57" i="1"/>
  <c r="AA57" i="1"/>
  <c r="O57" i="1"/>
  <c r="AI56" i="1"/>
  <c r="AJ56" i="1" s="1"/>
  <c r="AG56" i="1"/>
  <c r="AH56" i="1" s="1"/>
  <c r="AF56" i="1"/>
  <c r="AE56" i="1"/>
  <c r="AD56" i="1"/>
  <c r="AC56" i="1"/>
  <c r="AB56" i="1"/>
  <c r="AA56" i="1"/>
  <c r="O56" i="1"/>
  <c r="AI55" i="1"/>
  <c r="AJ55" i="1" s="1"/>
  <c r="AG55" i="1"/>
  <c r="AH55" i="1" s="1"/>
  <c r="AF55" i="1"/>
  <c r="AE55" i="1"/>
  <c r="AD55" i="1"/>
  <c r="AC55" i="1"/>
  <c r="AB55" i="1"/>
  <c r="AA55" i="1"/>
  <c r="O55" i="1"/>
  <c r="AI54" i="1"/>
  <c r="AJ54" i="1" s="1"/>
  <c r="AG54" i="1"/>
  <c r="AH54" i="1" s="1"/>
  <c r="AF54" i="1"/>
  <c r="AE54" i="1"/>
  <c r="AD54" i="1"/>
  <c r="AC54" i="1"/>
  <c r="AB54" i="1"/>
  <c r="AA54" i="1"/>
  <c r="O54" i="1"/>
  <c r="AI53" i="1"/>
  <c r="AJ53" i="1" s="1"/>
  <c r="AG53" i="1"/>
  <c r="AH53" i="1" s="1"/>
  <c r="AF53" i="1"/>
  <c r="AE53" i="1"/>
  <c r="AD53" i="1"/>
  <c r="AC53" i="1"/>
  <c r="AB53" i="1"/>
  <c r="AA53" i="1"/>
  <c r="O53" i="1"/>
  <c r="AI52" i="1"/>
  <c r="AJ52" i="1" s="1"/>
  <c r="AG52" i="1"/>
  <c r="AH52" i="1" s="1"/>
  <c r="AF52" i="1"/>
  <c r="AE52" i="1"/>
  <c r="AD52" i="1"/>
  <c r="AC52" i="1"/>
  <c r="AB52" i="1"/>
  <c r="AA52" i="1"/>
  <c r="O52" i="1"/>
  <c r="AI51" i="1"/>
  <c r="AJ51" i="1" s="1"/>
  <c r="AG51" i="1"/>
  <c r="AH51" i="1" s="1"/>
  <c r="AF51" i="1"/>
  <c r="AE51" i="1"/>
  <c r="AD51" i="1"/>
  <c r="AC51" i="1"/>
  <c r="AB51" i="1"/>
  <c r="AA51" i="1"/>
  <c r="O51" i="1"/>
  <c r="AI50" i="1"/>
  <c r="AJ50" i="1" s="1"/>
  <c r="AG50" i="1"/>
  <c r="AH50" i="1" s="1"/>
  <c r="AF50" i="1"/>
  <c r="AE50" i="1"/>
  <c r="AD50" i="1"/>
  <c r="AC50" i="1"/>
  <c r="AB50" i="1"/>
  <c r="AA50" i="1"/>
  <c r="O50" i="1"/>
  <c r="AI49" i="1"/>
  <c r="AJ49" i="1" s="1"/>
  <c r="AG49" i="1"/>
  <c r="AH49" i="1" s="1"/>
  <c r="AF49" i="1"/>
  <c r="AE49" i="1"/>
  <c r="AD49" i="1"/>
  <c r="AC49" i="1"/>
  <c r="AB49" i="1"/>
  <c r="AA49" i="1"/>
  <c r="O49" i="1"/>
  <c r="AI48" i="1"/>
  <c r="AJ48" i="1" s="1"/>
  <c r="AG48" i="1"/>
  <c r="AH48" i="1" s="1"/>
  <c r="AF48" i="1"/>
  <c r="AE48" i="1"/>
  <c r="AD48" i="1"/>
  <c r="AC48" i="1"/>
  <c r="AB48" i="1"/>
  <c r="AA48" i="1"/>
  <c r="O48" i="1"/>
  <c r="AI47" i="1"/>
  <c r="AJ47" i="1" s="1"/>
  <c r="AG47" i="1"/>
  <c r="AH47" i="1" s="1"/>
  <c r="AF47" i="1"/>
  <c r="AE47" i="1"/>
  <c r="AD47" i="1"/>
  <c r="AC47" i="1"/>
  <c r="AB47" i="1"/>
  <c r="AA47" i="1"/>
  <c r="O47" i="1"/>
  <c r="AI46" i="1"/>
  <c r="AJ46" i="1" s="1"/>
  <c r="AG46" i="1"/>
  <c r="AH46" i="1" s="1"/>
  <c r="AF46" i="1"/>
  <c r="AE46" i="1"/>
  <c r="AD46" i="1"/>
  <c r="AC46" i="1"/>
  <c r="AB46" i="1"/>
  <c r="AA46" i="1"/>
  <c r="O46" i="1"/>
  <c r="AI45" i="1"/>
  <c r="AJ45" i="1" s="1"/>
  <c r="AG45" i="1"/>
  <c r="AH45" i="1" s="1"/>
  <c r="AF45" i="1"/>
  <c r="AE45" i="1"/>
  <c r="AD45" i="1"/>
  <c r="AC45" i="1"/>
  <c r="AB45" i="1"/>
  <c r="AA45" i="1"/>
  <c r="O45" i="1"/>
  <c r="AI44" i="1"/>
  <c r="AJ44" i="1" s="1"/>
  <c r="AG44" i="1"/>
  <c r="AH44" i="1" s="1"/>
  <c r="AF44" i="1"/>
  <c r="AE44" i="1"/>
  <c r="AD44" i="1"/>
  <c r="AC44" i="1"/>
  <c r="AB44" i="1"/>
  <c r="AA44" i="1"/>
  <c r="AI43" i="1"/>
  <c r="AJ43" i="1" s="1"/>
  <c r="AG43" i="1"/>
  <c r="AH43" i="1" s="1"/>
  <c r="AF43" i="1"/>
  <c r="AE43" i="1"/>
  <c r="AD43" i="1"/>
  <c r="AC43" i="1"/>
  <c r="AB43" i="1"/>
  <c r="AA43" i="1"/>
  <c r="AI42" i="1"/>
  <c r="AJ42" i="1" s="1"/>
  <c r="AG42" i="1"/>
  <c r="AH42" i="1" s="1"/>
  <c r="AF42" i="1"/>
  <c r="AE42" i="1"/>
  <c r="AD42" i="1"/>
  <c r="AC42" i="1"/>
  <c r="AB42" i="1"/>
  <c r="AA42" i="1"/>
  <c r="AI41" i="1"/>
  <c r="AJ41" i="1" s="1"/>
  <c r="AG41" i="1"/>
  <c r="AH41" i="1" s="1"/>
  <c r="AF41" i="1"/>
  <c r="AE41" i="1"/>
  <c r="AD41" i="1"/>
  <c r="AC41" i="1"/>
  <c r="AB41" i="1"/>
  <c r="AA41" i="1"/>
  <c r="AI40" i="1"/>
  <c r="AJ40" i="1" s="1"/>
  <c r="AG40" i="1"/>
  <c r="AH40" i="1" s="1"/>
  <c r="AF40" i="1"/>
  <c r="AE40" i="1"/>
  <c r="AD40" i="1"/>
  <c r="AC40" i="1"/>
  <c r="AB40" i="1"/>
  <c r="AA40" i="1"/>
  <c r="O40" i="1"/>
  <c r="K40" i="1"/>
  <c r="AI39" i="1"/>
  <c r="AJ39" i="1" s="1"/>
  <c r="AH39" i="1"/>
  <c r="AG39" i="1"/>
  <c r="AF39" i="1"/>
  <c r="AE39" i="1"/>
  <c r="AD39" i="1"/>
  <c r="AC39" i="1"/>
  <c r="AB39" i="1"/>
  <c r="AA39" i="1"/>
  <c r="O39" i="1"/>
  <c r="AI38" i="1"/>
  <c r="AJ38" i="1" s="1"/>
  <c r="AH38" i="1"/>
  <c r="AG38" i="1"/>
  <c r="AF38" i="1"/>
  <c r="AE38" i="1"/>
  <c r="AD38" i="1"/>
  <c r="AC38" i="1"/>
  <c r="AB38" i="1"/>
  <c r="AA38" i="1"/>
  <c r="O38" i="1"/>
  <c r="AI37" i="1"/>
  <c r="AJ37" i="1" s="1"/>
  <c r="AG37" i="1"/>
  <c r="AH37" i="1" s="1"/>
  <c r="AF37" i="1"/>
  <c r="AE37" i="1"/>
  <c r="AD37" i="1"/>
  <c r="AC37" i="1"/>
  <c r="AB37" i="1"/>
  <c r="AA37" i="1"/>
  <c r="O37" i="1"/>
  <c r="AI36" i="1"/>
  <c r="AJ36" i="1" s="1"/>
  <c r="AG36" i="1"/>
  <c r="AH36" i="1" s="1"/>
  <c r="AF36" i="1"/>
  <c r="AE36" i="1"/>
  <c r="AD36" i="1"/>
  <c r="AC36" i="1"/>
  <c r="AB36" i="1"/>
  <c r="AA36" i="1"/>
  <c r="AI35" i="1"/>
  <c r="AJ35" i="1" s="1"/>
  <c r="AG35" i="1"/>
  <c r="AH35" i="1" s="1"/>
  <c r="AF35" i="1"/>
  <c r="AE35" i="1"/>
  <c r="AD35" i="1"/>
  <c r="AC35" i="1"/>
  <c r="AB35" i="1"/>
  <c r="AA35" i="1"/>
  <c r="AI34" i="1"/>
  <c r="AJ34" i="1" s="1"/>
  <c r="AG34" i="1"/>
  <c r="AH34" i="1" s="1"/>
  <c r="AF34" i="1"/>
  <c r="AE34" i="1"/>
  <c r="AD34" i="1"/>
  <c r="AC34" i="1"/>
  <c r="AB34" i="1"/>
  <c r="AA34" i="1"/>
  <c r="AI33" i="1"/>
  <c r="AJ33" i="1" s="1"/>
  <c r="AG33" i="1"/>
  <c r="AH33" i="1" s="1"/>
  <c r="AF33" i="1"/>
  <c r="AE33" i="1"/>
  <c r="AD33" i="1"/>
  <c r="AC33" i="1"/>
  <c r="AB33" i="1"/>
  <c r="AA33" i="1"/>
  <c r="AI32" i="1"/>
  <c r="AJ32" i="1" s="1"/>
  <c r="AG32" i="1"/>
  <c r="AH32" i="1" s="1"/>
  <c r="AF32" i="1"/>
  <c r="AE32" i="1"/>
  <c r="AD32" i="1"/>
  <c r="AC32" i="1"/>
  <c r="AB32" i="1"/>
  <c r="AA32" i="1"/>
  <c r="O32" i="1"/>
  <c r="AI31" i="1"/>
  <c r="AJ31" i="1" s="1"/>
  <c r="AG31" i="1"/>
  <c r="AH31" i="1" s="1"/>
  <c r="AF31" i="1"/>
  <c r="AE31" i="1"/>
  <c r="AD31" i="1"/>
  <c r="AC31" i="1"/>
  <c r="AB31" i="1"/>
  <c r="AA31" i="1"/>
  <c r="O31" i="1"/>
  <c r="AI30" i="1"/>
  <c r="AJ30" i="1" s="1"/>
  <c r="AG30" i="1"/>
  <c r="AH30" i="1" s="1"/>
  <c r="AF30" i="1"/>
  <c r="AE30" i="1"/>
  <c r="AD30" i="1"/>
  <c r="AC30" i="1"/>
  <c r="AB30" i="1"/>
  <c r="AA30" i="1"/>
  <c r="O30" i="1"/>
  <c r="AI29" i="1"/>
  <c r="AJ29" i="1" s="1"/>
  <c r="AG29" i="1"/>
  <c r="AH29" i="1" s="1"/>
  <c r="AF29" i="1"/>
  <c r="AE29" i="1"/>
  <c r="AD29" i="1"/>
  <c r="AC29" i="1"/>
  <c r="AB29" i="1"/>
  <c r="AA29" i="1"/>
  <c r="O29" i="1"/>
  <c r="AI28" i="1"/>
  <c r="AJ28" i="1" s="1"/>
  <c r="AG28" i="1"/>
  <c r="AH28" i="1" s="1"/>
  <c r="AF28" i="1"/>
  <c r="AE28" i="1"/>
  <c r="AD28" i="1"/>
  <c r="AC28" i="1"/>
  <c r="AB28" i="1"/>
  <c r="AA28" i="1"/>
  <c r="O28" i="1"/>
  <c r="AI27" i="1"/>
  <c r="AJ27" i="1" s="1"/>
  <c r="AG27" i="1"/>
  <c r="AH27" i="1" s="1"/>
  <c r="AF27" i="1"/>
  <c r="AE27" i="1"/>
  <c r="AD27" i="1"/>
  <c r="AC27" i="1"/>
  <c r="AB27" i="1"/>
  <c r="AA27" i="1"/>
  <c r="O27" i="1"/>
  <c r="AI26" i="1"/>
  <c r="AJ26" i="1" s="1"/>
  <c r="AG26" i="1"/>
  <c r="AH26" i="1" s="1"/>
  <c r="AF26" i="1"/>
  <c r="AE26" i="1"/>
  <c r="AD26" i="1"/>
  <c r="AC26" i="1"/>
  <c r="AB26" i="1"/>
  <c r="AA26" i="1"/>
  <c r="O26" i="1"/>
  <c r="AI25" i="1"/>
  <c r="AJ25" i="1" s="1"/>
  <c r="AG25" i="1"/>
  <c r="AH25" i="1" s="1"/>
  <c r="AF25" i="1"/>
  <c r="AE25" i="1"/>
  <c r="AD25" i="1"/>
  <c r="AC25" i="1"/>
  <c r="AB25" i="1"/>
  <c r="AA25" i="1"/>
  <c r="AI24" i="1"/>
  <c r="AJ24" i="1" s="1"/>
  <c r="AG24" i="1"/>
  <c r="AH24" i="1" s="1"/>
  <c r="AF24" i="1"/>
  <c r="AE24" i="1"/>
  <c r="AD24" i="1"/>
  <c r="AC24" i="1"/>
  <c r="AB24" i="1"/>
  <c r="AA24" i="1"/>
  <c r="AI23" i="1"/>
  <c r="AJ23" i="1" s="1"/>
  <c r="AG23" i="1"/>
  <c r="AH23" i="1" s="1"/>
  <c r="AF23" i="1"/>
  <c r="AE23" i="1"/>
  <c r="AD23" i="1"/>
  <c r="AC23" i="1"/>
  <c r="AB23" i="1"/>
  <c r="AA23" i="1"/>
  <c r="AI22" i="1"/>
  <c r="AJ22" i="1" s="1"/>
  <c r="AG22" i="1"/>
  <c r="AH22" i="1" s="1"/>
  <c r="AF22" i="1"/>
  <c r="AE22" i="1"/>
  <c r="AD22" i="1"/>
  <c r="AC22" i="1"/>
  <c r="AB22" i="1"/>
  <c r="AA22" i="1"/>
  <c r="O22" i="1"/>
  <c r="AI21" i="1"/>
  <c r="AJ21" i="1" s="1"/>
  <c r="AG21" i="1"/>
  <c r="AH21" i="1" s="1"/>
  <c r="AF21" i="1"/>
  <c r="AE21" i="1"/>
  <c r="AD21" i="1"/>
  <c r="AC21" i="1"/>
  <c r="AB21" i="1"/>
  <c r="AA21" i="1"/>
  <c r="O21" i="1"/>
  <c r="AJ20" i="1"/>
  <c r="AI20" i="1"/>
  <c r="AG20" i="1"/>
  <c r="AH20" i="1" s="1"/>
  <c r="AF20" i="1"/>
  <c r="AE20" i="1"/>
  <c r="AD20" i="1"/>
  <c r="AC20" i="1"/>
  <c r="AB20" i="1"/>
  <c r="AA20" i="1"/>
  <c r="O20" i="1"/>
  <c r="AJ19" i="1"/>
  <c r="AI19" i="1"/>
  <c r="AG19" i="1"/>
  <c r="AH19" i="1" s="1"/>
  <c r="AF19" i="1"/>
  <c r="AE19" i="1"/>
  <c r="AD19" i="1"/>
  <c r="AC19" i="1"/>
  <c r="AB19" i="1"/>
  <c r="AA19" i="1"/>
  <c r="O19" i="1"/>
  <c r="AI18" i="1"/>
  <c r="AJ18" i="1" s="1"/>
  <c r="AG18" i="1"/>
  <c r="AH18" i="1" s="1"/>
  <c r="AF18" i="1"/>
  <c r="AE18" i="1"/>
  <c r="AD18" i="1"/>
  <c r="AC18" i="1"/>
  <c r="AB18" i="1"/>
  <c r="AA18" i="1"/>
  <c r="K18" i="1"/>
  <c r="AI17" i="1"/>
  <c r="AJ17" i="1" s="1"/>
  <c r="AG17" i="1"/>
  <c r="AH17" i="1" s="1"/>
  <c r="AF17" i="1"/>
  <c r="AE17" i="1"/>
  <c r="AD17" i="1"/>
  <c r="AC17" i="1"/>
  <c r="AB17" i="1"/>
  <c r="AA17" i="1"/>
  <c r="O17" i="1"/>
  <c r="AI16" i="1"/>
  <c r="AJ16" i="1" s="1"/>
  <c r="AG16" i="1"/>
  <c r="AH16" i="1" s="1"/>
  <c r="AF16" i="1"/>
  <c r="AE16" i="1"/>
  <c r="AD16" i="1"/>
  <c r="AC16" i="1"/>
  <c r="AB16" i="1"/>
  <c r="AA16" i="1"/>
  <c r="AI15" i="1"/>
  <c r="AJ15" i="1" s="1"/>
  <c r="AG15" i="1"/>
  <c r="AH15" i="1" s="1"/>
  <c r="AF15" i="1"/>
  <c r="AE15" i="1"/>
  <c r="AD15" i="1"/>
  <c r="AC15" i="1"/>
  <c r="AB15" i="1"/>
  <c r="AA15" i="1"/>
  <c r="O15" i="1"/>
  <c r="AI14" i="1"/>
  <c r="AJ14" i="1" s="1"/>
  <c r="AH14" i="1"/>
  <c r="AG14" i="1"/>
  <c r="AF14" i="1"/>
  <c r="AE14" i="1"/>
  <c r="AD14" i="1"/>
  <c r="AC14" i="1"/>
  <c r="AB14" i="1"/>
  <c r="AA14" i="1"/>
  <c r="AI13" i="1"/>
  <c r="AJ13" i="1" s="1"/>
  <c r="AG13" i="1"/>
  <c r="AH13" i="1" s="1"/>
  <c r="AF13" i="1"/>
  <c r="AE13" i="1"/>
  <c r="AD13" i="1"/>
  <c r="AC13" i="1"/>
  <c r="AB13" i="1"/>
  <c r="AA13" i="1"/>
  <c r="L13" i="1"/>
  <c r="AI12" i="1"/>
  <c r="AJ12" i="1" s="1"/>
  <c r="AG12" i="1"/>
  <c r="AH12" i="1" s="1"/>
  <c r="AF12" i="1"/>
  <c r="AE12" i="1"/>
  <c r="AD12" i="1"/>
  <c r="AC12" i="1"/>
  <c r="AB12" i="1"/>
  <c r="AA12" i="1"/>
  <c r="O12" i="1"/>
  <c r="K12" i="1"/>
  <c r="J12" i="1"/>
  <c r="AI11" i="1"/>
  <c r="AJ11" i="1" s="1"/>
  <c r="AG11" i="1"/>
  <c r="AH11" i="1" s="1"/>
  <c r="AF11" i="1"/>
  <c r="AE11" i="1"/>
  <c r="AD11" i="1"/>
  <c r="AC11" i="1"/>
  <c r="AB11" i="1"/>
  <c r="AA11" i="1"/>
  <c r="O11" i="1"/>
  <c r="J11" i="1"/>
  <c r="AI10" i="1"/>
  <c r="AJ10" i="1" s="1"/>
  <c r="AG10" i="1"/>
  <c r="AH10" i="1" s="1"/>
  <c r="AF10" i="1"/>
  <c r="AE10" i="1"/>
  <c r="AD10" i="1"/>
  <c r="AC10" i="1"/>
  <c r="AB10" i="1"/>
  <c r="AA10" i="1"/>
  <c r="AI9" i="1"/>
  <c r="AJ9" i="1" s="1"/>
  <c r="AG9" i="1"/>
  <c r="AH9" i="1" s="1"/>
  <c r="AF9" i="1"/>
  <c r="AE9" i="1"/>
  <c r="AD9" i="1"/>
  <c r="AC9" i="1"/>
  <c r="AB9" i="1"/>
  <c r="AA9" i="1"/>
  <c r="O9" i="1"/>
  <c r="AI8" i="1"/>
  <c r="AJ8" i="1" s="1"/>
  <c r="AG8" i="1"/>
  <c r="AH8" i="1" s="1"/>
  <c r="AF8" i="1"/>
  <c r="AE8" i="1"/>
  <c r="AD8" i="1"/>
  <c r="AC8" i="1"/>
  <c r="AB8" i="1"/>
  <c r="AA8" i="1"/>
  <c r="O8" i="1"/>
  <c r="J8" i="1"/>
  <c r="AI7" i="1"/>
  <c r="AJ7" i="1" s="1"/>
  <c r="AG7" i="1"/>
  <c r="AH7" i="1" s="1"/>
  <c r="AF7" i="1"/>
  <c r="AE7" i="1"/>
  <c r="AD7" i="1"/>
  <c r="AC7" i="1"/>
  <c r="AB7" i="1"/>
  <c r="AA7" i="1"/>
  <c r="O7" i="1"/>
  <c r="AI6" i="1"/>
  <c r="AJ6" i="1" s="1"/>
  <c r="AG6" i="1"/>
  <c r="AH6" i="1" s="1"/>
  <c r="AF6" i="1"/>
  <c r="AE6" i="1"/>
  <c r="AD6" i="1"/>
  <c r="AC6" i="1"/>
  <c r="AB6" i="1"/>
  <c r="AA6" i="1"/>
  <c r="AI5" i="1"/>
  <c r="AJ5" i="1" s="1"/>
  <c r="AG5" i="1"/>
  <c r="AH5" i="1" s="1"/>
  <c r="AF5" i="1"/>
  <c r="AE5" i="1"/>
  <c r="AD5" i="1"/>
  <c r="AC5" i="1"/>
  <c r="AB5" i="1"/>
  <c r="AA5" i="1"/>
  <c r="AI4" i="1"/>
  <c r="AJ4" i="1" s="1"/>
  <c r="AG4" i="1"/>
  <c r="AH4" i="1" s="1"/>
  <c r="AF4" i="1"/>
  <c r="AE4" i="1"/>
  <c r="AD4" i="1"/>
  <c r="AC4" i="1"/>
  <c r="AB4" i="1"/>
  <c r="AA4" i="1"/>
  <c r="O4" i="1"/>
  <c r="AI3" i="1"/>
  <c r="AJ3" i="1" s="1"/>
  <c r="AG3" i="1"/>
  <c r="AH3" i="1" s="1"/>
  <c r="AF3" i="1"/>
  <c r="AE3" i="1"/>
  <c r="AD3" i="1"/>
  <c r="AC3" i="1"/>
  <c r="AB3" i="1"/>
  <c r="AA3" i="1"/>
  <c r="AI2" i="1"/>
  <c r="AJ2" i="1" s="1"/>
  <c r="AG2" i="1"/>
  <c r="AH2" i="1" s="1"/>
  <c r="AF2" i="1"/>
  <c r="AE2" i="1"/>
  <c r="AD2" i="1"/>
  <c r="AC2" i="1"/>
  <c r="AB2" i="1"/>
  <c r="AA2" i="1"/>
  <c r="O2" i="1"/>
</calcChain>
</file>

<file path=xl/sharedStrings.xml><?xml version="1.0" encoding="utf-8"?>
<sst xmlns="http://schemas.openxmlformats.org/spreadsheetml/2006/main" count="5721" uniqueCount="783">
  <si>
    <t>Vessel ID</t>
  </si>
  <si>
    <t>Location</t>
  </si>
  <si>
    <t>Sex</t>
  </si>
  <si>
    <t>Age</t>
  </si>
  <si>
    <t>C0001</t>
  </si>
  <si>
    <t>ICA</t>
  </si>
  <si>
    <t>Female</t>
  </si>
  <si>
    <t>C0002</t>
  </si>
  <si>
    <t>C0003</t>
  </si>
  <si>
    <t>C0005</t>
  </si>
  <si>
    <t>C0006</t>
  </si>
  <si>
    <t>C0007</t>
  </si>
  <si>
    <t>C0008</t>
  </si>
  <si>
    <t>ACA</t>
  </si>
  <si>
    <t>Male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</si>
  <si>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</si>
  <si>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</si>
  <si>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</si>
  <si>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</si>
  <si>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</si>
  <si>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</si>
  <si>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</si>
  <si>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</si>
  <si>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</si>
  <si>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</si>
  <si>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</si>
  <si>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MCA</t>
  </si>
  <si>
    <t>C0020</t>
  </si>
  <si>
    <t>C0021</t>
  </si>
  <si>
    <t>C0023</t>
  </si>
  <si>
    <t>C0024</t>
  </si>
  <si>
    <t>C0025</t>
  </si>
  <si>
    <t>C0026</t>
  </si>
  <si>
    <t>C0027</t>
  </si>
  <si>
    <t>C0028a</t>
  </si>
  <si>
    <t>C0028b</t>
  </si>
  <si>
    <t>C0029</t>
  </si>
  <si>
    <t>C0030</t>
  </si>
  <si>
    <t>C0031</t>
  </si>
  <si>
    <t>C0032</t>
  </si>
  <si>
    <t>BA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</si>
  <si>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</si>
  <si>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</si>
  <si>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</si>
  <si>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</si>
  <si>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</si>
  <si>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</si>
  <si>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</si>
  <si>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</si>
  <si>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</si>
  <si>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</si>
  <si>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</si>
  <si>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</si>
  <si>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</si>
  <si>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</si>
  <si>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</si>
  <si>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</si>
  <si>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</si>
  <si>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</si>
  <si>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</si>
  <si>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</si>
  <si>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</si>
  <si>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</si>
  <si>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</si>
  <si>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</si>
  <si>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C0057a</t>
  </si>
  <si>
    <t>C0057b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</si>
  <si>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</si>
  <si>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</si>
  <si>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</si>
  <si>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</si>
  <si>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</si>
  <si>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</si>
  <si>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</si>
  <si>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</si>
  <si>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</si>
  <si>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</si>
  <si>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</si>
  <si>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</si>
  <si>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</si>
  <si>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</si>
  <si>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</si>
  <si>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</si>
  <si>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C0074a</t>
  </si>
  <si>
    <t>C0074b</t>
  </si>
  <si>
    <t>C0075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</si>
  <si>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</si>
  <si>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</si>
  <si>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</si>
  <si>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</si>
  <si>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</si>
  <si>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</si>
  <si>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</si>
  <si>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</si>
  <si>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</si>
  <si>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</si>
  <si>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C0087a</t>
  </si>
  <si>
    <t>C0088a</t>
  </si>
  <si>
    <t>C0088b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</si>
  <si>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</si>
  <si>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</si>
  <si>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</si>
  <si>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</si>
  <si>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</si>
  <si>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</si>
  <si>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</si>
  <si>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</si>
  <si>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</si>
  <si>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</si>
  <si>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</si>
  <si>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NA</t>
  </si>
  <si>
    <t>NC</t>
  </si>
  <si>
    <t>MD</t>
  </si>
  <si>
    <t>DPVI</t>
  </si>
  <si>
    <t>IMDA</t>
  </si>
  <si>
    <t>MDNA</t>
  </si>
  <si>
    <t>INA</t>
  </si>
  <si>
    <t>PL</t>
  </si>
  <si>
    <t>ON</t>
  </si>
  <si>
    <t>COD</t>
  </si>
  <si>
    <t>AR</t>
  </si>
  <si>
    <t>BR</t>
  </si>
  <si>
    <t>CP</t>
  </si>
  <si>
    <t>EI</t>
  </si>
  <si>
    <t>NSI</t>
  </si>
  <si>
    <t>UI</t>
  </si>
  <si>
    <t>MDPN</t>
  </si>
  <si>
    <t>ND</t>
  </si>
  <si>
    <t>DA</t>
  </si>
  <si>
    <t>DV</t>
  </si>
  <si>
    <t>NR</t>
  </si>
  <si>
    <t>SR</t>
  </si>
  <si>
    <t>PR</t>
  </si>
  <si>
    <t>DNR</t>
  </si>
  <si>
    <t>VOA</t>
  </si>
  <si>
    <t>SF</t>
  </si>
  <si>
    <t>IR</t>
  </si>
  <si>
    <t>IRR</t>
  </si>
  <si>
    <t>IS</t>
  </si>
  <si>
    <t>ISR</t>
  </si>
  <si>
    <t>I</t>
  </si>
  <si>
    <t>LB</t>
  </si>
  <si>
    <t>B</t>
  </si>
  <si>
    <t>L</t>
  </si>
  <si>
    <t>R</t>
  </si>
  <si>
    <t>WSS</t>
  </si>
  <si>
    <t>NWSS</t>
  </si>
  <si>
    <t>WSSG</t>
  </si>
  <si>
    <t>WSSD</t>
  </si>
  <si>
    <t>TAWSS</t>
  </si>
  <si>
    <t>OSI</t>
  </si>
  <si>
    <t>AFI</t>
  </si>
  <si>
    <t>RRT</t>
  </si>
  <si>
    <t>LSAR</t>
  </si>
  <si>
    <t>OVI</t>
  </si>
  <si>
    <t>FV</t>
  </si>
  <si>
    <t>PLC</t>
  </si>
  <si>
    <t>EL</t>
  </si>
  <si>
    <t>TT</t>
  </si>
  <si>
    <t>NPD</t>
  </si>
  <si>
    <t>FS</t>
  </si>
  <si>
    <t>FC</t>
  </si>
  <si>
    <t>stable</t>
  </si>
  <si>
    <t>simple</t>
  </si>
  <si>
    <t>unstable</t>
  </si>
  <si>
    <t>complex</t>
  </si>
  <si>
    <t>Status</t>
  </si>
  <si>
    <t>unruptured</t>
  </si>
  <si>
    <t>ruptured</t>
  </si>
  <si>
    <t>ANSYS_UNIGE_09</t>
  </si>
  <si>
    <t>ANSYS_UNIGE_16</t>
  </si>
  <si>
    <t>ANSYS_UNIGE_17_10</t>
  </si>
  <si>
    <t>ANSYS_UNIGE_27</t>
  </si>
  <si>
    <t>ANSYS_UNIGE_28_269</t>
  </si>
  <si>
    <t>ANSYS_UNIGE_30_612</t>
  </si>
  <si>
    <t>ANSYS_UNIGE_30_614</t>
  </si>
  <si>
    <t>ANSYS_UNIGE_33_628</t>
  </si>
  <si>
    <t>ANSYS_UNIGE_33_631</t>
  </si>
  <si>
    <t>PCA</t>
  </si>
  <si>
    <t>ANSYS_UNIGE_34</t>
  </si>
  <si>
    <t>ANSYS_UNIGE_35</t>
  </si>
  <si>
    <t>p043</t>
  </si>
  <si>
    <t>p044</t>
  </si>
  <si>
    <t>VA</t>
  </si>
  <si>
    <t>p046</t>
  </si>
  <si>
    <t>p091</t>
  </si>
  <si>
    <t>p092</t>
  </si>
  <si>
    <t>p094</t>
  </si>
  <si>
    <t>p095a</t>
  </si>
  <si>
    <t>p097</t>
  </si>
  <si>
    <t>p099</t>
  </si>
  <si>
    <t>p101</t>
  </si>
  <si>
    <t>p103</t>
  </si>
  <si>
    <t>p104</t>
  </si>
  <si>
    <t>p109</t>
  </si>
  <si>
    <t>p114</t>
  </si>
  <si>
    <t>p115</t>
  </si>
  <si>
    <t>p117</t>
  </si>
  <si>
    <t>p119</t>
  </si>
  <si>
    <t>p120</t>
  </si>
  <si>
    <t>p121</t>
  </si>
  <si>
    <t>p122</t>
  </si>
  <si>
    <t>p124</t>
  </si>
  <si>
    <t>p126a</t>
  </si>
  <si>
    <t>p126b</t>
  </si>
  <si>
    <t>p127</t>
  </si>
  <si>
    <t>p128a</t>
  </si>
  <si>
    <t>p128b</t>
  </si>
  <si>
    <t>p129</t>
  </si>
  <si>
    <t>p131</t>
  </si>
  <si>
    <t>p133</t>
  </si>
  <si>
    <t>p134</t>
  </si>
  <si>
    <t>p135</t>
  </si>
  <si>
    <t>p136</t>
  </si>
  <si>
    <t>p137</t>
  </si>
  <si>
    <t>p140</t>
  </si>
  <si>
    <t>p141</t>
  </si>
  <si>
    <t>p142</t>
  </si>
  <si>
    <t>p144</t>
  </si>
  <si>
    <t>p145</t>
  </si>
  <si>
    <t>p146</t>
  </si>
  <si>
    <t>p147</t>
  </si>
  <si>
    <t>p149</t>
  </si>
  <si>
    <t>p150</t>
  </si>
  <si>
    <t>p151</t>
  </si>
  <si>
    <t>p152</t>
  </si>
  <si>
    <t>p153</t>
  </si>
  <si>
    <t>p154a</t>
  </si>
  <si>
    <t>p154b</t>
  </si>
  <si>
    <t>p157</t>
  </si>
  <si>
    <t>p158</t>
  </si>
  <si>
    <t>p159</t>
  </si>
  <si>
    <t>p160</t>
  </si>
  <si>
    <t>p161</t>
  </si>
  <si>
    <t>p162</t>
  </si>
  <si>
    <t>p163a</t>
  </si>
  <si>
    <t>p163b</t>
  </si>
  <si>
    <t>p165</t>
  </si>
  <si>
    <t>p166</t>
  </si>
  <si>
    <t>p167</t>
  </si>
  <si>
    <t>p168</t>
  </si>
  <si>
    <t>p169</t>
  </si>
  <si>
    <t>p170a</t>
  </si>
  <si>
    <t>p170b</t>
  </si>
  <si>
    <t>p171a</t>
  </si>
  <si>
    <t>p171b</t>
  </si>
  <si>
    <t>p172</t>
  </si>
  <si>
    <t>p174</t>
  </si>
  <si>
    <t>p304a</t>
  </si>
  <si>
    <t>p304b</t>
  </si>
  <si>
    <t>p305a</t>
  </si>
  <si>
    <t>p305b</t>
  </si>
  <si>
    <t>p305c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</si>
  <si>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</si>
  <si>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</si>
  <si>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</si>
  <si>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</si>
  <si>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</si>
  <si>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</si>
  <si>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</si>
  <si>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</si>
  <si>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</si>
  <si>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</si>
  <si>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</si>
  <si>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</si>
  <si>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</si>
  <si>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</si>
  <si>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</si>
  <si>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</si>
  <si>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</si>
  <si>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</si>
  <si>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</si>
  <si>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</si>
  <si>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</si>
  <si>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p329</t>
  </si>
  <si>
    <t>p330</t>
  </si>
  <si>
    <t>p331</t>
  </si>
  <si>
    <t>p333</t>
  </si>
  <si>
    <t>p334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</si>
  <si>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</si>
  <si>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</si>
  <si>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</si>
  <si>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</si>
  <si>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</si>
  <si>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</si>
  <si>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</si>
  <si>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</si>
  <si>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</si>
  <si>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</si>
  <si>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</si>
  <si>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</si>
  <si>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</si>
  <si>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p349a</t>
  </si>
  <si>
    <t>p349b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</si>
  <si>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</si>
  <si>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</si>
  <si>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</si>
  <si>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</si>
  <si>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</si>
  <si>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</si>
  <si>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</si>
  <si>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</si>
  <si>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</si>
  <si>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</si>
  <si>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</si>
  <si>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</si>
  <si>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</si>
  <si>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</si>
  <si>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</si>
  <si>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</si>
  <si>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</si>
  <si>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p368a</t>
  </si>
  <si>
    <t>p368b</t>
  </si>
  <si>
    <t>p369</t>
  </si>
  <si>
    <t>p370</t>
  </si>
  <si>
    <t>p371</t>
  </si>
  <si>
    <t>p372</t>
  </si>
  <si>
    <t>p373</t>
  </si>
  <si>
    <t>p374</t>
  </si>
  <si>
    <t>p375a</t>
  </si>
  <si>
    <t>p375b</t>
  </si>
  <si>
    <t>p376a</t>
  </si>
  <si>
    <t>p376b</t>
  </si>
  <si>
    <t>p376c</t>
  </si>
  <si>
    <t>p377</t>
  </si>
  <si>
    <t>p378</t>
  </si>
  <si>
    <t>p379a</t>
  </si>
  <si>
    <t>p379b</t>
  </si>
  <si>
    <t>p379c</t>
  </si>
  <si>
    <t>p380</t>
  </si>
  <si>
    <t>p381</t>
  </si>
  <si>
    <t>p382</t>
  </si>
  <si>
    <t>p383a</t>
  </si>
  <si>
    <t>p383b</t>
  </si>
  <si>
    <t>p383c</t>
  </si>
  <si>
    <t>p383d</t>
  </si>
  <si>
    <t>p384</t>
  </si>
  <si>
    <t>p385</t>
  </si>
  <si>
    <t>p386</t>
  </si>
  <si>
    <t>p387</t>
  </si>
  <si>
    <t>p388</t>
  </si>
  <si>
    <t>p389a</t>
  </si>
  <si>
    <t>p389b</t>
  </si>
  <si>
    <t>p390a</t>
  </si>
  <si>
    <t>p390b</t>
  </si>
  <si>
    <t>p390c</t>
  </si>
  <si>
    <t>p391</t>
  </si>
  <si>
    <t>p392a</t>
  </si>
  <si>
    <t>p392b</t>
  </si>
  <si>
    <t>p393</t>
  </si>
  <si>
    <t>p394</t>
  </si>
  <si>
    <t>p395a</t>
  </si>
  <si>
    <t>p395b</t>
  </si>
  <si>
    <t>p396</t>
  </si>
  <si>
    <t>p397</t>
  </si>
  <si>
    <t>p398a</t>
  </si>
  <si>
    <t>p398b</t>
  </si>
  <si>
    <t>p399a</t>
  </si>
  <si>
    <t>P399b</t>
  </si>
  <si>
    <t>P399c</t>
  </si>
  <si>
    <t>p400</t>
  </si>
  <si>
    <t>p401</t>
  </si>
  <si>
    <t>p402</t>
  </si>
  <si>
    <t>p403</t>
  </si>
  <si>
    <t>p404a</t>
  </si>
  <si>
    <t>p404b</t>
  </si>
  <si>
    <t>p405</t>
  </si>
  <si>
    <t>p406</t>
  </si>
  <si>
    <t>p407</t>
  </si>
  <si>
    <t>p408</t>
  </si>
  <si>
    <t>p409</t>
  </si>
  <si>
    <t>p410</t>
  </si>
  <si>
    <t>p411</t>
  </si>
  <si>
    <t>p412</t>
  </si>
  <si>
    <t>SCA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</si>
  <si>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</si>
  <si>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</si>
  <si>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</si>
  <si>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</si>
  <si>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</si>
  <si>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</si>
  <si>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</si>
  <si>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</si>
  <si>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</si>
  <si>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</si>
  <si>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</si>
  <si>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</si>
  <si>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</si>
  <si>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</si>
  <si>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</si>
  <si>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p429</t>
  </si>
  <si>
    <t>p430</t>
  </si>
  <si>
    <t>p431a</t>
  </si>
  <si>
    <t>p431b</t>
  </si>
  <si>
    <t>p432</t>
  </si>
  <si>
    <t>p433</t>
  </si>
  <si>
    <t>p434a</t>
  </si>
  <si>
    <t>p434b</t>
  </si>
  <si>
    <t>p435</t>
  </si>
  <si>
    <t>p436</t>
  </si>
  <si>
    <t>p437</t>
  </si>
  <si>
    <t>p438a</t>
  </si>
  <si>
    <t>p438b</t>
  </si>
  <si>
    <t>p439a</t>
  </si>
  <si>
    <t>p439b</t>
  </si>
  <si>
    <t>p440</t>
  </si>
  <si>
    <t>p441</t>
  </si>
  <si>
    <t>p442</t>
  </si>
  <si>
    <t>p443</t>
  </si>
  <si>
    <t>p444a</t>
  </si>
  <si>
    <t>p444b</t>
  </si>
  <si>
    <t>p446a</t>
  </si>
  <si>
    <t>p446b</t>
  </si>
  <si>
    <t>p447a</t>
  </si>
  <si>
    <t>p447c</t>
  </si>
  <si>
    <t>p447d</t>
  </si>
  <si>
    <t>p448</t>
  </si>
  <si>
    <t>p449</t>
  </si>
  <si>
    <t>p450</t>
  </si>
  <si>
    <t>p451a</t>
  </si>
  <si>
    <t>p451b</t>
  </si>
  <si>
    <t>p452a</t>
  </si>
  <si>
    <t>p452b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</si>
  <si>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</si>
  <si>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</si>
  <si>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</si>
  <si>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</si>
  <si>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</si>
  <si>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</si>
  <si>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</si>
  <si>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</si>
  <si>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</si>
  <si>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</si>
  <si>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p463a</t>
  </si>
  <si>
    <t>p463b</t>
  </si>
  <si>
    <t>p464</t>
  </si>
  <si>
    <t>p465</t>
  </si>
  <si>
    <t>p466</t>
  </si>
  <si>
    <t>p467</t>
  </si>
  <si>
    <t>p468</t>
  </si>
  <si>
    <t>p469a</t>
  </si>
  <si>
    <t>p469b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</si>
  <si>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</si>
  <si>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</si>
  <si>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</si>
  <si>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</si>
  <si>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</si>
  <si>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</si>
  <si>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</si>
  <si>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</si>
  <si>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</si>
  <si>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</si>
  <si>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</si>
  <si>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</si>
  <si>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</si>
  <si>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p483a</t>
  </si>
  <si>
    <t>p483b</t>
  </si>
  <si>
    <t>p484</t>
  </si>
  <si>
    <t>p485</t>
  </si>
  <si>
    <t>p486</t>
  </si>
  <si>
    <t>p487</t>
  </si>
  <si>
    <t>p488</t>
  </si>
  <si>
    <t>p489</t>
  </si>
  <si>
    <t>p490</t>
  </si>
  <si>
    <t>p491a</t>
  </si>
  <si>
    <t>p491b</t>
  </si>
  <si>
    <t>p492</t>
  </si>
  <si>
    <t>p493</t>
  </si>
  <si>
    <t>p494</t>
  </si>
  <si>
    <t>p495a</t>
  </si>
  <si>
    <t>p495b</t>
  </si>
  <si>
    <t>p496</t>
  </si>
  <si>
    <t>p497</t>
  </si>
  <si>
    <t>p498</t>
  </si>
  <si>
    <t>p499a</t>
  </si>
  <si>
    <t>p499b</t>
  </si>
  <si>
    <t>p500</t>
  </si>
  <si>
    <t>p501</t>
  </si>
  <si>
    <t>p502</t>
  </si>
  <si>
    <t>p503</t>
  </si>
  <si>
    <t>p504</t>
  </si>
  <si>
    <t>p505</t>
  </si>
  <si>
    <t>p506</t>
  </si>
  <si>
    <t>p507</t>
  </si>
  <si>
    <t>p508a</t>
  </si>
  <si>
    <t>p508b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</si>
  <si>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</si>
  <si>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</si>
  <si>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</si>
  <si>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</si>
  <si>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</si>
  <si>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</si>
  <si>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</si>
  <si>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</si>
  <si>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</si>
  <si>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p518a</t>
  </si>
  <si>
    <t>p518b</t>
  </si>
  <si>
    <t>p518c</t>
  </si>
  <si>
    <t>p519</t>
  </si>
  <si>
    <t>p523</t>
  </si>
  <si>
    <t>p525a</t>
  </si>
  <si>
    <t>p525b</t>
  </si>
  <si>
    <t>p526</t>
  </si>
  <si>
    <t>p527</t>
  </si>
  <si>
    <t>p528</t>
  </si>
  <si>
    <t>p529</t>
  </si>
  <si>
    <t>p530</t>
  </si>
  <si>
    <t>p531</t>
  </si>
  <si>
    <t>p532</t>
  </si>
  <si>
    <t>p533a</t>
  </si>
  <si>
    <t>p533b</t>
  </si>
  <si>
    <t>p534</t>
  </si>
  <si>
    <t>p535</t>
  </si>
  <si>
    <t>p536a</t>
  </si>
  <si>
    <t>p536b</t>
  </si>
  <si>
    <t>p538</t>
  </si>
  <si>
    <t>p540</t>
  </si>
  <si>
    <t>p541a</t>
  </si>
  <si>
    <t>p541b</t>
  </si>
  <si>
    <t>p543</t>
  </si>
  <si>
    <t>p544</t>
  </si>
  <si>
    <t>p547</t>
  </si>
  <si>
    <t>p548</t>
  </si>
  <si>
    <t>p549</t>
  </si>
  <si>
    <t>p550</t>
  </si>
  <si>
    <t>p551a</t>
  </si>
  <si>
    <t>p551b</t>
  </si>
  <si>
    <t>p552a</t>
  </si>
  <si>
    <t>p552b</t>
  </si>
  <si>
    <t>p553a</t>
  </si>
  <si>
    <t>p553b</t>
  </si>
  <si>
    <t>p554</t>
  </si>
  <si>
    <t>p555</t>
  </si>
  <si>
    <t>SNF00000024</t>
  </si>
  <si>
    <t>SNF00000026</t>
  </si>
  <si>
    <t>SNF00000036_01</t>
  </si>
  <si>
    <t>SNF00000036_02</t>
  </si>
  <si>
    <t>SNF00000048</t>
  </si>
  <si>
    <t>SNF00000054_01</t>
  </si>
  <si>
    <t>SNF00000054_02</t>
  </si>
  <si>
    <t>SNF00000055</t>
  </si>
  <si>
    <t>SNF00000063</t>
  </si>
  <si>
    <t>SNF00000070</t>
  </si>
  <si>
    <t>SNF00000074</t>
  </si>
  <si>
    <t>SNF00000077_01</t>
  </si>
  <si>
    <t>SNF00000077_02</t>
  </si>
  <si>
    <t>SNF00000090</t>
  </si>
  <si>
    <t>SNF00000094_01</t>
  </si>
  <si>
    <t>SNF00000094_02</t>
  </si>
  <si>
    <t>SNF00000095</t>
  </si>
  <si>
    <t>SNF00000100</t>
  </si>
  <si>
    <t>SNF00000114</t>
  </si>
  <si>
    <t>SNF00000125</t>
  </si>
  <si>
    <t>SNF00000128</t>
  </si>
  <si>
    <t>SNF00000135</t>
  </si>
  <si>
    <t>SNF00000141</t>
  </si>
  <si>
    <t>SNF00000142</t>
  </si>
  <si>
    <t>SNF00000143_01</t>
  </si>
  <si>
    <t>SNF00000143_02</t>
  </si>
  <si>
    <t>SNF00000144</t>
  </si>
  <si>
    <t>SNF00000146</t>
  </si>
  <si>
    <t>SNF00000148</t>
  </si>
  <si>
    <t>SNF00000173</t>
  </si>
  <si>
    <t>SNF00000175</t>
  </si>
  <si>
    <t>SNF00000185</t>
  </si>
  <si>
    <t>SNF00000189</t>
  </si>
  <si>
    <t>SNF00000208_01</t>
  </si>
  <si>
    <t>SNF00000208_02</t>
  </si>
  <si>
    <t>SNF00000215</t>
  </si>
  <si>
    <t>SNF00000252</t>
  </si>
  <si>
    <t>SNF00000261</t>
  </si>
  <si>
    <t>SNF00000267</t>
  </si>
  <si>
    <t>SNF00000270</t>
  </si>
  <si>
    <t>SNF00000273</t>
  </si>
  <si>
    <t>SNF00000284</t>
  </si>
  <si>
    <t>SNF00000286</t>
  </si>
  <si>
    <t>SNF00000294_01</t>
  </si>
  <si>
    <t>SNF00000294_02</t>
  </si>
  <si>
    <t>SNF00000303</t>
  </si>
  <si>
    <t>SNF00000309</t>
  </si>
  <si>
    <t>SNF00000332</t>
  </si>
  <si>
    <t>SNF00000335</t>
  </si>
  <si>
    <t>SNF00000338</t>
  </si>
  <si>
    <t>SNF00000344</t>
  </si>
  <si>
    <t>SNF00000357</t>
  </si>
  <si>
    <t>SNF00000364_01</t>
  </si>
  <si>
    <t>SNF00000364_02</t>
  </si>
  <si>
    <t>SNF00000365_01</t>
  </si>
  <si>
    <t>SNF00000365_02</t>
  </si>
  <si>
    <t>SNF00000373</t>
  </si>
  <si>
    <t>SNF00000388</t>
  </si>
  <si>
    <t>SNF00000391</t>
  </si>
  <si>
    <t>SNF00000398</t>
  </si>
  <si>
    <t>SNF00000411</t>
  </si>
  <si>
    <t>SNF00000425</t>
  </si>
  <si>
    <t>SNF00000426_01</t>
  </si>
  <si>
    <t>SNF00000426_02</t>
  </si>
  <si>
    <t>SNF00000426_03</t>
  </si>
  <si>
    <t>SNF00000440</t>
  </si>
  <si>
    <t>SNF00000442</t>
  </si>
  <si>
    <t>SNF00000449</t>
  </si>
  <si>
    <t>SNF00000457</t>
  </si>
  <si>
    <t>SNF00000466</t>
  </si>
  <si>
    <t>SNF00000472_01</t>
  </si>
  <si>
    <t>SNF00000472_02</t>
  </si>
  <si>
    <t>SNF00000481</t>
  </si>
  <si>
    <t>SNF00000482</t>
  </si>
  <si>
    <t>SNF00000527</t>
  </si>
  <si>
    <t>SNF00000529</t>
  </si>
  <si>
    <t>SNF00000532</t>
  </si>
  <si>
    <t>SNF00000535</t>
  </si>
  <si>
    <t>SNF00000538_01</t>
  </si>
  <si>
    <t>SNF00000538_02</t>
  </si>
  <si>
    <t>SNF00000553_01</t>
  </si>
  <si>
    <t>SNF00000553_02</t>
  </si>
  <si>
    <t>SNF00000557</t>
  </si>
  <si>
    <t>SNF00000570</t>
  </si>
  <si>
    <t>SNF00000580</t>
  </si>
  <si>
    <t>SNF00000581</t>
  </si>
  <si>
    <t>SNF00000591</t>
  </si>
  <si>
    <t>SNF00000592_01</t>
  </si>
  <si>
    <t>SNF00000592_03</t>
  </si>
  <si>
    <t>SNF00000592_04</t>
  </si>
  <si>
    <t>SNF00000606</t>
  </si>
  <si>
    <t>SNF00000607_01</t>
  </si>
  <si>
    <t>SNF00000607_02</t>
  </si>
  <si>
    <t>SNF00000614</t>
  </si>
  <si>
    <t>SNF00000617</t>
  </si>
  <si>
    <t>UPF_P0001.00_ID1</t>
  </si>
  <si>
    <t>UPF_P0003.00_ID1</t>
  </si>
  <si>
    <t>UPF_P0012.00_ID1</t>
  </si>
  <si>
    <t>UPF_P0013.00_ID1</t>
  </si>
  <si>
    <t>UPF_P0016.00_ID1</t>
  </si>
  <si>
    <t>UPF_P0019.00_ID1</t>
  </si>
  <si>
    <t>UPF_P0024.00_ID1</t>
  </si>
  <si>
    <t>UPF_P0029.00_ID1</t>
  </si>
  <si>
    <t>UPF_P0031.00_ID1</t>
  </si>
  <si>
    <t>UPF_P0034.00_ID1</t>
  </si>
  <si>
    <t>UPF_P0035.00_ID1</t>
  </si>
  <si>
    <t>UPF_P0038.00_ID2</t>
  </si>
  <si>
    <t>UPF_P0042.00_ID1</t>
  </si>
  <si>
    <t>UPF_P0042.00_ID2</t>
  </si>
  <si>
    <t>UPF_P0043.00_ID1</t>
  </si>
  <si>
    <t>UPF_P0044.00_ID1</t>
  </si>
  <si>
    <t>UPF_P0046.00_ID1</t>
  </si>
  <si>
    <t>UPF_P0048.00_ID1</t>
  </si>
  <si>
    <t>UPF_P0053.00_ID1</t>
  </si>
  <si>
    <t>UPF_P0056.00_ID1</t>
  </si>
  <si>
    <t>UPF_P0057.00_ID1</t>
  </si>
  <si>
    <t>UPF_P0058.00_ID1</t>
  </si>
  <si>
    <t>UPF_P0060.00_ID1</t>
  </si>
  <si>
    <t>UPF_P0061.00_ID1</t>
  </si>
  <si>
    <t>UPF_P0065.00_ID1</t>
  </si>
  <si>
    <t>UPF_P0067.00_ID1</t>
  </si>
  <si>
    <t>UPF_P0070.00_ID1</t>
  </si>
  <si>
    <t>UPF_P0076.00_ID1</t>
  </si>
  <si>
    <t>UPF_P0078.00_ID1</t>
  </si>
  <si>
    <t>UPF_P0082.00_ID1</t>
  </si>
  <si>
    <t>UPF_P0084.00_ID1</t>
  </si>
  <si>
    <t>UPF_P0089.00_ID1</t>
  </si>
  <si>
    <t>UPF_P0090.00_ID1</t>
  </si>
  <si>
    <t>UPF_P0092.00_ID1</t>
  </si>
  <si>
    <t>UPF_P0098.00_ID2</t>
  </si>
  <si>
    <t>UPF_P0099.00_ID1</t>
  </si>
  <si>
    <t>UPF_P0103.00_ID1</t>
  </si>
  <si>
    <t>UPF_P0106.00_ID1</t>
  </si>
  <si>
    <t>UPF_P0108.00_ID1</t>
  </si>
  <si>
    <t>UPF_P0117.00_ID1</t>
  </si>
  <si>
    <t>UPF_P0120.00_ID2</t>
  </si>
  <si>
    <t>UPF_P0123.00_ID1</t>
  </si>
  <si>
    <t>UPF_P0129.00_ID1</t>
  </si>
  <si>
    <t>UPF_P0134.00_ID1</t>
  </si>
  <si>
    <t>UPF_P0135.00_ID1</t>
  </si>
  <si>
    <t>UPF_P0140.00_ID1</t>
  </si>
  <si>
    <t>UPF_P0142.00_ID1</t>
  </si>
  <si>
    <t>UPF_P0143.00_ID1</t>
  </si>
  <si>
    <t>UPF_P0148.00_ID1</t>
  </si>
  <si>
    <t>UPF_P0153.00_ID1</t>
  </si>
  <si>
    <t>UPF_P0156.00_ID1</t>
  </si>
  <si>
    <t>UPF_P0157.00_ID1</t>
  </si>
  <si>
    <t>UPF_P0161.00_ID1</t>
  </si>
  <si>
    <t>UPF_P0164.00_ID1</t>
  </si>
  <si>
    <t>UPF_P0165.00_ID1</t>
  </si>
  <si>
    <t>UPF_P0167.00_ID1</t>
  </si>
  <si>
    <t>UPF_P0169.00_ID1</t>
  </si>
  <si>
    <t>UPF_P0171.00_ID1</t>
  </si>
  <si>
    <t>UPF_P0171.00_ID2</t>
  </si>
  <si>
    <t>UPF_P0172.00_ID1</t>
  </si>
  <si>
    <t>UPF_P0175.00_ID2</t>
  </si>
  <si>
    <t>UPF_P0176.00_ID1</t>
  </si>
  <si>
    <t>UPF_P0177.00_ID1</t>
  </si>
  <si>
    <t>UPF_P0178.00_ID1</t>
  </si>
  <si>
    <t>UPF_P0178.00_ID2</t>
  </si>
  <si>
    <t>UPF_P0179.00_ID1</t>
  </si>
  <si>
    <t>UPF_P0181.00_ID1</t>
  </si>
  <si>
    <t>UPF_P0181.00_ID2</t>
  </si>
  <si>
    <t>UPF_P0188.00_ID1</t>
  </si>
  <si>
    <t>UPF_P0194.00_ID1</t>
  </si>
  <si>
    <t>UPF_P0195.00_ID1</t>
  </si>
  <si>
    <t>UPF_P0196.00_ID1</t>
  </si>
  <si>
    <t>UPF_P0204.01_ID3</t>
  </si>
  <si>
    <t>UPF_P0206.00_ID1</t>
  </si>
  <si>
    <t>UPF_P0207.01_ID1</t>
  </si>
  <si>
    <t>UPF_P0208.00_ID1</t>
  </si>
  <si>
    <t>UPF_P0211.00_ID1</t>
  </si>
  <si>
    <t>UPF_P0221.00_ID1</t>
  </si>
  <si>
    <t>UPF_P0222.00_ID3</t>
  </si>
  <si>
    <t>UPF_P0224.00_ID1</t>
  </si>
  <si>
    <t>UPF_P0229.00_ID1</t>
  </si>
  <si>
    <t>UPF_P0230.00_ID1</t>
  </si>
  <si>
    <t>UPF_P0232.01_ID1</t>
  </si>
  <si>
    <t>UPF_P0239.00_ID1</t>
  </si>
  <si>
    <t>UPF_P0258.00_ID1</t>
  </si>
  <si>
    <t>UPF_P0261.00_ID1</t>
  </si>
  <si>
    <t>UPF_P0266.00_ID1</t>
  </si>
  <si>
    <t>UPF_P0272.00_ID1</t>
  </si>
  <si>
    <t>UPF_P0277.00_ID1</t>
  </si>
  <si>
    <t>UPF_P0280.00_ID2</t>
  </si>
  <si>
    <t>UPF_P0284.00_ID1</t>
  </si>
  <si>
    <t>UPF_P0286.00_ID1</t>
  </si>
  <si>
    <t>UPF_P0290.00_ID1</t>
  </si>
  <si>
    <t>UPF_P0311.00_ID1</t>
  </si>
  <si>
    <t>USDF_0001</t>
  </si>
  <si>
    <t>USFD_0002</t>
  </si>
  <si>
    <t>USFD_0004</t>
  </si>
  <si>
    <t>USFD_0005</t>
  </si>
  <si>
    <t>USFD_0006</t>
  </si>
  <si>
    <t>USFD_0007</t>
  </si>
  <si>
    <t>USFD_0008</t>
  </si>
  <si>
    <t>USFD_0009</t>
  </si>
  <si>
    <t>USFD_0011</t>
  </si>
  <si>
    <t>USFD_0012</t>
  </si>
  <si>
    <t>USFD_0013</t>
  </si>
  <si>
    <t>USFD_0014</t>
  </si>
  <si>
    <t>USFD_0016</t>
  </si>
  <si>
    <t>USFD_0018</t>
  </si>
  <si>
    <t>USFD_0019</t>
  </si>
  <si>
    <t>USFD_0020</t>
  </si>
  <si>
    <t>USFD_0021</t>
  </si>
  <si>
    <t>USFD_0022</t>
  </si>
  <si>
    <t>USFD_0023</t>
  </si>
  <si>
    <t>USFD_0024</t>
  </si>
  <si>
    <t>USFD_0025</t>
  </si>
  <si>
    <t>USFD_0026</t>
  </si>
  <si>
    <t>USFD_0027</t>
  </si>
  <si>
    <t>USFD_0028</t>
  </si>
  <si>
    <t>USFD_0029</t>
  </si>
  <si>
    <t>USFD_0030</t>
  </si>
  <si>
    <t>USFD_0031</t>
  </si>
  <si>
    <t>USFD_0032</t>
  </si>
  <si>
    <t>USFD_0033</t>
  </si>
  <si>
    <t>USFD_0035</t>
  </si>
  <si>
    <t>USFD_0036</t>
  </si>
  <si>
    <t>USFD_0038</t>
  </si>
  <si>
    <t>USFD_0040</t>
  </si>
  <si>
    <t>USFD_0041</t>
  </si>
  <si>
    <t>USFD_0042</t>
  </si>
  <si>
    <t>USFD_0047</t>
  </si>
  <si>
    <t>USFD_0049</t>
  </si>
  <si>
    <t>USFD_0051</t>
  </si>
  <si>
    <t>USFD_0052</t>
  </si>
  <si>
    <t>USFD_0053</t>
  </si>
  <si>
    <t>USFD_0054</t>
  </si>
  <si>
    <t>USFD_0055</t>
  </si>
  <si>
    <t>USFD_0056a</t>
  </si>
  <si>
    <t>USFD_0057</t>
  </si>
  <si>
    <t>USFD_0058</t>
  </si>
  <si>
    <t>USFD_0059</t>
  </si>
  <si>
    <t>USFD_0060</t>
  </si>
  <si>
    <t>USFD_UNIGE_0001</t>
  </si>
  <si>
    <t>USFD_UNIGE_0007a</t>
  </si>
  <si>
    <t>USFD_UNIGE_0017</t>
  </si>
  <si>
    <t>USFD_UNIGE_0023a</t>
  </si>
  <si>
    <t>USFD_UNIGE_0027</t>
  </si>
  <si>
    <t>USFD_UNIGE_0029</t>
  </si>
  <si>
    <t>USFD_UNIGE_0033</t>
  </si>
  <si>
    <t>USFD_UNIGE_0034</t>
  </si>
  <si>
    <t>USFD_UNIGE_0037</t>
  </si>
  <si>
    <t>USFD_UNIGE_0038</t>
  </si>
  <si>
    <t>USFD_UNIGE_0042</t>
  </si>
  <si>
    <t>IOR</t>
  </si>
  <si>
    <t>MPH</t>
  </si>
  <si>
    <t>CPH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</si>
</sst>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8" borderId="0" xfId="0" applyFont="1" applyFill="1" applyAlignment="1">
      <alignment horizontal="center" vertical="top"/>
    </xf>
    <xf numFmtId="0" fontId="0" fillId="0" borderId="0" xfId="0" applyAlignment="1">
      <alignment horizontal="center"/>
    </xf>
    <xf numFmtId="11" fontId="1" fillId="0" borderId="0" xfId="0" applyNumberFormat="1" applyFont="1" applyAlignment="1">
      <alignment horizontal="center" vertical="top"/>
    </xf>
    <xf numFmtId="0" fontId="2" fillId="9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3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0" fillId="10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5" borderId="0" xfId="0" applyFill="1" applyAlignment="1">
      <alignment horizontal="center" vertical="center"/>
    </xf>
    <xf numFmtId="0" fontId="1" fillId="8" borderId="0" xfId="0" applyFont="1" applyFill="1" applyAlignment="1">
      <alignment horizontal="right" vertical="top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top"/>
    </xf>
    <xf numFmtId="0" fontId="3" fillId="0" borderId="0" xfId="0" applyFont="1" applyAlignment="1">
      <alignment horizontal="right" vertical="top"/>
    </xf>
    <xf numFmtId="0" fontId="0" fillId="0" borderId="0" xfId="0" applyAlignment="1">
      <alignment horizontal="right" vertical="center"/>
    </xf>
    <xf numFmtId="0" fontId="0" fillId="10" borderId="0" xfId="0" applyFill="1" applyAlignment="1">
      <alignment horizontal="right" vertical="center"/>
    </xf>
    <xf numFmtId="0" fontId="4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09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B7" sqref="AB7"/>
    </sheetView>
  </sheetViews>
  <sheetFormatPr defaultRowHeight="15" x14ac:dyDescent="0.25"/>
  <cols>
    <col min="1" max="1" width="19.85546875" customWidth="1"/>
    <col min="2" max="4" width="9.140625" style="12"/>
    <col min="37" max="39" width="9.140625" style="12"/>
    <col min="55" max="55" width="9.140625" style="12"/>
    <col min="56" max="56" width="9.140625" style="38"/>
    <col min="57" max="57" width="12.42578125" style="12" customWidth="1"/>
  </cols>
  <sheetData>
    <row r="1" spans="1:57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110</v>
      </c>
      <c r="F1" s="4" t="s">
        <v>111</v>
      </c>
      <c r="G1" s="5" t="s">
        <v>112</v>
      </c>
      <c r="H1" s="5" t="s">
        <v>781</v>
      </c>
      <c r="I1" s="5" t="s">
        <v>113</v>
      </c>
      <c r="J1" s="5" t="s">
        <v>114</v>
      </c>
      <c r="K1" s="5" t="s">
        <v>115</v>
      </c>
      <c r="L1" s="5" t="s">
        <v>116</v>
      </c>
      <c r="M1" s="5" t="s">
        <v>117</v>
      </c>
      <c r="N1" s="5" t="s">
        <v>118</v>
      </c>
      <c r="O1" s="5" t="s">
        <v>119</v>
      </c>
      <c r="P1" s="6" t="s">
        <v>120</v>
      </c>
      <c r="Q1" s="6" t="s">
        <v>121</v>
      </c>
      <c r="R1" s="6" t="s">
        <v>122</v>
      </c>
      <c r="S1" s="6" t="s">
        <v>123</v>
      </c>
      <c r="T1" s="6" t="s">
        <v>124</v>
      </c>
      <c r="U1" s="6" t="s">
        <v>125</v>
      </c>
      <c r="V1" s="6" t="s">
        <v>126</v>
      </c>
      <c r="W1" s="6" t="s">
        <v>127</v>
      </c>
      <c r="X1" s="6" t="s">
        <v>782</v>
      </c>
      <c r="Y1" s="6" t="s">
        <v>128</v>
      </c>
      <c r="Z1" s="6" t="s">
        <v>129</v>
      </c>
      <c r="AA1" s="7" t="s">
        <v>130</v>
      </c>
      <c r="AB1" s="7" t="s">
        <v>131</v>
      </c>
      <c r="AC1" s="7" t="s">
        <v>132</v>
      </c>
      <c r="AD1" s="7" t="s">
        <v>133</v>
      </c>
      <c r="AE1" s="7" t="s">
        <v>134</v>
      </c>
      <c r="AF1" s="7" t="s">
        <v>135</v>
      </c>
      <c r="AG1" s="7" t="s">
        <v>136</v>
      </c>
      <c r="AH1" s="7" t="s">
        <v>137</v>
      </c>
      <c r="AI1" s="7" t="s">
        <v>138</v>
      </c>
      <c r="AJ1" s="7" t="s">
        <v>139</v>
      </c>
      <c r="AK1" s="39" t="s">
        <v>780</v>
      </c>
      <c r="AL1" s="8" t="s">
        <v>140</v>
      </c>
      <c r="AM1" s="8" t="s">
        <v>141</v>
      </c>
      <c r="AN1" s="11" t="s">
        <v>145</v>
      </c>
      <c r="AO1" s="11" t="s">
        <v>146</v>
      </c>
      <c r="AP1" s="11" t="s">
        <v>147</v>
      </c>
      <c r="AQ1" s="11" t="s">
        <v>148</v>
      </c>
      <c r="AR1" s="11" t="s">
        <v>149</v>
      </c>
      <c r="AS1" s="11" t="s">
        <v>150</v>
      </c>
      <c r="AT1" s="11" t="s">
        <v>151</v>
      </c>
      <c r="AU1" s="11" t="s">
        <v>152</v>
      </c>
      <c r="AV1" s="11" t="s">
        <v>153</v>
      </c>
      <c r="AW1" s="11" t="s">
        <v>154</v>
      </c>
      <c r="AX1" s="11" t="s">
        <v>155</v>
      </c>
      <c r="AY1" s="11" t="s">
        <v>156</v>
      </c>
      <c r="AZ1" s="11" t="s">
        <v>157</v>
      </c>
      <c r="BA1" s="11" t="s">
        <v>158</v>
      </c>
      <c r="BB1" s="11" t="s">
        <v>159</v>
      </c>
      <c r="BC1" s="11" t="s">
        <v>160</v>
      </c>
      <c r="BD1" s="31" t="s">
        <v>161</v>
      </c>
      <c r="BE1" s="14" t="s">
        <v>166</v>
      </c>
    </row>
    <row r="2" spans="1:57" x14ac:dyDescent="0.25">
      <c r="A2" s="2" t="s">
        <v>4</v>
      </c>
      <c r="B2" s="2" t="s">
        <v>5</v>
      </c>
      <c r="C2" s="2" t="s">
        <v>6</v>
      </c>
      <c r="D2" s="2">
        <v>53</v>
      </c>
      <c r="E2" s="2">
        <v>20.184000000000001</v>
      </c>
      <c r="F2" s="2">
        <v>16.809999999999999</v>
      </c>
      <c r="G2" s="2">
        <v>8.16</v>
      </c>
      <c r="H2" s="2">
        <v>5.2</v>
      </c>
      <c r="I2" s="2">
        <v>3.28</v>
      </c>
      <c r="J2" s="2">
        <v>54.88</v>
      </c>
      <c r="K2" s="2">
        <v>36.65</v>
      </c>
      <c r="L2" s="2">
        <v>22.43</v>
      </c>
      <c r="M2" s="2">
        <v>6.7</v>
      </c>
      <c r="N2" s="2">
        <v>2</v>
      </c>
      <c r="O2" s="2">
        <f>3.24+0.92</f>
        <v>4.16</v>
      </c>
      <c r="P2" s="9">
        <v>1.0565800000000001</v>
      </c>
      <c r="Q2" s="9">
        <v>1.53477</v>
      </c>
      <c r="R2" s="9">
        <v>0.23786399999999999</v>
      </c>
      <c r="S2" s="9">
        <v>0.140985</v>
      </c>
      <c r="T2" s="9">
        <v>0.16488700000000001</v>
      </c>
      <c r="U2" s="9">
        <v>5.9368999999999998E-2</v>
      </c>
      <c r="V2" s="9">
        <v>7.5596800000000002</v>
      </c>
      <c r="W2" s="9">
        <v>4.9256200000000003</v>
      </c>
      <c r="X2" s="9">
        <v>5.2042999999999999</v>
      </c>
      <c r="Y2" s="9">
        <v>103.78400000000001</v>
      </c>
      <c r="Z2" s="9">
        <v>107.301</v>
      </c>
      <c r="AA2" s="9">
        <f>W2/I2</f>
        <v>1.5017134146341464</v>
      </c>
      <c r="AB2" s="9">
        <f>G2/I2</f>
        <v>2.4878048780487805</v>
      </c>
      <c r="AC2" s="9">
        <f>H2/I2</f>
        <v>1.5853658536585367</v>
      </c>
      <c r="AD2" s="9">
        <f>Y2/E2</f>
        <v>5.1418945699564009</v>
      </c>
      <c r="AE2" s="9">
        <f>Z2/E2</f>
        <v>5.3161414982164086</v>
      </c>
      <c r="AF2" s="9">
        <f>Y2/(Z2)^(2/3)</f>
        <v>4.5961538618427422</v>
      </c>
      <c r="AG2" s="9">
        <f t="shared" ref="AG2:AG33" si="0">SQRT(E2/PI())</f>
        <v>2.5347123589736236</v>
      </c>
      <c r="AH2" s="9">
        <f t="shared" ref="AH2:AH33" si="1">(2*PI()*AG2)/F2</f>
        <v>0.94741626721175387</v>
      </c>
      <c r="AI2" s="9">
        <f t="shared" ref="AI2:AI33" si="2">(3*Z2/(4*PI()))^(1/3)</f>
        <v>2.9478477770472553</v>
      </c>
      <c r="AJ2" s="9">
        <f>(4*PI()*(AI2^2))/(Y2+E2)</f>
        <v>0.88086707259294716</v>
      </c>
      <c r="AK2" s="12">
        <f>I2/O2</f>
        <v>0.78846153846153844</v>
      </c>
      <c r="AL2" s="9" t="s">
        <v>140</v>
      </c>
      <c r="AM2" s="9" t="s">
        <v>142</v>
      </c>
      <c r="AN2" s="2">
        <v>3.0621999999999998</v>
      </c>
      <c r="AO2" s="2">
        <v>0.40395999999999999</v>
      </c>
      <c r="AP2" s="2">
        <v>6179.7</v>
      </c>
      <c r="AQ2" s="2">
        <v>5212.8</v>
      </c>
      <c r="AR2" s="2">
        <v>1.6297999999999999</v>
      </c>
      <c r="AS2" s="2">
        <v>1.9238000000000002E-2</v>
      </c>
      <c r="AT2" s="2">
        <v>0.70725000000000005</v>
      </c>
      <c r="AU2" s="2">
        <v>1.6580999999999999</v>
      </c>
      <c r="AV2" s="2">
        <v>0.18447</v>
      </c>
      <c r="AW2" s="2">
        <v>9.9655000000000004E-3</v>
      </c>
      <c r="AX2" s="2">
        <v>0.15271999999999999</v>
      </c>
      <c r="AY2" s="2">
        <v>46.713999999999999</v>
      </c>
      <c r="AZ2" s="2">
        <v>2807.3</v>
      </c>
      <c r="BA2" s="2">
        <v>7.5974E-2</v>
      </c>
      <c r="BB2" s="2">
        <v>30.934999999999999</v>
      </c>
      <c r="BC2" s="2" t="s">
        <v>162</v>
      </c>
      <c r="BD2" s="32" t="s">
        <v>163</v>
      </c>
      <c r="BE2" s="12" t="s">
        <v>167</v>
      </c>
    </row>
    <row r="3" spans="1:57" x14ac:dyDescent="0.25">
      <c r="A3" s="2" t="s">
        <v>7</v>
      </c>
      <c r="B3" s="2" t="s">
        <v>5</v>
      </c>
      <c r="C3" s="2" t="s">
        <v>6</v>
      </c>
      <c r="D3" s="2">
        <v>35</v>
      </c>
      <c r="E3" s="2">
        <v>17.478000000000002</v>
      </c>
      <c r="F3" s="2">
        <v>15.632</v>
      </c>
      <c r="G3" s="2">
        <v>9.27</v>
      </c>
      <c r="H3" s="2">
        <v>7.4</v>
      </c>
      <c r="I3" s="2">
        <v>3.07</v>
      </c>
      <c r="J3" s="2">
        <v>78.650000000000006</v>
      </c>
      <c r="K3" s="2">
        <v>50.31</v>
      </c>
      <c r="L3" s="2">
        <v>50.38</v>
      </c>
      <c r="M3" s="2">
        <v>6.4</v>
      </c>
      <c r="N3" s="2">
        <v>1</v>
      </c>
      <c r="O3" s="2">
        <v>3.15</v>
      </c>
      <c r="P3" s="9">
        <v>1.6366400000000001</v>
      </c>
      <c r="Q3" s="9">
        <v>1.29854</v>
      </c>
      <c r="R3" s="9">
        <v>-0.153061</v>
      </c>
      <c r="S3" s="9">
        <v>0.18918199999999999</v>
      </c>
      <c r="T3" s="9">
        <v>0.241815</v>
      </c>
      <c r="U3" s="9">
        <v>0.139019</v>
      </c>
      <c r="V3" s="9">
        <v>5.88713</v>
      </c>
      <c r="W3" s="9">
        <v>4.5336600000000002</v>
      </c>
      <c r="X3" s="9">
        <v>7.41995</v>
      </c>
      <c r="Y3" s="9">
        <v>124.259</v>
      </c>
      <c r="Z3" s="9">
        <v>121.60299999999999</v>
      </c>
      <c r="AA3" s="9">
        <f>W3/I3</f>
        <v>1.4767622149837134</v>
      </c>
      <c r="AB3" s="9">
        <f>G3/I3</f>
        <v>3.0195439739413681</v>
      </c>
      <c r="AC3" s="9">
        <f>H3/I3</f>
        <v>2.4104234527687298</v>
      </c>
      <c r="AD3" s="9">
        <f>Y3/E3</f>
        <v>7.109451882366403</v>
      </c>
      <c r="AE3" s="9">
        <f>Z3/E3</f>
        <v>6.9574894152649032</v>
      </c>
      <c r="AF3" s="9">
        <f>Y3/(Z3)^(2/3)</f>
        <v>5.0624995157291313</v>
      </c>
      <c r="AG3" s="9">
        <f t="shared" si="0"/>
        <v>2.358690354989458</v>
      </c>
      <c r="AH3" s="9">
        <f t="shared" si="1"/>
        <v>0.94806093798976232</v>
      </c>
      <c r="AI3" s="9">
        <f t="shared" si="2"/>
        <v>3.0733962710070166</v>
      </c>
      <c r="AJ3" s="9">
        <f>(4*PI()*(AI3^2))/(Y3+E3)</f>
        <v>0.83745937324168429</v>
      </c>
      <c r="AK3" s="12">
        <f t="shared" ref="AK3:AK66" si="3">I3/O3</f>
        <v>0.97460317460317458</v>
      </c>
      <c r="AL3" s="9" t="s">
        <v>140</v>
      </c>
      <c r="AM3" s="9" t="s">
        <v>143</v>
      </c>
      <c r="AN3" s="2">
        <v>8.0802999999999994</v>
      </c>
      <c r="AO3" s="2">
        <v>0.57833000000000001</v>
      </c>
      <c r="AP3" s="2">
        <v>9695.7999999999993</v>
      </c>
      <c r="AQ3" s="2">
        <v>8774.6</v>
      </c>
      <c r="AR3" s="2">
        <v>4.2363</v>
      </c>
      <c r="AS3" s="2">
        <v>1.3273999999999999E-2</v>
      </c>
      <c r="AT3" s="2">
        <v>0.72748999999999997</v>
      </c>
      <c r="AU3" s="2">
        <v>0.78588000000000002</v>
      </c>
      <c r="AV3" s="2">
        <v>0.24196000000000001</v>
      </c>
      <c r="AW3" s="2">
        <v>5.7612999999999996E-3</v>
      </c>
      <c r="AX3" s="2">
        <v>0.30569000000000002</v>
      </c>
      <c r="AY3" s="2">
        <v>2.6539000000000001</v>
      </c>
      <c r="AZ3" s="2">
        <v>1653.5</v>
      </c>
      <c r="BA3" s="2">
        <v>3.9614999999999997E-2</v>
      </c>
      <c r="BB3" s="2">
        <v>7.7554999999999996</v>
      </c>
      <c r="BC3" s="2" t="s">
        <v>162</v>
      </c>
      <c r="BD3" s="32" t="s">
        <v>163</v>
      </c>
      <c r="BE3" s="12" t="s">
        <v>167</v>
      </c>
    </row>
    <row r="4" spans="1:57" x14ac:dyDescent="0.25">
      <c r="A4" s="3" t="s">
        <v>8</v>
      </c>
      <c r="B4" s="3" t="s">
        <v>5</v>
      </c>
      <c r="C4" s="3" t="s">
        <v>6</v>
      </c>
      <c r="D4" s="3">
        <v>43</v>
      </c>
      <c r="E4" s="3">
        <v>6.3728999999999996</v>
      </c>
      <c r="F4" s="3">
        <v>9.3529999999999998</v>
      </c>
      <c r="G4" s="3">
        <v>3.62</v>
      </c>
      <c r="H4" s="3">
        <v>2.38</v>
      </c>
      <c r="I4" s="3">
        <v>2.82</v>
      </c>
      <c r="J4" s="3">
        <v>44.5</v>
      </c>
      <c r="K4" s="3">
        <v>15.5</v>
      </c>
      <c r="L4" s="3">
        <v>48.5</v>
      </c>
      <c r="M4" s="3">
        <v>3</v>
      </c>
      <c r="N4" s="3">
        <v>2</v>
      </c>
      <c r="O4" s="3">
        <f>1.55+3.45</f>
        <v>5</v>
      </c>
      <c r="P4" s="9">
        <v>0.85688900000000001</v>
      </c>
      <c r="Q4" s="9">
        <v>1.17774</v>
      </c>
      <c r="R4" s="9">
        <v>0.108696</v>
      </c>
      <c r="S4" s="9">
        <v>6.8648399999999998E-2</v>
      </c>
      <c r="T4" s="9">
        <v>9.0855199999999997E-2</v>
      </c>
      <c r="U4" s="9">
        <v>3.5593199999999998E-2</v>
      </c>
      <c r="V4" s="9">
        <v>3.2666300000000001</v>
      </c>
      <c r="W4" s="9">
        <v>2.7736399999999999</v>
      </c>
      <c r="X4" s="9">
        <v>2.3767</v>
      </c>
      <c r="Y4" s="9">
        <v>22.332100000000001</v>
      </c>
      <c r="Z4" s="9">
        <v>12.1655</v>
      </c>
      <c r="AA4" s="9">
        <f>W4/I4</f>
        <v>0.98356028368794324</v>
      </c>
      <c r="AB4" s="9">
        <f>G4/I4</f>
        <v>1.2836879432624115</v>
      </c>
      <c r="AC4" s="9">
        <f>H4/I4</f>
        <v>0.84397163120567376</v>
      </c>
      <c r="AD4" s="9">
        <f>Y4/E4</f>
        <v>3.5042288440113611</v>
      </c>
      <c r="AE4" s="9">
        <f>Z4/E4</f>
        <v>1.908942553625508</v>
      </c>
      <c r="AF4" s="9">
        <f>Y4/(Z4)^(2/3)</f>
        <v>4.2219160025278715</v>
      </c>
      <c r="AG4" s="9">
        <f t="shared" si="0"/>
        <v>1.4242742269874433</v>
      </c>
      <c r="AH4" s="9">
        <f t="shared" si="1"/>
        <v>0.95680304676596473</v>
      </c>
      <c r="AI4" s="9">
        <f t="shared" si="2"/>
        <v>1.4267474923969941</v>
      </c>
      <c r="AJ4" s="9">
        <f>(4*PI()*(AI4^2))/(Y4+E4)</f>
        <v>0.89114125305121838</v>
      </c>
      <c r="AK4" s="12">
        <f t="shared" si="3"/>
        <v>0.56399999999999995</v>
      </c>
      <c r="AL4" s="9" t="s">
        <v>144</v>
      </c>
      <c r="AM4" s="9" t="s">
        <v>142</v>
      </c>
      <c r="AN4" s="3">
        <v>6.7508999999999997</v>
      </c>
      <c r="AO4" s="3">
        <v>0.67323</v>
      </c>
      <c r="AP4" s="3">
        <v>18081</v>
      </c>
      <c r="AQ4" s="3">
        <v>16174</v>
      </c>
      <c r="AR4" s="3">
        <v>3.2961999999999998</v>
      </c>
      <c r="AS4" s="3">
        <v>3.0890000000000001E-2</v>
      </c>
      <c r="AT4" s="3">
        <v>0.68028</v>
      </c>
      <c r="AU4" s="3">
        <v>0.61500999999999995</v>
      </c>
      <c r="AV4" s="3">
        <v>2.6372E-2</v>
      </c>
      <c r="AW4" s="3">
        <v>2.9132999999999999E-2</v>
      </c>
      <c r="AX4" s="3">
        <v>0.22567999999999999</v>
      </c>
      <c r="AY4" s="3">
        <v>2.0769000000000002</v>
      </c>
      <c r="AZ4" s="3">
        <v>112.44</v>
      </c>
      <c r="BA4" s="3">
        <v>1.7793E-2</v>
      </c>
      <c r="BB4" s="3">
        <v>3.7799</v>
      </c>
      <c r="BC4" s="3" t="s">
        <v>164</v>
      </c>
      <c r="BD4" s="33" t="s">
        <v>163</v>
      </c>
      <c r="BE4" s="12" t="s">
        <v>167</v>
      </c>
    </row>
    <row r="5" spans="1:57" x14ac:dyDescent="0.25">
      <c r="A5" s="2" t="s">
        <v>9</v>
      </c>
      <c r="B5" s="2" t="s">
        <v>5</v>
      </c>
      <c r="C5" s="2" t="s">
        <v>6</v>
      </c>
      <c r="D5" s="2">
        <v>26</v>
      </c>
      <c r="E5" s="2">
        <v>7.7533000000000003</v>
      </c>
      <c r="F5" s="2">
        <v>10.154</v>
      </c>
      <c r="G5" s="2">
        <v>6.04</v>
      </c>
      <c r="H5" s="2">
        <v>5.22</v>
      </c>
      <c r="I5" s="2">
        <v>2.2999999999999998</v>
      </c>
      <c r="J5" s="2">
        <v>40.090000000000003</v>
      </c>
      <c r="K5" s="2">
        <v>50.07</v>
      </c>
      <c r="L5" s="2">
        <v>14.34</v>
      </c>
      <c r="M5" s="2">
        <v>3.9</v>
      </c>
      <c r="N5" s="2">
        <v>1</v>
      </c>
      <c r="O5" s="2">
        <v>2.36</v>
      </c>
      <c r="P5" s="9">
        <v>1.72899</v>
      </c>
      <c r="Q5" s="9">
        <v>1.30942</v>
      </c>
      <c r="R5" s="9">
        <v>-3.8461599999999999E-2</v>
      </c>
      <c r="S5" s="9">
        <v>0.17977000000000001</v>
      </c>
      <c r="T5" s="9">
        <v>0.21934999999999999</v>
      </c>
      <c r="U5" s="9">
        <v>0.108541</v>
      </c>
      <c r="V5" s="9">
        <v>3.9987300000000001</v>
      </c>
      <c r="W5" s="9">
        <v>3.0538099999999999</v>
      </c>
      <c r="X5" s="9">
        <v>5.2800099999999999</v>
      </c>
      <c r="Y5" s="9">
        <v>57.285600000000002</v>
      </c>
      <c r="Z5" s="9">
        <v>39.768700000000003</v>
      </c>
      <c r="AA5" s="9">
        <f t="shared" ref="AA5:AA68" si="4">W5/I5</f>
        <v>1.3277434782608697</v>
      </c>
      <c r="AB5" s="9">
        <f t="shared" ref="AB5:AB68" si="5">G5/I5</f>
        <v>2.6260869565217395</v>
      </c>
      <c r="AC5" s="9">
        <f t="shared" ref="AC5:AC68" si="6">H5/I5</f>
        <v>2.2695652173913046</v>
      </c>
      <c r="AD5" s="9">
        <f t="shared" ref="AD5:AD68" si="7">Y5/E5</f>
        <v>7.3885442327783011</v>
      </c>
      <c r="AE5" s="9">
        <f t="shared" ref="AE5:AE68" si="8">Z5/E5</f>
        <v>5.1292610888266932</v>
      </c>
      <c r="AF5" s="9">
        <f t="shared" ref="AF5:AF68" si="9">Y5/(Z5)^(2/3)</f>
        <v>4.9168225699157579</v>
      </c>
      <c r="AG5" s="9">
        <f t="shared" si="0"/>
        <v>1.5709716867432029</v>
      </c>
      <c r="AH5" s="9">
        <f t="shared" si="1"/>
        <v>0.97210027773685481</v>
      </c>
      <c r="AI5" s="9">
        <f t="shared" si="2"/>
        <v>2.11747160437154</v>
      </c>
      <c r="AJ5" s="9">
        <f>(4*PI()*(AI5^2))/(Y5+E5)</f>
        <v>0.86630708599930639</v>
      </c>
      <c r="AK5" s="12">
        <f t="shared" si="3"/>
        <v>0.97457627118644063</v>
      </c>
      <c r="AL5" s="9" t="s">
        <v>144</v>
      </c>
      <c r="AM5" s="9" t="s">
        <v>143</v>
      </c>
      <c r="AN5" s="2">
        <v>5.4992999999999999</v>
      </c>
      <c r="AO5" s="2">
        <v>0.54642999999999997</v>
      </c>
      <c r="AP5" s="2">
        <v>9229.7999999999993</v>
      </c>
      <c r="AQ5" s="2">
        <v>8812.4</v>
      </c>
      <c r="AR5" s="2">
        <v>2.6629</v>
      </c>
      <c r="AS5" s="2">
        <v>6.5147E-3</v>
      </c>
      <c r="AT5" s="2">
        <v>0.73653000000000002</v>
      </c>
      <c r="AU5" s="2">
        <v>0.70743999999999996</v>
      </c>
      <c r="AV5" s="2">
        <v>2.1257999999999999E-2</v>
      </c>
      <c r="AW5" s="2">
        <v>4.8120999999999997E-3</v>
      </c>
      <c r="AX5" s="2">
        <v>0.20177</v>
      </c>
      <c r="AY5" s="2">
        <v>2.7774000000000001</v>
      </c>
      <c r="AZ5" s="2">
        <v>1627.7</v>
      </c>
      <c r="BA5" s="2">
        <v>4.0481000000000003E-2</v>
      </c>
      <c r="BB5" s="2">
        <v>7.9850000000000003</v>
      </c>
      <c r="BC5" s="2" t="s">
        <v>162</v>
      </c>
      <c r="BD5" s="32" t="s">
        <v>163</v>
      </c>
      <c r="BE5" s="12" t="s">
        <v>168</v>
      </c>
    </row>
    <row r="6" spans="1:57" x14ac:dyDescent="0.25">
      <c r="A6" s="3" t="s">
        <v>10</v>
      </c>
      <c r="B6" s="3" t="s">
        <v>5</v>
      </c>
      <c r="C6" s="3" t="s">
        <v>6</v>
      </c>
      <c r="D6" s="3">
        <v>45</v>
      </c>
      <c r="E6" s="3">
        <v>35.582000000000001</v>
      </c>
      <c r="F6" s="3">
        <v>22.841000000000001</v>
      </c>
      <c r="G6" s="3">
        <v>9.48</v>
      </c>
      <c r="H6" s="3">
        <v>6.6</v>
      </c>
      <c r="I6" s="3">
        <v>3.24</v>
      </c>
      <c r="J6" s="3">
        <v>89.6</v>
      </c>
      <c r="K6" s="3">
        <v>33.200000000000003</v>
      </c>
      <c r="L6" s="3">
        <v>62</v>
      </c>
      <c r="M6" s="3">
        <v>8.8000000000000007</v>
      </c>
      <c r="N6" s="3">
        <v>1</v>
      </c>
      <c r="O6" s="3">
        <v>3.07</v>
      </c>
      <c r="P6" s="9">
        <v>1.0362899999999999</v>
      </c>
      <c r="Q6" s="9">
        <v>1.4503900000000001</v>
      </c>
      <c r="R6" s="9">
        <v>0.26153799999999999</v>
      </c>
      <c r="S6" s="9">
        <v>0.10775800000000001</v>
      </c>
      <c r="T6" s="9">
        <v>0.122752</v>
      </c>
      <c r="U6" s="9">
        <v>3.3241600000000003E-2</v>
      </c>
      <c r="V6" s="9">
        <v>9.2098499999999994</v>
      </c>
      <c r="W6" s="9">
        <v>6.3499299999999996</v>
      </c>
      <c r="X6" s="9">
        <v>6.5803799999999999</v>
      </c>
      <c r="Y6" s="9">
        <v>139.822</v>
      </c>
      <c r="Z6" s="9">
        <v>180.649</v>
      </c>
      <c r="AA6" s="9">
        <f t="shared" si="4"/>
        <v>1.9598549382716046</v>
      </c>
      <c r="AB6" s="9">
        <f t="shared" si="5"/>
        <v>2.925925925925926</v>
      </c>
      <c r="AC6" s="9">
        <f t="shared" si="6"/>
        <v>2.0370370370370368</v>
      </c>
      <c r="AD6" s="9">
        <f t="shared" si="7"/>
        <v>3.9295711314709685</v>
      </c>
      <c r="AE6" s="9">
        <f t="shared" si="8"/>
        <v>5.0769771232645722</v>
      </c>
      <c r="AF6" s="9">
        <f t="shared" si="9"/>
        <v>4.3754071153261922</v>
      </c>
      <c r="AG6" s="9">
        <f t="shared" si="0"/>
        <v>3.3654275167044734</v>
      </c>
      <c r="AH6" s="9">
        <f t="shared" si="1"/>
        <v>0.92577403464539321</v>
      </c>
      <c r="AI6" s="9">
        <f t="shared" si="2"/>
        <v>3.5068375714886626</v>
      </c>
      <c r="AJ6" s="9">
        <f>(4*PI()*(AI6^2))/(Y6+E6)</f>
        <v>0.88105226640033041</v>
      </c>
      <c r="AK6" s="12">
        <f t="shared" si="3"/>
        <v>1.0553745928338762</v>
      </c>
      <c r="AL6" s="9" t="s">
        <v>140</v>
      </c>
      <c r="AM6" s="9" t="s">
        <v>143</v>
      </c>
      <c r="AN6" s="3">
        <v>5.7629000000000001</v>
      </c>
      <c r="AO6" s="3">
        <v>0.53934000000000004</v>
      </c>
      <c r="AP6" s="3">
        <v>5748.1</v>
      </c>
      <c r="AQ6" s="3">
        <v>5655.7</v>
      </c>
      <c r="AR6" s="3">
        <v>3.2332999999999998</v>
      </c>
      <c r="AS6" s="3">
        <v>3.2658E-2</v>
      </c>
      <c r="AT6" s="3">
        <v>0.67362</v>
      </c>
      <c r="AU6" s="3">
        <v>0.59740000000000004</v>
      </c>
      <c r="AV6" s="3">
        <v>4.4885000000000001E-2</v>
      </c>
      <c r="AW6" s="3">
        <v>1.4298999999999999E-2</v>
      </c>
      <c r="AX6" s="3">
        <v>0.32423999999999997</v>
      </c>
      <c r="AY6" s="3">
        <v>10.842000000000001</v>
      </c>
      <c r="AZ6" s="3">
        <v>1136.0999999999999</v>
      </c>
      <c r="BA6" s="3">
        <v>0.12697</v>
      </c>
      <c r="BB6" s="3">
        <v>4.3639000000000001</v>
      </c>
      <c r="BC6" s="3" t="s">
        <v>164</v>
      </c>
      <c r="BD6" s="33" t="s">
        <v>163</v>
      </c>
      <c r="BE6" s="12" t="s">
        <v>167</v>
      </c>
    </row>
    <row r="7" spans="1:57" x14ac:dyDescent="0.25">
      <c r="A7" s="2" t="s">
        <v>11</v>
      </c>
      <c r="B7" s="2" t="s">
        <v>5</v>
      </c>
      <c r="C7" s="2" t="s">
        <v>6</v>
      </c>
      <c r="D7" s="2">
        <v>44</v>
      </c>
      <c r="E7" s="2">
        <v>10.709</v>
      </c>
      <c r="F7" s="2">
        <v>12.028</v>
      </c>
      <c r="G7" s="2">
        <v>8.52</v>
      </c>
      <c r="H7" s="2">
        <v>7.25</v>
      </c>
      <c r="I7" s="2">
        <v>4.51</v>
      </c>
      <c r="J7" s="2">
        <v>19.48</v>
      </c>
      <c r="K7" s="2">
        <v>53.9</v>
      </c>
      <c r="L7" s="2">
        <v>51.64</v>
      </c>
      <c r="M7" s="2">
        <v>7.8</v>
      </c>
      <c r="N7" s="2">
        <v>2</v>
      </c>
      <c r="O7" s="2">
        <f>0.73+3.83</f>
        <v>4.5600000000000005</v>
      </c>
      <c r="P7" s="9">
        <v>2.036</v>
      </c>
      <c r="Q7" s="9">
        <v>2.46983</v>
      </c>
      <c r="R7" s="9">
        <v>-8.0419599999999994E-2</v>
      </c>
      <c r="S7" s="9">
        <v>0.20239599999999999</v>
      </c>
      <c r="T7" s="9">
        <v>0.23971400000000001</v>
      </c>
      <c r="U7" s="9">
        <v>8.3853200000000003E-2</v>
      </c>
      <c r="V7" s="9">
        <v>8.7785700000000002</v>
      </c>
      <c r="W7" s="9">
        <v>3.5543200000000001</v>
      </c>
      <c r="X7" s="9">
        <v>7.2366000000000001</v>
      </c>
      <c r="Y7" s="9">
        <v>161.369</v>
      </c>
      <c r="Z7" s="9">
        <v>180.71199999999999</v>
      </c>
      <c r="AA7" s="9">
        <f t="shared" si="4"/>
        <v>0.78809756097560979</v>
      </c>
      <c r="AB7" s="9">
        <f t="shared" si="5"/>
        <v>1.8891352549889135</v>
      </c>
      <c r="AC7" s="9">
        <f t="shared" si="6"/>
        <v>1.607538802660754</v>
      </c>
      <c r="AD7" s="9">
        <f t="shared" si="7"/>
        <v>15.068540479970119</v>
      </c>
      <c r="AE7" s="9">
        <f t="shared" si="8"/>
        <v>16.874778223923801</v>
      </c>
      <c r="AF7" s="9">
        <f t="shared" si="9"/>
        <v>5.048497118972282</v>
      </c>
      <c r="AG7" s="9">
        <f t="shared" si="0"/>
        <v>1.8462883228635267</v>
      </c>
      <c r="AH7" s="9">
        <f t="shared" si="1"/>
        <v>0.96446388951058781</v>
      </c>
      <c r="AI7" s="9">
        <f t="shared" si="2"/>
        <v>3.5072451853131188</v>
      </c>
      <c r="AJ7" s="9">
        <f>(4*PI()*(AI7^2))/(Y7+E7)</f>
        <v>0.89829042326997977</v>
      </c>
      <c r="AK7" s="12">
        <f t="shared" si="3"/>
        <v>0.98903508771929804</v>
      </c>
      <c r="AL7" s="9" t="s">
        <v>140</v>
      </c>
      <c r="AM7" s="9" t="s">
        <v>142</v>
      </c>
      <c r="AN7" s="2">
        <v>0.67035999999999996</v>
      </c>
      <c r="AO7" s="2">
        <v>0.11309</v>
      </c>
      <c r="AP7" s="2">
        <v>1204.7</v>
      </c>
      <c r="AQ7" s="2">
        <v>1057.7</v>
      </c>
      <c r="AR7" s="2">
        <v>0.47064</v>
      </c>
      <c r="AS7" s="2">
        <v>6.3884999999999997E-2</v>
      </c>
      <c r="AT7" s="2">
        <v>0.61031999999999997</v>
      </c>
      <c r="AU7" s="2">
        <v>6.9291</v>
      </c>
      <c r="AV7" s="2">
        <v>0.66554000000000002</v>
      </c>
      <c r="AW7" s="2">
        <v>4.2280999999999999E-2</v>
      </c>
      <c r="AX7" s="2">
        <v>5.2944999999999999E-2</v>
      </c>
      <c r="AY7" s="2">
        <v>-31.006</v>
      </c>
      <c r="AZ7" s="2">
        <v>-166.9</v>
      </c>
      <c r="BA7" s="2">
        <v>0.67271999999999998</v>
      </c>
      <c r="BB7" s="2">
        <v>5.0945</v>
      </c>
      <c r="BC7" s="2" t="s">
        <v>164</v>
      </c>
      <c r="BD7" s="32" t="s">
        <v>165</v>
      </c>
      <c r="BE7" s="12" t="s">
        <v>167</v>
      </c>
    </row>
    <row r="8" spans="1:57" x14ac:dyDescent="0.25">
      <c r="A8" s="3" t="s">
        <v>12</v>
      </c>
      <c r="B8" s="3" t="s">
        <v>13</v>
      </c>
      <c r="C8" s="3" t="s">
        <v>14</v>
      </c>
      <c r="D8" s="3">
        <v>68</v>
      </c>
      <c r="E8" s="3">
        <v>13.000999999999999</v>
      </c>
      <c r="F8" s="3">
        <v>13.535</v>
      </c>
      <c r="G8" s="3">
        <v>5.58</v>
      </c>
      <c r="H8" s="3">
        <v>2.6</v>
      </c>
      <c r="I8" s="3">
        <v>2.54</v>
      </c>
      <c r="J8" s="3">
        <f>180-91.8</f>
        <v>88.2</v>
      </c>
      <c r="K8" s="3">
        <v>7.65</v>
      </c>
      <c r="L8" s="3">
        <v>86.9</v>
      </c>
      <c r="M8" s="3">
        <v>3.88</v>
      </c>
      <c r="N8" s="3">
        <v>2</v>
      </c>
      <c r="O8" s="3">
        <f>3.26+0.96</f>
        <v>4.22</v>
      </c>
      <c r="P8" s="9">
        <v>0.67804399999999998</v>
      </c>
      <c r="Q8" s="9">
        <v>1.36046</v>
      </c>
      <c r="R8" s="9">
        <v>0.36274499999999998</v>
      </c>
      <c r="S8" s="9">
        <v>7.1505399999999997E-2</v>
      </c>
      <c r="T8" s="9">
        <v>8.4246799999999997E-2</v>
      </c>
      <c r="U8" s="9">
        <v>2.0398099999999999E-2</v>
      </c>
      <c r="V8" s="9">
        <v>5.2606099999999998</v>
      </c>
      <c r="W8" s="9">
        <v>3.8667799999999999</v>
      </c>
      <c r="X8" s="9">
        <v>2.6218499999999998</v>
      </c>
      <c r="Y8" s="9">
        <v>37.0045</v>
      </c>
      <c r="Z8" s="9">
        <v>26.232399999999998</v>
      </c>
      <c r="AA8" s="9">
        <f t="shared" si="4"/>
        <v>1.5223543307086613</v>
      </c>
      <c r="AB8" s="9">
        <f t="shared" si="5"/>
        <v>2.1968503937007875</v>
      </c>
      <c r="AC8" s="9">
        <f t="shared" si="6"/>
        <v>1.0236220472440944</v>
      </c>
      <c r="AD8" s="9">
        <f t="shared" si="7"/>
        <v>2.8462810553034381</v>
      </c>
      <c r="AE8" s="9">
        <f t="shared" si="8"/>
        <v>2.0177217137143297</v>
      </c>
      <c r="AF8" s="9">
        <f t="shared" si="9"/>
        <v>4.1914329496268161</v>
      </c>
      <c r="AG8" s="9">
        <f t="shared" si="0"/>
        <v>2.0342927100777466</v>
      </c>
      <c r="AH8" s="9">
        <f t="shared" si="1"/>
        <v>0.94435449327395937</v>
      </c>
      <c r="AI8" s="9">
        <f t="shared" si="2"/>
        <v>1.8432453157015352</v>
      </c>
      <c r="AJ8" s="9">
        <f>(4*PI()*(AI8^2))/(Y8+E8)</f>
        <v>0.85380435897305051</v>
      </c>
      <c r="AK8" s="12">
        <f t="shared" si="3"/>
        <v>0.6018957345971564</v>
      </c>
      <c r="AL8" s="9" t="s">
        <v>140</v>
      </c>
      <c r="AM8" s="9" t="s">
        <v>142</v>
      </c>
      <c r="AN8" s="3">
        <v>3.2873999999999999</v>
      </c>
      <c r="AO8" s="3">
        <v>0.63136000000000003</v>
      </c>
      <c r="AP8" s="3">
        <v>4550.5</v>
      </c>
      <c r="AQ8" s="3">
        <v>4715.8999999999996</v>
      </c>
      <c r="AR8" s="3">
        <v>1.9276</v>
      </c>
      <c r="AS8" s="3">
        <v>9.4596000000000003E-3</v>
      </c>
      <c r="AT8" s="3">
        <v>0.74477000000000004</v>
      </c>
      <c r="AU8" s="3">
        <v>0.68852999999999998</v>
      </c>
      <c r="AV8" s="3">
        <v>2.4618000000000001E-3</v>
      </c>
      <c r="AW8" s="3">
        <v>1.0342E-2</v>
      </c>
      <c r="AX8" s="3">
        <v>0.15428</v>
      </c>
      <c r="AY8" s="3">
        <v>-16.866</v>
      </c>
      <c r="AZ8" s="3">
        <v>-1471.5</v>
      </c>
      <c r="BA8" s="3">
        <v>5.9034999999999997E-2</v>
      </c>
      <c r="BB8" s="3">
        <v>7.5250000000000004</v>
      </c>
      <c r="BC8" s="3" t="s">
        <v>162</v>
      </c>
      <c r="BD8" s="33" t="s">
        <v>165</v>
      </c>
      <c r="BE8" s="12" t="s">
        <v>168</v>
      </c>
    </row>
    <row r="9" spans="1:57" x14ac:dyDescent="0.25">
      <c r="A9" s="3" t="s">
        <v>15</v>
      </c>
      <c r="B9" s="3" t="s">
        <v>13</v>
      </c>
      <c r="C9" s="3" t="s">
        <v>6</v>
      </c>
      <c r="D9" s="3">
        <v>39</v>
      </c>
      <c r="E9" s="2">
        <v>9.4702999999999999</v>
      </c>
      <c r="F9" s="2">
        <v>11.526</v>
      </c>
      <c r="G9" s="3">
        <v>10.4</v>
      </c>
      <c r="H9" s="3">
        <v>4.33</v>
      </c>
      <c r="I9" s="3">
        <v>1.9</v>
      </c>
      <c r="J9" s="3">
        <v>85.5</v>
      </c>
      <c r="K9" s="3">
        <v>2.02</v>
      </c>
      <c r="L9" s="3">
        <v>42.5</v>
      </c>
      <c r="M9" s="3">
        <v>4.8</v>
      </c>
      <c r="N9" s="3">
        <v>2</v>
      </c>
      <c r="O9" s="3">
        <f>1.46+1.4</f>
        <v>2.86</v>
      </c>
      <c r="P9" s="9">
        <v>1.4964599999999999</v>
      </c>
      <c r="Q9" s="9">
        <v>3.0861100000000001</v>
      </c>
      <c r="R9" s="9">
        <v>6.1224500000000001E-2</v>
      </c>
      <c r="S9" s="9">
        <v>0.26157599999999998</v>
      </c>
      <c r="T9" s="9">
        <v>0.38310899999999998</v>
      </c>
      <c r="U9" s="9">
        <v>0.35705799999999999</v>
      </c>
      <c r="V9" s="9">
        <v>10.252000000000001</v>
      </c>
      <c r="W9" s="9">
        <v>3.3219699999999999</v>
      </c>
      <c r="X9" s="9">
        <v>4.9712100000000001</v>
      </c>
      <c r="Y9" s="9">
        <v>126.253</v>
      </c>
      <c r="Z9" s="9">
        <v>91.403800000000004</v>
      </c>
      <c r="AA9" s="9">
        <f t="shared" si="4"/>
        <v>1.7484052631578948</v>
      </c>
      <c r="AB9" s="9">
        <f t="shared" si="5"/>
        <v>5.4736842105263159</v>
      </c>
      <c r="AC9" s="9">
        <f t="shared" si="6"/>
        <v>2.2789473684210528</v>
      </c>
      <c r="AD9" s="9">
        <f t="shared" si="7"/>
        <v>13.331467852127176</v>
      </c>
      <c r="AE9" s="9">
        <f t="shared" si="8"/>
        <v>9.6516266644140103</v>
      </c>
      <c r="AF9" s="9">
        <f t="shared" si="9"/>
        <v>6.2220315023673178</v>
      </c>
      <c r="AG9" s="9">
        <f t="shared" si="0"/>
        <v>1.7362287047294065</v>
      </c>
      <c r="AH9" s="9">
        <f t="shared" si="1"/>
        <v>0.9464729036490761</v>
      </c>
      <c r="AI9" s="9">
        <f t="shared" si="2"/>
        <v>2.7944212852639225</v>
      </c>
      <c r="AJ9" s="9">
        <f>(4*PI()*(AI9^2))/(Y9+E9)</f>
        <v>0.72300152740988821</v>
      </c>
      <c r="AK9" s="12">
        <f t="shared" si="3"/>
        <v>0.66433566433566438</v>
      </c>
      <c r="AL9" s="9" t="s">
        <v>140</v>
      </c>
      <c r="AM9" s="9" t="s">
        <v>142</v>
      </c>
      <c r="AN9" s="3">
        <v>2.9472999999999998</v>
      </c>
      <c r="AO9" s="3">
        <v>0.17938999999999999</v>
      </c>
      <c r="AP9" s="3">
        <v>5025.8999999999996</v>
      </c>
      <c r="AQ9" s="3">
        <v>4406.1000000000004</v>
      </c>
      <c r="AR9" s="3">
        <v>1.4487000000000001</v>
      </c>
      <c r="AS9" s="3">
        <v>9.0972999999999998E-2</v>
      </c>
      <c r="AT9" s="3">
        <v>0.59326000000000001</v>
      </c>
      <c r="AU9" s="3">
        <v>8482.7000000000007</v>
      </c>
      <c r="AV9" s="3">
        <v>0.52876000000000001</v>
      </c>
      <c r="AW9" s="3">
        <v>8.0035999999999996E-2</v>
      </c>
      <c r="AX9" s="3">
        <v>0.11867999999999999</v>
      </c>
      <c r="AY9" s="2">
        <v>-57.581000000000003</v>
      </c>
      <c r="AZ9" s="2">
        <v>-1612.9</v>
      </c>
      <c r="BA9" s="2">
        <v>0.29420000000000002</v>
      </c>
      <c r="BB9" s="2">
        <v>10.680999999999999</v>
      </c>
      <c r="BC9" s="3" t="s">
        <v>164</v>
      </c>
      <c r="BD9" s="33" t="s">
        <v>165</v>
      </c>
      <c r="BE9" s="12" t="s">
        <v>168</v>
      </c>
    </row>
    <row r="10" spans="1:57" x14ac:dyDescent="0.25">
      <c r="A10" s="3" t="s">
        <v>16</v>
      </c>
      <c r="B10" s="3" t="s">
        <v>13</v>
      </c>
      <c r="C10" s="3" t="s">
        <v>6</v>
      </c>
      <c r="D10" s="3">
        <v>63</v>
      </c>
      <c r="E10" s="3">
        <v>7.0346000000000002</v>
      </c>
      <c r="F10" s="3">
        <v>9.9260000000000002</v>
      </c>
      <c r="G10" s="3">
        <v>6.7</v>
      </c>
      <c r="H10" s="3">
        <v>6.2</v>
      </c>
      <c r="I10" s="3">
        <v>2.3199999999999998</v>
      </c>
      <c r="J10" s="3">
        <v>40.950000000000003</v>
      </c>
      <c r="K10" s="3">
        <v>49.86</v>
      </c>
      <c r="L10" s="3">
        <v>66.680000000000007</v>
      </c>
      <c r="M10" s="3">
        <v>4.45</v>
      </c>
      <c r="N10" s="3">
        <v>1</v>
      </c>
      <c r="O10" s="3">
        <v>1.29</v>
      </c>
      <c r="P10" s="9">
        <v>2.1623800000000002</v>
      </c>
      <c r="Q10" s="9">
        <v>1.6262000000000001</v>
      </c>
      <c r="R10" s="9">
        <v>0.15040700000000001</v>
      </c>
      <c r="S10" s="9">
        <v>0.21015800000000001</v>
      </c>
      <c r="T10" s="9">
        <v>0.226996</v>
      </c>
      <c r="U10" s="9">
        <v>4.76935E-2</v>
      </c>
      <c r="V10" s="9">
        <v>4.6722700000000001</v>
      </c>
      <c r="W10" s="9">
        <v>2.8731200000000001</v>
      </c>
      <c r="X10" s="9">
        <v>6.2127800000000004</v>
      </c>
      <c r="Y10" s="9">
        <v>78.280299999999997</v>
      </c>
      <c r="Z10" s="9">
        <v>62.594999999999999</v>
      </c>
      <c r="AA10" s="9">
        <f t="shared" si="4"/>
        <v>1.2384137931034485</v>
      </c>
      <c r="AB10" s="9">
        <f t="shared" si="5"/>
        <v>2.8879310344827589</v>
      </c>
      <c r="AC10" s="9">
        <f t="shared" si="6"/>
        <v>2.6724137931034484</v>
      </c>
      <c r="AD10" s="9">
        <f t="shared" si="7"/>
        <v>11.127896397805134</v>
      </c>
      <c r="AE10" s="9">
        <f t="shared" si="8"/>
        <v>8.8981605208540646</v>
      </c>
      <c r="AF10" s="9">
        <f t="shared" si="9"/>
        <v>4.9654588316141757</v>
      </c>
      <c r="AG10" s="9">
        <f t="shared" si="0"/>
        <v>1.496389897502818</v>
      </c>
      <c r="AH10" s="9">
        <f t="shared" si="1"/>
        <v>0.94721892180149847</v>
      </c>
      <c r="AI10" s="9">
        <f t="shared" si="2"/>
        <v>2.4631092668467418</v>
      </c>
      <c r="AJ10" s="9">
        <f>(4*PI()*(AI10^2))/(Y10+E10)</f>
        <v>0.89361887686046981</v>
      </c>
      <c r="AK10" s="12">
        <f t="shared" si="3"/>
        <v>1.7984496124031006</v>
      </c>
      <c r="AL10" s="9" t="s">
        <v>140</v>
      </c>
      <c r="AM10" s="9" t="s">
        <v>142</v>
      </c>
      <c r="AN10" s="3">
        <v>3.0514000000000001</v>
      </c>
      <c r="AO10" s="3">
        <v>0.29169</v>
      </c>
      <c r="AP10" s="3">
        <v>5694.8</v>
      </c>
      <c r="AQ10" s="3">
        <v>5313.4</v>
      </c>
      <c r="AR10" s="3">
        <v>1.5187999999999999</v>
      </c>
      <c r="AS10" s="3">
        <v>1.9549E-2</v>
      </c>
      <c r="AT10" s="3">
        <v>0.67688999999999999</v>
      </c>
      <c r="AU10" s="3">
        <v>1.3180000000000001</v>
      </c>
      <c r="AV10" s="3">
        <v>0.20771000000000001</v>
      </c>
      <c r="AW10" s="3">
        <v>1.6584999999999999E-2</v>
      </c>
      <c r="AX10" s="3">
        <v>0.13491</v>
      </c>
      <c r="AY10" s="3">
        <v>-0.75968000000000002</v>
      </c>
      <c r="AZ10" s="3">
        <v>-439.99</v>
      </c>
      <c r="BA10" s="3">
        <v>0.10150000000000001</v>
      </c>
      <c r="BB10" s="3">
        <v>8.7434999999999992</v>
      </c>
      <c r="BC10" s="3" t="s">
        <v>162</v>
      </c>
      <c r="BD10" s="33" t="s">
        <v>165</v>
      </c>
      <c r="BE10" s="12" t="s">
        <v>167</v>
      </c>
    </row>
    <row r="11" spans="1:57" x14ac:dyDescent="0.25">
      <c r="A11" s="3" t="s">
        <v>17</v>
      </c>
      <c r="B11" s="3" t="s">
        <v>13</v>
      </c>
      <c r="C11" s="3" t="s">
        <v>14</v>
      </c>
      <c r="D11" s="3">
        <v>48</v>
      </c>
      <c r="E11" s="2">
        <v>12.27</v>
      </c>
      <c r="F11" s="2">
        <v>12.946999999999999</v>
      </c>
      <c r="G11" s="3">
        <v>4.63</v>
      </c>
      <c r="H11" s="3">
        <v>2.78</v>
      </c>
      <c r="I11" s="3">
        <v>3.1</v>
      </c>
      <c r="J11" s="3">
        <f>180-135.35</f>
        <v>44.650000000000006</v>
      </c>
      <c r="K11" s="3">
        <v>41</v>
      </c>
      <c r="L11" s="3">
        <v>87</v>
      </c>
      <c r="M11" s="3">
        <v>3.9</v>
      </c>
      <c r="N11" s="3">
        <v>2</v>
      </c>
      <c r="O11" s="3">
        <f>1.91+1.56</f>
        <v>3.4699999999999998</v>
      </c>
      <c r="P11" s="9">
        <v>0.71676300000000004</v>
      </c>
      <c r="Q11" s="9">
        <v>1.1260300000000001</v>
      </c>
      <c r="R11" s="9">
        <v>0.42592600000000003</v>
      </c>
      <c r="S11" s="9">
        <v>5.1922500000000003E-2</v>
      </c>
      <c r="T11" s="9">
        <v>6.6938600000000001E-2</v>
      </c>
      <c r="U11" s="9">
        <v>2.1079000000000001E-2</v>
      </c>
      <c r="V11" s="9">
        <v>4.3219000000000003</v>
      </c>
      <c r="W11" s="9">
        <v>3.8381699999999999</v>
      </c>
      <c r="X11" s="9">
        <v>2.7510599999999998</v>
      </c>
      <c r="Y11" s="9">
        <v>34.263100000000001</v>
      </c>
      <c r="Z11" s="9">
        <v>24.037800000000001</v>
      </c>
      <c r="AA11" s="9">
        <f t="shared" si="4"/>
        <v>1.2381193548387095</v>
      </c>
      <c r="AB11" s="9">
        <f t="shared" si="5"/>
        <v>1.4935483870967741</v>
      </c>
      <c r="AC11" s="9">
        <f t="shared" si="6"/>
        <v>0.89677419354838706</v>
      </c>
      <c r="AD11" s="9">
        <f t="shared" si="7"/>
        <v>2.7924286878565607</v>
      </c>
      <c r="AE11" s="9">
        <f t="shared" si="8"/>
        <v>1.9590709046454768</v>
      </c>
      <c r="AF11" s="9">
        <f t="shared" si="9"/>
        <v>4.1136768766853624</v>
      </c>
      <c r="AG11" s="9">
        <f t="shared" si="0"/>
        <v>1.9762748552453708</v>
      </c>
      <c r="AH11" s="9">
        <f t="shared" si="1"/>
        <v>0.9590871347359371</v>
      </c>
      <c r="AI11" s="9">
        <f t="shared" si="2"/>
        <v>1.7903394003472848</v>
      </c>
      <c r="AJ11" s="9">
        <f>(4*PI()*(AI11^2))/(Y11+E11)</f>
        <v>0.86560272886165557</v>
      </c>
      <c r="AK11" s="12">
        <f t="shared" si="3"/>
        <v>0.89337175792507217</v>
      </c>
      <c r="AL11" s="9" t="s">
        <v>144</v>
      </c>
      <c r="AM11" s="9" t="s">
        <v>142</v>
      </c>
      <c r="AN11" s="3">
        <v>6.5346000000000002</v>
      </c>
      <c r="AO11" s="3">
        <v>0.94123000000000001</v>
      </c>
      <c r="AP11" s="3">
        <v>15467</v>
      </c>
      <c r="AQ11" s="3">
        <v>14594</v>
      </c>
      <c r="AR11" s="3">
        <v>3.2027999999999999</v>
      </c>
      <c r="AS11" s="3">
        <v>5.4549999999999998E-3</v>
      </c>
      <c r="AT11" s="3">
        <v>0.76215999999999995</v>
      </c>
      <c r="AU11" s="3">
        <v>0.55308000000000002</v>
      </c>
      <c r="AV11" s="3">
        <v>1.1164E-2</v>
      </c>
      <c r="AW11" s="3">
        <v>3.2070000000000002E-3</v>
      </c>
      <c r="AX11" s="3">
        <v>0.23113</v>
      </c>
      <c r="AY11" s="2">
        <v>-0.62768999999999997</v>
      </c>
      <c r="AZ11" s="2">
        <v>-950.96</v>
      </c>
      <c r="BA11" s="2">
        <v>3.0672999999999999E-2</v>
      </c>
      <c r="BB11" s="2">
        <v>21.451000000000001</v>
      </c>
      <c r="BC11" s="3" t="s">
        <v>162</v>
      </c>
      <c r="BD11" s="33" t="s">
        <v>165</v>
      </c>
      <c r="BE11" s="12" t="s">
        <v>167</v>
      </c>
    </row>
    <row r="12" spans="1:57" x14ac:dyDescent="0.25">
      <c r="A12" s="3" t="s">
        <v>18</v>
      </c>
      <c r="B12" s="3" t="s">
        <v>13</v>
      </c>
      <c r="C12" s="3" t="s">
        <v>14</v>
      </c>
      <c r="D12" s="3">
        <v>62</v>
      </c>
      <c r="E12" s="2">
        <v>27.913</v>
      </c>
      <c r="F12" s="2">
        <v>26.469000000000001</v>
      </c>
      <c r="G12" s="3">
        <v>13.9</v>
      </c>
      <c r="H12" s="3">
        <v>8.6</v>
      </c>
      <c r="I12" s="3">
        <v>1.58</v>
      </c>
      <c r="J12" s="3">
        <f>180-80.7</f>
        <v>99.3</v>
      </c>
      <c r="K12" s="3">
        <f>180-157</f>
        <v>23</v>
      </c>
      <c r="L12" s="3">
        <v>67</v>
      </c>
      <c r="M12" s="3">
        <v>7</v>
      </c>
      <c r="N12" s="3">
        <v>2</v>
      </c>
      <c r="O12" s="3">
        <f>1.19+1.47</f>
        <v>2.66</v>
      </c>
      <c r="P12" s="9">
        <v>1.9265300000000001</v>
      </c>
      <c r="Q12" s="9">
        <v>3.15082</v>
      </c>
      <c r="R12" s="9">
        <v>1.4792899999999999E-2</v>
      </c>
      <c r="S12" s="9">
        <v>0.243759</v>
      </c>
      <c r="T12" s="9">
        <v>0.33410899999999999</v>
      </c>
      <c r="U12" s="9">
        <v>0.29477399999999998</v>
      </c>
      <c r="V12" s="9">
        <v>13.9116</v>
      </c>
      <c r="W12" s="9">
        <v>4.4152300000000002</v>
      </c>
      <c r="X12" s="9">
        <v>8.5060800000000008</v>
      </c>
      <c r="Y12" s="9">
        <v>261.50099999999998</v>
      </c>
      <c r="Z12" s="9">
        <v>305.56599999999997</v>
      </c>
      <c r="AA12" s="9">
        <f t="shared" si="4"/>
        <v>2.7944493670886077</v>
      </c>
      <c r="AB12" s="9">
        <f t="shared" si="5"/>
        <v>8.7974683544303804</v>
      </c>
      <c r="AC12" s="9">
        <f t="shared" si="6"/>
        <v>5.443037974683544</v>
      </c>
      <c r="AD12" s="9">
        <f t="shared" si="7"/>
        <v>9.3684304804213081</v>
      </c>
      <c r="AE12" s="9">
        <f t="shared" si="8"/>
        <v>10.947085587360727</v>
      </c>
      <c r="AF12" s="9">
        <f t="shared" si="9"/>
        <v>5.7641685019354778</v>
      </c>
      <c r="AG12" s="9">
        <f t="shared" si="0"/>
        <v>2.9807690036378447</v>
      </c>
      <c r="AH12" s="9">
        <f t="shared" si="1"/>
        <v>0.70757202794792551</v>
      </c>
      <c r="AI12" s="9">
        <f t="shared" si="2"/>
        <v>4.1783563245793349</v>
      </c>
      <c r="AJ12" s="9">
        <f>(4*PI()*(AI12^2))/(Y12+E12)</f>
        <v>0.75805597443120698</v>
      </c>
      <c r="AK12" s="12">
        <f t="shared" si="3"/>
        <v>0.59398496240601506</v>
      </c>
      <c r="AL12" s="9" t="s">
        <v>140</v>
      </c>
      <c r="AM12" s="9" t="s">
        <v>142</v>
      </c>
      <c r="AN12" s="3">
        <v>2.0234000000000001</v>
      </c>
      <c r="AO12" s="3">
        <v>0.18636</v>
      </c>
      <c r="AP12" s="3">
        <v>3054.5</v>
      </c>
      <c r="AQ12" s="3">
        <v>2840.4</v>
      </c>
      <c r="AR12" s="3">
        <v>1.0820000000000001</v>
      </c>
      <c r="AS12" s="3">
        <v>2.5079000000000001E-2</v>
      </c>
      <c r="AT12" s="3">
        <v>0.66100000000000003</v>
      </c>
      <c r="AU12" s="3">
        <v>15.753</v>
      </c>
      <c r="AV12" s="3">
        <v>0.65007999999999999</v>
      </c>
      <c r="AW12" s="3">
        <v>2.2756999999999999E-2</v>
      </c>
      <c r="AX12" s="3">
        <v>7.9531000000000004E-2</v>
      </c>
      <c r="AY12" s="2">
        <v>-77.186999999999998</v>
      </c>
      <c r="AZ12" s="2">
        <v>-404.87</v>
      </c>
      <c r="BA12" s="2">
        <v>0.46994000000000002</v>
      </c>
      <c r="BB12" s="2">
        <v>75.158000000000001</v>
      </c>
      <c r="BC12" s="3" t="s">
        <v>164</v>
      </c>
      <c r="BD12" s="33" t="s">
        <v>165</v>
      </c>
      <c r="BE12" s="12" t="s">
        <v>168</v>
      </c>
    </row>
    <row r="13" spans="1:57" x14ac:dyDescent="0.25">
      <c r="A13" s="3" t="s">
        <v>19</v>
      </c>
      <c r="B13" s="3" t="s">
        <v>5</v>
      </c>
      <c r="C13" s="3" t="s">
        <v>6</v>
      </c>
      <c r="D13" s="3">
        <v>85</v>
      </c>
      <c r="E13" s="2">
        <v>53.372</v>
      </c>
      <c r="F13" s="2">
        <v>27.042000000000002</v>
      </c>
      <c r="G13" s="3">
        <v>12.04</v>
      </c>
      <c r="H13" s="3">
        <v>1.95</v>
      </c>
      <c r="I13" s="3">
        <v>5.66</v>
      </c>
      <c r="J13" s="3">
        <v>8</v>
      </c>
      <c r="K13" s="3">
        <v>47.98</v>
      </c>
      <c r="L13" s="3">
        <f>180-115</f>
        <v>65</v>
      </c>
      <c r="M13" s="3">
        <v>9.9</v>
      </c>
      <c r="N13" s="3">
        <v>1</v>
      </c>
      <c r="O13" s="3">
        <v>5.2</v>
      </c>
      <c r="P13" s="9">
        <v>1.2368699999999999</v>
      </c>
      <c r="Q13" s="9">
        <v>1.2324299999999999</v>
      </c>
      <c r="R13" s="9">
        <v>0.494898</v>
      </c>
      <c r="S13" s="9">
        <v>0.135522</v>
      </c>
      <c r="T13" s="9">
        <v>0.171181</v>
      </c>
      <c r="U13" s="9">
        <v>0.11630600000000001</v>
      </c>
      <c r="V13" s="9">
        <v>9.8364999999999991</v>
      </c>
      <c r="W13" s="9">
        <v>7.9813900000000002</v>
      </c>
      <c r="X13" s="9">
        <v>9.8719599999999996</v>
      </c>
      <c r="Y13" s="9">
        <v>227.227</v>
      </c>
      <c r="Z13" s="9">
        <v>343.69099999999997</v>
      </c>
      <c r="AA13" s="9">
        <f t="shared" si="4"/>
        <v>1.4101395759717315</v>
      </c>
      <c r="AB13" s="9">
        <f t="shared" si="5"/>
        <v>2.127208480565371</v>
      </c>
      <c r="AC13" s="9">
        <f t="shared" si="6"/>
        <v>0.34452296819787986</v>
      </c>
      <c r="AD13" s="9">
        <f t="shared" si="7"/>
        <v>4.2574196207749386</v>
      </c>
      <c r="AE13" s="9">
        <f t="shared" si="8"/>
        <v>6.4395375852506929</v>
      </c>
      <c r="AF13" s="9">
        <f t="shared" si="9"/>
        <v>4.6310680378794098</v>
      </c>
      <c r="AG13" s="9">
        <f t="shared" si="0"/>
        <v>4.1217514778794317</v>
      </c>
      <c r="AH13" s="9">
        <f t="shared" si="1"/>
        <v>0.95768539034308819</v>
      </c>
      <c r="AI13" s="9">
        <f t="shared" si="2"/>
        <v>4.3453675495832353</v>
      </c>
      <c r="AJ13" s="9">
        <f>(4*PI()*(AI13^2))/(Y13+E13)</f>
        <v>0.84562298421230442</v>
      </c>
      <c r="AK13" s="12">
        <f t="shared" si="3"/>
        <v>1.0884615384615384</v>
      </c>
      <c r="AL13" s="9" t="s">
        <v>140</v>
      </c>
      <c r="AM13" s="9" t="s">
        <v>143</v>
      </c>
      <c r="AN13" s="3">
        <v>0.62241000000000002</v>
      </c>
      <c r="AO13" s="3">
        <v>0.18137</v>
      </c>
      <c r="AP13" s="3">
        <v>592.47</v>
      </c>
      <c r="AQ13" s="3">
        <v>519.49</v>
      </c>
      <c r="AR13" s="3">
        <v>0.64673000000000003</v>
      </c>
      <c r="AS13" s="3">
        <v>2.8773E-2</v>
      </c>
      <c r="AT13" s="3">
        <v>0.68703000000000003</v>
      </c>
      <c r="AU13" s="3">
        <v>3.0354000000000001</v>
      </c>
      <c r="AV13" s="3">
        <v>0.36475999999999997</v>
      </c>
      <c r="AW13" s="3">
        <v>1.7505E-2</v>
      </c>
      <c r="AX13" s="3">
        <v>6.5976999999999994E-2</v>
      </c>
      <c r="AY13" s="2">
        <v>2.0979999999999999</v>
      </c>
      <c r="AZ13" s="2">
        <v>18.629000000000001</v>
      </c>
      <c r="BA13" s="2">
        <v>0.16950999999999999</v>
      </c>
      <c r="BB13" s="2">
        <v>3.8742000000000001</v>
      </c>
      <c r="BC13" s="3" t="s">
        <v>164</v>
      </c>
      <c r="BD13" s="33" t="s">
        <v>165</v>
      </c>
      <c r="BE13" s="12" t="s">
        <v>168</v>
      </c>
    </row>
    <row r="14" spans="1:57" x14ac:dyDescent="0.25">
      <c r="A14" s="2" t="s">
        <v>20</v>
      </c>
      <c r="B14" s="2" t="s">
        <v>5</v>
      </c>
      <c r="C14" s="2" t="s">
        <v>6</v>
      </c>
      <c r="D14" s="2">
        <v>68</v>
      </c>
      <c r="E14" s="2">
        <v>53.406999999999996</v>
      </c>
      <c r="F14" s="2">
        <v>26.577000000000002</v>
      </c>
      <c r="G14" s="2">
        <v>10.8</v>
      </c>
      <c r="H14" s="2">
        <v>6</v>
      </c>
      <c r="I14" s="2">
        <v>4.34</v>
      </c>
      <c r="J14" s="2">
        <v>88.46</v>
      </c>
      <c r="K14" s="2">
        <v>27.85</v>
      </c>
      <c r="L14" s="2">
        <v>22.16</v>
      </c>
      <c r="M14" s="2">
        <v>9.4</v>
      </c>
      <c r="N14" s="2">
        <v>1</v>
      </c>
      <c r="O14" s="2">
        <v>4.1100000000000003</v>
      </c>
      <c r="P14" s="9">
        <v>0.74729500000000004</v>
      </c>
      <c r="Q14" s="9">
        <v>1.23793</v>
      </c>
      <c r="R14" s="9">
        <v>0.15546199999999999</v>
      </c>
      <c r="S14" s="9">
        <v>6.9067799999999999E-2</v>
      </c>
      <c r="T14" s="9">
        <v>7.7610600000000002E-2</v>
      </c>
      <c r="U14" s="9">
        <v>1.6539000000000002E-2</v>
      </c>
      <c r="V14" s="9">
        <v>9.9895800000000001</v>
      </c>
      <c r="W14" s="9">
        <v>8.0695800000000002</v>
      </c>
      <c r="X14" s="9">
        <v>6.0303599999999999</v>
      </c>
      <c r="Y14" s="9">
        <v>169.523</v>
      </c>
      <c r="Z14" s="9">
        <v>260.01900000000001</v>
      </c>
      <c r="AA14" s="9">
        <f t="shared" si="4"/>
        <v>1.8593502304147467</v>
      </c>
      <c r="AB14" s="9">
        <f t="shared" si="5"/>
        <v>2.4884792626728114</v>
      </c>
      <c r="AC14" s="9">
        <f t="shared" si="6"/>
        <v>1.3824884792626728</v>
      </c>
      <c r="AD14" s="9">
        <f t="shared" si="7"/>
        <v>3.1741719250285545</v>
      </c>
      <c r="AE14" s="9">
        <f t="shared" si="8"/>
        <v>4.8686314528058121</v>
      </c>
      <c r="AF14" s="9">
        <f t="shared" si="9"/>
        <v>4.1612637213734978</v>
      </c>
      <c r="AG14" s="9">
        <f t="shared" si="0"/>
        <v>4.1231027262751665</v>
      </c>
      <c r="AH14" s="9">
        <f t="shared" si="1"/>
        <v>0.9747608258917192</v>
      </c>
      <c r="AI14" s="9">
        <f t="shared" si="2"/>
        <v>3.9594861192875976</v>
      </c>
      <c r="AJ14" s="9">
        <f>(4*PI()*(AI14^2))/(Y14+E14)</f>
        <v>0.8837287777775471</v>
      </c>
      <c r="AK14" s="12">
        <f t="shared" si="3"/>
        <v>1.0559610705596105</v>
      </c>
      <c r="AL14" s="9" t="s">
        <v>144</v>
      </c>
      <c r="AM14" s="9" t="s">
        <v>143</v>
      </c>
      <c r="AN14" s="2">
        <v>2.9687999999999999</v>
      </c>
      <c r="AO14" s="2">
        <v>0.32002999999999998</v>
      </c>
      <c r="AP14" s="2">
        <v>2562.5</v>
      </c>
      <c r="AQ14" s="2">
        <v>2380.1999999999998</v>
      </c>
      <c r="AR14" s="2">
        <v>2.5068999999999999</v>
      </c>
      <c r="AS14" s="2">
        <v>9.2998999999999998E-3</v>
      </c>
      <c r="AT14" s="2">
        <v>0.70948</v>
      </c>
      <c r="AU14" s="2">
        <v>0.51556999999999997</v>
      </c>
      <c r="AV14" s="2">
        <v>8.6512000000000006E-2</v>
      </c>
      <c r="AW14" s="2">
        <v>5.0448999999999997E-3</v>
      </c>
      <c r="AX14" s="2">
        <v>0.22197</v>
      </c>
      <c r="AY14" s="2">
        <v>-11.026</v>
      </c>
      <c r="AZ14" s="2">
        <v>-1534.8</v>
      </c>
      <c r="BA14" s="2">
        <v>8.2424999999999998E-2</v>
      </c>
      <c r="BB14" s="2">
        <v>12.327</v>
      </c>
      <c r="BC14" s="2" t="s">
        <v>162</v>
      </c>
      <c r="BD14" s="32" t="s">
        <v>163</v>
      </c>
      <c r="BE14" s="12" t="s">
        <v>167</v>
      </c>
    </row>
    <row r="15" spans="1:57" x14ac:dyDescent="0.25">
      <c r="A15" s="3" t="s">
        <v>21</v>
      </c>
      <c r="B15" s="3" t="s">
        <v>5</v>
      </c>
      <c r="C15" s="3" t="s">
        <v>6</v>
      </c>
      <c r="D15" s="3">
        <v>56</v>
      </c>
      <c r="E15" s="2">
        <v>7.2084999999999999</v>
      </c>
      <c r="F15" s="2">
        <v>10.396000000000001</v>
      </c>
      <c r="G15" s="3">
        <v>4.41</v>
      </c>
      <c r="H15" s="3">
        <v>3.5</v>
      </c>
      <c r="I15" s="3">
        <v>3.9</v>
      </c>
      <c r="J15" s="3">
        <v>41.8</v>
      </c>
      <c r="K15" s="3">
        <v>48.5</v>
      </c>
      <c r="L15" s="3">
        <v>90</v>
      </c>
      <c r="M15" s="3">
        <v>3.35</v>
      </c>
      <c r="N15" s="3">
        <v>2</v>
      </c>
      <c r="O15" s="3">
        <f>3.12+3.55</f>
        <v>6.67</v>
      </c>
      <c r="P15" s="9">
        <v>1.1682999999999999</v>
      </c>
      <c r="Q15" s="9">
        <v>1.16883</v>
      </c>
      <c r="R15" s="9">
        <v>0.485294</v>
      </c>
      <c r="S15" s="9">
        <v>0.117995</v>
      </c>
      <c r="T15" s="9">
        <v>0.15396399999999999</v>
      </c>
      <c r="U15" s="9">
        <v>7.3473399999999994E-2</v>
      </c>
      <c r="V15" s="9">
        <v>3.4836100000000001</v>
      </c>
      <c r="W15" s="9">
        <v>2.9804300000000001</v>
      </c>
      <c r="X15" s="9">
        <v>3.48203</v>
      </c>
      <c r="Y15" s="9">
        <v>32.984499999999997</v>
      </c>
      <c r="Z15" s="9">
        <v>19.6036</v>
      </c>
      <c r="AA15" s="9">
        <f t="shared" si="4"/>
        <v>0.76421282051282058</v>
      </c>
      <c r="AB15" s="9">
        <f t="shared" si="5"/>
        <v>1.1307692307692307</v>
      </c>
      <c r="AC15" s="9">
        <f t="shared" si="6"/>
        <v>0.89743589743589747</v>
      </c>
      <c r="AD15" s="9">
        <f t="shared" si="7"/>
        <v>4.5757785947145724</v>
      </c>
      <c r="AE15" s="9">
        <f t="shared" si="8"/>
        <v>2.7195116875910386</v>
      </c>
      <c r="AF15" s="9">
        <f t="shared" si="9"/>
        <v>4.5368318539386792</v>
      </c>
      <c r="AG15" s="9">
        <f t="shared" si="0"/>
        <v>1.5147728590636469</v>
      </c>
      <c r="AH15" s="9">
        <f t="shared" si="1"/>
        <v>0.91550582645085798</v>
      </c>
      <c r="AI15" s="9">
        <f t="shared" si="2"/>
        <v>1.6726910803684802</v>
      </c>
      <c r="AJ15" s="9">
        <f>(4*PI()*(AI15^2))/(Y15+E15)</f>
        <v>0.87476404272523822</v>
      </c>
      <c r="AK15" s="12">
        <f t="shared" si="3"/>
        <v>0.58470764617691151</v>
      </c>
      <c r="AL15" s="9" t="s">
        <v>144</v>
      </c>
      <c r="AM15" s="9" t="s">
        <v>142</v>
      </c>
      <c r="AN15" s="3">
        <v>6.0720999999999998</v>
      </c>
      <c r="AO15" s="3">
        <v>0.56915000000000004</v>
      </c>
      <c r="AP15" s="3">
        <v>16321</v>
      </c>
      <c r="AQ15" s="3">
        <v>16352</v>
      </c>
      <c r="AR15" s="3">
        <v>3.0217000000000001</v>
      </c>
      <c r="AS15" s="3">
        <v>8.0998000000000007E-3</v>
      </c>
      <c r="AT15" s="3">
        <v>0.72231000000000001</v>
      </c>
      <c r="AU15" s="3">
        <v>1.0693999999999999</v>
      </c>
      <c r="AV15" s="3">
        <v>0.15046000000000001</v>
      </c>
      <c r="AW15" s="3">
        <v>8.1797999999999992E-3</v>
      </c>
      <c r="AX15" s="3">
        <v>0.17701</v>
      </c>
      <c r="AY15" s="2">
        <v>1.8401000000000001</v>
      </c>
      <c r="AZ15" s="2">
        <v>724.84</v>
      </c>
      <c r="BA15" s="2">
        <v>1.8078E-2</v>
      </c>
      <c r="BB15" s="2">
        <v>2.8853</v>
      </c>
      <c r="BC15" s="3" t="s">
        <v>164</v>
      </c>
      <c r="BD15" s="33" t="s">
        <v>163</v>
      </c>
      <c r="BE15" s="12" t="s">
        <v>168</v>
      </c>
    </row>
    <row r="16" spans="1:57" x14ac:dyDescent="0.25">
      <c r="A16" s="3" t="s">
        <v>22</v>
      </c>
      <c r="B16" s="3" t="s">
        <v>5</v>
      </c>
      <c r="C16" s="3" t="s">
        <v>6</v>
      </c>
      <c r="D16" s="3">
        <v>42</v>
      </c>
      <c r="E16" s="2">
        <v>23.681999999999999</v>
      </c>
      <c r="F16" s="2">
        <v>18.338999999999999</v>
      </c>
      <c r="G16" s="3">
        <v>10.63</v>
      </c>
      <c r="H16" s="3">
        <v>8.6999999999999993</v>
      </c>
      <c r="I16" s="3">
        <v>2.63</v>
      </c>
      <c r="J16" s="3">
        <v>28.36</v>
      </c>
      <c r="K16" s="3">
        <v>39.44</v>
      </c>
      <c r="L16" s="3">
        <v>76.44</v>
      </c>
      <c r="M16" s="3">
        <v>8.3000000000000007</v>
      </c>
      <c r="N16" s="3">
        <v>1</v>
      </c>
      <c r="O16" s="3">
        <v>3.21</v>
      </c>
      <c r="P16" s="9">
        <v>1.63514</v>
      </c>
      <c r="Q16" s="9">
        <v>1.68607</v>
      </c>
      <c r="R16" s="9">
        <v>0.114035</v>
      </c>
      <c r="S16" s="9">
        <v>0.158364</v>
      </c>
      <c r="T16" s="9">
        <v>0.170156</v>
      </c>
      <c r="U16" s="9">
        <v>2.29824E-2</v>
      </c>
      <c r="V16" s="9">
        <v>8.8923000000000005</v>
      </c>
      <c r="W16" s="9">
        <v>5.2739799999999999</v>
      </c>
      <c r="X16" s="9">
        <v>8.6236700000000006</v>
      </c>
      <c r="Y16" s="9">
        <v>202.047</v>
      </c>
      <c r="Z16" s="9">
        <v>288.71100000000001</v>
      </c>
      <c r="AA16" s="9">
        <f t="shared" si="4"/>
        <v>2.0053155893536121</v>
      </c>
      <c r="AB16" s="9">
        <f t="shared" si="5"/>
        <v>4.0418250950570345</v>
      </c>
      <c r="AC16" s="9">
        <f t="shared" si="6"/>
        <v>3.3079847908745248</v>
      </c>
      <c r="AD16" s="9">
        <f t="shared" si="7"/>
        <v>8.5316696224981001</v>
      </c>
      <c r="AE16" s="9">
        <f t="shared" si="8"/>
        <v>12.191157841398532</v>
      </c>
      <c r="AF16" s="9">
        <f t="shared" si="9"/>
        <v>4.6253384735262264</v>
      </c>
      <c r="AG16" s="9">
        <f t="shared" si="0"/>
        <v>2.7455809448283492</v>
      </c>
      <c r="AH16" s="9">
        <f t="shared" si="1"/>
        <v>0.94067254769713338</v>
      </c>
      <c r="AI16" s="9">
        <f t="shared" si="2"/>
        <v>4.1000728553880359</v>
      </c>
      <c r="AJ16" s="9">
        <f>(4*PI()*(AI16^2))/(Y16+E16)</f>
        <v>0.9358487275542744</v>
      </c>
      <c r="AK16" s="12">
        <f t="shared" si="3"/>
        <v>0.81931464174454827</v>
      </c>
      <c r="AL16" s="9" t="s">
        <v>144</v>
      </c>
      <c r="AM16" s="9" t="s">
        <v>143</v>
      </c>
      <c r="AN16" s="3">
        <v>2.5508999999999999</v>
      </c>
      <c r="AO16" s="3">
        <v>0.31004999999999999</v>
      </c>
      <c r="AP16" s="3">
        <v>3971.9</v>
      </c>
      <c r="AQ16" s="3">
        <v>3619.7</v>
      </c>
      <c r="AR16" s="3">
        <v>1.8385</v>
      </c>
      <c r="AS16" s="3">
        <v>3.3694000000000002E-2</v>
      </c>
      <c r="AT16" s="3">
        <v>0.65147999999999995</v>
      </c>
      <c r="AU16" s="3">
        <v>0.94843</v>
      </c>
      <c r="AV16" s="3">
        <v>0.16056999999999999</v>
      </c>
      <c r="AW16" s="3">
        <v>2.6186000000000001E-2</v>
      </c>
      <c r="AX16" s="3">
        <v>0.16927</v>
      </c>
      <c r="AY16" s="2">
        <v>-9.5594000000000001</v>
      </c>
      <c r="AZ16" s="2">
        <v>-593.59</v>
      </c>
      <c r="BA16" s="2">
        <v>0.22384999999999999</v>
      </c>
      <c r="BB16" s="2">
        <v>6.4680999999999997</v>
      </c>
      <c r="BC16" s="3" t="s">
        <v>164</v>
      </c>
      <c r="BD16" s="33" t="s">
        <v>165</v>
      </c>
      <c r="BE16" s="12" t="s">
        <v>167</v>
      </c>
    </row>
    <row r="17" spans="1:57" x14ac:dyDescent="0.25">
      <c r="A17" s="2" t="s">
        <v>23</v>
      </c>
      <c r="B17" s="2" t="s">
        <v>5</v>
      </c>
      <c r="C17" s="2" t="s">
        <v>6</v>
      </c>
      <c r="D17" s="2">
        <v>54</v>
      </c>
      <c r="E17" s="2">
        <v>8.8785000000000007</v>
      </c>
      <c r="F17" s="2">
        <v>11.324999999999999</v>
      </c>
      <c r="G17" s="2">
        <v>5.5</v>
      </c>
      <c r="H17" s="2">
        <v>4.4000000000000004</v>
      </c>
      <c r="I17" s="2">
        <v>2.85</v>
      </c>
      <c r="J17" s="2">
        <v>34.68</v>
      </c>
      <c r="K17" s="2">
        <v>43.4</v>
      </c>
      <c r="L17" s="2">
        <v>30.61</v>
      </c>
      <c r="M17" s="2">
        <v>4.0999999999999996</v>
      </c>
      <c r="N17" s="2">
        <v>2</v>
      </c>
      <c r="O17" s="2">
        <f>3.29+1.29</f>
        <v>4.58</v>
      </c>
      <c r="P17" s="9">
        <v>1.3457300000000001</v>
      </c>
      <c r="Q17" s="9">
        <v>1.3410500000000001</v>
      </c>
      <c r="R17" s="9">
        <v>0.229412</v>
      </c>
      <c r="S17" s="9">
        <v>0.138706</v>
      </c>
      <c r="T17" s="9">
        <v>0.16287199999999999</v>
      </c>
      <c r="U17" s="9">
        <v>4.43256E-2</v>
      </c>
      <c r="V17" s="9">
        <v>4.3201000000000001</v>
      </c>
      <c r="W17" s="9">
        <v>3.2214399999999999</v>
      </c>
      <c r="X17" s="9">
        <v>4.3351899999999999</v>
      </c>
      <c r="Y17" s="9">
        <v>48.6267</v>
      </c>
      <c r="Z17" s="9">
        <v>34.537300000000002</v>
      </c>
      <c r="AA17" s="9">
        <f t="shared" si="4"/>
        <v>1.1303298245614035</v>
      </c>
      <c r="AB17" s="9">
        <f t="shared" si="5"/>
        <v>1.9298245614035088</v>
      </c>
      <c r="AC17" s="9">
        <f t="shared" si="6"/>
        <v>1.5438596491228072</v>
      </c>
      <c r="AD17" s="9">
        <f t="shared" si="7"/>
        <v>5.4769048825815165</v>
      </c>
      <c r="AE17" s="9">
        <f t="shared" si="8"/>
        <v>3.8899926789435151</v>
      </c>
      <c r="AF17" s="9">
        <f t="shared" si="9"/>
        <v>4.5851041912198474</v>
      </c>
      <c r="AG17" s="9">
        <f t="shared" si="0"/>
        <v>1.6811050902554503</v>
      </c>
      <c r="AH17" s="9">
        <f t="shared" si="1"/>
        <v>0.93268828281835392</v>
      </c>
      <c r="AI17" s="9">
        <f t="shared" si="2"/>
        <v>2.0202258532612247</v>
      </c>
      <c r="AJ17" s="9">
        <f>(4*PI()*(AI17^2))/(Y17+E17)</f>
        <v>0.89187213408890598</v>
      </c>
      <c r="AK17" s="12">
        <f t="shared" si="3"/>
        <v>0.62227074235807867</v>
      </c>
      <c r="AL17" s="9" t="s">
        <v>144</v>
      </c>
      <c r="AM17" s="9" t="s">
        <v>142</v>
      </c>
      <c r="AN17" s="2">
        <v>2.2574000000000001</v>
      </c>
      <c r="AO17" s="2">
        <v>0.25552000000000002</v>
      </c>
      <c r="AP17" s="2">
        <v>6050.7</v>
      </c>
      <c r="AQ17" s="2">
        <v>5369.7</v>
      </c>
      <c r="AR17" s="2">
        <v>0.96940999999999999</v>
      </c>
      <c r="AS17" s="2">
        <v>2.7942999999999999E-2</v>
      </c>
      <c r="AT17" s="2">
        <v>0.72196000000000005</v>
      </c>
      <c r="AU17" s="2">
        <v>3.1276999999999999</v>
      </c>
      <c r="AV17" s="2">
        <v>0.49014999999999997</v>
      </c>
      <c r="AW17" s="2">
        <v>2.7820000000000001E-2</v>
      </c>
      <c r="AX17" s="2">
        <v>8.6294999999999997E-2</v>
      </c>
      <c r="AY17" s="2">
        <v>-3.6926000000000001</v>
      </c>
      <c r="AZ17" s="2">
        <v>-546.25</v>
      </c>
      <c r="BA17" s="2">
        <v>7.3072999999999999E-2</v>
      </c>
      <c r="BB17" s="2">
        <v>10.946</v>
      </c>
      <c r="BC17" s="2" t="s">
        <v>164</v>
      </c>
      <c r="BD17" s="32" t="s">
        <v>165</v>
      </c>
      <c r="BE17" s="12" t="s">
        <v>168</v>
      </c>
    </row>
    <row r="18" spans="1:57" x14ac:dyDescent="0.25">
      <c r="A18" s="2" t="s">
        <v>24</v>
      </c>
      <c r="B18" s="2" t="s">
        <v>5</v>
      </c>
      <c r="C18" s="2" t="s">
        <v>6</v>
      </c>
      <c r="D18" s="2">
        <v>36</v>
      </c>
      <c r="E18" s="2">
        <v>11.664</v>
      </c>
      <c r="F18" s="2">
        <v>13.618</v>
      </c>
      <c r="G18" s="2">
        <v>5.57</v>
      </c>
      <c r="H18" s="2">
        <v>4.5999999999999996</v>
      </c>
      <c r="I18" s="2">
        <v>3.38</v>
      </c>
      <c r="J18" s="2">
        <v>113.14</v>
      </c>
      <c r="K18" s="2">
        <f>180-127.11</f>
        <v>52.89</v>
      </c>
      <c r="L18" s="2">
        <v>10</v>
      </c>
      <c r="M18" s="2">
        <v>4.9000000000000004</v>
      </c>
      <c r="N18" s="2">
        <v>1</v>
      </c>
      <c r="O18" s="2">
        <v>3.6</v>
      </c>
      <c r="P18" s="9">
        <v>1.33053</v>
      </c>
      <c r="Q18" s="9">
        <v>1.4230799999999999</v>
      </c>
      <c r="R18" s="9">
        <v>0.48888900000000002</v>
      </c>
      <c r="S18" s="9">
        <v>0.14588400000000001</v>
      </c>
      <c r="T18" s="9">
        <v>0.20239599999999999</v>
      </c>
      <c r="U18" s="9">
        <v>0.14311199999999999</v>
      </c>
      <c r="V18" s="9">
        <v>4.8926800000000004</v>
      </c>
      <c r="W18" s="9">
        <v>3.4380899999999999</v>
      </c>
      <c r="X18" s="9">
        <v>4.5744699999999998</v>
      </c>
      <c r="Y18" s="9">
        <v>40.753799999999998</v>
      </c>
      <c r="Z18" s="9">
        <v>24.644600000000001</v>
      </c>
      <c r="AA18" s="9">
        <f t="shared" si="4"/>
        <v>1.0171863905325444</v>
      </c>
      <c r="AB18" s="9">
        <f t="shared" si="5"/>
        <v>1.6479289940828403</v>
      </c>
      <c r="AC18" s="9">
        <f t="shared" si="6"/>
        <v>1.36094674556213</v>
      </c>
      <c r="AD18" s="9">
        <f t="shared" si="7"/>
        <v>3.4939814814814816</v>
      </c>
      <c r="AE18" s="9">
        <f t="shared" si="8"/>
        <v>2.112877229080933</v>
      </c>
      <c r="AF18" s="9">
        <f t="shared" si="9"/>
        <v>4.812309978453551</v>
      </c>
      <c r="AG18" s="9">
        <f t="shared" si="0"/>
        <v>1.9268540454449927</v>
      </c>
      <c r="AH18" s="9">
        <f t="shared" si="1"/>
        <v>0.88902783282563691</v>
      </c>
      <c r="AI18" s="9">
        <f t="shared" si="2"/>
        <v>1.8052792405957299</v>
      </c>
      <c r="AJ18" s="9">
        <f>(4*PI()*(AI18^2))/(Y18+E18)</f>
        <v>0.78130364567116162</v>
      </c>
      <c r="AK18" s="12">
        <f t="shared" si="3"/>
        <v>0.93888888888888888</v>
      </c>
      <c r="AL18" s="9" t="s">
        <v>144</v>
      </c>
      <c r="AM18" s="9" t="s">
        <v>143</v>
      </c>
      <c r="AN18" s="2">
        <v>3.3879999999999999</v>
      </c>
      <c r="AO18" s="2">
        <v>0.46683000000000002</v>
      </c>
      <c r="AP18" s="2">
        <v>5447.8</v>
      </c>
      <c r="AQ18" s="2">
        <v>4936.8</v>
      </c>
      <c r="AR18" s="2">
        <v>1.5569</v>
      </c>
      <c r="AS18" s="2">
        <v>8.8648000000000008E-3</v>
      </c>
      <c r="AT18" s="2">
        <v>0.72653999999999996</v>
      </c>
      <c r="AU18" s="2">
        <v>2.5510999999999999</v>
      </c>
      <c r="AV18" s="2">
        <v>0.21618000000000001</v>
      </c>
      <c r="AW18" s="2">
        <v>8.1732000000000003E-3</v>
      </c>
      <c r="AX18" s="2">
        <v>0.12504999999999999</v>
      </c>
      <c r="AY18" s="2">
        <v>-0.57867000000000002</v>
      </c>
      <c r="AZ18" s="2">
        <v>-552.65</v>
      </c>
      <c r="BA18" s="2">
        <v>3.0210000000000001E-2</v>
      </c>
      <c r="BB18" s="2">
        <v>5.5446</v>
      </c>
      <c r="BC18" s="2" t="s">
        <v>162</v>
      </c>
      <c r="BD18" s="32" t="s">
        <v>163</v>
      </c>
      <c r="BE18" s="12" t="s">
        <v>168</v>
      </c>
    </row>
    <row r="19" spans="1:57" x14ac:dyDescent="0.25">
      <c r="A19" s="3" t="s">
        <v>25</v>
      </c>
      <c r="B19" s="3" t="s">
        <v>26</v>
      </c>
      <c r="C19" s="3" t="s">
        <v>14</v>
      </c>
      <c r="D19" s="3">
        <v>48</v>
      </c>
      <c r="E19" s="3">
        <v>10.564</v>
      </c>
      <c r="F19" s="3">
        <v>12.962</v>
      </c>
      <c r="G19" s="3">
        <v>5.37</v>
      </c>
      <c r="H19" s="3">
        <v>2.95</v>
      </c>
      <c r="I19" s="3">
        <v>2.48</v>
      </c>
      <c r="J19" s="3">
        <v>23.76</v>
      </c>
      <c r="K19" s="3">
        <v>19</v>
      </c>
      <c r="L19" s="3">
        <v>51</v>
      </c>
      <c r="M19" s="3">
        <v>5.4</v>
      </c>
      <c r="N19" s="3">
        <v>2</v>
      </c>
      <c r="O19" s="3">
        <f>2.27+1.67</f>
        <v>3.94</v>
      </c>
      <c r="P19" s="9">
        <v>0.874305</v>
      </c>
      <c r="Q19" s="9">
        <v>1.55</v>
      </c>
      <c r="R19" s="9">
        <v>2.63158E-2</v>
      </c>
      <c r="S19" s="9">
        <v>0.110615</v>
      </c>
      <c r="T19" s="9">
        <v>0.14750099999999999</v>
      </c>
      <c r="U19" s="9">
        <v>8.6636000000000005E-2</v>
      </c>
      <c r="V19" s="9">
        <v>5.2261199999999999</v>
      </c>
      <c r="W19" s="9">
        <v>3.3716900000000001</v>
      </c>
      <c r="X19" s="9">
        <v>2.9478900000000001</v>
      </c>
      <c r="Y19" s="9">
        <v>44.577199999999998</v>
      </c>
      <c r="Z19" s="9">
        <v>31.152999999999999</v>
      </c>
      <c r="AA19" s="9">
        <f t="shared" si="4"/>
        <v>1.3595524193548387</v>
      </c>
      <c r="AB19" s="9">
        <f t="shared" si="5"/>
        <v>2.1653225806451615</v>
      </c>
      <c r="AC19" s="9">
        <f t="shared" si="6"/>
        <v>1.1895161290322582</v>
      </c>
      <c r="AD19" s="9">
        <f t="shared" si="7"/>
        <v>4.2197273759939415</v>
      </c>
      <c r="AE19" s="9">
        <f t="shared" si="8"/>
        <v>2.948977659977281</v>
      </c>
      <c r="AF19" s="9">
        <f t="shared" si="9"/>
        <v>4.5024220487184605</v>
      </c>
      <c r="AG19" s="9">
        <f t="shared" si="0"/>
        <v>1.8337463395043396</v>
      </c>
      <c r="AH19" s="9">
        <f t="shared" si="1"/>
        <v>0.88888813898071406</v>
      </c>
      <c r="AI19" s="9">
        <f t="shared" si="2"/>
        <v>1.9519577894378837</v>
      </c>
      <c r="AJ19" s="9">
        <f>(4*PI()*(AI19^2))/(Y19+E19)</f>
        <v>0.86830938440073857</v>
      </c>
      <c r="AK19" s="12">
        <f t="shared" si="3"/>
        <v>0.62944162436548223</v>
      </c>
      <c r="AL19" s="9" t="s">
        <v>140</v>
      </c>
      <c r="AM19" s="9" t="s">
        <v>142</v>
      </c>
      <c r="AN19" s="3">
        <v>3.5381</v>
      </c>
      <c r="AO19" s="3">
        <v>0.55564999999999998</v>
      </c>
      <c r="AP19" s="3">
        <v>9847.7000000000007</v>
      </c>
      <c r="AQ19" s="3">
        <v>8800</v>
      </c>
      <c r="AR19" s="3">
        <v>1.6526000000000001</v>
      </c>
      <c r="AS19" s="3">
        <v>7.1136000000000003E-3</v>
      </c>
      <c r="AT19" s="3">
        <v>0.75773999999999997</v>
      </c>
      <c r="AU19" s="3">
        <v>1.1509</v>
      </c>
      <c r="AV19" s="3">
        <v>6.1482000000000002E-2</v>
      </c>
      <c r="AW19" s="3">
        <v>5.6337999999999996E-3</v>
      </c>
      <c r="AX19" s="3">
        <v>0.12916</v>
      </c>
      <c r="AY19" s="3">
        <v>-10.768000000000001</v>
      </c>
      <c r="AZ19" s="3">
        <v>-607.07000000000005</v>
      </c>
      <c r="BA19" s="3">
        <v>8.7187000000000001E-2</v>
      </c>
      <c r="BB19" s="3">
        <v>42.043999999999997</v>
      </c>
      <c r="BC19" s="3" t="s">
        <v>162</v>
      </c>
      <c r="BD19" s="33" t="s">
        <v>163</v>
      </c>
      <c r="BE19" s="12" t="s">
        <v>167</v>
      </c>
    </row>
    <row r="20" spans="1:57" x14ac:dyDescent="0.25">
      <c r="A20" s="3" t="s">
        <v>27</v>
      </c>
      <c r="B20" s="3" t="s">
        <v>26</v>
      </c>
      <c r="C20" s="3" t="s">
        <v>6</v>
      </c>
      <c r="D20" s="3">
        <v>51</v>
      </c>
      <c r="E20" s="3">
        <v>13.728999999999999</v>
      </c>
      <c r="F20" s="3">
        <v>13.552</v>
      </c>
      <c r="G20" s="3">
        <v>6.19</v>
      </c>
      <c r="H20" s="3">
        <v>4.3</v>
      </c>
      <c r="I20" s="3">
        <v>3</v>
      </c>
      <c r="J20" s="3">
        <v>79.25</v>
      </c>
      <c r="K20" s="3">
        <v>34.64</v>
      </c>
      <c r="L20" s="3">
        <v>70.5</v>
      </c>
      <c r="M20" s="3">
        <v>5.5</v>
      </c>
      <c r="N20" s="3">
        <v>2</v>
      </c>
      <c r="O20" s="3">
        <f>1.93+1.24</f>
        <v>3.17</v>
      </c>
      <c r="P20" s="9">
        <v>1.0673699999999999</v>
      </c>
      <c r="Q20" s="9">
        <v>1.3892100000000001</v>
      </c>
      <c r="R20" s="9">
        <v>-8.8235300000000003E-2</v>
      </c>
      <c r="S20" s="9">
        <v>0.109509</v>
      </c>
      <c r="T20" s="9">
        <v>0.118626</v>
      </c>
      <c r="U20" s="9">
        <v>1.5085899999999999E-2</v>
      </c>
      <c r="V20" s="9">
        <v>5.6574</v>
      </c>
      <c r="W20" s="9">
        <v>4.0723700000000003</v>
      </c>
      <c r="X20" s="9">
        <v>4.3467399999999996</v>
      </c>
      <c r="Y20" s="9">
        <v>73.718999999999994</v>
      </c>
      <c r="Z20" s="9">
        <v>69.6464</v>
      </c>
      <c r="AA20" s="9">
        <f t="shared" si="4"/>
        <v>1.3574566666666668</v>
      </c>
      <c r="AB20" s="9">
        <f t="shared" si="5"/>
        <v>2.0633333333333335</v>
      </c>
      <c r="AC20" s="9">
        <f t="shared" si="6"/>
        <v>1.4333333333333333</v>
      </c>
      <c r="AD20" s="9">
        <f t="shared" si="7"/>
        <v>5.3695826352975455</v>
      </c>
      <c r="AE20" s="9">
        <f t="shared" si="8"/>
        <v>5.0729404909316047</v>
      </c>
      <c r="AF20" s="9">
        <f t="shared" si="9"/>
        <v>4.3549213914041225</v>
      </c>
      <c r="AG20" s="9">
        <f t="shared" si="0"/>
        <v>2.0904727760526471</v>
      </c>
      <c r="AH20" s="9">
        <f t="shared" si="1"/>
        <v>0.96921692971907569</v>
      </c>
      <c r="AI20" s="9">
        <f t="shared" si="2"/>
        <v>2.5523291927660625</v>
      </c>
      <c r="AJ20" s="9">
        <f>(4*PI()*(AI20^2))/(Y20+E20)</f>
        <v>0.93612395414169902</v>
      </c>
      <c r="AK20" s="12">
        <f t="shared" si="3"/>
        <v>0.94637223974763407</v>
      </c>
      <c r="AL20" s="9" t="s">
        <v>144</v>
      </c>
      <c r="AM20" s="9" t="s">
        <v>142</v>
      </c>
      <c r="AN20" s="3">
        <v>7.1089000000000002</v>
      </c>
      <c r="AO20" s="3">
        <v>0.51602000000000003</v>
      </c>
      <c r="AP20" s="3">
        <v>9021.6</v>
      </c>
      <c r="AQ20" s="3">
        <v>9003.9</v>
      </c>
      <c r="AR20" s="3">
        <v>3.4994000000000001</v>
      </c>
      <c r="AS20" s="3">
        <v>3.9838999999999999E-2</v>
      </c>
      <c r="AT20" s="3">
        <v>0.65142</v>
      </c>
      <c r="AU20" s="3">
        <v>0.47771000000000002</v>
      </c>
      <c r="AV20" s="3">
        <v>7.0431000000000001E-3</v>
      </c>
      <c r="AW20" s="3">
        <v>1.9637999999999999E-2</v>
      </c>
      <c r="AX20" s="3">
        <v>0.28547</v>
      </c>
      <c r="AY20" s="3">
        <v>-20.145</v>
      </c>
      <c r="AZ20" s="3">
        <v>-3324</v>
      </c>
      <c r="BA20" s="3">
        <v>9.5145999999999994E-2</v>
      </c>
      <c r="BB20" s="3">
        <v>8.7887000000000004</v>
      </c>
      <c r="BC20" s="3" t="s">
        <v>162</v>
      </c>
      <c r="BD20" s="33" t="s">
        <v>163</v>
      </c>
      <c r="BE20" s="12" t="s">
        <v>167</v>
      </c>
    </row>
    <row r="21" spans="1:57" x14ac:dyDescent="0.25">
      <c r="A21" s="3" t="s">
        <v>28</v>
      </c>
      <c r="B21" s="3" t="s">
        <v>13</v>
      </c>
      <c r="C21" s="3" t="s">
        <v>14</v>
      </c>
      <c r="D21" s="3">
        <v>36</v>
      </c>
      <c r="E21" s="3">
        <v>12.975</v>
      </c>
      <c r="F21" s="3">
        <v>13.281000000000001</v>
      </c>
      <c r="G21" s="3">
        <v>5.45</v>
      </c>
      <c r="H21" s="3">
        <v>2.6</v>
      </c>
      <c r="I21" s="3">
        <v>2.02</v>
      </c>
      <c r="J21" s="3">
        <v>68.14</v>
      </c>
      <c r="K21" s="3">
        <v>22</v>
      </c>
      <c r="L21" s="3">
        <v>88</v>
      </c>
      <c r="M21" s="3">
        <v>4.5</v>
      </c>
      <c r="N21" s="3">
        <v>2</v>
      </c>
      <c r="O21" s="3">
        <f>2.1+1.92</f>
        <v>4.0199999999999996</v>
      </c>
      <c r="P21" s="9">
        <v>0.65889299999999995</v>
      </c>
      <c r="Q21" s="9">
        <v>1.3141700000000001</v>
      </c>
      <c r="R21" s="9">
        <v>0.06</v>
      </c>
      <c r="S21" s="9">
        <v>8.0195699999999995E-2</v>
      </c>
      <c r="T21" s="9">
        <v>9.4242099999999995E-2</v>
      </c>
      <c r="U21" s="9">
        <v>2.8266900000000001E-2</v>
      </c>
      <c r="V21" s="9">
        <v>5.1814299999999998</v>
      </c>
      <c r="W21" s="9">
        <v>3.9427500000000002</v>
      </c>
      <c r="X21" s="9">
        <v>2.5978500000000002</v>
      </c>
      <c r="Y21" s="9">
        <v>37.934100000000001</v>
      </c>
      <c r="Z21" s="9">
        <v>26.782499999999999</v>
      </c>
      <c r="AA21" s="9">
        <f t="shared" si="4"/>
        <v>1.9518564356435644</v>
      </c>
      <c r="AB21" s="9">
        <f t="shared" si="5"/>
        <v>2.6980198019801982</v>
      </c>
      <c r="AC21" s="9">
        <f t="shared" si="6"/>
        <v>1.2871287128712872</v>
      </c>
      <c r="AD21" s="9">
        <f t="shared" si="7"/>
        <v>2.9236300578034684</v>
      </c>
      <c r="AE21" s="9">
        <f t="shared" si="8"/>
        <v>2.0641618497109828</v>
      </c>
      <c r="AF21" s="9">
        <f t="shared" si="9"/>
        <v>4.2376886219895056</v>
      </c>
      <c r="AG21" s="9">
        <f t="shared" si="0"/>
        <v>2.0322575558316136</v>
      </c>
      <c r="AH21" s="9">
        <f t="shared" si="1"/>
        <v>0.96145251225102712</v>
      </c>
      <c r="AI21" s="9">
        <f t="shared" si="2"/>
        <v>1.8560407258885141</v>
      </c>
      <c r="AJ21" s="9">
        <f>(4*PI()*(AI21^2))/(Y21+E21)</f>
        <v>0.850333810266516</v>
      </c>
      <c r="AK21" s="12">
        <f t="shared" si="3"/>
        <v>0.50248756218905477</v>
      </c>
      <c r="AL21" s="9" t="s">
        <v>140</v>
      </c>
      <c r="AM21" s="9" t="s">
        <v>142</v>
      </c>
      <c r="AN21" s="3">
        <v>9.2151999999999994</v>
      </c>
      <c r="AO21" s="3">
        <v>0.81222000000000005</v>
      </c>
      <c r="AP21" s="3">
        <v>13834</v>
      </c>
      <c r="AQ21" s="3">
        <v>13934</v>
      </c>
      <c r="AR21" s="3">
        <v>4.4104000000000001</v>
      </c>
      <c r="AS21" s="3">
        <v>3.2182000000000001E-3</v>
      </c>
      <c r="AT21" s="3">
        <v>0.75180000000000002</v>
      </c>
      <c r="AU21" s="3">
        <v>0.34404000000000001</v>
      </c>
      <c r="AV21" s="3">
        <v>4.7927999999999998E-3</v>
      </c>
      <c r="AW21" s="3">
        <v>2.2793000000000002E-3</v>
      </c>
      <c r="AX21" s="3">
        <v>0.32993</v>
      </c>
      <c r="AY21" s="3">
        <v>-2.0663</v>
      </c>
      <c r="AZ21" s="3">
        <v>-2921.7</v>
      </c>
      <c r="BA21" s="3">
        <v>2.5113E-2</v>
      </c>
      <c r="BB21" s="3">
        <v>9.3411000000000008</v>
      </c>
      <c r="BC21" s="3" t="s">
        <v>162</v>
      </c>
      <c r="BD21" s="33" t="s">
        <v>165</v>
      </c>
      <c r="BE21" s="12" t="s">
        <v>168</v>
      </c>
    </row>
    <row r="22" spans="1:57" x14ac:dyDescent="0.25">
      <c r="A22" s="3" t="s">
        <v>29</v>
      </c>
      <c r="B22" s="3" t="s">
        <v>26</v>
      </c>
      <c r="C22" s="3" t="s">
        <v>14</v>
      </c>
      <c r="D22" s="3">
        <v>52</v>
      </c>
      <c r="E22" s="3">
        <v>9.3156999999999996</v>
      </c>
      <c r="F22" s="3">
        <v>11.696999999999999</v>
      </c>
      <c r="G22" s="3">
        <v>5.96</v>
      </c>
      <c r="H22" s="3">
        <v>2.4500000000000002</v>
      </c>
      <c r="I22" s="3">
        <v>2.65</v>
      </c>
      <c r="J22" s="3">
        <v>59.3</v>
      </c>
      <c r="K22" s="3">
        <v>9.5</v>
      </c>
      <c r="L22" s="3">
        <v>61</v>
      </c>
      <c r="M22" s="3">
        <v>3.2</v>
      </c>
      <c r="N22" s="3">
        <v>2</v>
      </c>
      <c r="O22" s="3">
        <f>2.57+1.46</f>
        <v>4.0299999999999994</v>
      </c>
      <c r="P22" s="9">
        <v>0.75729500000000005</v>
      </c>
      <c r="Q22" s="9">
        <v>1.8158300000000001</v>
      </c>
      <c r="R22" s="9">
        <v>0.16666700000000001</v>
      </c>
      <c r="S22" s="9">
        <v>0.13889199999999999</v>
      </c>
      <c r="T22" s="9">
        <v>0.15837200000000001</v>
      </c>
      <c r="U22" s="9">
        <v>5.2695899999999997E-2</v>
      </c>
      <c r="V22" s="9">
        <v>5.9366899999999996</v>
      </c>
      <c r="W22" s="9">
        <v>3.2694000000000001</v>
      </c>
      <c r="X22" s="9">
        <v>2.4759000000000002</v>
      </c>
      <c r="Y22" s="9">
        <v>38.880099999999999</v>
      </c>
      <c r="Z22" s="9">
        <v>24.891999999999999</v>
      </c>
      <c r="AA22" s="9">
        <f t="shared" si="4"/>
        <v>1.2337358490566039</v>
      </c>
      <c r="AB22" s="9">
        <f t="shared" si="5"/>
        <v>2.2490566037735849</v>
      </c>
      <c r="AC22" s="9">
        <f t="shared" si="6"/>
        <v>0.92452830188679258</v>
      </c>
      <c r="AD22" s="9">
        <f t="shared" si="7"/>
        <v>4.1736101420183136</v>
      </c>
      <c r="AE22" s="9">
        <f t="shared" si="8"/>
        <v>2.6720482626104318</v>
      </c>
      <c r="AF22" s="9">
        <f t="shared" si="9"/>
        <v>4.5605880511653547</v>
      </c>
      <c r="AG22" s="9">
        <f t="shared" si="0"/>
        <v>1.7219986662951683</v>
      </c>
      <c r="AH22" s="9">
        <f t="shared" si="1"/>
        <v>0.92499245268433328</v>
      </c>
      <c r="AI22" s="9">
        <f t="shared" si="2"/>
        <v>1.811300030101143</v>
      </c>
      <c r="AJ22" s="9">
        <f>(4*PI()*(AI22^2))/(Y22+E22)</f>
        <v>0.85542405598147475</v>
      </c>
      <c r="AK22" s="12">
        <f t="shared" si="3"/>
        <v>0.6575682382133996</v>
      </c>
      <c r="AL22" s="9" t="s">
        <v>140</v>
      </c>
      <c r="AM22" s="9" t="s">
        <v>142</v>
      </c>
      <c r="AN22" s="3">
        <v>3.0339</v>
      </c>
      <c r="AO22" s="3">
        <v>0.46478999999999998</v>
      </c>
      <c r="AP22" s="3">
        <v>5978.4</v>
      </c>
      <c r="AQ22" s="3">
        <v>5623.5</v>
      </c>
      <c r="AR22" s="3">
        <v>1.4108000000000001</v>
      </c>
      <c r="AS22" s="3">
        <v>1.3382E-2</v>
      </c>
      <c r="AT22" s="3">
        <v>0.72116000000000002</v>
      </c>
      <c r="AU22" s="3">
        <v>1.5476000000000001</v>
      </c>
      <c r="AV22" s="3">
        <v>0.14888000000000001</v>
      </c>
      <c r="AW22" s="3">
        <v>1.2508999999999999E-2</v>
      </c>
      <c r="AX22" s="3">
        <v>0.11754000000000001</v>
      </c>
      <c r="AY22" s="3">
        <v>-49.274000000000001</v>
      </c>
      <c r="AZ22" s="3">
        <v>-957.44</v>
      </c>
      <c r="BA22" s="3">
        <v>0.13628999999999999</v>
      </c>
      <c r="BB22" s="3">
        <v>31.318999999999999</v>
      </c>
      <c r="BC22" s="3" t="s">
        <v>162</v>
      </c>
      <c r="BD22" s="33" t="s">
        <v>165</v>
      </c>
      <c r="BE22" s="12" t="s">
        <v>168</v>
      </c>
    </row>
    <row r="23" spans="1:57" x14ac:dyDescent="0.25">
      <c r="A23" s="2" t="s">
        <v>30</v>
      </c>
      <c r="B23" s="2" t="s">
        <v>5</v>
      </c>
      <c r="C23" s="2" t="s">
        <v>6</v>
      </c>
      <c r="D23" s="2">
        <v>35</v>
      </c>
      <c r="E23" s="2">
        <v>31.398</v>
      </c>
      <c r="F23" s="2">
        <v>20.428000000000001</v>
      </c>
      <c r="G23" s="2">
        <v>8.68</v>
      </c>
      <c r="H23" s="2">
        <v>5.8</v>
      </c>
      <c r="I23" s="2">
        <v>3.48</v>
      </c>
      <c r="J23" s="2">
        <v>137.19</v>
      </c>
      <c r="K23" s="2">
        <v>22.24</v>
      </c>
      <c r="L23" s="2">
        <v>16.45</v>
      </c>
      <c r="M23" s="2">
        <v>8.5</v>
      </c>
      <c r="N23" s="2">
        <v>1</v>
      </c>
      <c r="O23" s="2">
        <v>2.93</v>
      </c>
      <c r="P23" s="9">
        <v>0.91830500000000004</v>
      </c>
      <c r="Q23" s="9">
        <v>1.4029</v>
      </c>
      <c r="R23" s="9">
        <v>6.25E-2</v>
      </c>
      <c r="S23" s="9">
        <v>8.2505499999999996E-2</v>
      </c>
      <c r="T23" s="9">
        <v>8.7972499999999995E-2</v>
      </c>
      <c r="U23" s="9">
        <v>1.37152E-2</v>
      </c>
      <c r="V23" s="9">
        <v>8.6892200000000006</v>
      </c>
      <c r="W23" s="9">
        <v>6.19374</v>
      </c>
      <c r="X23" s="9">
        <v>5.6877399999999998</v>
      </c>
      <c r="Y23" s="9">
        <v>132.53700000000001</v>
      </c>
      <c r="Z23" s="9">
        <v>176.727</v>
      </c>
      <c r="AA23" s="9">
        <f t="shared" si="4"/>
        <v>1.7798103448275862</v>
      </c>
      <c r="AB23" s="9">
        <f t="shared" si="5"/>
        <v>2.4942528735632181</v>
      </c>
      <c r="AC23" s="9">
        <f t="shared" si="6"/>
        <v>1.6666666666666665</v>
      </c>
      <c r="AD23" s="9">
        <f t="shared" si="7"/>
        <v>4.2211924326390218</v>
      </c>
      <c r="AE23" s="9">
        <f t="shared" si="8"/>
        <v>5.6286069176380664</v>
      </c>
      <c r="AF23" s="9">
        <f t="shared" si="9"/>
        <v>4.2085762420903814</v>
      </c>
      <c r="AG23" s="9">
        <f t="shared" si="0"/>
        <v>3.1613753029968872</v>
      </c>
      <c r="AH23" s="9">
        <f t="shared" si="1"/>
        <v>0.97236669543129306</v>
      </c>
      <c r="AI23" s="9">
        <f t="shared" si="2"/>
        <v>3.4812731348738981</v>
      </c>
      <c r="AJ23" s="9">
        <f>(4*PI()*(AI23^2))/(Y23+E23)</f>
        <v>0.92899713851163124</v>
      </c>
      <c r="AK23" s="12">
        <f t="shared" si="3"/>
        <v>1.1877133105802047</v>
      </c>
      <c r="AL23" s="9" t="s">
        <v>144</v>
      </c>
      <c r="AM23" s="9" t="s">
        <v>143</v>
      </c>
      <c r="AN23" s="2">
        <v>7.1142000000000003</v>
      </c>
      <c r="AO23" s="2">
        <v>0.60285999999999995</v>
      </c>
      <c r="AP23" s="2">
        <v>6352.2</v>
      </c>
      <c r="AQ23" s="2">
        <v>5873</v>
      </c>
      <c r="AR23" s="2">
        <v>4.2727000000000004</v>
      </c>
      <c r="AS23" s="2">
        <v>6.6052000000000003E-3</v>
      </c>
      <c r="AT23" s="2">
        <v>0.75065000000000004</v>
      </c>
      <c r="AU23" s="2">
        <v>0.30009999999999998</v>
      </c>
      <c r="AV23" s="2">
        <v>5.6013E-3</v>
      </c>
      <c r="AW23" s="2">
        <v>4.3739E-3</v>
      </c>
      <c r="AX23" s="2">
        <v>0.33023999999999998</v>
      </c>
      <c r="AY23" s="2">
        <v>1.0293000000000001</v>
      </c>
      <c r="AZ23" s="2">
        <v>-161.28</v>
      </c>
      <c r="BA23" s="2">
        <v>5.4438E-2</v>
      </c>
      <c r="BB23" s="2">
        <v>6.3002000000000002</v>
      </c>
      <c r="BC23" s="2" t="s">
        <v>162</v>
      </c>
      <c r="BD23" s="32" t="s">
        <v>163</v>
      </c>
      <c r="BE23" s="12" t="s">
        <v>167</v>
      </c>
    </row>
    <row r="24" spans="1:57" x14ac:dyDescent="0.25">
      <c r="A24" s="2" t="s">
        <v>31</v>
      </c>
      <c r="B24" s="2" t="s">
        <v>5</v>
      </c>
      <c r="C24" s="2" t="s">
        <v>14</v>
      </c>
      <c r="D24" s="2">
        <v>74</v>
      </c>
      <c r="E24" s="2">
        <v>13.662000000000001</v>
      </c>
      <c r="F24" s="2">
        <v>13.266999999999999</v>
      </c>
      <c r="G24" s="2">
        <v>10</v>
      </c>
      <c r="H24" s="2">
        <v>5.9</v>
      </c>
      <c r="I24" s="2">
        <v>3.41</v>
      </c>
      <c r="J24" s="2">
        <v>9.84</v>
      </c>
      <c r="K24" s="2">
        <v>16.2</v>
      </c>
      <c r="L24" s="2">
        <v>13.08</v>
      </c>
      <c r="M24" s="2">
        <v>9.3000000000000007</v>
      </c>
      <c r="N24" s="2">
        <v>1</v>
      </c>
      <c r="O24" s="2">
        <v>3.42</v>
      </c>
      <c r="P24" s="9">
        <v>1.4321600000000001</v>
      </c>
      <c r="Q24" s="9">
        <v>2.1406299999999998</v>
      </c>
      <c r="R24" s="9">
        <v>5.5555599999999997E-2</v>
      </c>
      <c r="S24" s="9">
        <v>0.210174</v>
      </c>
      <c r="T24" s="9">
        <v>0.23522999999999999</v>
      </c>
      <c r="U24" s="9">
        <v>7.4021799999999999E-2</v>
      </c>
      <c r="V24" s="9">
        <v>8.8491999999999997</v>
      </c>
      <c r="W24" s="9">
        <v>4.1339199999999998</v>
      </c>
      <c r="X24" s="9">
        <v>5.9204600000000003</v>
      </c>
      <c r="Y24" s="9">
        <v>127.753</v>
      </c>
      <c r="Z24" s="9">
        <v>128.422</v>
      </c>
      <c r="AA24" s="9">
        <f t="shared" si="4"/>
        <v>1.2122932551319647</v>
      </c>
      <c r="AB24" s="9">
        <f t="shared" si="5"/>
        <v>2.9325513196480939</v>
      </c>
      <c r="AC24" s="9">
        <f t="shared" si="6"/>
        <v>1.7302052785923754</v>
      </c>
      <c r="AD24" s="9">
        <f t="shared" si="7"/>
        <v>9.350973503147415</v>
      </c>
      <c r="AE24" s="9">
        <f t="shared" si="8"/>
        <v>9.3999414434197028</v>
      </c>
      <c r="AF24" s="9">
        <f t="shared" si="9"/>
        <v>5.0189340377544323</v>
      </c>
      <c r="AG24" s="9">
        <f t="shared" si="0"/>
        <v>2.085365595055924</v>
      </c>
      <c r="AH24" s="9">
        <f t="shared" si="1"/>
        <v>0.98761878849424867</v>
      </c>
      <c r="AI24" s="9">
        <f t="shared" si="2"/>
        <v>3.1298025493282911</v>
      </c>
      <c r="AJ24" s="9">
        <f>(4*PI()*(AI24^2))/(Y24+E24)</f>
        <v>0.87045889198360982</v>
      </c>
      <c r="AK24" s="12">
        <f t="shared" si="3"/>
        <v>0.99707602339181289</v>
      </c>
      <c r="AL24" s="9" t="s">
        <v>140</v>
      </c>
      <c r="AM24" s="9" t="s">
        <v>143</v>
      </c>
      <c r="AN24" s="2">
        <v>4.9752999999999998</v>
      </c>
      <c r="AO24" s="2">
        <v>0.53034999999999999</v>
      </c>
      <c r="AP24" s="2">
        <v>6859.4</v>
      </c>
      <c r="AQ24" s="2">
        <v>6197.4</v>
      </c>
      <c r="AR24" s="2">
        <v>2.6677</v>
      </c>
      <c r="AS24" s="2">
        <v>8.5063E-2</v>
      </c>
      <c r="AT24" s="2">
        <v>0.59411999999999998</v>
      </c>
      <c r="AU24" s="2">
        <v>0.71043000000000001</v>
      </c>
      <c r="AV24" s="2">
        <v>5.8326000000000003E-2</v>
      </c>
      <c r="AW24" s="2">
        <v>5.6690999999999998E-2</v>
      </c>
      <c r="AX24" s="2">
        <v>0.23361000000000001</v>
      </c>
      <c r="AY24" s="2">
        <v>0.80878000000000005</v>
      </c>
      <c r="AZ24" s="2">
        <v>-23.605</v>
      </c>
      <c r="BA24" s="2">
        <v>8.8961999999999999E-2</v>
      </c>
      <c r="BB24" s="2">
        <v>5.9894999999999996</v>
      </c>
      <c r="BC24" s="2" t="s">
        <v>164</v>
      </c>
      <c r="BD24" s="32" t="s">
        <v>165</v>
      </c>
      <c r="BE24" s="12" t="s">
        <v>167</v>
      </c>
    </row>
    <row r="25" spans="1:57" x14ac:dyDescent="0.25">
      <c r="A25" s="2" t="s">
        <v>32</v>
      </c>
      <c r="B25" s="2" t="s">
        <v>5</v>
      </c>
      <c r="C25" s="2" t="s">
        <v>6</v>
      </c>
      <c r="D25" s="2">
        <v>42</v>
      </c>
      <c r="E25" s="2">
        <v>36.354999999999997</v>
      </c>
      <c r="F25" s="2">
        <v>21.626999999999999</v>
      </c>
      <c r="G25" s="2">
        <v>11.46</v>
      </c>
      <c r="H25" s="2">
        <v>9.1</v>
      </c>
      <c r="I25" s="2">
        <v>5.46</v>
      </c>
      <c r="J25" s="2">
        <v>90.98</v>
      </c>
      <c r="K25" s="2">
        <v>49.66</v>
      </c>
      <c r="L25" s="2">
        <v>41.93</v>
      </c>
      <c r="M25" s="2">
        <v>8.5</v>
      </c>
      <c r="N25" s="2">
        <v>1</v>
      </c>
      <c r="O25" s="2">
        <v>5.05</v>
      </c>
      <c r="P25" s="9">
        <v>1.3471900000000001</v>
      </c>
      <c r="Q25" s="9">
        <v>1.26033</v>
      </c>
      <c r="R25" s="9">
        <v>0.16298299999999999</v>
      </c>
      <c r="S25" s="9">
        <v>0.13669300000000001</v>
      </c>
      <c r="T25" s="9">
        <v>0.14590700000000001</v>
      </c>
      <c r="U25" s="9">
        <v>2.16428E-2</v>
      </c>
      <c r="V25" s="9">
        <v>8.5159699999999994</v>
      </c>
      <c r="W25" s="9">
        <v>6.7569400000000002</v>
      </c>
      <c r="X25" s="9">
        <v>9.1029099999999996</v>
      </c>
      <c r="Y25" s="9">
        <v>211.63399999999999</v>
      </c>
      <c r="Z25" s="9">
        <v>323.16500000000002</v>
      </c>
      <c r="AA25" s="9">
        <f t="shared" si="4"/>
        <v>1.2375347985347986</v>
      </c>
      <c r="AB25" s="9">
        <f t="shared" si="5"/>
        <v>2.098901098901099</v>
      </c>
      <c r="AC25" s="9">
        <f t="shared" si="6"/>
        <v>1.6666666666666665</v>
      </c>
      <c r="AD25" s="9">
        <f t="shared" si="7"/>
        <v>5.8213175629211937</v>
      </c>
      <c r="AE25" s="9">
        <f t="shared" si="8"/>
        <v>8.8891486728097941</v>
      </c>
      <c r="AF25" s="9">
        <f t="shared" si="9"/>
        <v>4.4940292472273464</v>
      </c>
      <c r="AG25" s="9">
        <f t="shared" si="0"/>
        <v>3.4017871644492561</v>
      </c>
      <c r="AH25" s="9">
        <f t="shared" si="1"/>
        <v>0.98830439403614345</v>
      </c>
      <c r="AI25" s="9">
        <f t="shared" si="2"/>
        <v>4.257080897766377</v>
      </c>
      <c r="AJ25" s="9">
        <f>(4*PI()*(AI25^2))/(Y25+E25)</f>
        <v>0.91833524618537865</v>
      </c>
      <c r="AK25" s="12">
        <f t="shared" si="3"/>
        <v>1.0811881188118813</v>
      </c>
      <c r="AL25" s="9" t="s">
        <v>144</v>
      </c>
      <c r="AM25" s="9" t="s">
        <v>143</v>
      </c>
      <c r="AN25" s="2">
        <v>1.2881</v>
      </c>
      <c r="AO25" s="2">
        <v>0.23555000000000001</v>
      </c>
      <c r="AP25" s="2">
        <v>1088</v>
      </c>
      <c r="AQ25" s="2">
        <v>1060.8</v>
      </c>
      <c r="AR25" s="2">
        <v>1.0089999999999999</v>
      </c>
      <c r="AS25" s="2">
        <v>2.2296E-2</v>
      </c>
      <c r="AT25" s="2">
        <v>0.66198000000000001</v>
      </c>
      <c r="AU25" s="2">
        <v>1.8772</v>
      </c>
      <c r="AV25" s="2">
        <v>0.38574000000000003</v>
      </c>
      <c r="AW25" s="2">
        <v>1.1627E-2</v>
      </c>
      <c r="AX25" s="2">
        <v>0.10127</v>
      </c>
      <c r="AY25" s="2">
        <v>2.9380999999999999</v>
      </c>
      <c r="AZ25" s="2">
        <v>227.92</v>
      </c>
      <c r="BA25" s="2">
        <v>0.11366999999999999</v>
      </c>
      <c r="BB25" s="2">
        <v>4.4836</v>
      </c>
      <c r="BC25" s="2" t="s">
        <v>162</v>
      </c>
      <c r="BD25" s="32" t="s">
        <v>163</v>
      </c>
      <c r="BE25" s="12" t="s">
        <v>167</v>
      </c>
    </row>
    <row r="26" spans="1:57" x14ac:dyDescent="0.25">
      <c r="A26" s="2" t="s">
        <v>33</v>
      </c>
      <c r="B26" s="2" t="s">
        <v>5</v>
      </c>
      <c r="C26" s="2" t="s">
        <v>6</v>
      </c>
      <c r="D26" s="2">
        <v>64</v>
      </c>
      <c r="E26" s="2">
        <v>15.929</v>
      </c>
      <c r="F26" s="2">
        <v>14.695</v>
      </c>
      <c r="G26" s="2">
        <v>7.2</v>
      </c>
      <c r="H26" s="2">
        <v>6</v>
      </c>
      <c r="I26" s="2">
        <v>3.46</v>
      </c>
      <c r="J26" s="2">
        <v>42.76</v>
      </c>
      <c r="K26" s="2">
        <v>92.97</v>
      </c>
      <c r="L26" s="2">
        <v>48.07</v>
      </c>
      <c r="M26" s="2">
        <v>5.85</v>
      </c>
      <c r="N26" s="2">
        <v>2</v>
      </c>
      <c r="O26" s="2">
        <f>1.15+4.16</f>
        <v>5.3100000000000005</v>
      </c>
      <c r="P26" s="9">
        <v>1.3412500000000001</v>
      </c>
      <c r="Q26" s="9">
        <v>1.10748</v>
      </c>
      <c r="R26" s="9">
        <v>0.49152499999999999</v>
      </c>
      <c r="S26" s="9">
        <v>0.15351600000000001</v>
      </c>
      <c r="T26" s="9">
        <v>0.185304</v>
      </c>
      <c r="U26" s="9">
        <v>0.10552599999999999</v>
      </c>
      <c r="V26" s="9">
        <v>4.9532100000000003</v>
      </c>
      <c r="W26" s="9">
        <v>4.4724899999999996</v>
      </c>
      <c r="X26" s="9">
        <v>5.9987300000000001</v>
      </c>
      <c r="Y26" s="9">
        <v>79.398600000000002</v>
      </c>
      <c r="Z26" s="9">
        <v>69.183400000000006</v>
      </c>
      <c r="AA26" s="9">
        <f t="shared" si="4"/>
        <v>1.2926271676300578</v>
      </c>
      <c r="AB26" s="9">
        <f t="shared" si="5"/>
        <v>2.0809248554913298</v>
      </c>
      <c r="AC26" s="9">
        <f t="shared" si="6"/>
        <v>1.7341040462427746</v>
      </c>
      <c r="AD26" s="9">
        <f t="shared" si="7"/>
        <v>4.9845313579006847</v>
      </c>
      <c r="AE26" s="9">
        <f t="shared" si="8"/>
        <v>4.3432356080105468</v>
      </c>
      <c r="AF26" s="9">
        <f t="shared" si="9"/>
        <v>4.7113450297957415</v>
      </c>
      <c r="AG26" s="9">
        <f t="shared" si="0"/>
        <v>2.2517455844347962</v>
      </c>
      <c r="AH26" s="9">
        <f t="shared" si="1"/>
        <v>0.96278562583376803</v>
      </c>
      <c r="AI26" s="9">
        <f t="shared" si="2"/>
        <v>2.5466607648766941</v>
      </c>
      <c r="AJ26" s="9">
        <f>(4*PI()*(AI26^2))/(Y26+E26)</f>
        <v>0.85493559581719314</v>
      </c>
      <c r="AK26" s="12">
        <f t="shared" si="3"/>
        <v>0.65160075329566847</v>
      </c>
      <c r="AL26" s="9" t="s">
        <v>144</v>
      </c>
      <c r="AM26" s="9" t="s">
        <v>142</v>
      </c>
      <c r="AN26" s="2">
        <v>3.2989999999999999</v>
      </c>
      <c r="AO26" s="2">
        <v>0.43895000000000001</v>
      </c>
      <c r="AP26" s="2">
        <v>3593.7</v>
      </c>
      <c r="AQ26" s="2">
        <v>3492.7</v>
      </c>
      <c r="AR26" s="2">
        <v>2.0769000000000002</v>
      </c>
      <c r="AS26" s="2">
        <v>1.5696999999999999E-2</v>
      </c>
      <c r="AT26" s="2">
        <v>0.71433999999999997</v>
      </c>
      <c r="AU26" s="2">
        <v>1.1795</v>
      </c>
      <c r="AV26" s="2">
        <v>0.14693000000000001</v>
      </c>
      <c r="AW26" s="2">
        <v>7.2034999999999998E-3</v>
      </c>
      <c r="AX26" s="2">
        <v>0.19434000000000001</v>
      </c>
      <c r="AY26" s="2">
        <v>-1.0539000000000001</v>
      </c>
      <c r="AZ26" s="2">
        <v>-691.95</v>
      </c>
      <c r="BA26" s="2">
        <v>6.5273999999999999E-2</v>
      </c>
      <c r="BB26" s="2">
        <v>6.1242000000000001</v>
      </c>
      <c r="BC26" s="2" t="s">
        <v>162</v>
      </c>
      <c r="BD26" s="32" t="s">
        <v>165</v>
      </c>
      <c r="BE26" s="12" t="s">
        <v>168</v>
      </c>
    </row>
    <row r="27" spans="1:57" x14ac:dyDescent="0.25">
      <c r="A27" s="3" t="s">
        <v>34</v>
      </c>
      <c r="B27" s="3" t="s">
        <v>26</v>
      </c>
      <c r="C27" s="3" t="s">
        <v>6</v>
      </c>
      <c r="D27" s="3">
        <v>77</v>
      </c>
      <c r="E27" s="3">
        <v>14.478999999999999</v>
      </c>
      <c r="F27" s="3">
        <v>14.521000000000001</v>
      </c>
      <c r="G27" s="3">
        <v>5.58</v>
      </c>
      <c r="H27" s="3">
        <v>3.3</v>
      </c>
      <c r="I27" s="3">
        <v>1.9</v>
      </c>
      <c r="J27" s="3">
        <v>51.37</v>
      </c>
      <c r="K27" s="3">
        <v>26</v>
      </c>
      <c r="L27" s="3">
        <v>70</v>
      </c>
      <c r="M27" s="3">
        <v>4.1500000000000004</v>
      </c>
      <c r="N27" s="3">
        <v>2</v>
      </c>
      <c r="O27" s="3">
        <f>1.53+1.05</f>
        <v>2.58</v>
      </c>
      <c r="P27" s="9">
        <v>0.80443299999999995</v>
      </c>
      <c r="Q27" s="9">
        <v>1.39449</v>
      </c>
      <c r="R27" s="9">
        <v>0.223077</v>
      </c>
      <c r="S27" s="9">
        <v>9.5528000000000002E-2</v>
      </c>
      <c r="T27" s="9">
        <v>0.116107</v>
      </c>
      <c r="U27" s="9">
        <v>6.4735899999999999E-2</v>
      </c>
      <c r="V27" s="9">
        <v>5.7263999999999999</v>
      </c>
      <c r="W27" s="9">
        <v>4.1064499999999997</v>
      </c>
      <c r="X27" s="9">
        <v>3.3033600000000001</v>
      </c>
      <c r="Y27" s="9">
        <v>53.123899999999999</v>
      </c>
      <c r="Z27" s="9">
        <v>42.788200000000003</v>
      </c>
      <c r="AA27" s="9">
        <f t="shared" si="4"/>
        <v>2.1612894736842105</v>
      </c>
      <c r="AB27" s="9">
        <f t="shared" si="5"/>
        <v>2.9368421052631581</v>
      </c>
      <c r="AC27" s="9">
        <f t="shared" si="6"/>
        <v>1.736842105263158</v>
      </c>
      <c r="AD27" s="9">
        <f t="shared" si="7"/>
        <v>3.6690310104288972</v>
      </c>
      <c r="AE27" s="9">
        <f t="shared" si="8"/>
        <v>2.9551902755715176</v>
      </c>
      <c r="AF27" s="9">
        <f t="shared" si="9"/>
        <v>4.3425077857661947</v>
      </c>
      <c r="AG27" s="9">
        <f t="shared" si="0"/>
        <v>2.1468136486558644</v>
      </c>
      <c r="AH27" s="9">
        <f t="shared" si="1"/>
        <v>0.92891866775615495</v>
      </c>
      <c r="AI27" s="9">
        <f t="shared" si="2"/>
        <v>2.1697605194890688</v>
      </c>
      <c r="AJ27" s="9">
        <f>(4*PI()*(AI27^2))/(Y27+E27)</f>
        <v>0.87512107479023604</v>
      </c>
      <c r="AK27" s="12">
        <f t="shared" si="3"/>
        <v>0.73643410852713176</v>
      </c>
      <c r="AL27" s="9" t="s">
        <v>140</v>
      </c>
      <c r="AM27" s="9" t="s">
        <v>142</v>
      </c>
      <c r="AN27" s="3">
        <v>3.9310999999999998</v>
      </c>
      <c r="AO27" s="3">
        <v>0.39916000000000001</v>
      </c>
      <c r="AP27" s="3">
        <v>6425.5</v>
      </c>
      <c r="AQ27" s="3">
        <v>6202.1</v>
      </c>
      <c r="AR27" s="3">
        <v>1.9339999999999999</v>
      </c>
      <c r="AS27" s="3">
        <v>9.4053000000000001E-3</v>
      </c>
      <c r="AT27" s="3">
        <v>0.71162999999999998</v>
      </c>
      <c r="AU27" s="3">
        <v>0.96059000000000005</v>
      </c>
      <c r="AV27" s="3">
        <v>2.1429E-2</v>
      </c>
      <c r="AW27" s="3">
        <v>8.1510000000000003E-3</v>
      </c>
      <c r="AX27" s="3">
        <v>0.15870000000000001</v>
      </c>
      <c r="AY27" s="3">
        <v>-71.281999999999996</v>
      </c>
      <c r="AZ27" s="3">
        <v>-2174.5</v>
      </c>
      <c r="BA27" s="3">
        <v>0.12016</v>
      </c>
      <c r="BB27" s="3">
        <v>3.778</v>
      </c>
      <c r="BC27" s="3" t="s">
        <v>162</v>
      </c>
      <c r="BD27" s="33" t="s">
        <v>165</v>
      </c>
      <c r="BE27" s="12" t="s">
        <v>168</v>
      </c>
    </row>
    <row r="28" spans="1:57" x14ac:dyDescent="0.25">
      <c r="A28" s="2" t="s">
        <v>35</v>
      </c>
      <c r="B28" s="2" t="s">
        <v>26</v>
      </c>
      <c r="C28" s="2" t="s">
        <v>6</v>
      </c>
      <c r="D28" s="2">
        <v>77</v>
      </c>
      <c r="E28" s="2">
        <v>21.545000000000002</v>
      </c>
      <c r="F28" s="2">
        <v>18.126000000000001</v>
      </c>
      <c r="G28" s="2">
        <v>7.06</v>
      </c>
      <c r="H28" s="2">
        <v>4.95</v>
      </c>
      <c r="I28" s="2">
        <v>2.34</v>
      </c>
      <c r="J28" s="2">
        <v>53.84</v>
      </c>
      <c r="K28" s="2">
        <v>38.15</v>
      </c>
      <c r="L28" s="2">
        <v>64.62</v>
      </c>
      <c r="M28" s="2">
        <v>4.9000000000000004</v>
      </c>
      <c r="N28" s="2">
        <v>2</v>
      </c>
      <c r="O28" s="2">
        <f>1.63+1.72</f>
        <v>3.3499999999999996</v>
      </c>
      <c r="P28" s="9">
        <v>1.0296799999999999</v>
      </c>
      <c r="Q28" s="9">
        <v>1.4296899999999999</v>
      </c>
      <c r="R28" s="9">
        <v>0.36734699999999998</v>
      </c>
      <c r="S28" s="9">
        <v>9.3017199999999994E-2</v>
      </c>
      <c r="T28" s="9">
        <v>0.109392</v>
      </c>
      <c r="U28" s="9">
        <v>3.1678499999999998E-2</v>
      </c>
      <c r="V28" s="9">
        <v>6.9162400000000002</v>
      </c>
      <c r="W28" s="9">
        <v>4.8375899999999996</v>
      </c>
      <c r="X28" s="9">
        <v>4.9811899999999998</v>
      </c>
      <c r="Y28" s="9">
        <v>79.744200000000006</v>
      </c>
      <c r="Z28" s="9">
        <v>79.591700000000003</v>
      </c>
      <c r="AA28" s="9">
        <f t="shared" si="4"/>
        <v>2.0673461538461537</v>
      </c>
      <c r="AB28" s="9">
        <f t="shared" si="5"/>
        <v>3.017094017094017</v>
      </c>
      <c r="AC28" s="9">
        <f t="shared" si="6"/>
        <v>2.1153846153846154</v>
      </c>
      <c r="AD28" s="9">
        <f t="shared" si="7"/>
        <v>3.7012856811325134</v>
      </c>
      <c r="AE28" s="9">
        <f t="shared" si="8"/>
        <v>3.6942074727314922</v>
      </c>
      <c r="AF28" s="9">
        <f t="shared" si="9"/>
        <v>4.3097682586533006</v>
      </c>
      <c r="AG28" s="9">
        <f t="shared" si="0"/>
        <v>2.6187757631820578</v>
      </c>
      <c r="AH28" s="9">
        <f t="shared" si="1"/>
        <v>0.90777079322649856</v>
      </c>
      <c r="AI28" s="9">
        <f t="shared" si="2"/>
        <v>2.6684540198107829</v>
      </c>
      <c r="AJ28" s="9">
        <f>(4*PI()*(AI28^2))/(Y28+E28)</f>
        <v>0.88341785110861937</v>
      </c>
      <c r="AK28" s="12">
        <f t="shared" si="3"/>
        <v>0.69850746268656716</v>
      </c>
      <c r="AL28" s="9" t="s">
        <v>140</v>
      </c>
      <c r="AM28" s="9" t="s">
        <v>142</v>
      </c>
      <c r="AN28" s="2">
        <v>4.7857000000000003</v>
      </c>
      <c r="AO28" s="2">
        <v>0.36004000000000003</v>
      </c>
      <c r="AP28" s="2">
        <v>8920</v>
      </c>
      <c r="AQ28" s="2">
        <v>7664.6</v>
      </c>
      <c r="AR28" s="2">
        <v>2.3645</v>
      </c>
      <c r="AS28" s="2">
        <v>2.6159000000000002E-2</v>
      </c>
      <c r="AT28" s="2">
        <v>0.69360999999999995</v>
      </c>
      <c r="AU28" s="2">
        <v>2.8578999999999999</v>
      </c>
      <c r="AV28" s="2">
        <v>0.22625999999999999</v>
      </c>
      <c r="AW28" s="2">
        <v>2.0516E-2</v>
      </c>
      <c r="AX28" s="2">
        <v>0.16922999999999999</v>
      </c>
      <c r="AY28" s="2">
        <v>30.623999999999999</v>
      </c>
      <c r="AZ28" s="2">
        <v>593.76</v>
      </c>
      <c r="BA28" s="2">
        <v>0.10632</v>
      </c>
      <c r="BB28" s="2">
        <v>76.994</v>
      </c>
      <c r="BC28" s="2" t="s">
        <v>162</v>
      </c>
      <c r="BD28" s="32" t="s">
        <v>165</v>
      </c>
      <c r="BE28" s="12" t="s">
        <v>167</v>
      </c>
    </row>
    <row r="29" spans="1:57" x14ac:dyDescent="0.25">
      <c r="A29" s="2" t="s">
        <v>36</v>
      </c>
      <c r="B29" s="2" t="s">
        <v>26</v>
      </c>
      <c r="C29" s="2" t="s">
        <v>14</v>
      </c>
      <c r="D29" s="2">
        <v>43</v>
      </c>
      <c r="E29" s="2">
        <v>9.1999999999999993</v>
      </c>
      <c r="F29" s="2">
        <v>11.161</v>
      </c>
      <c r="G29" s="2">
        <v>7.28</v>
      </c>
      <c r="H29" s="2">
        <v>6.4</v>
      </c>
      <c r="I29" s="2">
        <v>2.62</v>
      </c>
      <c r="J29" s="2">
        <v>45.71</v>
      </c>
      <c r="K29" s="2">
        <v>59.5</v>
      </c>
      <c r="L29" s="2">
        <v>66.59</v>
      </c>
      <c r="M29" s="2">
        <v>4.5999999999999996</v>
      </c>
      <c r="N29" s="2">
        <v>2</v>
      </c>
      <c r="O29" s="2">
        <f>3.13+1.61</f>
        <v>4.74</v>
      </c>
      <c r="P29" s="9">
        <v>1.92702</v>
      </c>
      <c r="Q29" s="9">
        <v>1.30951</v>
      </c>
      <c r="R29" s="9">
        <v>-0.21653500000000001</v>
      </c>
      <c r="S29" s="9">
        <v>0.20022100000000001</v>
      </c>
      <c r="T29" s="9">
        <v>0.27669100000000002</v>
      </c>
      <c r="U29" s="9">
        <v>0.21412700000000001</v>
      </c>
      <c r="V29" s="9">
        <v>4.3798599999999999</v>
      </c>
      <c r="W29" s="9">
        <v>3.3446500000000001</v>
      </c>
      <c r="X29" s="9">
        <v>6.4452100000000003</v>
      </c>
      <c r="Y29" s="9">
        <v>80.119600000000005</v>
      </c>
      <c r="Z29" s="9">
        <v>58.665399999999998</v>
      </c>
      <c r="AA29" s="9">
        <f t="shared" si="4"/>
        <v>1.2765839694656489</v>
      </c>
      <c r="AB29" s="9">
        <f t="shared" si="5"/>
        <v>2.7786259541984735</v>
      </c>
      <c r="AC29" s="9">
        <f t="shared" si="6"/>
        <v>2.4427480916030535</v>
      </c>
      <c r="AD29" s="9">
        <f t="shared" si="7"/>
        <v>8.7086521739130447</v>
      </c>
      <c r="AE29" s="9">
        <f t="shared" si="8"/>
        <v>6.3766739130434784</v>
      </c>
      <c r="AF29" s="9">
        <f t="shared" si="9"/>
        <v>5.3066129796067703</v>
      </c>
      <c r="AG29" s="9">
        <f t="shared" si="0"/>
        <v>1.7112717355495808</v>
      </c>
      <c r="AH29" s="9">
        <f t="shared" si="1"/>
        <v>0.96337581089479773</v>
      </c>
      <c r="AI29" s="9">
        <f t="shared" si="2"/>
        <v>2.4104482329279007</v>
      </c>
      <c r="AJ29" s="9">
        <f>(4*PI()*(AI29^2))/(Y29+E29)</f>
        <v>0.81744532125619263</v>
      </c>
      <c r="AK29" s="12">
        <f t="shared" si="3"/>
        <v>0.5527426160337553</v>
      </c>
      <c r="AL29" s="9" t="s">
        <v>140</v>
      </c>
      <c r="AM29" s="9" t="s">
        <v>142</v>
      </c>
      <c r="AN29" s="2">
        <v>1.0253000000000001</v>
      </c>
      <c r="AO29" s="2">
        <v>0.11543</v>
      </c>
      <c r="AP29" s="2">
        <v>2213.4</v>
      </c>
      <c r="AQ29" s="2">
        <v>1966.4</v>
      </c>
      <c r="AR29" s="2">
        <v>0.52664</v>
      </c>
      <c r="AS29" s="2">
        <v>2.7119999999999998E-2</v>
      </c>
      <c r="AT29" s="2">
        <v>0.65969</v>
      </c>
      <c r="AU29" s="2">
        <v>15.461</v>
      </c>
      <c r="AV29" s="2">
        <v>0.66142999999999996</v>
      </c>
      <c r="AW29" s="2">
        <v>1.6253E-2</v>
      </c>
      <c r="AX29" s="2">
        <v>4.3678000000000002E-2</v>
      </c>
      <c r="AY29" s="2">
        <v>-42.024999999999999</v>
      </c>
      <c r="AZ29" s="2">
        <v>-381.12</v>
      </c>
      <c r="BA29" s="2">
        <v>0.26486999999999999</v>
      </c>
      <c r="BB29" s="2">
        <v>39.128</v>
      </c>
      <c r="BC29" s="2" t="s">
        <v>164</v>
      </c>
      <c r="BD29" s="32" t="s">
        <v>165</v>
      </c>
      <c r="BE29" s="12" t="s">
        <v>168</v>
      </c>
    </row>
    <row r="30" spans="1:57" x14ac:dyDescent="0.25">
      <c r="A30" s="2" t="s">
        <v>37</v>
      </c>
      <c r="B30" s="2" t="s">
        <v>26</v>
      </c>
      <c r="C30" s="2" t="s">
        <v>6</v>
      </c>
      <c r="D30" s="2">
        <v>59</v>
      </c>
      <c r="E30" s="2">
        <v>9.8614999999999995</v>
      </c>
      <c r="F30" s="2">
        <v>11.657</v>
      </c>
      <c r="G30" s="2">
        <v>5.65</v>
      </c>
      <c r="H30" s="2">
        <v>4.3499999999999996</v>
      </c>
      <c r="I30" s="2">
        <v>2.6</v>
      </c>
      <c r="J30" s="2">
        <v>44.32</v>
      </c>
      <c r="K30" s="2">
        <v>43.47</v>
      </c>
      <c r="L30" s="2">
        <v>24.9</v>
      </c>
      <c r="M30" s="2">
        <v>4.8</v>
      </c>
      <c r="N30" s="2">
        <v>2</v>
      </c>
      <c r="O30" s="2">
        <f>2.04+1.51</f>
        <v>3.55</v>
      </c>
      <c r="P30" s="9">
        <v>1.2785599999999999</v>
      </c>
      <c r="Q30" s="9">
        <v>1.40852</v>
      </c>
      <c r="R30" s="9">
        <v>-1.16279E-2</v>
      </c>
      <c r="S30" s="9">
        <v>0.11970799999999999</v>
      </c>
      <c r="T30" s="9">
        <v>0.13259099999999999</v>
      </c>
      <c r="U30" s="9">
        <v>2.3173800000000001E-2</v>
      </c>
      <c r="V30" s="9">
        <v>4.8275800000000002</v>
      </c>
      <c r="W30" s="9">
        <v>3.4274</v>
      </c>
      <c r="X30" s="9">
        <v>4.3821500000000002</v>
      </c>
      <c r="Y30" s="9">
        <v>59.7453</v>
      </c>
      <c r="Z30" s="9">
        <v>49.611199999999997</v>
      </c>
      <c r="AA30" s="9">
        <f t="shared" si="4"/>
        <v>1.3182307692307691</v>
      </c>
      <c r="AB30" s="9">
        <f t="shared" si="5"/>
        <v>2.1730769230769234</v>
      </c>
      <c r="AC30" s="9">
        <f t="shared" si="6"/>
        <v>1.6730769230769229</v>
      </c>
      <c r="AD30" s="9">
        <f t="shared" si="7"/>
        <v>6.0584393854890237</v>
      </c>
      <c r="AE30" s="9">
        <f t="shared" si="8"/>
        <v>5.030796531967753</v>
      </c>
      <c r="AF30" s="9">
        <f t="shared" si="9"/>
        <v>4.4250405849964318</v>
      </c>
      <c r="AG30" s="9">
        <f t="shared" si="0"/>
        <v>1.7717259784180655</v>
      </c>
      <c r="AH30" s="9">
        <f t="shared" si="1"/>
        <v>0.95496977232090297</v>
      </c>
      <c r="AI30" s="9">
        <f t="shared" si="2"/>
        <v>2.2794515948579179</v>
      </c>
      <c r="AJ30" s="9">
        <f>(4*PI()*(AI30^2))/(Y30+E30)</f>
        <v>0.93803478558247666</v>
      </c>
      <c r="AK30" s="12">
        <f t="shared" si="3"/>
        <v>0.73239436619718312</v>
      </c>
      <c r="AL30" s="9" t="s">
        <v>144</v>
      </c>
      <c r="AM30" s="9" t="s">
        <v>142</v>
      </c>
      <c r="AN30" s="2">
        <v>2.7545999999999999</v>
      </c>
      <c r="AO30" s="2">
        <v>0.39011000000000001</v>
      </c>
      <c r="AP30" s="2">
        <v>5176.3</v>
      </c>
      <c r="AQ30" s="2">
        <v>4619.7</v>
      </c>
      <c r="AR30" s="2">
        <v>1.425</v>
      </c>
      <c r="AS30" s="2">
        <v>6.4235000000000004E-3</v>
      </c>
      <c r="AT30" s="2">
        <v>0.72545000000000004</v>
      </c>
      <c r="AU30" s="2">
        <v>1.0155000000000001</v>
      </c>
      <c r="AV30" s="2">
        <v>6.5624000000000002E-2</v>
      </c>
      <c r="AW30" s="2">
        <v>5.8589999999999996E-3</v>
      </c>
      <c r="AX30" s="2">
        <v>0.12067</v>
      </c>
      <c r="AY30" s="2">
        <v>-1.9875</v>
      </c>
      <c r="AZ30" s="2">
        <v>-231.38</v>
      </c>
      <c r="BA30" s="2">
        <v>9.1974E-2</v>
      </c>
      <c r="BB30" s="2">
        <v>24.594000000000001</v>
      </c>
      <c r="BC30" s="2" t="s">
        <v>162</v>
      </c>
      <c r="BD30" s="32" t="s">
        <v>165</v>
      </c>
      <c r="BE30" s="12" t="s">
        <v>167</v>
      </c>
    </row>
    <row r="31" spans="1:57" x14ac:dyDescent="0.25">
      <c r="A31" s="2" t="s">
        <v>38</v>
      </c>
      <c r="B31" s="2" t="s">
        <v>5</v>
      </c>
      <c r="C31" s="2" t="s">
        <v>6</v>
      </c>
      <c r="D31" s="2">
        <v>74</v>
      </c>
      <c r="E31" s="2">
        <v>6.4774000000000003</v>
      </c>
      <c r="F31" s="2">
        <v>9.2422000000000004</v>
      </c>
      <c r="G31" s="2">
        <v>9</v>
      </c>
      <c r="H31" s="2">
        <v>8</v>
      </c>
      <c r="I31" s="2">
        <v>2.79</v>
      </c>
      <c r="J31" s="2">
        <v>59.94</v>
      </c>
      <c r="K31" s="2">
        <v>61.35</v>
      </c>
      <c r="L31" s="2">
        <v>43.66</v>
      </c>
      <c r="M31" s="2">
        <v>5.05</v>
      </c>
      <c r="N31" s="2">
        <v>2</v>
      </c>
      <c r="O31" s="2">
        <f>2.83+1.27</f>
        <v>4.0999999999999996</v>
      </c>
      <c r="P31" s="9">
        <v>2.8696600000000001</v>
      </c>
      <c r="Q31" s="9">
        <v>1.8830800000000001</v>
      </c>
      <c r="R31" s="9">
        <v>-0.15625</v>
      </c>
      <c r="S31" s="9">
        <v>0.23841699999999999</v>
      </c>
      <c r="T31" s="9">
        <v>0.25839099999999998</v>
      </c>
      <c r="U31" s="9">
        <v>8.4572999999999995E-2</v>
      </c>
      <c r="V31" s="9">
        <v>5.2847200000000001</v>
      </c>
      <c r="W31" s="9">
        <v>2.8064200000000001</v>
      </c>
      <c r="X31" s="9">
        <v>8.0534599999999994</v>
      </c>
      <c r="Y31" s="9">
        <v>110.015</v>
      </c>
      <c r="Z31" s="9">
        <v>98.000299999999996</v>
      </c>
      <c r="AA31" s="9">
        <f t="shared" si="4"/>
        <v>1.0058853046594982</v>
      </c>
      <c r="AB31" s="9">
        <f t="shared" si="5"/>
        <v>3.225806451612903</v>
      </c>
      <c r="AC31" s="9">
        <f t="shared" si="6"/>
        <v>2.8673835125448028</v>
      </c>
      <c r="AD31" s="9">
        <f t="shared" si="7"/>
        <v>16.98443820051255</v>
      </c>
      <c r="AE31" s="9">
        <f t="shared" si="8"/>
        <v>15.129573594343409</v>
      </c>
      <c r="AF31" s="9">
        <f t="shared" si="9"/>
        <v>5.1756746279225769</v>
      </c>
      <c r="AG31" s="9">
        <f t="shared" si="0"/>
        <v>1.4359040555576428</v>
      </c>
      <c r="AH31" s="9">
        <f t="shared" si="1"/>
        <v>0.97618005068050484</v>
      </c>
      <c r="AI31" s="9">
        <f t="shared" si="2"/>
        <v>2.8600893354914163</v>
      </c>
      <c r="AJ31" s="9">
        <f>(4*PI()*(AI31^2))/(Y31+E31)</f>
        <v>0.88241212800540558</v>
      </c>
      <c r="AK31" s="12">
        <f t="shared" si="3"/>
        <v>0.68048780487804883</v>
      </c>
      <c r="AL31" s="9" t="s">
        <v>140</v>
      </c>
      <c r="AM31" s="9" t="s">
        <v>142</v>
      </c>
      <c r="AN31" s="2">
        <v>0.39822000000000002</v>
      </c>
      <c r="AO31" s="2">
        <v>4.9758999999999998E-2</v>
      </c>
      <c r="AP31" s="2">
        <v>738.44</v>
      </c>
      <c r="AQ31" s="2">
        <v>550.86</v>
      </c>
      <c r="AR31" s="2">
        <v>0.18809000000000001</v>
      </c>
      <c r="AS31" s="2">
        <v>4.4546000000000002E-2</v>
      </c>
      <c r="AT31" s="2">
        <v>0.52051000000000003</v>
      </c>
      <c r="AU31" s="2">
        <v>87.677000000000007</v>
      </c>
      <c r="AV31" s="2">
        <v>0.86667000000000005</v>
      </c>
      <c r="AW31" s="2">
        <v>2.9753000000000002E-2</v>
      </c>
      <c r="AX31" s="2">
        <v>1.5694E-2</v>
      </c>
      <c r="AY31" s="2">
        <v>-53.383000000000003</v>
      </c>
      <c r="AZ31" s="2">
        <v>-149.54</v>
      </c>
      <c r="BA31" s="2">
        <v>0.71067000000000002</v>
      </c>
      <c r="BB31" s="2">
        <v>8.7586999999999993</v>
      </c>
      <c r="BC31" s="2" t="s">
        <v>164</v>
      </c>
      <c r="BD31" s="32" t="s">
        <v>165</v>
      </c>
      <c r="BE31" s="12" t="s">
        <v>168</v>
      </c>
    </row>
    <row r="32" spans="1:57" x14ac:dyDescent="0.25">
      <c r="A32" s="3" t="s">
        <v>39</v>
      </c>
      <c r="B32" s="3" t="s">
        <v>40</v>
      </c>
      <c r="C32" s="3" t="s">
        <v>14</v>
      </c>
      <c r="D32" s="3">
        <v>74</v>
      </c>
      <c r="E32" s="3">
        <v>6.43</v>
      </c>
      <c r="F32" s="3">
        <v>9.1958000000000002</v>
      </c>
      <c r="G32" s="3">
        <v>5.77</v>
      </c>
      <c r="H32" s="3">
        <v>4.62</v>
      </c>
      <c r="I32" s="3">
        <v>3.1</v>
      </c>
      <c r="J32" s="3">
        <v>77</v>
      </c>
      <c r="K32" s="3">
        <v>51.8</v>
      </c>
      <c r="L32" s="3">
        <v>63</v>
      </c>
      <c r="M32" s="3">
        <v>4.7699999999999996</v>
      </c>
      <c r="N32" s="3">
        <v>2</v>
      </c>
      <c r="O32" s="3">
        <f>1.48+2.55</f>
        <v>4.0299999999999994</v>
      </c>
      <c r="P32" s="9">
        <v>1.6434800000000001</v>
      </c>
      <c r="Q32" s="9">
        <v>1.91428</v>
      </c>
      <c r="R32" s="9">
        <v>-3.8461500000000003E-2</v>
      </c>
      <c r="S32" s="9">
        <v>0.17354800000000001</v>
      </c>
      <c r="T32" s="9">
        <v>0.188222</v>
      </c>
      <c r="U32" s="9">
        <v>3.4920399999999997E-2</v>
      </c>
      <c r="V32" s="9">
        <v>5.3857600000000003</v>
      </c>
      <c r="W32" s="9">
        <v>2.8134600000000001</v>
      </c>
      <c r="X32" s="9">
        <v>4.6238599999999996</v>
      </c>
      <c r="Y32" s="9">
        <v>67.383499999999998</v>
      </c>
      <c r="Z32" s="9">
        <v>53.799100000000003</v>
      </c>
      <c r="AA32" s="9">
        <f t="shared" si="4"/>
        <v>0.90756774193548384</v>
      </c>
      <c r="AB32" s="9">
        <f t="shared" si="5"/>
        <v>1.861290322580645</v>
      </c>
      <c r="AC32" s="9">
        <f t="shared" si="6"/>
        <v>1.4903225806451612</v>
      </c>
      <c r="AD32" s="9">
        <f t="shared" si="7"/>
        <v>10.47954898911353</v>
      </c>
      <c r="AE32" s="9">
        <f t="shared" si="8"/>
        <v>8.3668895800933125</v>
      </c>
      <c r="AF32" s="9">
        <f t="shared" si="9"/>
        <v>4.7282840437014393</v>
      </c>
      <c r="AG32" s="9">
        <f t="shared" si="0"/>
        <v>1.4306406146065385</v>
      </c>
      <c r="AH32" s="9">
        <f t="shared" si="1"/>
        <v>0.97750930746103382</v>
      </c>
      <c r="AI32" s="9">
        <f t="shared" si="2"/>
        <v>2.3418664977638159</v>
      </c>
      <c r="AJ32" s="9">
        <f>(4*PI()*(AI32^2))/(Y32+E32)</f>
        <v>0.93368059494927524</v>
      </c>
      <c r="AK32" s="12">
        <f t="shared" si="3"/>
        <v>0.76923076923076938</v>
      </c>
      <c r="AL32" s="9" t="s">
        <v>140</v>
      </c>
      <c r="AM32" s="9" t="s">
        <v>142</v>
      </c>
      <c r="AN32" s="3">
        <v>1.0165999999999999</v>
      </c>
      <c r="AO32" s="3">
        <v>0.17449999999999999</v>
      </c>
      <c r="AP32" s="3">
        <v>2597.5</v>
      </c>
      <c r="AQ32" s="3">
        <v>2175.3000000000002</v>
      </c>
      <c r="AR32" s="3">
        <v>0.54925000000000002</v>
      </c>
      <c r="AS32" s="3">
        <v>3.7312999999999999E-2</v>
      </c>
      <c r="AT32" s="3">
        <v>0.65551999999999999</v>
      </c>
      <c r="AU32" s="3">
        <v>6.9212999999999996</v>
      </c>
      <c r="AV32" s="3">
        <v>0.67186000000000001</v>
      </c>
      <c r="AW32" s="3">
        <v>2.2481000000000001E-2</v>
      </c>
      <c r="AX32" s="3">
        <v>5.2274000000000001E-2</v>
      </c>
      <c r="AY32" s="3">
        <v>3.8525</v>
      </c>
      <c r="AZ32" s="3">
        <v>109.46</v>
      </c>
      <c r="BA32" s="3">
        <v>0.13877999999999999</v>
      </c>
      <c r="BB32" s="3">
        <v>3.5358000000000001</v>
      </c>
      <c r="BC32" s="3" t="s">
        <v>164</v>
      </c>
      <c r="BD32" s="33" t="s">
        <v>163</v>
      </c>
      <c r="BE32" s="12" t="s">
        <v>168</v>
      </c>
    </row>
    <row r="33" spans="1:57" x14ac:dyDescent="0.25">
      <c r="A33" s="3" t="s">
        <v>41</v>
      </c>
      <c r="B33" s="3" t="s">
        <v>13</v>
      </c>
      <c r="C33" s="3" t="s">
        <v>14</v>
      </c>
      <c r="D33" s="3">
        <v>69</v>
      </c>
      <c r="E33" s="3">
        <v>38.143000000000001</v>
      </c>
      <c r="F33" s="3">
        <v>23.042000000000002</v>
      </c>
      <c r="G33" s="3">
        <v>10.37</v>
      </c>
      <c r="H33" s="3">
        <v>8.27</v>
      </c>
      <c r="I33" s="3">
        <v>2.23</v>
      </c>
      <c r="J33" s="3">
        <v>74.5</v>
      </c>
      <c r="K33" s="3">
        <v>51.2</v>
      </c>
      <c r="L33" s="3">
        <v>58</v>
      </c>
      <c r="M33" s="3">
        <v>8.4</v>
      </c>
      <c r="N33" s="3">
        <v>2</v>
      </c>
      <c r="O33" s="3">
        <v>4.0199999999999996</v>
      </c>
      <c r="P33" s="9">
        <v>1.29837</v>
      </c>
      <c r="Q33" s="9">
        <v>1.4757899999999999</v>
      </c>
      <c r="R33" s="9">
        <v>0.180233</v>
      </c>
      <c r="S33" s="9">
        <v>0.13111800000000001</v>
      </c>
      <c r="T33" s="9">
        <v>0.14432</v>
      </c>
      <c r="U33" s="9">
        <v>3.8779099999999997E-2</v>
      </c>
      <c r="V33" s="9">
        <v>9.8860600000000005</v>
      </c>
      <c r="W33" s="9">
        <v>6.6988300000000001</v>
      </c>
      <c r="X33" s="9">
        <v>8.6975800000000003</v>
      </c>
      <c r="Y33" s="9">
        <v>227.12700000000001</v>
      </c>
      <c r="Z33" s="9">
        <v>360.29500000000002</v>
      </c>
      <c r="AA33" s="9">
        <f t="shared" si="4"/>
        <v>3.0039596412556056</v>
      </c>
      <c r="AB33" s="9">
        <f t="shared" si="5"/>
        <v>4.6502242152466362</v>
      </c>
      <c r="AC33" s="9">
        <f t="shared" si="6"/>
        <v>3.7085201793721971</v>
      </c>
      <c r="AD33" s="9">
        <f t="shared" si="7"/>
        <v>5.954618147497575</v>
      </c>
      <c r="AE33" s="9">
        <f t="shared" si="8"/>
        <v>9.4459009516818284</v>
      </c>
      <c r="AF33" s="9">
        <f t="shared" si="9"/>
        <v>4.4856970680216994</v>
      </c>
      <c r="AG33" s="9">
        <f t="shared" si="0"/>
        <v>3.4844359642140548</v>
      </c>
      <c r="AH33" s="9">
        <f t="shared" si="1"/>
        <v>0.95015002404990367</v>
      </c>
      <c r="AI33" s="9">
        <f t="shared" si="2"/>
        <v>4.4142460999085715</v>
      </c>
      <c r="AJ33" s="9">
        <f>(4*PI()*(AI33^2))/(Y33+E33)</f>
        <v>0.92307036997445402</v>
      </c>
      <c r="AK33" s="12">
        <f t="shared" si="3"/>
        <v>0.55472636815920406</v>
      </c>
      <c r="AL33" s="9" t="s">
        <v>144</v>
      </c>
      <c r="AM33" s="9" t="s">
        <v>142</v>
      </c>
      <c r="AN33" s="3">
        <v>1.7975000000000001</v>
      </c>
      <c r="AO33" s="3">
        <v>0.31944</v>
      </c>
      <c r="AP33" s="3">
        <v>1735.9</v>
      </c>
      <c r="AQ33" s="3">
        <v>1646.6</v>
      </c>
      <c r="AR33" s="3">
        <v>1.2282999999999999</v>
      </c>
      <c r="AS33" s="3">
        <v>1.6292000000000001E-2</v>
      </c>
      <c r="AT33" s="3">
        <v>0.69328000000000001</v>
      </c>
      <c r="AU33" s="3">
        <v>1.329</v>
      </c>
      <c r="AV33" s="3">
        <v>0.21625</v>
      </c>
      <c r="AW33" s="3">
        <v>1.4741000000000001E-2</v>
      </c>
      <c r="AX33" s="3">
        <v>0.10915</v>
      </c>
      <c r="AY33" s="3">
        <v>-79.557000000000002</v>
      </c>
      <c r="AZ33" s="3">
        <v>-362.4</v>
      </c>
      <c r="BA33" s="3">
        <v>0.55622000000000005</v>
      </c>
      <c r="BB33" s="3">
        <v>3.1467000000000001</v>
      </c>
      <c r="BC33" s="3" t="s">
        <v>162</v>
      </c>
      <c r="BD33" s="33" t="s">
        <v>163</v>
      </c>
      <c r="BE33" s="12" t="s">
        <v>167</v>
      </c>
    </row>
    <row r="34" spans="1:57" x14ac:dyDescent="0.25">
      <c r="A34" s="3" t="s">
        <v>42</v>
      </c>
      <c r="B34" s="3" t="s">
        <v>5</v>
      </c>
      <c r="C34" s="3" t="s">
        <v>6</v>
      </c>
      <c r="D34" s="3">
        <v>42</v>
      </c>
      <c r="E34" s="3">
        <v>41.561999999999998</v>
      </c>
      <c r="F34" s="3">
        <v>23.408999999999999</v>
      </c>
      <c r="G34" s="3">
        <v>9.06</v>
      </c>
      <c r="H34" s="3">
        <v>6.8</v>
      </c>
      <c r="I34" s="3">
        <v>3.01</v>
      </c>
      <c r="J34" s="3">
        <v>23.8</v>
      </c>
      <c r="K34" s="3">
        <v>27.94</v>
      </c>
      <c r="L34" s="3">
        <v>24.83</v>
      </c>
      <c r="M34" s="3">
        <v>5.68</v>
      </c>
      <c r="N34" s="3">
        <v>1</v>
      </c>
      <c r="O34" s="3">
        <v>2.34</v>
      </c>
      <c r="P34" s="9">
        <v>0.94487399999999999</v>
      </c>
      <c r="Q34" s="9">
        <v>1.22624</v>
      </c>
      <c r="R34" s="9">
        <v>0.10902299999999999</v>
      </c>
      <c r="S34" s="9">
        <v>6.5586900000000004E-2</v>
      </c>
      <c r="T34" s="9">
        <v>6.8521899999999997E-2</v>
      </c>
      <c r="U34" s="9">
        <v>4.5112299999999998E-3</v>
      </c>
      <c r="V34" s="9">
        <v>8.7534700000000001</v>
      </c>
      <c r="W34" s="9">
        <v>7.1384400000000001</v>
      </c>
      <c r="X34" s="9">
        <v>6.7449300000000001</v>
      </c>
      <c r="Y34" s="9">
        <v>169.328</v>
      </c>
      <c r="Z34" s="9">
        <v>263.416</v>
      </c>
      <c r="AA34" s="9">
        <f t="shared" si="4"/>
        <v>2.3715747508305651</v>
      </c>
      <c r="AB34" s="9">
        <f t="shared" si="5"/>
        <v>3.0099667774086383</v>
      </c>
      <c r="AC34" s="9">
        <f t="shared" si="6"/>
        <v>2.2591362126245849</v>
      </c>
      <c r="AD34" s="9">
        <f t="shared" si="7"/>
        <v>4.0741061546605071</v>
      </c>
      <c r="AE34" s="9">
        <f t="shared" si="8"/>
        <v>6.3379048169000534</v>
      </c>
      <c r="AF34" s="9">
        <f t="shared" si="9"/>
        <v>4.1206653428171398</v>
      </c>
      <c r="AG34" s="9">
        <f t="shared" ref="AG34:AG65" si="10">SQRT(E34/PI())</f>
        <v>3.6372510897064432</v>
      </c>
      <c r="AH34" s="9">
        <f t="shared" ref="AH34:AH65" si="11">(2*PI()*AG34)/F34</f>
        <v>0.97627077642643711</v>
      </c>
      <c r="AI34" s="9">
        <f t="shared" ref="AI34:AI65" si="12">(3*Z34/(4*PI()))^(1/3)</f>
        <v>3.976654380049458</v>
      </c>
      <c r="AJ34" s="9">
        <f>(4*PI()*(AI34^2))/(Y34+E34)</f>
        <v>0.94230082520459191</v>
      </c>
      <c r="AK34" s="12">
        <f t="shared" si="3"/>
        <v>1.2863247863247864</v>
      </c>
      <c r="AL34" s="9" t="s">
        <v>144</v>
      </c>
      <c r="AM34" s="9" t="s">
        <v>143</v>
      </c>
      <c r="AN34" s="3">
        <v>5.9454000000000002</v>
      </c>
      <c r="AO34" s="3">
        <v>0.56794</v>
      </c>
      <c r="AP34" s="3">
        <v>3743.7</v>
      </c>
      <c r="AQ34" s="3">
        <v>3539.1</v>
      </c>
      <c r="AR34" s="3">
        <v>4.2535999999999996</v>
      </c>
      <c r="AS34" s="3">
        <v>3.4258000000000001E-3</v>
      </c>
      <c r="AT34" s="3">
        <v>0.74746999999999997</v>
      </c>
      <c r="AU34" s="3">
        <v>0.2671</v>
      </c>
      <c r="AV34" s="3">
        <v>1.0015E-3</v>
      </c>
      <c r="AW34" s="3">
        <v>2.3874999999999999E-3</v>
      </c>
      <c r="AX34" s="3">
        <v>0.34560999999999997</v>
      </c>
      <c r="AY34" s="3">
        <v>-3.5962000000000001</v>
      </c>
      <c r="AZ34" s="3">
        <v>-1873.7</v>
      </c>
      <c r="BA34" s="3">
        <v>6.4842999999999998E-2</v>
      </c>
      <c r="BB34" s="3">
        <v>4.4516999999999998</v>
      </c>
      <c r="BC34" s="3" t="s">
        <v>162</v>
      </c>
      <c r="BD34" s="33" t="s">
        <v>163</v>
      </c>
      <c r="BE34" s="12" t="s">
        <v>167</v>
      </c>
    </row>
    <row r="35" spans="1:57" x14ac:dyDescent="0.25">
      <c r="A35" s="3" t="s">
        <v>43</v>
      </c>
      <c r="B35" s="3" t="s">
        <v>5</v>
      </c>
      <c r="C35" s="3" t="s">
        <v>6</v>
      </c>
      <c r="D35" s="3">
        <v>57</v>
      </c>
      <c r="E35" s="3">
        <v>36.402000000000001</v>
      </c>
      <c r="F35" s="3">
        <v>21.844000000000001</v>
      </c>
      <c r="G35" s="3">
        <v>14.58</v>
      </c>
      <c r="H35" s="3">
        <v>12.2</v>
      </c>
      <c r="I35" s="3">
        <v>3.14</v>
      </c>
      <c r="J35" s="3">
        <v>131</v>
      </c>
      <c r="K35" s="3">
        <v>10</v>
      </c>
      <c r="L35" s="3">
        <v>43</v>
      </c>
      <c r="M35" s="3">
        <v>10</v>
      </c>
      <c r="N35" s="3">
        <v>1</v>
      </c>
      <c r="O35" s="3">
        <v>2.33</v>
      </c>
      <c r="P35" s="9">
        <v>1.792</v>
      </c>
      <c r="Q35" s="9">
        <v>2.07592</v>
      </c>
      <c r="R35" s="9">
        <v>-2.0746800000000002E-3</v>
      </c>
      <c r="S35" s="9">
        <v>0.17760300000000001</v>
      </c>
      <c r="T35" s="9">
        <v>0.18836600000000001</v>
      </c>
      <c r="U35" s="9">
        <v>2.77799E-2</v>
      </c>
      <c r="V35" s="9">
        <v>14.0395</v>
      </c>
      <c r="W35" s="9">
        <v>6.7630299999999997</v>
      </c>
      <c r="X35" s="9">
        <v>12.119300000000001</v>
      </c>
      <c r="Y35" s="9">
        <v>446.29500000000002</v>
      </c>
      <c r="Z35" s="9">
        <v>916.77499999999998</v>
      </c>
      <c r="AA35" s="9">
        <f t="shared" si="4"/>
        <v>2.1538312101910826</v>
      </c>
      <c r="AB35" s="9">
        <f t="shared" si="5"/>
        <v>4.6433121019108281</v>
      </c>
      <c r="AC35" s="9">
        <f t="shared" si="6"/>
        <v>3.8853503184713372</v>
      </c>
      <c r="AD35" s="9">
        <f t="shared" si="7"/>
        <v>12.260178012197132</v>
      </c>
      <c r="AE35" s="9">
        <f t="shared" si="8"/>
        <v>25.184742596560628</v>
      </c>
      <c r="AF35" s="9">
        <f t="shared" si="9"/>
        <v>4.7291183216861112</v>
      </c>
      <c r="AG35" s="9">
        <f t="shared" si="10"/>
        <v>3.4039853814113759</v>
      </c>
      <c r="AH35" s="9">
        <f t="shared" si="11"/>
        <v>0.97911879391769163</v>
      </c>
      <c r="AI35" s="9">
        <f t="shared" si="12"/>
        <v>6.0264013377374939</v>
      </c>
      <c r="AJ35" s="9">
        <f>(4*PI()*(AI35^2))/(Y35+E35)</f>
        <v>0.94547786540811596</v>
      </c>
      <c r="AK35" s="12">
        <f t="shared" si="3"/>
        <v>1.3476394849785407</v>
      </c>
      <c r="AL35" s="9" t="s">
        <v>144</v>
      </c>
      <c r="AM35" s="9" t="s">
        <v>143</v>
      </c>
      <c r="AN35" s="3">
        <v>3.6383000000000001</v>
      </c>
      <c r="AO35" s="3">
        <v>0.24332999999999999</v>
      </c>
      <c r="AP35" s="3">
        <v>2858.5</v>
      </c>
      <c r="AQ35" s="3">
        <v>2617</v>
      </c>
      <c r="AR35" s="3">
        <v>2.5872999999999999</v>
      </c>
      <c r="AS35" s="3">
        <v>2.4864000000000001E-2</v>
      </c>
      <c r="AT35" s="3">
        <v>0.67654999999999998</v>
      </c>
      <c r="AU35" s="3">
        <v>0.60777000000000003</v>
      </c>
      <c r="AV35" s="3">
        <v>0.35116000000000003</v>
      </c>
      <c r="AW35" s="3">
        <v>1.9661000000000001E-2</v>
      </c>
      <c r="AX35" s="3">
        <v>0.22645999999999999</v>
      </c>
      <c r="AY35" s="3">
        <v>-3.6555</v>
      </c>
      <c r="AZ35" s="3">
        <v>-935.86</v>
      </c>
      <c r="BA35" s="3">
        <v>0.20599999999999999</v>
      </c>
      <c r="BB35" s="3">
        <v>3.1027</v>
      </c>
      <c r="BC35" s="3" t="s">
        <v>164</v>
      </c>
      <c r="BD35" s="33" t="s">
        <v>165</v>
      </c>
      <c r="BE35" s="12" t="s">
        <v>167</v>
      </c>
    </row>
    <row r="36" spans="1:57" x14ac:dyDescent="0.25">
      <c r="A36" s="3" t="s">
        <v>44</v>
      </c>
      <c r="B36" s="3" t="s">
        <v>5</v>
      </c>
      <c r="C36" s="3" t="s">
        <v>14</v>
      </c>
      <c r="D36" s="3">
        <v>52</v>
      </c>
      <c r="E36" s="3">
        <v>28.416</v>
      </c>
      <c r="F36" s="3">
        <v>19.393000000000001</v>
      </c>
      <c r="G36" s="3">
        <v>18.87</v>
      </c>
      <c r="H36" s="3">
        <v>16</v>
      </c>
      <c r="I36" s="3">
        <v>3.04</v>
      </c>
      <c r="J36" s="3">
        <v>39.200000000000003</v>
      </c>
      <c r="K36" s="3">
        <v>57.67</v>
      </c>
      <c r="L36" s="3">
        <v>82.2</v>
      </c>
      <c r="M36" s="3">
        <v>3.74</v>
      </c>
      <c r="N36" s="3">
        <v>1</v>
      </c>
      <c r="O36" s="3">
        <v>10.1</v>
      </c>
      <c r="P36" s="9">
        <v>2.71265</v>
      </c>
      <c r="Q36" s="9">
        <v>2.8149299999999999</v>
      </c>
      <c r="R36" s="9">
        <v>-0.19781899999999999</v>
      </c>
      <c r="S36" s="9">
        <v>0.23696</v>
      </c>
      <c r="T36" s="9">
        <v>0.267484</v>
      </c>
      <c r="U36" s="9">
        <v>0.10555</v>
      </c>
      <c r="V36" s="9">
        <v>16.738800000000001</v>
      </c>
      <c r="W36" s="9">
        <v>5.9464300000000003</v>
      </c>
      <c r="X36" s="9">
        <v>16.130600000000001</v>
      </c>
      <c r="Y36" s="9">
        <v>610.33199999999999</v>
      </c>
      <c r="Z36" s="9">
        <v>1257.08</v>
      </c>
      <c r="AA36" s="9">
        <f t="shared" si="4"/>
        <v>1.9560625</v>
      </c>
      <c r="AB36" s="9">
        <f t="shared" si="5"/>
        <v>6.2072368421052637</v>
      </c>
      <c r="AC36" s="9">
        <f t="shared" si="6"/>
        <v>5.2631578947368425</v>
      </c>
      <c r="AD36" s="9">
        <f t="shared" si="7"/>
        <v>21.478462837837839</v>
      </c>
      <c r="AE36" s="9">
        <f t="shared" si="8"/>
        <v>44.238457207207205</v>
      </c>
      <c r="AF36" s="9">
        <f t="shared" si="9"/>
        <v>5.2399144470360062</v>
      </c>
      <c r="AG36" s="9">
        <f t="shared" si="10"/>
        <v>3.0075062303840032</v>
      </c>
      <c r="AH36" s="9">
        <f t="shared" si="11"/>
        <v>0.97440926922084425</v>
      </c>
      <c r="AI36" s="9">
        <f t="shared" si="12"/>
        <v>6.6951159459743881</v>
      </c>
      <c r="AJ36" s="9">
        <f>(4*PI()*(AI36^2))/(Y36+E36)</f>
        <v>0.88185364787766962</v>
      </c>
      <c r="AK36" s="12">
        <f t="shared" si="3"/>
        <v>0.30099009900990098</v>
      </c>
      <c r="AL36" s="9" t="s">
        <v>140</v>
      </c>
      <c r="AM36" s="9" t="s">
        <v>143</v>
      </c>
      <c r="AN36" s="3">
        <v>2.3151999999999999</v>
      </c>
      <c r="AO36" s="3">
        <v>0.18318999999999999</v>
      </c>
      <c r="AP36" s="3">
        <v>2144.6</v>
      </c>
      <c r="AQ36" s="3">
        <v>2000.6</v>
      </c>
      <c r="AR36" s="3">
        <v>1.9246000000000001</v>
      </c>
      <c r="AS36" s="3">
        <v>2.4695999999999999E-2</v>
      </c>
      <c r="AT36" s="3">
        <v>0.70709</v>
      </c>
      <c r="AU36" s="3">
        <v>1.1645000000000001</v>
      </c>
      <c r="AV36" s="3">
        <v>0.46127000000000001</v>
      </c>
      <c r="AW36" s="3">
        <v>2.9090000000000001E-2</v>
      </c>
      <c r="AX36" s="3">
        <v>0.16245000000000001</v>
      </c>
      <c r="AY36" s="3">
        <v>-4.4622999999999999</v>
      </c>
      <c r="AZ36" s="3">
        <v>-729.84</v>
      </c>
      <c r="BA36" s="3">
        <v>0.37734000000000001</v>
      </c>
      <c r="BB36" s="3">
        <v>4.2628000000000004</v>
      </c>
      <c r="BC36" s="3" t="s">
        <v>164</v>
      </c>
      <c r="BD36" s="33" t="s">
        <v>165</v>
      </c>
      <c r="BE36" s="12" t="s">
        <v>167</v>
      </c>
    </row>
    <row r="37" spans="1:57" x14ac:dyDescent="0.25">
      <c r="A37" s="3" t="s">
        <v>45</v>
      </c>
      <c r="B37" s="3" t="s">
        <v>5</v>
      </c>
      <c r="C37" s="3" t="s">
        <v>14</v>
      </c>
      <c r="D37" s="3">
        <v>53</v>
      </c>
      <c r="E37" s="3">
        <v>8.7525999999999993</v>
      </c>
      <c r="F37" s="3">
        <v>10.92</v>
      </c>
      <c r="G37" s="3">
        <v>6.46</v>
      </c>
      <c r="H37" s="3">
        <v>5.75</v>
      </c>
      <c r="I37" s="3">
        <v>2.85</v>
      </c>
      <c r="J37" s="3">
        <v>20.95</v>
      </c>
      <c r="K37" s="3">
        <v>50.66</v>
      </c>
      <c r="L37" s="3">
        <v>57.64</v>
      </c>
      <c r="M37" s="3">
        <v>4</v>
      </c>
      <c r="N37" s="3">
        <v>2</v>
      </c>
      <c r="O37" s="3">
        <f>2.42+3.12</f>
        <v>5.54</v>
      </c>
      <c r="P37" s="9">
        <v>1.7514099999999999</v>
      </c>
      <c r="Q37" s="9">
        <v>1.2022999999999999</v>
      </c>
      <c r="R37" s="9">
        <v>0.12831899999999999</v>
      </c>
      <c r="S37" s="9">
        <v>0.19517599999999999</v>
      </c>
      <c r="T37" s="9">
        <v>0.23563700000000001</v>
      </c>
      <c r="U37" s="9">
        <v>0.13489300000000001</v>
      </c>
      <c r="V37" s="9">
        <v>3.9436300000000002</v>
      </c>
      <c r="W37" s="9">
        <v>3.2800600000000002</v>
      </c>
      <c r="X37" s="9">
        <v>5.74472</v>
      </c>
      <c r="Y37" s="9">
        <v>61.2042</v>
      </c>
      <c r="Z37" s="9">
        <v>42.551000000000002</v>
      </c>
      <c r="AA37" s="9">
        <f t="shared" si="4"/>
        <v>1.1508982456140351</v>
      </c>
      <c r="AB37" s="9">
        <f t="shared" si="5"/>
        <v>2.2666666666666666</v>
      </c>
      <c r="AC37" s="9">
        <f t="shared" si="6"/>
        <v>2.0175438596491229</v>
      </c>
      <c r="AD37" s="9">
        <f t="shared" si="7"/>
        <v>6.9926878870278548</v>
      </c>
      <c r="AE37" s="9">
        <f t="shared" si="8"/>
        <v>4.8615268605899971</v>
      </c>
      <c r="AF37" s="9">
        <f t="shared" si="9"/>
        <v>5.0215914746163914</v>
      </c>
      <c r="AG37" s="9">
        <f t="shared" si="10"/>
        <v>1.6691432262727623</v>
      </c>
      <c r="AH37" s="9">
        <f t="shared" si="11"/>
        <v>0.96039708744462926</v>
      </c>
      <c r="AI37" s="9">
        <f t="shared" si="12"/>
        <v>2.1657436708505662</v>
      </c>
      <c r="AJ37" s="9">
        <f>(4*PI()*(AI37^2))/(Y37+E37)</f>
        <v>0.8425468054160683</v>
      </c>
      <c r="AK37" s="12">
        <f t="shared" si="3"/>
        <v>0.51444043321299637</v>
      </c>
      <c r="AL37" s="9" t="s">
        <v>140</v>
      </c>
      <c r="AM37" s="9" t="s">
        <v>142</v>
      </c>
      <c r="AN37" s="3">
        <v>5.1740000000000004</v>
      </c>
      <c r="AO37" s="3">
        <v>0.46921000000000002</v>
      </c>
      <c r="AP37" s="3">
        <v>11018</v>
      </c>
      <c r="AQ37" s="3">
        <v>9911.7000000000007</v>
      </c>
      <c r="AR37" s="3">
        <v>2.5362</v>
      </c>
      <c r="AS37" s="3">
        <v>2.0867E-2</v>
      </c>
      <c r="AT37" s="3">
        <v>0.68422000000000005</v>
      </c>
      <c r="AU37" s="3">
        <v>4.5412999999999997</v>
      </c>
      <c r="AV37" s="3">
        <v>0.42026999999999998</v>
      </c>
      <c r="AW37" s="3">
        <v>1.3162E-2</v>
      </c>
      <c r="AX37" s="3">
        <v>0.16677</v>
      </c>
      <c r="AY37" s="3">
        <v>1.2318</v>
      </c>
      <c r="AZ37" s="3">
        <v>-332.79</v>
      </c>
      <c r="BA37" s="3">
        <v>4.3353999999999997E-2</v>
      </c>
      <c r="BB37" s="3">
        <v>8.1010000000000009</v>
      </c>
      <c r="BC37" s="3" t="s">
        <v>164</v>
      </c>
      <c r="BD37" s="33" t="s">
        <v>165</v>
      </c>
      <c r="BE37" s="12" t="s">
        <v>168</v>
      </c>
    </row>
    <row r="38" spans="1:57" x14ac:dyDescent="0.25">
      <c r="A38" s="3" t="s">
        <v>46</v>
      </c>
      <c r="B38" s="3" t="s">
        <v>5</v>
      </c>
      <c r="C38" s="3" t="s">
        <v>6</v>
      </c>
      <c r="D38" s="3">
        <v>74</v>
      </c>
      <c r="E38" s="3">
        <v>42.750999999999998</v>
      </c>
      <c r="F38" s="3">
        <v>24.355</v>
      </c>
      <c r="G38" s="3">
        <v>10.88</v>
      </c>
      <c r="H38" s="3">
        <v>7.45</v>
      </c>
      <c r="I38" s="3">
        <v>3.94</v>
      </c>
      <c r="J38" s="3">
        <v>53.17</v>
      </c>
      <c r="K38" s="3">
        <v>34.58</v>
      </c>
      <c r="L38" s="3">
        <v>61.28</v>
      </c>
      <c r="M38" s="3">
        <v>9.94</v>
      </c>
      <c r="N38" s="3">
        <v>2</v>
      </c>
      <c r="O38" s="3">
        <f>3.63+1.53</f>
        <v>5.16</v>
      </c>
      <c r="P38" s="9">
        <v>1.05355</v>
      </c>
      <c r="Q38" s="9">
        <v>1.37812</v>
      </c>
      <c r="R38" s="9">
        <v>0.15986400000000001</v>
      </c>
      <c r="S38" s="9">
        <v>0.11614099999999999</v>
      </c>
      <c r="T38" s="9">
        <v>0.154728</v>
      </c>
      <c r="U38" s="9">
        <v>8.9703599999999994E-2</v>
      </c>
      <c r="V38" s="9">
        <v>9.7438900000000004</v>
      </c>
      <c r="W38" s="9">
        <v>7.07043</v>
      </c>
      <c r="X38" s="9">
        <v>7.44902</v>
      </c>
      <c r="Y38" s="9">
        <v>186.07599999999999</v>
      </c>
      <c r="Z38" s="9">
        <v>262.31099999999998</v>
      </c>
      <c r="AA38" s="9">
        <f t="shared" si="4"/>
        <v>1.7945253807106598</v>
      </c>
      <c r="AB38" s="9">
        <f t="shared" si="5"/>
        <v>2.7614213197969546</v>
      </c>
      <c r="AC38" s="9">
        <f t="shared" si="6"/>
        <v>1.8908629441624367</v>
      </c>
      <c r="AD38" s="9">
        <f t="shared" si="7"/>
        <v>4.3525531566513065</v>
      </c>
      <c r="AE38" s="9">
        <f t="shared" si="8"/>
        <v>6.1357862973965522</v>
      </c>
      <c r="AF38" s="9">
        <f t="shared" si="9"/>
        <v>4.5409427466216155</v>
      </c>
      <c r="AG38" s="9">
        <f t="shared" si="10"/>
        <v>3.6889112139279301</v>
      </c>
      <c r="AH38" s="9">
        <f t="shared" si="11"/>
        <v>0.9516777967087654</v>
      </c>
      <c r="AI38" s="9">
        <f t="shared" si="12"/>
        <v>3.9710860498002774</v>
      </c>
      <c r="AJ38" s="9">
        <f>(4*PI()*(AI38^2))/(Y38+E38)</f>
        <v>0.8660065823091232</v>
      </c>
      <c r="AK38" s="12">
        <f t="shared" si="3"/>
        <v>0.76356589147286824</v>
      </c>
      <c r="AL38" s="9" t="s">
        <v>140</v>
      </c>
      <c r="AM38" s="9" t="s">
        <v>142</v>
      </c>
      <c r="AN38" s="3">
        <v>7.7778999999999998</v>
      </c>
      <c r="AO38" s="3">
        <v>0.56896999999999998</v>
      </c>
      <c r="AP38" s="3">
        <v>8772.9</v>
      </c>
      <c r="AQ38" s="3">
        <v>8478.6</v>
      </c>
      <c r="AR38" s="3">
        <v>4.0838000000000001</v>
      </c>
      <c r="AS38" s="3">
        <v>2.9101999999999999E-2</v>
      </c>
      <c r="AT38" s="3">
        <v>0.66857999999999995</v>
      </c>
      <c r="AU38" s="3">
        <v>0.40381</v>
      </c>
      <c r="AV38" s="3">
        <v>4.0363999999999997E-2</v>
      </c>
      <c r="AW38" s="3">
        <v>2.6796E-2</v>
      </c>
      <c r="AX38" s="3">
        <v>0.34198000000000001</v>
      </c>
      <c r="AY38" s="3">
        <v>-13.513999999999999</v>
      </c>
      <c r="AZ38" s="3">
        <v>-2847.3</v>
      </c>
      <c r="BA38" s="3">
        <v>9.2859999999999998E-2</v>
      </c>
      <c r="BB38" s="3">
        <v>6.9795999999999996</v>
      </c>
      <c r="BC38" s="3" t="s">
        <v>162</v>
      </c>
      <c r="BD38" s="33" t="s">
        <v>165</v>
      </c>
      <c r="BE38" s="12" t="s">
        <v>168</v>
      </c>
    </row>
    <row r="39" spans="1:57" x14ac:dyDescent="0.25">
      <c r="A39" s="2" t="s">
        <v>47</v>
      </c>
      <c r="B39" s="2" t="s">
        <v>5</v>
      </c>
      <c r="C39" s="2" t="s">
        <v>6</v>
      </c>
      <c r="D39" s="2">
        <v>59</v>
      </c>
      <c r="E39" s="2">
        <v>43.292999999999999</v>
      </c>
      <c r="F39" s="2">
        <v>24.92</v>
      </c>
      <c r="G39" s="2">
        <v>14.67</v>
      </c>
      <c r="H39" s="2">
        <v>12</v>
      </c>
      <c r="I39" s="2">
        <v>3.23</v>
      </c>
      <c r="J39" s="2">
        <v>18.61</v>
      </c>
      <c r="K39" s="2">
        <v>46.5</v>
      </c>
      <c r="L39" s="2">
        <v>34.14</v>
      </c>
      <c r="M39" s="2">
        <v>13.9</v>
      </c>
      <c r="N39" s="2">
        <v>2</v>
      </c>
      <c r="O39" s="2">
        <f>3.2+0.87</f>
        <v>4.07</v>
      </c>
      <c r="P39" s="9">
        <v>1.6606099999999999</v>
      </c>
      <c r="Q39" s="9">
        <v>1.97529</v>
      </c>
      <c r="R39" s="9">
        <v>-0.15546199999999999</v>
      </c>
      <c r="S39" s="9">
        <v>0.162413</v>
      </c>
      <c r="T39" s="9">
        <v>0.16838600000000001</v>
      </c>
      <c r="U39" s="9">
        <v>1.16971E-2</v>
      </c>
      <c r="V39" s="9">
        <v>14.2234</v>
      </c>
      <c r="W39" s="9">
        <v>7.2006399999999999</v>
      </c>
      <c r="X39" s="9">
        <v>11.9574</v>
      </c>
      <c r="Y39" s="9">
        <v>502.62599999999998</v>
      </c>
      <c r="Z39" s="9">
        <v>1136.42</v>
      </c>
      <c r="AA39" s="9">
        <f t="shared" si="4"/>
        <v>2.229300309597523</v>
      </c>
      <c r="AB39" s="9">
        <f t="shared" si="5"/>
        <v>4.541795665634675</v>
      </c>
      <c r="AC39" s="9">
        <f t="shared" si="6"/>
        <v>3.7151702786377707</v>
      </c>
      <c r="AD39" s="9">
        <f t="shared" si="7"/>
        <v>11.609867646039776</v>
      </c>
      <c r="AE39" s="9">
        <f t="shared" si="8"/>
        <v>26.249509158524475</v>
      </c>
      <c r="AF39" s="9">
        <f t="shared" si="9"/>
        <v>4.6155030038340961</v>
      </c>
      <c r="AG39" s="9">
        <f t="shared" si="10"/>
        <v>3.7122216936162165</v>
      </c>
      <c r="AH39" s="9">
        <f t="shared" si="11"/>
        <v>0.93597820234039841</v>
      </c>
      <c r="AI39" s="9">
        <f t="shared" si="12"/>
        <v>6.4736629819325797</v>
      </c>
      <c r="AJ39" s="9">
        <f>(4*PI()*(AI39^2))/(Y39+E39)</f>
        <v>0.96467678444336735</v>
      </c>
      <c r="AK39" s="12">
        <f t="shared" si="3"/>
        <v>0.79361179361179357</v>
      </c>
      <c r="AL39" s="9" t="s">
        <v>144</v>
      </c>
      <c r="AM39" s="9" t="s">
        <v>142</v>
      </c>
      <c r="AN39" s="2">
        <v>2.1522999999999999</v>
      </c>
      <c r="AO39" s="2">
        <v>0.21801000000000001</v>
      </c>
      <c r="AP39" s="2">
        <v>1687.7</v>
      </c>
      <c r="AQ39" s="2">
        <v>1414.6</v>
      </c>
      <c r="AR39" s="2">
        <v>1.7101</v>
      </c>
      <c r="AS39" s="2">
        <v>1.9453000000000002E-2</v>
      </c>
      <c r="AT39" s="2">
        <v>0.68457999999999997</v>
      </c>
      <c r="AU39" s="2">
        <v>0.96153</v>
      </c>
      <c r="AV39" s="2">
        <v>0.44225999999999999</v>
      </c>
      <c r="AW39" s="2">
        <v>2.6891999999999999E-2</v>
      </c>
      <c r="AX39" s="2">
        <v>0.12093</v>
      </c>
      <c r="AY39" s="2">
        <v>-26.167000000000002</v>
      </c>
      <c r="AZ39" s="2">
        <v>-736.61</v>
      </c>
      <c r="BA39" s="2">
        <v>0.49757000000000001</v>
      </c>
      <c r="BB39" s="2">
        <v>6.7742000000000004</v>
      </c>
      <c r="BC39" s="2" t="s">
        <v>162</v>
      </c>
      <c r="BD39" s="32" t="s">
        <v>163</v>
      </c>
      <c r="BE39" s="12" t="s">
        <v>167</v>
      </c>
    </row>
    <row r="40" spans="1:57" x14ac:dyDescent="0.25">
      <c r="A40" s="3" t="s">
        <v>48</v>
      </c>
      <c r="B40" s="3" t="s">
        <v>5</v>
      </c>
      <c r="C40" s="3" t="s">
        <v>14</v>
      </c>
      <c r="D40" s="3">
        <v>62</v>
      </c>
      <c r="E40" s="3">
        <v>34.988</v>
      </c>
      <c r="F40" s="3">
        <v>21.838999999999999</v>
      </c>
      <c r="G40" s="3">
        <v>11.05</v>
      </c>
      <c r="H40" s="3">
        <v>8.5</v>
      </c>
      <c r="I40" s="3">
        <v>3.5</v>
      </c>
      <c r="J40" s="3">
        <v>62.3</v>
      </c>
      <c r="K40" s="3">
        <f>180-145.02</f>
        <v>34.97999999999999</v>
      </c>
      <c r="L40" s="3">
        <v>81.2</v>
      </c>
      <c r="M40" s="3">
        <v>8.1999999999999993</v>
      </c>
      <c r="N40" s="3">
        <v>1</v>
      </c>
      <c r="O40" s="3">
        <f>2.75+1.62</f>
        <v>4.37</v>
      </c>
      <c r="P40" s="9">
        <v>1.31135</v>
      </c>
      <c r="Q40" s="9">
        <v>1.6270500000000001</v>
      </c>
      <c r="R40" s="9">
        <v>4.1666700000000001E-2</v>
      </c>
      <c r="S40" s="9">
        <v>0.13522000000000001</v>
      </c>
      <c r="T40" s="9">
        <v>0.14399400000000001</v>
      </c>
      <c r="U40" s="9">
        <v>1.4756099999999999E-2</v>
      </c>
      <c r="V40" s="9">
        <v>10.5334</v>
      </c>
      <c r="W40" s="9">
        <v>6.4739000000000004</v>
      </c>
      <c r="X40" s="9">
        <v>8.4895600000000009</v>
      </c>
      <c r="Y40" s="9">
        <v>281.096</v>
      </c>
      <c r="Z40" s="9">
        <v>496.34699999999998</v>
      </c>
      <c r="AA40" s="9">
        <f t="shared" si="4"/>
        <v>1.8496857142857144</v>
      </c>
      <c r="AB40" s="9">
        <f t="shared" si="5"/>
        <v>3.1571428571428575</v>
      </c>
      <c r="AC40" s="9">
        <f t="shared" si="6"/>
        <v>2.4285714285714284</v>
      </c>
      <c r="AD40" s="9">
        <f t="shared" si="7"/>
        <v>8.0340688235966624</v>
      </c>
      <c r="AE40" s="9">
        <f t="shared" si="8"/>
        <v>14.186206699439808</v>
      </c>
      <c r="AF40" s="9">
        <f t="shared" si="9"/>
        <v>4.4839875503091715</v>
      </c>
      <c r="AG40" s="9">
        <f t="shared" si="10"/>
        <v>3.3372183473363664</v>
      </c>
      <c r="AH40" s="9">
        <f t="shared" si="11"/>
        <v>0.96013376467942657</v>
      </c>
      <c r="AI40" s="9">
        <f t="shared" si="12"/>
        <v>4.9117048763558877</v>
      </c>
      <c r="AJ40" s="9">
        <f>(4*PI()*(AI40^2))/(Y40+E40)</f>
        <v>0.95911764175162317</v>
      </c>
      <c r="AK40" s="12">
        <f t="shared" si="3"/>
        <v>0.8009153318077803</v>
      </c>
      <c r="AL40" s="9" t="s">
        <v>144</v>
      </c>
      <c r="AM40" s="9" t="s">
        <v>142</v>
      </c>
      <c r="AN40" s="3">
        <v>5.7309000000000001</v>
      </c>
      <c r="AO40" s="3">
        <v>0.39379999999999998</v>
      </c>
      <c r="AP40" s="3">
        <v>6517.8</v>
      </c>
      <c r="AQ40" s="3">
        <v>5506.3</v>
      </c>
      <c r="AR40" s="3">
        <v>3.4070999999999998</v>
      </c>
      <c r="AS40" s="3">
        <v>8.3919000000000007E-3</v>
      </c>
      <c r="AT40" s="3">
        <v>0.71250999999999998</v>
      </c>
      <c r="AU40" s="3">
        <v>0.51417000000000002</v>
      </c>
      <c r="AV40" s="3">
        <v>0.11801</v>
      </c>
      <c r="AW40" s="3">
        <v>1.7270000000000001E-2</v>
      </c>
      <c r="AX40" s="3">
        <v>0.21904999999999999</v>
      </c>
      <c r="AY40" s="3">
        <v>-22.718</v>
      </c>
      <c r="AZ40" s="3">
        <v>-1037.4000000000001</v>
      </c>
      <c r="BA40" s="3">
        <v>0.27866000000000002</v>
      </c>
      <c r="BB40" s="3">
        <v>7.4589999999999996</v>
      </c>
      <c r="BC40" s="3" t="s">
        <v>162</v>
      </c>
      <c r="BD40" s="33" t="s">
        <v>163</v>
      </c>
      <c r="BE40" s="12" t="s">
        <v>167</v>
      </c>
    </row>
    <row r="41" spans="1:57" x14ac:dyDescent="0.25">
      <c r="A41" s="2" t="s">
        <v>49</v>
      </c>
      <c r="B41" s="2" t="s">
        <v>5</v>
      </c>
      <c r="C41" s="2" t="s">
        <v>6</v>
      </c>
      <c r="D41" s="2">
        <v>73</v>
      </c>
      <c r="E41" s="2">
        <v>11.894</v>
      </c>
      <c r="F41" s="2">
        <v>12.725</v>
      </c>
      <c r="G41" s="2">
        <v>4.66</v>
      </c>
      <c r="H41" s="2">
        <v>3.1</v>
      </c>
      <c r="I41" s="2">
        <v>3.66</v>
      </c>
      <c r="J41" s="2">
        <v>53.64</v>
      </c>
      <c r="K41" s="2">
        <v>29.81</v>
      </c>
      <c r="L41" s="2">
        <v>15.17</v>
      </c>
      <c r="M41" s="2">
        <v>4.33</v>
      </c>
      <c r="N41" s="2">
        <v>1</v>
      </c>
      <c r="O41" s="2">
        <v>3.66</v>
      </c>
      <c r="P41" s="9">
        <v>0.83198399999999995</v>
      </c>
      <c r="Q41" s="9">
        <v>1.1995800000000001</v>
      </c>
      <c r="R41" s="9">
        <v>2.45902E-2</v>
      </c>
      <c r="S41" s="9">
        <v>6.9105299999999995E-2</v>
      </c>
      <c r="T41" s="9">
        <v>8.6403199999999999E-2</v>
      </c>
      <c r="U41" s="9">
        <v>2.904E-2</v>
      </c>
      <c r="V41" s="9">
        <v>4.5156499999999999</v>
      </c>
      <c r="W41" s="9">
        <v>3.76437</v>
      </c>
      <c r="X41" s="9">
        <v>3.1318999999999999</v>
      </c>
      <c r="Y41" s="9">
        <v>41.969000000000001</v>
      </c>
      <c r="Z41" s="9">
        <v>31.572800000000001</v>
      </c>
      <c r="AA41" s="9">
        <f t="shared" si="4"/>
        <v>1.0285163934426229</v>
      </c>
      <c r="AB41" s="9">
        <f t="shared" si="5"/>
        <v>1.2732240437158471</v>
      </c>
      <c r="AC41" s="9">
        <f t="shared" si="6"/>
        <v>0.84699453551912562</v>
      </c>
      <c r="AD41" s="9">
        <f t="shared" si="7"/>
        <v>3.5285858416008073</v>
      </c>
      <c r="AE41" s="9">
        <f t="shared" si="8"/>
        <v>2.6545148814528332</v>
      </c>
      <c r="AF41" s="9">
        <f t="shared" si="9"/>
        <v>4.201327682557551</v>
      </c>
      <c r="AG41" s="9">
        <f t="shared" si="10"/>
        <v>1.9457589229578278</v>
      </c>
      <c r="AH41" s="9">
        <f t="shared" si="11"/>
        <v>0.96075158161431828</v>
      </c>
      <c r="AI41" s="9">
        <f t="shared" si="12"/>
        <v>1.9606865203084249</v>
      </c>
      <c r="AJ41" s="9">
        <f>(4*PI()*(AI41^2))/(Y41+E41)</f>
        <v>0.89688270953733407</v>
      </c>
      <c r="AK41" s="12">
        <f t="shared" si="3"/>
        <v>1</v>
      </c>
      <c r="AL41" s="9" t="s">
        <v>144</v>
      </c>
      <c r="AM41" s="9" t="s">
        <v>143</v>
      </c>
      <c r="AN41" s="2">
        <v>2.4681999999999999</v>
      </c>
      <c r="AO41" s="2">
        <v>0.26336999999999999</v>
      </c>
      <c r="AP41" s="2">
        <v>3846.5</v>
      </c>
      <c r="AQ41" s="2">
        <v>4034.8</v>
      </c>
      <c r="AR41" s="2">
        <v>1.4923999999999999</v>
      </c>
      <c r="AS41" s="2">
        <v>9.4122000000000008E-3</v>
      </c>
      <c r="AT41" s="2">
        <v>0.73860999999999999</v>
      </c>
      <c r="AU41" s="2">
        <v>1.1274</v>
      </c>
      <c r="AV41" s="2">
        <v>0.25324000000000002</v>
      </c>
      <c r="AW41" s="2">
        <v>6.1878999999999997E-3</v>
      </c>
      <c r="AX41" s="2">
        <v>0.10836</v>
      </c>
      <c r="AY41" s="2">
        <v>1.1356999999999999</v>
      </c>
      <c r="AZ41" s="2">
        <v>135.93</v>
      </c>
      <c r="BA41" s="2">
        <v>4.1640000000000003E-2</v>
      </c>
      <c r="BB41" s="2">
        <v>7.0590999999999999</v>
      </c>
      <c r="BC41" s="2" t="s">
        <v>162</v>
      </c>
      <c r="BD41" s="32" t="s">
        <v>163</v>
      </c>
      <c r="BE41" s="12" t="s">
        <v>167</v>
      </c>
    </row>
    <row r="42" spans="1:57" x14ac:dyDescent="0.25">
      <c r="A42" s="3" t="s">
        <v>50</v>
      </c>
      <c r="B42" s="3" t="s">
        <v>5</v>
      </c>
      <c r="C42" s="3" t="s">
        <v>6</v>
      </c>
      <c r="D42" s="3">
        <v>45</v>
      </c>
      <c r="E42" s="3">
        <v>43.316000000000003</v>
      </c>
      <c r="F42" s="3">
        <v>24.137</v>
      </c>
      <c r="G42" s="3">
        <v>11.72</v>
      </c>
      <c r="H42" s="3">
        <v>9.1999999999999993</v>
      </c>
      <c r="I42" s="3">
        <v>3.1</v>
      </c>
      <c r="J42" s="3">
        <v>84</v>
      </c>
      <c r="K42" s="3">
        <v>41</v>
      </c>
      <c r="L42" s="3">
        <v>35</v>
      </c>
      <c r="M42" s="3">
        <v>9.75</v>
      </c>
      <c r="N42" s="3">
        <v>1</v>
      </c>
      <c r="O42" s="3">
        <v>3.71</v>
      </c>
      <c r="P42" s="9">
        <v>1.2687200000000001</v>
      </c>
      <c r="Q42" s="9">
        <v>1.46716</v>
      </c>
      <c r="R42" s="9">
        <v>4.0983600000000002E-2</v>
      </c>
      <c r="S42" s="9">
        <v>0.12364600000000001</v>
      </c>
      <c r="T42" s="9">
        <v>0.13264200000000001</v>
      </c>
      <c r="U42" s="9">
        <v>1.7203E-2</v>
      </c>
      <c r="V42" s="9">
        <v>10.6465</v>
      </c>
      <c r="W42" s="9">
        <v>7.2564900000000003</v>
      </c>
      <c r="X42" s="9">
        <v>9.2064500000000002</v>
      </c>
      <c r="Y42" s="9">
        <v>283.64499999999998</v>
      </c>
      <c r="Z42" s="9">
        <v>513.15599999999995</v>
      </c>
      <c r="AA42" s="9">
        <f t="shared" si="4"/>
        <v>2.3408032258064515</v>
      </c>
      <c r="AB42" s="9">
        <f t="shared" si="5"/>
        <v>3.7806451612903227</v>
      </c>
      <c r="AC42" s="9">
        <f t="shared" si="6"/>
        <v>2.9677419354838706</v>
      </c>
      <c r="AD42" s="9">
        <f t="shared" si="7"/>
        <v>6.5482731554160116</v>
      </c>
      <c r="AE42" s="9">
        <f t="shared" si="8"/>
        <v>11.846800258564963</v>
      </c>
      <c r="AF42" s="9">
        <f t="shared" si="9"/>
        <v>4.4252946386650374</v>
      </c>
      <c r="AG42" s="9">
        <f t="shared" si="10"/>
        <v>3.7132076470266346</v>
      </c>
      <c r="AH42" s="9">
        <f t="shared" si="11"/>
        <v>0.96659782617162993</v>
      </c>
      <c r="AI42" s="9">
        <f t="shared" si="12"/>
        <v>4.9665361466329854</v>
      </c>
      <c r="AJ42" s="9">
        <f>(4*PI()*(AI42^2))/(Y42+E42)</f>
        <v>0.94802788624738832</v>
      </c>
      <c r="AK42" s="12">
        <f t="shared" si="3"/>
        <v>0.83557951482479786</v>
      </c>
      <c r="AL42" s="9" t="s">
        <v>144</v>
      </c>
      <c r="AM42" s="9" t="s">
        <v>143</v>
      </c>
      <c r="AN42" s="3">
        <v>2.1435</v>
      </c>
      <c r="AO42" s="3">
        <v>0.23794000000000001</v>
      </c>
      <c r="AP42" s="3">
        <v>1718.5</v>
      </c>
      <c r="AQ42" s="3">
        <v>1452.7</v>
      </c>
      <c r="AR42" s="3">
        <v>1.7806999999999999</v>
      </c>
      <c r="AS42" s="3">
        <v>1.3023E-2</v>
      </c>
      <c r="AT42" s="3">
        <v>0.70154000000000005</v>
      </c>
      <c r="AU42" s="3">
        <v>0.90730999999999995</v>
      </c>
      <c r="AV42" s="3">
        <v>0.27156999999999998</v>
      </c>
      <c r="AW42" s="3">
        <v>1.5181E-2</v>
      </c>
      <c r="AX42" s="3">
        <v>0.14230999999999999</v>
      </c>
      <c r="AY42" s="3">
        <v>-10.882</v>
      </c>
      <c r="AZ42" s="3">
        <v>-740.68</v>
      </c>
      <c r="BA42" s="3">
        <v>0.19170999999999999</v>
      </c>
      <c r="BB42" s="3">
        <v>6.3819999999999997</v>
      </c>
      <c r="BC42" s="3" t="s">
        <v>162</v>
      </c>
      <c r="BD42" s="33" t="s">
        <v>163</v>
      </c>
      <c r="BE42" s="12" t="s">
        <v>167</v>
      </c>
    </row>
    <row r="43" spans="1:57" x14ac:dyDescent="0.25">
      <c r="A43" s="2" t="s">
        <v>51</v>
      </c>
      <c r="B43" s="2" t="s">
        <v>40</v>
      </c>
      <c r="C43" s="2" t="s">
        <v>6</v>
      </c>
      <c r="D43" s="2">
        <v>66</v>
      </c>
      <c r="E43" s="2">
        <v>27.625</v>
      </c>
      <c r="F43" s="2">
        <v>19.265999999999998</v>
      </c>
      <c r="G43" s="2">
        <v>6.71</v>
      </c>
      <c r="H43" s="2">
        <v>4.2</v>
      </c>
      <c r="I43" s="2">
        <v>3.04</v>
      </c>
      <c r="J43" s="2">
        <v>18.55</v>
      </c>
      <c r="K43" s="2">
        <v>21.82</v>
      </c>
      <c r="L43" s="2">
        <v>8.2200000000000006</v>
      </c>
      <c r="M43" s="2">
        <v>6.67</v>
      </c>
      <c r="N43" s="2">
        <v>1</v>
      </c>
      <c r="O43" s="2">
        <v>2.68</v>
      </c>
      <c r="P43" s="9">
        <v>0.72958199999999995</v>
      </c>
      <c r="Q43" s="9">
        <v>1.11466</v>
      </c>
      <c r="R43" s="9">
        <v>0.22289200000000001</v>
      </c>
      <c r="S43" s="9">
        <v>3.5564699999999998E-2</v>
      </c>
      <c r="T43" s="9">
        <v>3.9568399999999997E-2</v>
      </c>
      <c r="U43" s="9">
        <v>5.1505199999999996E-3</v>
      </c>
      <c r="V43" s="9">
        <v>6.4785700000000004</v>
      </c>
      <c r="W43" s="9">
        <v>5.8121799999999997</v>
      </c>
      <c r="X43" s="9">
        <v>4.2404599999999997</v>
      </c>
      <c r="Y43" s="9">
        <v>83.331299999999999</v>
      </c>
      <c r="Z43" s="9">
        <v>95.213999999999999</v>
      </c>
      <c r="AA43" s="9">
        <f t="shared" si="4"/>
        <v>1.9119013157894735</v>
      </c>
      <c r="AB43" s="9">
        <f t="shared" si="5"/>
        <v>2.2072368421052633</v>
      </c>
      <c r="AC43" s="9">
        <f t="shared" si="6"/>
        <v>1.381578947368421</v>
      </c>
      <c r="AD43" s="9">
        <f t="shared" si="7"/>
        <v>3.0165176470588233</v>
      </c>
      <c r="AE43" s="9">
        <f t="shared" si="8"/>
        <v>3.446660633484163</v>
      </c>
      <c r="AF43" s="9">
        <f t="shared" si="9"/>
        <v>3.9964490753495299</v>
      </c>
      <c r="AG43" s="9">
        <f t="shared" si="10"/>
        <v>2.9653516833298572</v>
      </c>
      <c r="AH43" s="9">
        <f t="shared" si="11"/>
        <v>0.96708471542190455</v>
      </c>
      <c r="AI43" s="9">
        <f t="shared" si="12"/>
        <v>2.8327227279930307</v>
      </c>
      <c r="AJ43" s="9">
        <f>(4*PI()*(AI43^2))/(Y43+E43)</f>
        <v>0.90879521568527577</v>
      </c>
      <c r="AK43" s="12">
        <f t="shared" si="3"/>
        <v>1.1343283582089552</v>
      </c>
      <c r="AL43" s="9" t="s">
        <v>144</v>
      </c>
      <c r="AM43" s="9" t="s">
        <v>143</v>
      </c>
      <c r="AN43" s="2">
        <v>0.15731000000000001</v>
      </c>
      <c r="AO43" s="2">
        <v>2.8531999999999998E-2</v>
      </c>
      <c r="AP43" s="2">
        <v>296.91000000000003</v>
      </c>
      <c r="AQ43" s="2">
        <v>256.85000000000002</v>
      </c>
      <c r="AR43" s="2">
        <v>9.2823000000000003E-2</v>
      </c>
      <c r="AS43" s="2">
        <v>7.2975999999999999E-2</v>
      </c>
      <c r="AT43" s="2">
        <v>0.60236000000000001</v>
      </c>
      <c r="AU43" s="2">
        <v>17.901</v>
      </c>
      <c r="AV43" s="2">
        <v>0.98168</v>
      </c>
      <c r="AW43" s="2">
        <v>6.0250999999999999E-2</v>
      </c>
      <c r="AX43" s="2">
        <v>6.8928000000000001E-3</v>
      </c>
      <c r="AY43" s="2">
        <v>1711.2</v>
      </c>
      <c r="AZ43" s="2">
        <v>259.45999999999998</v>
      </c>
      <c r="BA43" s="2">
        <v>0.50187999999999999</v>
      </c>
      <c r="BB43" s="2">
        <v>66.878</v>
      </c>
      <c r="BC43" s="2" t="s">
        <v>162</v>
      </c>
      <c r="BD43" s="32" t="s">
        <v>163</v>
      </c>
      <c r="BE43" s="12" t="s">
        <v>168</v>
      </c>
    </row>
    <row r="44" spans="1:57" x14ac:dyDescent="0.25">
      <c r="A44" s="3" t="s">
        <v>52</v>
      </c>
      <c r="B44" s="3" t="s">
        <v>26</v>
      </c>
      <c r="C44" s="3" t="s">
        <v>14</v>
      </c>
      <c r="D44" s="3">
        <v>61</v>
      </c>
      <c r="E44" s="3">
        <v>44.743000000000002</v>
      </c>
      <c r="F44" s="3">
        <v>25.899000000000001</v>
      </c>
      <c r="G44" s="3">
        <v>14.18</v>
      </c>
      <c r="H44" s="3">
        <v>11.2</v>
      </c>
      <c r="I44" s="3">
        <v>2.5</v>
      </c>
      <c r="J44" s="3">
        <v>74.7</v>
      </c>
      <c r="K44" s="3">
        <v>48.31</v>
      </c>
      <c r="L44" s="3">
        <v>60</v>
      </c>
      <c r="M44" s="3">
        <v>10.5</v>
      </c>
      <c r="N44" s="3">
        <v>1</v>
      </c>
      <c r="O44" s="3">
        <v>2.95</v>
      </c>
      <c r="P44" s="9">
        <v>1.56955</v>
      </c>
      <c r="Q44" s="9">
        <v>1.7251700000000001</v>
      </c>
      <c r="R44" s="9">
        <v>0.121005</v>
      </c>
      <c r="S44" s="9">
        <v>0.18651499999999999</v>
      </c>
      <c r="T44" s="9">
        <v>0.25084499999999998</v>
      </c>
      <c r="U44" s="9">
        <v>0.15251100000000001</v>
      </c>
      <c r="V44" s="9">
        <v>12.1425</v>
      </c>
      <c r="W44" s="9">
        <v>7.0384599999999997</v>
      </c>
      <c r="X44" s="9">
        <v>11.0472</v>
      </c>
      <c r="Y44" s="9">
        <v>362.10399999999998</v>
      </c>
      <c r="Z44" s="9">
        <v>594.15099999999995</v>
      </c>
      <c r="AA44" s="9">
        <f t="shared" si="4"/>
        <v>2.8153839999999999</v>
      </c>
      <c r="AB44" s="9">
        <f t="shared" si="5"/>
        <v>5.6719999999999997</v>
      </c>
      <c r="AC44" s="9">
        <f t="shared" si="6"/>
        <v>4.4799999999999995</v>
      </c>
      <c r="AD44" s="9">
        <f t="shared" si="7"/>
        <v>8.0929754374986018</v>
      </c>
      <c r="AE44" s="9">
        <f t="shared" si="8"/>
        <v>13.279194510873207</v>
      </c>
      <c r="AF44" s="9">
        <f t="shared" si="9"/>
        <v>5.1235239110081912</v>
      </c>
      <c r="AG44" s="9">
        <f t="shared" si="10"/>
        <v>3.7738758905826972</v>
      </c>
      <c r="AH44" s="9">
        <f t="shared" si="11"/>
        <v>0.91555510046057687</v>
      </c>
      <c r="AI44" s="9">
        <f t="shared" si="12"/>
        <v>5.2151812629074712</v>
      </c>
      <c r="AJ44" s="9">
        <f>(4*PI()*(AI44^2))/(Y44+E44)</f>
        <v>0.84007403447580775</v>
      </c>
      <c r="AK44" s="12">
        <f t="shared" si="3"/>
        <v>0.84745762711864403</v>
      </c>
      <c r="AL44" s="9" t="s">
        <v>140</v>
      </c>
      <c r="AM44" s="9" t="s">
        <v>143</v>
      </c>
      <c r="AN44" s="3">
        <v>1.0212000000000001</v>
      </c>
      <c r="AO44" s="3">
        <v>0.15861</v>
      </c>
      <c r="AP44" s="3">
        <v>1065.5</v>
      </c>
      <c r="AQ44" s="3">
        <v>934.15</v>
      </c>
      <c r="AR44" s="3">
        <v>0.76810999999999996</v>
      </c>
      <c r="AS44" s="3">
        <v>6.7723000000000005E-2</v>
      </c>
      <c r="AT44" s="3">
        <v>0.59736999999999996</v>
      </c>
      <c r="AU44" s="3">
        <v>5.0582000000000003</v>
      </c>
      <c r="AV44" s="3">
        <v>0.65237000000000001</v>
      </c>
      <c r="AW44" s="3">
        <v>3.9983999999999999E-2</v>
      </c>
      <c r="AX44" s="3">
        <v>7.5410000000000005E-2</v>
      </c>
      <c r="AY44" s="3">
        <v>-15.238</v>
      </c>
      <c r="AZ44" s="3">
        <v>-245.94</v>
      </c>
      <c r="BA44" s="3">
        <v>0.36548999999999998</v>
      </c>
      <c r="BB44" s="3">
        <v>5.7531999999999996</v>
      </c>
      <c r="BC44" s="3" t="s">
        <v>162</v>
      </c>
      <c r="BD44" s="33" t="s">
        <v>163</v>
      </c>
      <c r="BE44" s="12" t="s">
        <v>167</v>
      </c>
    </row>
    <row r="45" spans="1:57" x14ac:dyDescent="0.25">
      <c r="A45" s="3" t="s">
        <v>53</v>
      </c>
      <c r="B45" s="3" t="s">
        <v>26</v>
      </c>
      <c r="C45" s="3" t="s">
        <v>14</v>
      </c>
      <c r="D45" s="3">
        <v>48</v>
      </c>
      <c r="E45" s="3">
        <v>20.096</v>
      </c>
      <c r="F45" s="3">
        <v>16.692</v>
      </c>
      <c r="G45" s="3">
        <v>7.2</v>
      </c>
      <c r="H45" s="3">
        <v>6.35</v>
      </c>
      <c r="I45" s="3">
        <v>2.5499999999999998</v>
      </c>
      <c r="J45" s="3">
        <v>55.3</v>
      </c>
      <c r="K45" s="3">
        <v>60</v>
      </c>
      <c r="L45" s="3">
        <v>33</v>
      </c>
      <c r="M45" s="3">
        <v>6.34</v>
      </c>
      <c r="N45" s="3">
        <v>1</v>
      </c>
      <c r="O45" s="3">
        <f>1.89+1.59</f>
        <v>3.48</v>
      </c>
      <c r="P45" s="9">
        <v>1.31331</v>
      </c>
      <c r="Q45" s="9">
        <v>1.22671</v>
      </c>
      <c r="R45" s="9">
        <v>0.15873000000000001</v>
      </c>
      <c r="S45" s="9">
        <v>0.122821</v>
      </c>
      <c r="T45" s="9">
        <v>0.14372099999999999</v>
      </c>
      <c r="U45" s="9">
        <v>4.29854E-2</v>
      </c>
      <c r="V45" s="9">
        <v>5.9666800000000002</v>
      </c>
      <c r="W45" s="9">
        <v>4.86395</v>
      </c>
      <c r="X45" s="9">
        <v>6.38788</v>
      </c>
      <c r="Y45" s="9">
        <v>105.58799999999999</v>
      </c>
      <c r="Z45" s="9">
        <v>114.32299999999999</v>
      </c>
      <c r="AA45" s="9">
        <f t="shared" si="4"/>
        <v>1.9074313725490197</v>
      </c>
      <c r="AB45" s="9">
        <f t="shared" si="5"/>
        <v>2.8235294117647061</v>
      </c>
      <c r="AC45" s="9">
        <f t="shared" si="6"/>
        <v>2.4901960784313726</v>
      </c>
      <c r="AD45" s="9">
        <f t="shared" si="7"/>
        <v>5.2541799363057322</v>
      </c>
      <c r="AE45" s="9">
        <f t="shared" si="8"/>
        <v>5.6888435509554141</v>
      </c>
      <c r="AF45" s="9">
        <f t="shared" si="9"/>
        <v>4.4825535737459319</v>
      </c>
      <c r="AG45" s="9">
        <f t="shared" si="10"/>
        <v>2.5291807908390926</v>
      </c>
      <c r="AH45" s="9">
        <f t="shared" si="11"/>
        <v>0.95203160700940759</v>
      </c>
      <c r="AI45" s="9">
        <f t="shared" si="12"/>
        <v>3.0107983386096602</v>
      </c>
      <c r="AJ45" s="9">
        <f>(4*PI()*(AI45^2))/(Y45+E45)</f>
        <v>0.90634429497556201</v>
      </c>
      <c r="AK45" s="12">
        <f t="shared" si="3"/>
        <v>0.73275862068965514</v>
      </c>
      <c r="AL45" s="9" t="s">
        <v>144</v>
      </c>
      <c r="AM45" s="9" t="s">
        <v>142</v>
      </c>
      <c r="AN45" s="3">
        <v>4.6742999999999997</v>
      </c>
      <c r="AO45" s="3">
        <v>0.39121</v>
      </c>
      <c r="AP45" s="3">
        <v>5176.1000000000004</v>
      </c>
      <c r="AQ45" s="3">
        <v>5255.4</v>
      </c>
      <c r="AR45" s="3">
        <v>2.4746999999999999</v>
      </c>
      <c r="AS45" s="3">
        <v>6.9093000000000002E-3</v>
      </c>
      <c r="AT45" s="3">
        <v>0.74526999999999999</v>
      </c>
      <c r="AU45" s="3">
        <v>0.56969999999999998</v>
      </c>
      <c r="AV45" s="3">
        <v>2.5302999999999999E-2</v>
      </c>
      <c r="AW45" s="3">
        <v>1.0255999999999999E-2</v>
      </c>
      <c r="AX45" s="3">
        <v>0.19935</v>
      </c>
      <c r="AY45" s="3">
        <v>-45.338999999999999</v>
      </c>
      <c r="AZ45" s="3">
        <v>-2084</v>
      </c>
      <c r="BA45" s="3">
        <v>0.14827000000000001</v>
      </c>
      <c r="BB45" s="3">
        <v>11.92</v>
      </c>
      <c r="BC45" s="3" t="s">
        <v>162</v>
      </c>
      <c r="BD45" s="33" t="s">
        <v>165</v>
      </c>
      <c r="BE45" s="12" t="s">
        <v>167</v>
      </c>
    </row>
    <row r="46" spans="1:57" x14ac:dyDescent="0.25">
      <c r="A46" s="2" t="s">
        <v>54</v>
      </c>
      <c r="B46" s="2" t="s">
        <v>5</v>
      </c>
      <c r="C46" s="2" t="s">
        <v>14</v>
      </c>
      <c r="D46" s="2">
        <v>56</v>
      </c>
      <c r="E46" s="2">
        <v>32.902999999999999</v>
      </c>
      <c r="F46" s="2">
        <v>21.564</v>
      </c>
      <c r="G46" s="2">
        <v>9.26</v>
      </c>
      <c r="H46" s="2">
        <v>6.4</v>
      </c>
      <c r="I46" s="2">
        <v>4.5</v>
      </c>
      <c r="J46" s="2">
        <v>61.25</v>
      </c>
      <c r="K46" s="2">
        <v>32.630000000000003</v>
      </c>
      <c r="L46" s="2">
        <v>43.22</v>
      </c>
      <c r="M46" s="2">
        <v>7.73</v>
      </c>
      <c r="N46" s="2">
        <v>2</v>
      </c>
      <c r="O46" s="2">
        <f>3.99+2.86</f>
        <v>6.85</v>
      </c>
      <c r="P46" s="9">
        <v>1.0326900000000001</v>
      </c>
      <c r="Q46" s="9">
        <v>1.26183</v>
      </c>
      <c r="R46" s="9">
        <v>0.49212600000000001</v>
      </c>
      <c r="S46" s="9">
        <v>0.104606</v>
      </c>
      <c r="T46" s="9">
        <v>0.123499</v>
      </c>
      <c r="U46" s="9">
        <v>5.2482300000000003E-2</v>
      </c>
      <c r="V46" s="9">
        <v>7.8628299999999998</v>
      </c>
      <c r="W46" s="9">
        <v>6.2312700000000003</v>
      </c>
      <c r="X46" s="9">
        <v>6.4349800000000004</v>
      </c>
      <c r="Y46" s="9">
        <v>146.459</v>
      </c>
      <c r="Z46" s="9">
        <v>193.41499999999999</v>
      </c>
      <c r="AA46" s="9">
        <f t="shared" si="4"/>
        <v>1.3847266666666667</v>
      </c>
      <c r="AB46" s="9">
        <f t="shared" si="5"/>
        <v>2.0577777777777779</v>
      </c>
      <c r="AC46" s="9">
        <f t="shared" si="6"/>
        <v>1.4222222222222223</v>
      </c>
      <c r="AD46" s="9">
        <f t="shared" si="7"/>
        <v>4.451235449655047</v>
      </c>
      <c r="AE46" s="9">
        <f t="shared" si="8"/>
        <v>5.8783393611524781</v>
      </c>
      <c r="AF46" s="9">
        <f t="shared" si="9"/>
        <v>4.3791447064676223</v>
      </c>
      <c r="AG46" s="9">
        <f t="shared" si="10"/>
        <v>3.2362555809307252</v>
      </c>
      <c r="AH46" s="9">
        <f t="shared" si="11"/>
        <v>0.94296018903644363</v>
      </c>
      <c r="AI46" s="9">
        <f t="shared" si="12"/>
        <v>3.5875710785447059</v>
      </c>
      <c r="AJ46" s="9">
        <f>(4*PI()*(AI46^2))/(Y46+E46)</f>
        <v>0.90173817236053666</v>
      </c>
      <c r="AK46" s="12">
        <f t="shared" si="3"/>
        <v>0.65693430656934315</v>
      </c>
      <c r="AL46" s="9" t="s">
        <v>144</v>
      </c>
      <c r="AM46" s="9" t="s">
        <v>142</v>
      </c>
      <c r="AN46" s="2">
        <v>5.2198000000000002</v>
      </c>
      <c r="AO46" s="2">
        <v>0.62153000000000003</v>
      </c>
      <c r="AP46" s="2">
        <v>5363.4</v>
      </c>
      <c r="AQ46" s="2">
        <v>4851.1000000000004</v>
      </c>
      <c r="AR46" s="2">
        <v>2.8854000000000002</v>
      </c>
      <c r="AS46" s="2">
        <v>3.4010999999999998E-3</v>
      </c>
      <c r="AT46" s="2">
        <v>0.77041999999999999</v>
      </c>
      <c r="AU46" s="2">
        <v>0.49249999999999999</v>
      </c>
      <c r="AV46" s="2">
        <v>1.7656999999999999E-2</v>
      </c>
      <c r="AW46" s="2">
        <v>2.3681000000000002E-3</v>
      </c>
      <c r="AX46" s="2">
        <v>0.23743</v>
      </c>
      <c r="AY46" s="2">
        <v>-5.9097999999999997</v>
      </c>
      <c r="AZ46" s="2">
        <v>-590.16</v>
      </c>
      <c r="BA46" s="2">
        <v>0.11438</v>
      </c>
      <c r="BB46" s="2">
        <v>4.5156999999999998</v>
      </c>
      <c r="BC46" s="2" t="s">
        <v>162</v>
      </c>
      <c r="BD46" s="32" t="s">
        <v>163</v>
      </c>
      <c r="BE46" s="12" t="s">
        <v>167</v>
      </c>
    </row>
    <row r="47" spans="1:57" x14ac:dyDescent="0.25">
      <c r="A47" s="3" t="s">
        <v>55</v>
      </c>
      <c r="B47" s="3" t="s">
        <v>13</v>
      </c>
      <c r="C47" s="3" t="s">
        <v>6</v>
      </c>
      <c r="D47" s="3">
        <v>49</v>
      </c>
      <c r="E47" s="3">
        <v>1.5804</v>
      </c>
      <c r="F47" s="3">
        <v>4.5453999999999999</v>
      </c>
      <c r="G47" s="3">
        <v>3.87</v>
      </c>
      <c r="H47" s="3">
        <v>3.5</v>
      </c>
      <c r="I47" s="3">
        <v>1.51</v>
      </c>
      <c r="J47" s="3">
        <v>42.11</v>
      </c>
      <c r="K47" s="3">
        <v>60.98</v>
      </c>
      <c r="L47" s="3">
        <v>57.3</v>
      </c>
      <c r="M47" s="3">
        <v>2.7</v>
      </c>
      <c r="N47" s="3">
        <v>2</v>
      </c>
      <c r="O47" s="3">
        <f>0.65+1.89</f>
        <v>2.54</v>
      </c>
      <c r="P47" s="9">
        <v>2.4727199999999998</v>
      </c>
      <c r="Q47" s="9">
        <v>2.1506699999999999</v>
      </c>
      <c r="R47" s="9">
        <v>-2.9411799999999998E-2</v>
      </c>
      <c r="S47" s="9">
        <v>0.20738100000000001</v>
      </c>
      <c r="T47" s="9">
        <v>0.22445399999999999</v>
      </c>
      <c r="U47" s="9">
        <v>4.56137E-2</v>
      </c>
      <c r="V47" s="9">
        <v>3.01152</v>
      </c>
      <c r="W47" s="9">
        <v>1.4002699999999999</v>
      </c>
      <c r="X47" s="9">
        <v>3.4624799999999998</v>
      </c>
      <c r="Y47" s="9">
        <v>26.089700000000001</v>
      </c>
      <c r="Z47" s="9">
        <v>12.103300000000001</v>
      </c>
      <c r="AA47" s="9">
        <f t="shared" si="4"/>
        <v>0.92733112582781452</v>
      </c>
      <c r="AB47" s="9">
        <f t="shared" si="5"/>
        <v>2.5629139072847682</v>
      </c>
      <c r="AC47" s="9">
        <f t="shared" si="6"/>
        <v>2.3178807947019866</v>
      </c>
      <c r="AD47" s="9">
        <f t="shared" si="7"/>
        <v>16.508289040749176</v>
      </c>
      <c r="AE47" s="9">
        <f t="shared" si="8"/>
        <v>7.6583776259174901</v>
      </c>
      <c r="AF47" s="9">
        <f t="shared" si="9"/>
        <v>4.9491796651232773</v>
      </c>
      <c r="AG47" s="9">
        <f t="shared" si="10"/>
        <v>0.70926507324473742</v>
      </c>
      <c r="AH47" s="9">
        <f t="shared" si="11"/>
        <v>0.98042942031658098</v>
      </c>
      <c r="AI47" s="9">
        <f t="shared" si="12"/>
        <v>1.4243117692843672</v>
      </c>
      <c r="AJ47" s="9">
        <f>(4*PI()*(AI47^2))/(Y47+E47)</f>
        <v>0.92131737429943938</v>
      </c>
      <c r="AK47" s="12">
        <f t="shared" si="3"/>
        <v>0.5944881889763779</v>
      </c>
      <c r="AL47" s="9" t="s">
        <v>140</v>
      </c>
      <c r="AM47" s="9" t="s">
        <v>142</v>
      </c>
      <c r="AN47" s="3">
        <v>1.8275999999999999</v>
      </c>
      <c r="AO47" s="3">
        <v>0.11144</v>
      </c>
      <c r="AP47" s="3">
        <v>5759.6</v>
      </c>
      <c r="AQ47" s="3">
        <v>4720.2</v>
      </c>
      <c r="AR47" s="3">
        <v>0.71704000000000001</v>
      </c>
      <c r="AS47" s="3">
        <v>1.2732E-2</v>
      </c>
      <c r="AT47" s="3">
        <v>0.73580000000000001</v>
      </c>
      <c r="AU47" s="3">
        <v>4.7662000000000004</v>
      </c>
      <c r="AV47" s="3">
        <v>0.73190999999999995</v>
      </c>
      <c r="AW47" s="3">
        <v>1.6544E-2</v>
      </c>
      <c r="AX47" s="3">
        <v>5.7660000000000003E-2</v>
      </c>
      <c r="AY47" s="3">
        <v>-2.2690999999999999</v>
      </c>
      <c r="AZ47" s="3">
        <v>-389.31</v>
      </c>
      <c r="BA47" s="3">
        <v>0.10405</v>
      </c>
      <c r="BB47" s="3">
        <v>8.8315000000000001</v>
      </c>
      <c r="BC47" s="3" t="s">
        <v>162</v>
      </c>
      <c r="BD47" s="33" t="s">
        <v>165</v>
      </c>
      <c r="BE47" s="12" t="s">
        <v>168</v>
      </c>
    </row>
    <row r="48" spans="1:57" x14ac:dyDescent="0.25">
      <c r="A48" s="2" t="s">
        <v>56</v>
      </c>
      <c r="B48" s="2" t="s">
        <v>13</v>
      </c>
      <c r="C48" s="2" t="s">
        <v>14</v>
      </c>
      <c r="D48" s="2">
        <v>43</v>
      </c>
      <c r="E48" s="2">
        <v>5.9265999999999996</v>
      </c>
      <c r="F48" s="2">
        <v>8.9772999999999996</v>
      </c>
      <c r="G48" s="2">
        <v>5.1100000000000003</v>
      </c>
      <c r="H48" s="2">
        <v>3.51</v>
      </c>
      <c r="I48" s="2">
        <v>2.4700000000000002</v>
      </c>
      <c r="J48" s="2">
        <v>101.37</v>
      </c>
      <c r="K48" s="2">
        <v>40.130000000000003</v>
      </c>
      <c r="L48" s="2">
        <v>14.07</v>
      </c>
      <c r="M48" s="2">
        <v>3.75</v>
      </c>
      <c r="N48" s="2">
        <v>2</v>
      </c>
      <c r="O48" s="2">
        <f>2.35+2.24</f>
        <v>4.59</v>
      </c>
      <c r="P48" s="9">
        <v>1.3421400000000001</v>
      </c>
      <c r="Q48" s="9">
        <v>1.2754399999999999</v>
      </c>
      <c r="R48" s="9">
        <v>-0.14285700000000001</v>
      </c>
      <c r="S48" s="9">
        <v>0.157301</v>
      </c>
      <c r="T48" s="9">
        <v>0.19708500000000001</v>
      </c>
      <c r="U48" s="9">
        <v>0.12650400000000001</v>
      </c>
      <c r="V48" s="9">
        <v>3.3815</v>
      </c>
      <c r="W48" s="9">
        <v>2.65124</v>
      </c>
      <c r="X48" s="9">
        <v>3.5583300000000002</v>
      </c>
      <c r="Y48" s="9">
        <v>33.5259</v>
      </c>
      <c r="Z48" s="9">
        <v>18.572199999999999</v>
      </c>
      <c r="AA48" s="9">
        <f t="shared" si="4"/>
        <v>1.0733765182186235</v>
      </c>
      <c r="AB48" s="9">
        <f t="shared" si="5"/>
        <v>2.068825910931174</v>
      </c>
      <c r="AC48" s="9">
        <f t="shared" si="6"/>
        <v>1.4210526315789471</v>
      </c>
      <c r="AD48" s="9">
        <f t="shared" si="7"/>
        <v>5.6568521580670206</v>
      </c>
      <c r="AE48" s="9">
        <f t="shared" si="8"/>
        <v>3.1337022913643571</v>
      </c>
      <c r="AF48" s="9">
        <f t="shared" si="9"/>
        <v>4.7804804234251383</v>
      </c>
      <c r="AG48" s="9">
        <f t="shared" si="10"/>
        <v>1.3734974959776425</v>
      </c>
      <c r="AH48" s="9">
        <f t="shared" si="11"/>
        <v>0.96130677221154193</v>
      </c>
      <c r="AI48" s="9">
        <f t="shared" si="12"/>
        <v>1.642826050303609</v>
      </c>
      <c r="AJ48" s="9">
        <f>(4*PI()*(AI48^2))/(Y48+E48)</f>
        <v>0.85964372467307371</v>
      </c>
      <c r="AK48" s="12">
        <f t="shared" si="3"/>
        <v>0.53812636165577343</v>
      </c>
      <c r="AL48" s="9" t="s">
        <v>140</v>
      </c>
      <c r="AM48" s="9" t="s">
        <v>142</v>
      </c>
      <c r="AN48" s="2">
        <v>4.1353999999999997</v>
      </c>
      <c r="AO48" s="2">
        <v>0.65044999999999997</v>
      </c>
      <c r="AP48" s="2">
        <v>6088.1</v>
      </c>
      <c r="AQ48" s="2">
        <v>5511.3</v>
      </c>
      <c r="AR48" s="2">
        <v>1.9048</v>
      </c>
      <c r="AS48" s="2">
        <v>1.0848E-2</v>
      </c>
      <c r="AT48" s="2">
        <v>0.73121999999999998</v>
      </c>
      <c r="AU48" s="2">
        <v>2.0124</v>
      </c>
      <c r="AV48" s="2">
        <v>0.15204999999999999</v>
      </c>
      <c r="AW48" s="2">
        <v>7.5992999999999998E-3</v>
      </c>
      <c r="AX48" s="2">
        <v>0.15823000000000001</v>
      </c>
      <c r="AY48" s="2">
        <v>0.22186</v>
      </c>
      <c r="AZ48" s="2">
        <v>-216.08</v>
      </c>
      <c r="BA48" s="2">
        <v>5.3725000000000002E-2</v>
      </c>
      <c r="BB48" s="2">
        <v>7.0416999999999996</v>
      </c>
      <c r="BC48" s="2" t="s">
        <v>162</v>
      </c>
      <c r="BD48" s="32" t="s">
        <v>163</v>
      </c>
      <c r="BE48" s="12" t="s">
        <v>168</v>
      </c>
    </row>
    <row r="49" spans="1:57" x14ac:dyDescent="0.25">
      <c r="A49" s="3" t="s">
        <v>57</v>
      </c>
      <c r="B49" s="3" t="s">
        <v>26</v>
      </c>
      <c r="C49" s="3" t="s">
        <v>14</v>
      </c>
      <c r="D49" s="3">
        <v>41</v>
      </c>
      <c r="E49" s="3">
        <v>6.1410999999999998</v>
      </c>
      <c r="F49" s="3">
        <v>9.1753</v>
      </c>
      <c r="G49" s="3">
        <v>5.76</v>
      </c>
      <c r="H49" s="3">
        <v>5.25</v>
      </c>
      <c r="I49" s="3">
        <v>2.4900000000000002</v>
      </c>
      <c r="J49" s="3">
        <v>57.2</v>
      </c>
      <c r="K49" s="3">
        <v>43.67</v>
      </c>
      <c r="L49" s="3">
        <v>81.260000000000005</v>
      </c>
      <c r="M49" s="3">
        <v>4.18</v>
      </c>
      <c r="N49" s="3">
        <v>2</v>
      </c>
      <c r="O49" s="3">
        <f>1.75+2.18</f>
        <v>3.93</v>
      </c>
      <c r="P49" s="9">
        <v>1.9160299999999999</v>
      </c>
      <c r="Q49" s="9">
        <v>1.75</v>
      </c>
      <c r="R49" s="9">
        <v>0.13106799999999999</v>
      </c>
      <c r="S49" s="9">
        <v>0.19039900000000001</v>
      </c>
      <c r="T49" s="9">
        <v>0.20660200000000001</v>
      </c>
      <c r="U49" s="9">
        <v>3.5806600000000001E-2</v>
      </c>
      <c r="V49" s="9">
        <v>4.7898199999999997</v>
      </c>
      <c r="W49" s="9">
        <v>2.7370399999999999</v>
      </c>
      <c r="X49" s="9">
        <v>5.2442700000000002</v>
      </c>
      <c r="Y49" s="9">
        <v>73.420900000000003</v>
      </c>
      <c r="Z49" s="9">
        <v>59.122900000000001</v>
      </c>
      <c r="AA49" s="9">
        <f t="shared" si="4"/>
        <v>1.0992128514056223</v>
      </c>
      <c r="AB49" s="9">
        <f t="shared" si="5"/>
        <v>2.3132530120481927</v>
      </c>
      <c r="AC49" s="9">
        <f t="shared" si="6"/>
        <v>2.1084337349397591</v>
      </c>
      <c r="AD49" s="9">
        <f t="shared" si="7"/>
        <v>11.955659409552036</v>
      </c>
      <c r="AE49" s="9">
        <f t="shared" si="8"/>
        <v>9.6274120271612578</v>
      </c>
      <c r="AF49" s="9">
        <f t="shared" si="9"/>
        <v>4.8378145722317569</v>
      </c>
      <c r="AG49" s="9">
        <f t="shared" si="10"/>
        <v>1.398131911531697</v>
      </c>
      <c r="AH49" s="9">
        <f t="shared" si="11"/>
        <v>0.95743156997971379</v>
      </c>
      <c r="AI49" s="9">
        <f t="shared" si="12"/>
        <v>2.416697946038957</v>
      </c>
      <c r="AJ49" s="9">
        <f>(4*PI()*(AI49^2))/(Y49+E49)</f>
        <v>0.92246292059294988</v>
      </c>
      <c r="AK49" s="12">
        <f t="shared" si="3"/>
        <v>0.63358778625954204</v>
      </c>
      <c r="AL49" s="9" t="s">
        <v>144</v>
      </c>
      <c r="AM49" s="9" t="s">
        <v>142</v>
      </c>
      <c r="AN49" s="3">
        <v>2.7810999999999999</v>
      </c>
      <c r="AO49" s="3">
        <v>0.27616000000000002</v>
      </c>
      <c r="AP49" s="3">
        <v>4662.1000000000004</v>
      </c>
      <c r="AQ49" s="3">
        <v>4270.8</v>
      </c>
      <c r="AR49" s="3">
        <v>1.343</v>
      </c>
      <c r="AS49" s="3">
        <v>1.2743000000000001E-2</v>
      </c>
      <c r="AT49" s="3">
        <v>0.73839999999999995</v>
      </c>
      <c r="AU49" s="3">
        <v>1.6950000000000001</v>
      </c>
      <c r="AV49" s="3">
        <v>0.31402999999999998</v>
      </c>
      <c r="AW49" s="3">
        <v>9.8893999999999996E-3</v>
      </c>
      <c r="AX49" s="3">
        <v>0.11595</v>
      </c>
      <c r="AY49" s="3">
        <v>-5.6642999999999999</v>
      </c>
      <c r="AZ49" s="3">
        <v>-324.8</v>
      </c>
      <c r="BA49" s="3">
        <v>0.20601</v>
      </c>
      <c r="BB49" s="3">
        <v>3.8973</v>
      </c>
      <c r="BC49" s="3" t="s">
        <v>162</v>
      </c>
      <c r="BD49" s="33" t="s">
        <v>163</v>
      </c>
      <c r="BE49" s="12" t="s">
        <v>167</v>
      </c>
    </row>
    <row r="50" spans="1:57" x14ac:dyDescent="0.25">
      <c r="A50" s="3" t="s">
        <v>58</v>
      </c>
      <c r="B50" s="3" t="s">
        <v>26</v>
      </c>
      <c r="C50" s="3" t="s">
        <v>14</v>
      </c>
      <c r="D50" s="3">
        <v>51</v>
      </c>
      <c r="E50" s="3">
        <v>7.2878999999999996</v>
      </c>
      <c r="F50" s="3">
        <v>10.082000000000001</v>
      </c>
      <c r="G50" s="3">
        <v>4.84</v>
      </c>
      <c r="H50" s="3">
        <v>3.18</v>
      </c>
      <c r="I50" s="3">
        <v>2.17</v>
      </c>
      <c r="J50" s="3">
        <v>44.18</v>
      </c>
      <c r="K50" s="3">
        <v>35.270000000000003</v>
      </c>
      <c r="L50" s="3">
        <v>71.77</v>
      </c>
      <c r="M50" s="3">
        <v>3.65</v>
      </c>
      <c r="N50" s="3">
        <v>2</v>
      </c>
      <c r="O50" s="3">
        <f>1.86+1.34</f>
        <v>3.2</v>
      </c>
      <c r="P50" s="9">
        <v>1.04633</v>
      </c>
      <c r="Q50" s="9">
        <v>1.2367600000000001</v>
      </c>
      <c r="R50" s="9">
        <v>0.48333300000000001</v>
      </c>
      <c r="S50" s="9">
        <v>0.118895</v>
      </c>
      <c r="T50" s="9">
        <v>0.13699600000000001</v>
      </c>
      <c r="U50" s="9">
        <v>4.0505100000000002E-2</v>
      </c>
      <c r="V50" s="9">
        <v>3.6331099999999998</v>
      </c>
      <c r="W50" s="9">
        <v>2.9375900000000001</v>
      </c>
      <c r="X50" s="9">
        <v>3.07369</v>
      </c>
      <c r="Y50" s="9">
        <v>29.2194</v>
      </c>
      <c r="Z50" s="9">
        <v>16.838899999999999</v>
      </c>
      <c r="AA50" s="9">
        <f t="shared" si="4"/>
        <v>1.3537281105990784</v>
      </c>
      <c r="AB50" s="9">
        <f t="shared" si="5"/>
        <v>2.2304147465437789</v>
      </c>
      <c r="AC50" s="9">
        <f t="shared" si="6"/>
        <v>1.4654377880184333</v>
      </c>
      <c r="AD50" s="9">
        <f t="shared" si="7"/>
        <v>4.0093030914255134</v>
      </c>
      <c r="AE50" s="9">
        <f t="shared" si="8"/>
        <v>2.3105284101044195</v>
      </c>
      <c r="AF50" s="9">
        <f t="shared" si="9"/>
        <v>4.447631682028657</v>
      </c>
      <c r="AG50" s="9">
        <f t="shared" si="10"/>
        <v>1.5230924527154772</v>
      </c>
      <c r="AH50" s="9">
        <f t="shared" si="11"/>
        <v>0.94920374135865937</v>
      </c>
      <c r="AI50" s="9">
        <f t="shared" si="12"/>
        <v>1.590041170412555</v>
      </c>
      <c r="AJ50" s="9">
        <f>(4*PI()*(AI50^2))/(Y50+E50)</f>
        <v>0.8702557237793056</v>
      </c>
      <c r="AK50" s="12">
        <f t="shared" si="3"/>
        <v>0.67812499999999998</v>
      </c>
      <c r="AL50" s="9" t="s">
        <v>144</v>
      </c>
      <c r="AM50" s="9" t="s">
        <v>142</v>
      </c>
      <c r="AN50" s="3">
        <v>4.4573999999999998</v>
      </c>
      <c r="AO50" s="3">
        <v>0.60213000000000005</v>
      </c>
      <c r="AP50" s="3">
        <v>11164</v>
      </c>
      <c r="AQ50" s="3">
        <v>10480</v>
      </c>
      <c r="AR50" s="3">
        <v>2.1214</v>
      </c>
      <c r="AS50" s="3">
        <v>2.3206999999999998E-2</v>
      </c>
      <c r="AT50" s="3">
        <v>0.69488000000000005</v>
      </c>
      <c r="AU50" s="3">
        <v>2.3266</v>
      </c>
      <c r="AV50" s="3">
        <v>0.18892</v>
      </c>
      <c r="AW50" s="3">
        <v>1.5571E-2</v>
      </c>
      <c r="AX50" s="3">
        <v>0.13388</v>
      </c>
      <c r="AY50" s="3">
        <v>0.57501999999999998</v>
      </c>
      <c r="AZ50" s="3">
        <v>-73.537000000000006</v>
      </c>
      <c r="BA50" s="3">
        <v>3.8876000000000001E-2</v>
      </c>
      <c r="BB50" s="3">
        <v>14.141999999999999</v>
      </c>
      <c r="BC50" s="3" t="s">
        <v>162</v>
      </c>
      <c r="BD50" s="33" t="s">
        <v>163</v>
      </c>
      <c r="BE50" s="12" t="s">
        <v>168</v>
      </c>
    </row>
    <row r="51" spans="1:57" x14ac:dyDescent="0.25">
      <c r="A51" s="3" t="s">
        <v>59</v>
      </c>
      <c r="B51" s="3" t="s">
        <v>26</v>
      </c>
      <c r="C51" s="3" t="s">
        <v>14</v>
      </c>
      <c r="D51" s="3">
        <v>53</v>
      </c>
      <c r="E51" s="3">
        <v>14.183</v>
      </c>
      <c r="F51" s="3">
        <v>13.715</v>
      </c>
      <c r="G51" s="3">
        <v>8.1300000000000008</v>
      </c>
      <c r="H51" s="3">
        <v>5.83</v>
      </c>
      <c r="I51" s="3">
        <v>2.4900000000000002</v>
      </c>
      <c r="J51" s="3">
        <v>26.59</v>
      </c>
      <c r="K51" s="3">
        <v>45.63</v>
      </c>
      <c r="L51" s="3">
        <v>59.93</v>
      </c>
      <c r="M51" s="3">
        <v>6.8</v>
      </c>
      <c r="N51" s="3">
        <v>2</v>
      </c>
      <c r="O51" s="3">
        <f>1.59+1.63</f>
        <v>3.2199999999999998</v>
      </c>
      <c r="P51" s="9">
        <v>1.4026000000000001</v>
      </c>
      <c r="Q51" s="9">
        <v>1.4007799999999999</v>
      </c>
      <c r="R51" s="9">
        <v>-0.108696</v>
      </c>
      <c r="S51" s="9">
        <v>0.19085199999999999</v>
      </c>
      <c r="T51" s="9">
        <v>0.210698</v>
      </c>
      <c r="U51" s="9">
        <v>6.3191499999999998E-2</v>
      </c>
      <c r="V51" s="9">
        <v>5.8259499999999997</v>
      </c>
      <c r="W51" s="9">
        <v>4.1590699999999998</v>
      </c>
      <c r="X51" s="9">
        <v>5.8335100000000004</v>
      </c>
      <c r="Y51" s="9">
        <v>97.196799999999996</v>
      </c>
      <c r="Z51" s="9">
        <v>89.357699999999994</v>
      </c>
      <c r="AA51" s="9">
        <f t="shared" si="4"/>
        <v>1.670309236947791</v>
      </c>
      <c r="AB51" s="9">
        <f t="shared" si="5"/>
        <v>3.2650602409638556</v>
      </c>
      <c r="AC51" s="9">
        <f t="shared" si="6"/>
        <v>2.3413654618473894</v>
      </c>
      <c r="AD51" s="9">
        <f t="shared" si="7"/>
        <v>6.8530494253683987</v>
      </c>
      <c r="AE51" s="9">
        <f t="shared" si="8"/>
        <v>6.3003384333356829</v>
      </c>
      <c r="AF51" s="9">
        <f t="shared" si="9"/>
        <v>4.8629220976138017</v>
      </c>
      <c r="AG51" s="9">
        <f t="shared" si="10"/>
        <v>2.1247562485482194</v>
      </c>
      <c r="AH51" s="9">
        <f t="shared" si="11"/>
        <v>0.9734041007813482</v>
      </c>
      <c r="AI51" s="9">
        <f t="shared" si="12"/>
        <v>2.7734124290478168</v>
      </c>
      <c r="AJ51" s="9">
        <f>(4*PI()*(AI51^2))/(Y51+E51)</f>
        <v>0.86782537638521906</v>
      </c>
      <c r="AK51" s="12">
        <f t="shared" si="3"/>
        <v>0.77329192546583858</v>
      </c>
      <c r="AL51" s="9" t="s">
        <v>140</v>
      </c>
      <c r="AM51" s="9" t="s">
        <v>142</v>
      </c>
      <c r="AN51" s="3">
        <v>2.3439999999999999</v>
      </c>
      <c r="AO51" s="3">
        <v>0.26945000000000002</v>
      </c>
      <c r="AP51" s="3">
        <v>3914.5</v>
      </c>
      <c r="AQ51" s="3">
        <v>3289.4</v>
      </c>
      <c r="AR51" s="3">
        <v>1.2205999999999999</v>
      </c>
      <c r="AS51" s="3">
        <v>2.6755000000000001E-2</v>
      </c>
      <c r="AT51" s="3">
        <v>0.69313999999999998</v>
      </c>
      <c r="AU51" s="3">
        <v>2.1097999999999999</v>
      </c>
      <c r="AV51" s="3">
        <v>0.20946000000000001</v>
      </c>
      <c r="AW51" s="3">
        <v>1.3823E-2</v>
      </c>
      <c r="AX51" s="3">
        <v>0.11904000000000001</v>
      </c>
      <c r="AY51" s="3">
        <v>-44.75</v>
      </c>
      <c r="AZ51" s="3">
        <v>-794.3</v>
      </c>
      <c r="BA51" s="3">
        <v>0.21145</v>
      </c>
      <c r="BB51" s="3">
        <v>25.824000000000002</v>
      </c>
      <c r="BC51" s="3" t="s">
        <v>162</v>
      </c>
      <c r="BD51" s="33" t="s">
        <v>165</v>
      </c>
      <c r="BE51" s="12" t="s">
        <v>168</v>
      </c>
    </row>
    <row r="52" spans="1:57" x14ac:dyDescent="0.25">
      <c r="A52" s="3" t="s">
        <v>60</v>
      </c>
      <c r="B52" s="3" t="s">
        <v>13</v>
      </c>
      <c r="C52" s="3" t="s">
        <v>14</v>
      </c>
      <c r="D52" s="3">
        <v>55</v>
      </c>
      <c r="E52" s="3">
        <v>47.584000000000003</v>
      </c>
      <c r="F52" s="3">
        <v>25.393000000000001</v>
      </c>
      <c r="G52" s="3">
        <v>12.89</v>
      </c>
      <c r="H52" s="3">
        <v>7.38</v>
      </c>
      <c r="I52" s="3">
        <v>2.56</v>
      </c>
      <c r="J52" s="3">
        <v>52.53</v>
      </c>
      <c r="K52" s="3">
        <v>30.81</v>
      </c>
      <c r="L52" s="3">
        <v>88</v>
      </c>
      <c r="M52" s="3">
        <v>7.7</v>
      </c>
      <c r="N52" s="3">
        <v>2</v>
      </c>
      <c r="O52" s="3">
        <f>2.46+1.62</f>
        <v>4.08</v>
      </c>
      <c r="P52" s="9">
        <v>0.973719</v>
      </c>
      <c r="Q52" s="9">
        <v>1.4398299999999999</v>
      </c>
      <c r="R52" s="9">
        <v>-0.24482799999999999</v>
      </c>
      <c r="S52" s="9">
        <v>0.13371</v>
      </c>
      <c r="T52" s="9">
        <v>0.157499</v>
      </c>
      <c r="U52" s="9">
        <v>0.10291500000000001</v>
      </c>
      <c r="V52" s="9">
        <v>10.8521</v>
      </c>
      <c r="W52" s="9">
        <v>7.5370499999999998</v>
      </c>
      <c r="X52" s="9">
        <v>7.3389699999999998</v>
      </c>
      <c r="Y52" s="9">
        <v>214.49700000000001</v>
      </c>
      <c r="Z52" s="9">
        <v>323.05399999999997</v>
      </c>
      <c r="AA52" s="9">
        <f t="shared" si="4"/>
        <v>2.9441601562499997</v>
      </c>
      <c r="AB52" s="9">
        <f t="shared" si="5"/>
        <v>5.03515625</v>
      </c>
      <c r="AC52" s="9">
        <f t="shared" si="6"/>
        <v>2.8828125</v>
      </c>
      <c r="AD52" s="9">
        <f t="shared" si="7"/>
        <v>4.5077547074646942</v>
      </c>
      <c r="AE52" s="9">
        <f t="shared" si="8"/>
        <v>6.789130800268997</v>
      </c>
      <c r="AF52" s="9">
        <f t="shared" si="9"/>
        <v>4.5558680847378703</v>
      </c>
      <c r="AG52" s="9">
        <f t="shared" si="10"/>
        <v>3.8918450154354165</v>
      </c>
      <c r="AH52" s="9">
        <f t="shared" si="11"/>
        <v>0.96298914735572483</v>
      </c>
      <c r="AI52" s="9">
        <f t="shared" si="12"/>
        <v>4.2565934377053658</v>
      </c>
      <c r="AJ52" s="9">
        <f>(4*PI()*(AI52^2))/(Y52+E52)</f>
        <v>0.86875770456660562</v>
      </c>
      <c r="AK52" s="12">
        <f t="shared" si="3"/>
        <v>0.62745098039215685</v>
      </c>
      <c r="AL52" s="9" t="s">
        <v>140</v>
      </c>
      <c r="AM52" s="9" t="s">
        <v>142</v>
      </c>
      <c r="AN52" s="3">
        <v>2.3323999999999998</v>
      </c>
      <c r="AO52" s="3">
        <v>0.40855000000000002</v>
      </c>
      <c r="AP52" s="3">
        <v>2691.7</v>
      </c>
      <c r="AQ52" s="3">
        <v>2322.8000000000002</v>
      </c>
      <c r="AR52" s="3">
        <v>1.5754999999999999</v>
      </c>
      <c r="AS52" s="3">
        <v>5.1344000000000001E-2</v>
      </c>
      <c r="AT52" s="3">
        <v>0.62985000000000002</v>
      </c>
      <c r="AU52" s="3">
        <v>1.5177</v>
      </c>
      <c r="AV52" s="3">
        <v>0.18323</v>
      </c>
      <c r="AW52" s="3">
        <v>4.5727999999999998E-2</v>
      </c>
      <c r="AX52" s="3">
        <v>0.13785</v>
      </c>
      <c r="AY52" s="3">
        <v>-82.632000000000005</v>
      </c>
      <c r="AZ52" s="3">
        <v>-430.96</v>
      </c>
      <c r="BA52" s="3">
        <v>0.47150999999999998</v>
      </c>
      <c r="BB52" s="3">
        <v>4.2195</v>
      </c>
      <c r="BC52" s="3" t="s">
        <v>164</v>
      </c>
      <c r="BD52" s="33" t="s">
        <v>165</v>
      </c>
      <c r="BE52" s="12" t="s">
        <v>168</v>
      </c>
    </row>
    <row r="53" spans="1:57" x14ac:dyDescent="0.25">
      <c r="A53" s="3" t="s">
        <v>61</v>
      </c>
      <c r="B53" s="3" t="s">
        <v>13</v>
      </c>
      <c r="C53" s="3" t="s">
        <v>14</v>
      </c>
      <c r="D53" s="3">
        <v>45</v>
      </c>
      <c r="E53" s="3">
        <v>16.530999999999999</v>
      </c>
      <c r="F53" s="3">
        <v>15.313000000000001</v>
      </c>
      <c r="G53" s="3">
        <v>11.87</v>
      </c>
      <c r="H53" s="3">
        <v>6.65</v>
      </c>
      <c r="I53" s="3">
        <v>2.19</v>
      </c>
      <c r="J53" s="3">
        <v>79.45</v>
      </c>
      <c r="K53" s="3">
        <v>8.9</v>
      </c>
      <c r="L53" s="3">
        <v>57.66</v>
      </c>
      <c r="M53" s="3">
        <v>6.47</v>
      </c>
      <c r="N53" s="3">
        <v>2</v>
      </c>
      <c r="O53" s="3">
        <f>1.12+2.1</f>
        <v>3.22</v>
      </c>
      <c r="P53" s="9">
        <v>1.51292</v>
      </c>
      <c r="Q53" s="9">
        <v>2.6666300000000001</v>
      </c>
      <c r="R53" s="9">
        <v>8.6466199999999993E-2</v>
      </c>
      <c r="S53" s="9">
        <v>0.207759</v>
      </c>
      <c r="T53" s="9">
        <v>0.22712499999999999</v>
      </c>
      <c r="U53" s="9">
        <v>5.3805600000000002E-2</v>
      </c>
      <c r="V53" s="9">
        <v>11.8744</v>
      </c>
      <c r="W53" s="9">
        <v>4.45296</v>
      </c>
      <c r="X53" s="9">
        <v>6.7369899999999996</v>
      </c>
      <c r="Y53" s="9">
        <v>207.113</v>
      </c>
      <c r="Z53" s="9">
        <v>269.31599999999997</v>
      </c>
      <c r="AA53" s="9">
        <f t="shared" si="4"/>
        <v>2.0333150684931507</v>
      </c>
      <c r="AB53" s="9">
        <f t="shared" si="5"/>
        <v>5.4200913242009134</v>
      </c>
      <c r="AC53" s="9">
        <f t="shared" si="6"/>
        <v>3.0365296803652972</v>
      </c>
      <c r="AD53" s="9">
        <f t="shared" si="7"/>
        <v>12.528764140100419</v>
      </c>
      <c r="AE53" s="9">
        <f t="shared" si="8"/>
        <v>16.291573407537353</v>
      </c>
      <c r="AF53" s="9">
        <f t="shared" si="9"/>
        <v>4.9662958668172807</v>
      </c>
      <c r="AG53" s="9">
        <f t="shared" si="10"/>
        <v>2.2939007669261202</v>
      </c>
      <c r="AH53" s="9">
        <f t="shared" si="11"/>
        <v>0.94122664369347508</v>
      </c>
      <c r="AI53" s="9">
        <f t="shared" si="12"/>
        <v>4.0061251778574309</v>
      </c>
      <c r="AJ53" s="9">
        <f>(4*PI()*(AI53^2))/(Y53+E53)</f>
        <v>0.90178216868172856</v>
      </c>
      <c r="AK53" s="12">
        <f t="shared" si="3"/>
        <v>0.68012422360248437</v>
      </c>
      <c r="AL53" s="9" t="s">
        <v>140</v>
      </c>
      <c r="AM53" s="9" t="s">
        <v>142</v>
      </c>
      <c r="AN53" s="3">
        <v>2.0735000000000001</v>
      </c>
      <c r="AO53" s="3">
        <v>0.17741999999999999</v>
      </c>
      <c r="AP53" s="3">
        <v>2541</v>
      </c>
      <c r="AQ53" s="3">
        <v>2169.8000000000002</v>
      </c>
      <c r="AR53" s="3">
        <v>1.2846</v>
      </c>
      <c r="AS53" s="3">
        <v>1.8296E-2</v>
      </c>
      <c r="AT53" s="3">
        <v>0.68769999999999998</v>
      </c>
      <c r="AU53" s="3">
        <v>1.9016</v>
      </c>
      <c r="AV53" s="3">
        <v>0.62151999999999996</v>
      </c>
      <c r="AW53" s="3">
        <v>2.1172E-2</v>
      </c>
      <c r="AX53" s="3">
        <v>0.10616</v>
      </c>
      <c r="AY53" s="3">
        <v>-10.368</v>
      </c>
      <c r="AZ53" s="3">
        <v>-445.88</v>
      </c>
      <c r="BA53" s="3">
        <v>0.27444000000000002</v>
      </c>
      <c r="BB53" s="3">
        <v>7.3334999999999999</v>
      </c>
      <c r="BC53" s="3" t="s">
        <v>164</v>
      </c>
      <c r="BD53" s="33" t="s">
        <v>165</v>
      </c>
      <c r="BE53" s="12" t="s">
        <v>168</v>
      </c>
    </row>
    <row r="54" spans="1:57" x14ac:dyDescent="0.25">
      <c r="A54" s="3" t="s">
        <v>62</v>
      </c>
      <c r="B54" s="3" t="s">
        <v>40</v>
      </c>
      <c r="C54" s="3" t="s">
        <v>14</v>
      </c>
      <c r="D54" s="3">
        <v>62</v>
      </c>
      <c r="E54" s="3">
        <v>14.016</v>
      </c>
      <c r="F54" s="3">
        <v>13.617000000000001</v>
      </c>
      <c r="G54" s="3">
        <v>8.11</v>
      </c>
      <c r="H54" s="3">
        <v>6.1</v>
      </c>
      <c r="I54" s="3">
        <v>2.86</v>
      </c>
      <c r="J54" s="3">
        <v>31.6</v>
      </c>
      <c r="K54" s="3">
        <v>42.5</v>
      </c>
      <c r="L54" s="3">
        <v>71.3</v>
      </c>
      <c r="M54" s="3">
        <v>5.7</v>
      </c>
      <c r="N54" s="3">
        <v>2</v>
      </c>
      <c r="O54" s="3">
        <f>1.5+1.85</f>
        <v>3.35</v>
      </c>
      <c r="P54" s="9">
        <v>1.48708</v>
      </c>
      <c r="Q54" s="9">
        <v>1.1897800000000001</v>
      </c>
      <c r="R54" s="9">
        <v>0.235537</v>
      </c>
      <c r="S54" s="9">
        <v>0.18088699999999999</v>
      </c>
      <c r="T54" s="9">
        <v>0.21729100000000001</v>
      </c>
      <c r="U54" s="9">
        <v>8.9833300000000005E-2</v>
      </c>
      <c r="V54" s="9">
        <v>4.9127799999999997</v>
      </c>
      <c r="W54" s="9">
        <v>4.1291599999999997</v>
      </c>
      <c r="X54" s="9">
        <v>6.14039</v>
      </c>
      <c r="Y54" s="9">
        <v>80.935900000000004</v>
      </c>
      <c r="Z54" s="9">
        <v>67.0505</v>
      </c>
      <c r="AA54" s="9">
        <f t="shared" si="4"/>
        <v>1.4437622377622377</v>
      </c>
      <c r="AB54" s="9">
        <f t="shared" si="5"/>
        <v>2.8356643356643354</v>
      </c>
      <c r="AC54" s="9">
        <f t="shared" si="6"/>
        <v>2.1328671328671329</v>
      </c>
      <c r="AD54" s="9">
        <f t="shared" si="7"/>
        <v>5.7745362442922374</v>
      </c>
      <c r="AE54" s="9">
        <f t="shared" si="8"/>
        <v>4.783854166666667</v>
      </c>
      <c r="AF54" s="9">
        <f t="shared" si="9"/>
        <v>4.9038802139584368</v>
      </c>
      <c r="AG54" s="9">
        <f t="shared" si="10"/>
        <v>2.1122100664356305</v>
      </c>
      <c r="AH54" s="9">
        <f t="shared" si="11"/>
        <v>0.9746204931413065</v>
      </c>
      <c r="AI54" s="9">
        <f t="shared" si="12"/>
        <v>2.5202162285944327</v>
      </c>
      <c r="AJ54" s="9">
        <f>(4*PI()*(AI54^2))/(Y54+E54)</f>
        <v>0.84058534130002882</v>
      </c>
      <c r="AK54" s="12">
        <f t="shared" si="3"/>
        <v>0.85373134328358202</v>
      </c>
      <c r="AL54" s="9" t="s">
        <v>140</v>
      </c>
      <c r="AM54" s="9" t="s">
        <v>142</v>
      </c>
      <c r="AN54" s="3">
        <v>0.87912999999999997</v>
      </c>
      <c r="AO54" s="3">
        <v>0.19156000000000001</v>
      </c>
      <c r="AP54" s="3">
        <v>1591.9</v>
      </c>
      <c r="AQ54" s="3">
        <v>1427.2</v>
      </c>
      <c r="AR54" s="3">
        <v>0.64981</v>
      </c>
      <c r="AS54" s="3">
        <v>1.9872000000000001E-2</v>
      </c>
      <c r="AT54" s="3">
        <v>0.66456000000000004</v>
      </c>
      <c r="AU54" s="3">
        <v>6.8404999999999996</v>
      </c>
      <c r="AV54" s="3">
        <v>0.5958</v>
      </c>
      <c r="AW54" s="3">
        <v>1.1728000000000001E-2</v>
      </c>
      <c r="AX54" s="3">
        <v>6.0187999999999998E-2</v>
      </c>
      <c r="AY54" s="3">
        <v>-6.0396999999999998</v>
      </c>
      <c r="AZ54" s="3">
        <v>-191.73</v>
      </c>
      <c r="BA54" s="3">
        <v>0.14104</v>
      </c>
      <c r="BB54" s="3">
        <v>11.242000000000001</v>
      </c>
      <c r="BC54" s="3" t="s">
        <v>164</v>
      </c>
      <c r="BD54" s="33" t="s">
        <v>165</v>
      </c>
      <c r="BE54" s="12" t="s">
        <v>167</v>
      </c>
    </row>
    <row r="55" spans="1:57" x14ac:dyDescent="0.25">
      <c r="A55" s="3" t="s">
        <v>63</v>
      </c>
      <c r="B55" s="3" t="s">
        <v>13</v>
      </c>
      <c r="C55" s="3" t="s">
        <v>14</v>
      </c>
      <c r="D55" s="3">
        <v>65</v>
      </c>
      <c r="E55" s="3">
        <v>8.9788999999999994</v>
      </c>
      <c r="F55" s="3">
        <v>10.919</v>
      </c>
      <c r="G55" s="3">
        <v>11.14</v>
      </c>
      <c r="H55" s="3">
        <v>9.4</v>
      </c>
      <c r="I55" s="3">
        <v>2.17</v>
      </c>
      <c r="J55" s="3">
        <v>80.27</v>
      </c>
      <c r="K55" s="3">
        <v>52.89</v>
      </c>
      <c r="L55" s="3">
        <v>53</v>
      </c>
      <c r="M55" s="3">
        <v>6.9</v>
      </c>
      <c r="N55" s="3">
        <v>2</v>
      </c>
      <c r="O55" s="3">
        <f>2.24+0.91</f>
        <v>3.1500000000000004</v>
      </c>
      <c r="P55" s="9">
        <v>2.84341</v>
      </c>
      <c r="Q55" s="9">
        <v>2.6465999999999998</v>
      </c>
      <c r="R55" s="9">
        <v>4.78723E-2</v>
      </c>
      <c r="S55" s="9">
        <v>0.23343</v>
      </c>
      <c r="T55" s="9">
        <v>0.26620500000000002</v>
      </c>
      <c r="U55" s="9">
        <v>0.10800899999999999</v>
      </c>
      <c r="V55" s="9">
        <v>8.8227700000000002</v>
      </c>
      <c r="W55" s="9">
        <v>3.3336299999999999</v>
      </c>
      <c r="X55" s="9">
        <v>9.4788800000000002</v>
      </c>
      <c r="Y55" s="9">
        <v>195.65700000000001</v>
      </c>
      <c r="Z55" s="9">
        <v>228.767</v>
      </c>
      <c r="AA55" s="9">
        <f t="shared" si="4"/>
        <v>1.5362350230414747</v>
      </c>
      <c r="AB55" s="9">
        <f t="shared" si="5"/>
        <v>5.1336405529953923</v>
      </c>
      <c r="AC55" s="9">
        <f t="shared" si="6"/>
        <v>4.3317972350230418</v>
      </c>
      <c r="AD55" s="9">
        <f t="shared" si="7"/>
        <v>21.790753878537462</v>
      </c>
      <c r="AE55" s="9">
        <f t="shared" si="8"/>
        <v>25.478287986278943</v>
      </c>
      <c r="AF55" s="9">
        <f t="shared" si="9"/>
        <v>5.2307802132395222</v>
      </c>
      <c r="AG55" s="9">
        <f t="shared" si="10"/>
        <v>1.6905835196924279</v>
      </c>
      <c r="AH55" s="9">
        <f t="shared" si="11"/>
        <v>0.97282255989480848</v>
      </c>
      <c r="AI55" s="9">
        <f t="shared" si="12"/>
        <v>3.7940372389181376</v>
      </c>
      <c r="AJ55" s="9">
        <f>(4*PI()*(AI55^2))/(Y55+E55)</f>
        <v>0.88395715729135305</v>
      </c>
      <c r="AK55" s="12">
        <f t="shared" si="3"/>
        <v>0.68888888888888877</v>
      </c>
      <c r="AL55" s="9" t="s">
        <v>140</v>
      </c>
      <c r="AM55" s="9" t="s">
        <v>142</v>
      </c>
      <c r="AN55" s="3">
        <v>0.35027999999999998</v>
      </c>
      <c r="AO55" s="3">
        <v>5.0173000000000002E-2</v>
      </c>
      <c r="AP55" s="3">
        <v>592.64</v>
      </c>
      <c r="AQ55" s="3">
        <v>552.4</v>
      </c>
      <c r="AR55" s="3">
        <v>0.22864000000000001</v>
      </c>
      <c r="AS55" s="3">
        <v>2.1753999999999999E-2</v>
      </c>
      <c r="AT55" s="3">
        <v>0.66669</v>
      </c>
      <c r="AU55" s="3">
        <v>14.705</v>
      </c>
      <c r="AV55" s="3">
        <v>0.90808999999999995</v>
      </c>
      <c r="AW55" s="3">
        <v>2.0455999999999998E-2</v>
      </c>
      <c r="AX55" s="3">
        <v>1.3808000000000001E-2</v>
      </c>
      <c r="AY55" s="3">
        <v>-3.0762</v>
      </c>
      <c r="AZ55" s="3">
        <v>-54.29</v>
      </c>
      <c r="BA55" s="3">
        <v>0.53200999999999998</v>
      </c>
      <c r="BB55" s="3">
        <v>3.1069</v>
      </c>
      <c r="BC55" s="3" t="s">
        <v>164</v>
      </c>
      <c r="BD55" s="33" t="s">
        <v>165</v>
      </c>
      <c r="BE55" s="12" t="s">
        <v>167</v>
      </c>
    </row>
    <row r="56" spans="1:57" x14ac:dyDescent="0.25">
      <c r="A56" s="3" t="s">
        <v>64</v>
      </c>
      <c r="B56" s="3" t="s">
        <v>13</v>
      </c>
      <c r="C56" s="3" t="s">
        <v>6</v>
      </c>
      <c r="D56" s="3">
        <v>51</v>
      </c>
      <c r="E56" s="3">
        <v>2.6204999999999998</v>
      </c>
      <c r="F56" s="3">
        <v>5.9812000000000003</v>
      </c>
      <c r="G56" s="3">
        <v>3.86</v>
      </c>
      <c r="H56" s="3">
        <v>3.23</v>
      </c>
      <c r="I56" s="3">
        <v>2.2200000000000002</v>
      </c>
      <c r="J56" s="3">
        <v>83.25</v>
      </c>
      <c r="K56" s="3">
        <v>54.06</v>
      </c>
      <c r="L56" s="3">
        <v>52.37</v>
      </c>
      <c r="M56" s="3">
        <v>2.95</v>
      </c>
      <c r="N56" s="3">
        <v>2</v>
      </c>
      <c r="O56" s="3">
        <f>1.52+2.1</f>
        <v>3.62</v>
      </c>
      <c r="P56" s="9">
        <v>1.7898099999999999</v>
      </c>
      <c r="Q56" s="9">
        <v>1.2216899999999999</v>
      </c>
      <c r="R56" s="9">
        <v>0.209677</v>
      </c>
      <c r="S56" s="9">
        <v>0.21907699999999999</v>
      </c>
      <c r="T56" s="9">
        <v>0.28260400000000002</v>
      </c>
      <c r="U56" s="9">
        <v>0.20691799999999999</v>
      </c>
      <c r="V56" s="9">
        <v>2.1682399999999999</v>
      </c>
      <c r="W56" s="9">
        <v>1.7747900000000001</v>
      </c>
      <c r="X56" s="9">
        <v>3.1765400000000001</v>
      </c>
      <c r="Y56" s="9">
        <v>18.159400000000002</v>
      </c>
      <c r="Z56" s="9">
        <v>6.2528600000000001</v>
      </c>
      <c r="AA56" s="9">
        <f t="shared" si="4"/>
        <v>0.79945495495495489</v>
      </c>
      <c r="AB56" s="9">
        <f t="shared" si="5"/>
        <v>1.7387387387387385</v>
      </c>
      <c r="AC56" s="9">
        <f t="shared" si="6"/>
        <v>1.4549549549549547</v>
      </c>
      <c r="AD56" s="9">
        <f t="shared" si="7"/>
        <v>6.9297462316351854</v>
      </c>
      <c r="AE56" s="9">
        <f t="shared" si="8"/>
        <v>2.3861324174775809</v>
      </c>
      <c r="AF56" s="9">
        <f t="shared" si="9"/>
        <v>5.3503520381092757</v>
      </c>
      <c r="AG56" s="9">
        <f t="shared" si="10"/>
        <v>0.91330775576725687</v>
      </c>
      <c r="AH56" s="9">
        <f t="shared" si="11"/>
        <v>0.95941982745435539</v>
      </c>
      <c r="AI56" s="9">
        <f t="shared" si="12"/>
        <v>1.1428696468899688</v>
      </c>
      <c r="AJ56" s="9">
        <f>(4*PI()*(AI56^2))/(Y56+E56)</f>
        <v>0.7898776182066588</v>
      </c>
      <c r="AK56" s="12">
        <f t="shared" si="3"/>
        <v>0.61325966850828728</v>
      </c>
      <c r="AL56" s="9" t="s">
        <v>140</v>
      </c>
      <c r="AM56" s="9" t="s">
        <v>142</v>
      </c>
      <c r="AN56" s="3">
        <v>0.64712999999999998</v>
      </c>
      <c r="AO56" s="3">
        <v>8.5533999999999999E-2</v>
      </c>
      <c r="AP56" s="3">
        <v>2738.3</v>
      </c>
      <c r="AQ56" s="3">
        <v>2412.1</v>
      </c>
      <c r="AR56" s="3">
        <v>0.26517000000000002</v>
      </c>
      <c r="AS56" s="3">
        <v>4.3646999999999998E-2</v>
      </c>
      <c r="AT56" s="3">
        <v>0.67876999999999998</v>
      </c>
      <c r="AU56" s="3">
        <v>1882.3</v>
      </c>
      <c r="AV56" s="3">
        <v>0.81079000000000001</v>
      </c>
      <c r="AW56" s="3">
        <v>4.5454000000000001E-2</v>
      </c>
      <c r="AX56" s="3">
        <v>1.7520999999999998E-2</v>
      </c>
      <c r="AY56" s="3">
        <v>3.4922</v>
      </c>
      <c r="AZ56" s="3">
        <v>137.01</v>
      </c>
      <c r="BA56" s="3">
        <v>6.3527E-2</v>
      </c>
      <c r="BB56" s="3">
        <v>11.052</v>
      </c>
      <c r="BC56" s="3" t="s">
        <v>162</v>
      </c>
      <c r="BD56" s="33" t="s">
        <v>163</v>
      </c>
      <c r="BE56" s="12" t="s">
        <v>168</v>
      </c>
    </row>
    <row r="57" spans="1:57" x14ac:dyDescent="0.25">
      <c r="A57" s="3" t="s">
        <v>65</v>
      </c>
      <c r="B57" s="3" t="s">
        <v>13</v>
      </c>
      <c r="C57" s="3" t="s">
        <v>14</v>
      </c>
      <c r="D57" s="3">
        <v>71</v>
      </c>
      <c r="E57" s="3">
        <v>18.826000000000001</v>
      </c>
      <c r="F57" s="3">
        <v>16.206</v>
      </c>
      <c r="G57" s="3">
        <v>11.77</v>
      </c>
      <c r="H57" s="3">
        <v>7.4</v>
      </c>
      <c r="I57" s="3">
        <v>1.31</v>
      </c>
      <c r="J57" s="3">
        <v>61.71</v>
      </c>
      <c r="K57" s="3">
        <v>36.21</v>
      </c>
      <c r="L57" s="3">
        <v>78.22</v>
      </c>
      <c r="M57" s="3">
        <v>8.4</v>
      </c>
      <c r="N57" s="3">
        <v>2</v>
      </c>
      <c r="O57" s="3">
        <f>1.25+1.41</f>
        <v>2.66</v>
      </c>
      <c r="P57" s="9">
        <v>1.53654</v>
      </c>
      <c r="Q57" s="9">
        <v>2.2032699999999998</v>
      </c>
      <c r="R57" s="9">
        <v>-0.22602700000000001</v>
      </c>
      <c r="S57" s="9">
        <v>0.20029</v>
      </c>
      <c r="T57" s="9">
        <v>0.21926899999999999</v>
      </c>
      <c r="U57" s="9">
        <v>8.1076700000000002E-2</v>
      </c>
      <c r="V57" s="9">
        <v>10.545199999999999</v>
      </c>
      <c r="W57" s="9">
        <v>4.7861500000000001</v>
      </c>
      <c r="X57" s="9">
        <v>7.3541299999999996</v>
      </c>
      <c r="Y57" s="9">
        <v>197.392</v>
      </c>
      <c r="Z57" s="9">
        <v>254.411</v>
      </c>
      <c r="AA57" s="9">
        <f t="shared" si="4"/>
        <v>3.6535496183206106</v>
      </c>
      <c r="AB57" s="9">
        <f t="shared" si="5"/>
        <v>8.9847328244274802</v>
      </c>
      <c r="AC57" s="9">
        <f t="shared" si="6"/>
        <v>5.6488549618320612</v>
      </c>
      <c r="AD57" s="9">
        <f t="shared" si="7"/>
        <v>10.485073834059278</v>
      </c>
      <c r="AE57" s="9">
        <f t="shared" si="8"/>
        <v>13.513810687347286</v>
      </c>
      <c r="AF57" s="9">
        <f t="shared" si="9"/>
        <v>4.9163065775889914</v>
      </c>
      <c r="AG57" s="9">
        <f t="shared" si="10"/>
        <v>2.4479587245899479</v>
      </c>
      <c r="AH57" s="9">
        <f t="shared" si="11"/>
        <v>0.94909158897480195</v>
      </c>
      <c r="AI57" s="9">
        <f t="shared" si="12"/>
        <v>3.9308133761490409</v>
      </c>
      <c r="AJ57" s="9">
        <f>(4*PI()*(AI57^2))/(Y57+E57)</f>
        <v>0.89801350645379929</v>
      </c>
      <c r="AK57" s="12">
        <f t="shared" si="3"/>
        <v>0.4924812030075188</v>
      </c>
      <c r="AL57" s="9" t="s">
        <v>140</v>
      </c>
      <c r="AM57" s="9" t="s">
        <v>142</v>
      </c>
      <c r="AN57" s="3">
        <v>3.4588000000000001</v>
      </c>
      <c r="AO57" s="3">
        <v>0.26677000000000001</v>
      </c>
      <c r="AP57" s="3">
        <v>4229.3</v>
      </c>
      <c r="AQ57" s="3">
        <v>3667.1</v>
      </c>
      <c r="AR57" s="3">
        <v>1.8161</v>
      </c>
      <c r="AS57" s="3">
        <v>2.4261999999999999E-2</v>
      </c>
      <c r="AT57" s="3">
        <v>0.70618999999999998</v>
      </c>
      <c r="AU57" s="3">
        <v>2.0282</v>
      </c>
      <c r="AV57" s="3">
        <v>0.52749999999999997</v>
      </c>
      <c r="AW57" s="3">
        <v>2.1181999999999999E-2</v>
      </c>
      <c r="AX57" s="3">
        <v>0.14446000000000001</v>
      </c>
      <c r="AY57" s="3">
        <v>-99.290999999999997</v>
      </c>
      <c r="AZ57" s="3">
        <v>-447.11</v>
      </c>
      <c r="BA57" s="3">
        <v>0.91995000000000005</v>
      </c>
      <c r="BB57" s="3">
        <v>3.3336000000000001</v>
      </c>
      <c r="BC57" s="3" t="s">
        <v>162</v>
      </c>
      <c r="BD57" s="33" t="s">
        <v>165</v>
      </c>
      <c r="BE57" s="12" t="s">
        <v>168</v>
      </c>
    </row>
    <row r="58" spans="1:57" x14ac:dyDescent="0.25">
      <c r="A58" s="3" t="s">
        <v>66</v>
      </c>
      <c r="B58" s="3" t="s">
        <v>26</v>
      </c>
      <c r="C58" s="3" t="s">
        <v>14</v>
      </c>
      <c r="D58" s="3">
        <v>71</v>
      </c>
      <c r="E58" s="3">
        <v>24.41</v>
      </c>
      <c r="F58" s="3">
        <v>18.393999999999998</v>
      </c>
      <c r="G58" s="3">
        <v>7.44</v>
      </c>
      <c r="H58" s="3">
        <v>4.7</v>
      </c>
      <c r="I58" s="3">
        <v>2.76</v>
      </c>
      <c r="J58" s="3">
        <v>28.16</v>
      </c>
      <c r="K58" s="3">
        <v>25.71</v>
      </c>
      <c r="L58" s="3">
        <v>40.15</v>
      </c>
      <c r="M58" s="3">
        <v>6.75</v>
      </c>
      <c r="N58" s="3">
        <v>2</v>
      </c>
      <c r="O58" s="3">
        <f>2.28+0.97</f>
        <v>3.25</v>
      </c>
      <c r="P58" s="9">
        <v>0.88392099999999996</v>
      </c>
      <c r="Q58" s="9">
        <v>1.46011</v>
      </c>
      <c r="R58" s="9">
        <v>0.112903</v>
      </c>
      <c r="S58" s="9">
        <v>9.1907000000000003E-2</v>
      </c>
      <c r="T58" s="9">
        <v>0.11630699999999999</v>
      </c>
      <c r="U58" s="9">
        <v>5.8725199999999998E-2</v>
      </c>
      <c r="V58" s="9">
        <v>7.8299599999999998</v>
      </c>
      <c r="W58" s="9">
        <v>5.3625800000000003</v>
      </c>
      <c r="X58" s="9">
        <v>4.7401</v>
      </c>
      <c r="Y58" s="9">
        <v>93.305999999999997</v>
      </c>
      <c r="Z58" s="9">
        <v>99.564700000000002</v>
      </c>
      <c r="AA58" s="9">
        <f t="shared" si="4"/>
        <v>1.9429637681159424</v>
      </c>
      <c r="AB58" s="9">
        <f t="shared" si="5"/>
        <v>2.6956521739130439</v>
      </c>
      <c r="AC58" s="9">
        <f t="shared" si="6"/>
        <v>1.7028985507246379</v>
      </c>
      <c r="AD58" s="9">
        <f t="shared" si="7"/>
        <v>3.8224498156493238</v>
      </c>
      <c r="AE58" s="9">
        <f t="shared" si="8"/>
        <v>4.0788488324457193</v>
      </c>
      <c r="AF58" s="9">
        <f t="shared" si="9"/>
        <v>4.3434948617150555</v>
      </c>
      <c r="AG58" s="9">
        <f t="shared" si="10"/>
        <v>2.7874619857042591</v>
      </c>
      <c r="AH58" s="9">
        <f t="shared" si="11"/>
        <v>0.95216593415780337</v>
      </c>
      <c r="AI58" s="9">
        <f t="shared" si="12"/>
        <v>2.8752278077811946</v>
      </c>
      <c r="AJ58" s="9">
        <f>(4*PI()*(AI58^2))/(Y58+E58)</f>
        <v>0.88250848129611825</v>
      </c>
      <c r="AK58" s="12">
        <f t="shared" si="3"/>
        <v>0.84923076923076912</v>
      </c>
      <c r="AL58" s="9" t="s">
        <v>140</v>
      </c>
      <c r="AM58" s="9" t="s">
        <v>142</v>
      </c>
      <c r="AN58" s="3">
        <v>6.3316999999999997</v>
      </c>
      <c r="AO58" s="3">
        <v>0.38051000000000001</v>
      </c>
      <c r="AP58" s="3">
        <v>7563.6</v>
      </c>
      <c r="AQ58" s="3">
        <v>7218.5</v>
      </c>
      <c r="AR58" s="3">
        <v>3.18</v>
      </c>
      <c r="AS58" s="3">
        <v>8.5042E-3</v>
      </c>
      <c r="AT58" s="3">
        <v>0.71989000000000003</v>
      </c>
      <c r="AU58" s="3">
        <v>0.51088999999999996</v>
      </c>
      <c r="AV58" s="3">
        <v>8.8468000000000005E-2</v>
      </c>
      <c r="AW58" s="3">
        <v>7.3534999999999998E-3</v>
      </c>
      <c r="AX58" s="3">
        <v>0.24859999999999999</v>
      </c>
      <c r="AY58" s="3">
        <v>-35.106000000000002</v>
      </c>
      <c r="AZ58" s="3">
        <v>-4173</v>
      </c>
      <c r="BA58" s="3">
        <v>8.1708000000000003E-2</v>
      </c>
      <c r="BB58" s="3">
        <v>22.117000000000001</v>
      </c>
      <c r="BC58" s="3" t="s">
        <v>162</v>
      </c>
      <c r="BD58" s="33" t="s">
        <v>165</v>
      </c>
      <c r="BE58" s="12" t="s">
        <v>167</v>
      </c>
    </row>
    <row r="59" spans="1:57" x14ac:dyDescent="0.25">
      <c r="A59" s="3" t="s">
        <v>67</v>
      </c>
      <c r="B59" s="3" t="s">
        <v>13</v>
      </c>
      <c r="C59" s="3" t="s">
        <v>6</v>
      </c>
      <c r="D59" s="3">
        <v>74</v>
      </c>
      <c r="E59" s="3">
        <v>12.286</v>
      </c>
      <c r="F59" s="3">
        <v>13.795999999999999</v>
      </c>
      <c r="G59" s="3">
        <v>7.71</v>
      </c>
      <c r="H59" s="3">
        <v>5.9</v>
      </c>
      <c r="I59" s="3">
        <v>1.99</v>
      </c>
      <c r="J59" s="3">
        <v>49.13</v>
      </c>
      <c r="K59" s="3">
        <v>38.049999999999997</v>
      </c>
      <c r="L59" s="3">
        <v>86.3</v>
      </c>
      <c r="M59" s="3">
        <v>6.67</v>
      </c>
      <c r="N59" s="3">
        <v>2</v>
      </c>
      <c r="O59" s="3">
        <f>2.1+1.81</f>
        <v>3.91</v>
      </c>
      <c r="P59" s="9">
        <v>1.4050800000000001</v>
      </c>
      <c r="Q59" s="9">
        <v>1.81453</v>
      </c>
      <c r="R59" s="9">
        <v>-7.5757599999999994E-2</v>
      </c>
      <c r="S59" s="9">
        <v>0.17227999999999999</v>
      </c>
      <c r="T59" s="9">
        <v>0.194468</v>
      </c>
      <c r="U59" s="9">
        <v>5.5018699999999997E-2</v>
      </c>
      <c r="V59" s="9">
        <v>6.5166500000000003</v>
      </c>
      <c r="W59" s="9">
        <v>3.59137</v>
      </c>
      <c r="X59" s="9">
        <v>5.0461499999999999</v>
      </c>
      <c r="Y59" s="9">
        <v>85.888900000000007</v>
      </c>
      <c r="Z59" s="9">
        <v>76.527600000000007</v>
      </c>
      <c r="AA59" s="9">
        <f t="shared" si="4"/>
        <v>1.8047085427135678</v>
      </c>
      <c r="AB59" s="9">
        <f t="shared" si="5"/>
        <v>3.8743718592964824</v>
      </c>
      <c r="AC59" s="9">
        <f t="shared" si="6"/>
        <v>2.9648241206030153</v>
      </c>
      <c r="AD59" s="9">
        <f t="shared" si="7"/>
        <v>6.9907944001302305</v>
      </c>
      <c r="AE59" s="9">
        <f t="shared" si="8"/>
        <v>6.228845840794401</v>
      </c>
      <c r="AF59" s="9">
        <f t="shared" si="9"/>
        <v>4.764949603045463</v>
      </c>
      <c r="AG59" s="9">
        <f t="shared" si="10"/>
        <v>1.9775629602250473</v>
      </c>
      <c r="AH59" s="9">
        <f t="shared" si="11"/>
        <v>0.90065196692581806</v>
      </c>
      <c r="AI59" s="9">
        <f t="shared" si="12"/>
        <v>2.6337618021843543</v>
      </c>
      <c r="AJ59" s="9">
        <f>(4*PI()*(AI59^2))/(Y59+E59)</f>
        <v>0.88789658563819451</v>
      </c>
      <c r="AK59" s="12">
        <f t="shared" si="3"/>
        <v>0.50895140664961636</v>
      </c>
      <c r="AL59" s="9" t="s">
        <v>140</v>
      </c>
      <c r="AM59" s="9" t="s">
        <v>142</v>
      </c>
      <c r="AN59" s="3">
        <v>2.1619000000000002</v>
      </c>
      <c r="AO59" s="3">
        <v>0.30668000000000001</v>
      </c>
      <c r="AP59" s="3">
        <v>3649</v>
      </c>
      <c r="AQ59" s="3">
        <v>3088.6</v>
      </c>
      <c r="AR59" s="3">
        <v>1.1354</v>
      </c>
      <c r="AS59" s="3">
        <v>1.072E-2</v>
      </c>
      <c r="AT59" s="3">
        <v>0.74156999999999995</v>
      </c>
      <c r="AU59" s="3">
        <v>1.7686999999999999</v>
      </c>
      <c r="AV59" s="3">
        <v>0.23963999999999999</v>
      </c>
      <c r="AW59" s="3">
        <v>1.265E-2</v>
      </c>
      <c r="AX59" s="3">
        <v>9.7239999999999993E-2</v>
      </c>
      <c r="AY59" s="3">
        <v>-23.341999999999999</v>
      </c>
      <c r="AZ59" s="3">
        <v>-209.05</v>
      </c>
      <c r="BA59" s="3">
        <v>0.28849000000000002</v>
      </c>
      <c r="BB59" s="3">
        <v>23.292000000000002</v>
      </c>
      <c r="BC59" s="3" t="s">
        <v>162</v>
      </c>
      <c r="BD59" s="33" t="s">
        <v>165</v>
      </c>
      <c r="BE59" s="12" t="s">
        <v>168</v>
      </c>
    </row>
    <row r="60" spans="1:57" x14ac:dyDescent="0.25">
      <c r="A60" s="3" t="s">
        <v>68</v>
      </c>
      <c r="B60" s="3" t="s">
        <v>13</v>
      </c>
      <c r="C60" s="3" t="s">
        <v>14</v>
      </c>
      <c r="D60" s="3">
        <v>41</v>
      </c>
      <c r="E60" s="3">
        <v>32.164999999999999</v>
      </c>
      <c r="F60" s="3">
        <v>21.765000000000001</v>
      </c>
      <c r="G60" s="3">
        <v>13.09</v>
      </c>
      <c r="H60" s="3">
        <v>9.5</v>
      </c>
      <c r="I60" s="3">
        <v>1.66</v>
      </c>
      <c r="J60" s="3">
        <v>28.21</v>
      </c>
      <c r="K60" s="3">
        <v>43.5</v>
      </c>
      <c r="L60" s="3">
        <v>28.6</v>
      </c>
      <c r="M60" s="3">
        <v>7.19</v>
      </c>
      <c r="N60" s="3">
        <v>2</v>
      </c>
      <c r="O60" s="3">
        <f>1.24+1.37</f>
        <v>2.6100000000000003</v>
      </c>
      <c r="P60" s="9">
        <v>1.5810900000000001</v>
      </c>
      <c r="Q60" s="9">
        <v>1.57043</v>
      </c>
      <c r="R60" s="9">
        <v>0.203704</v>
      </c>
      <c r="S60" s="9">
        <v>0.15976399999999999</v>
      </c>
      <c r="T60" s="9">
        <v>0.169183</v>
      </c>
      <c r="U60" s="9">
        <v>1.31374E-2</v>
      </c>
      <c r="V60" s="9">
        <v>9.4504000000000001</v>
      </c>
      <c r="W60" s="9">
        <v>6.0177100000000001</v>
      </c>
      <c r="X60" s="9">
        <v>9.5145400000000002</v>
      </c>
      <c r="Y60" s="9">
        <v>248.98699999999999</v>
      </c>
      <c r="Z60" s="9">
        <v>395.65100000000001</v>
      </c>
      <c r="AA60" s="9">
        <f t="shared" si="4"/>
        <v>3.6251265060240967</v>
      </c>
      <c r="AB60" s="9">
        <f t="shared" si="5"/>
        <v>7.8855421686746991</v>
      </c>
      <c r="AC60" s="9">
        <f t="shared" si="6"/>
        <v>5.7228915662650603</v>
      </c>
      <c r="AD60" s="9">
        <f t="shared" si="7"/>
        <v>7.740929581843619</v>
      </c>
      <c r="AE60" s="9">
        <f t="shared" si="8"/>
        <v>12.30066842841598</v>
      </c>
      <c r="AF60" s="9">
        <f t="shared" si="9"/>
        <v>4.6199275042087464</v>
      </c>
      <c r="AG60" s="9">
        <f t="shared" si="10"/>
        <v>3.199755848358063</v>
      </c>
      <c r="AH60" s="9">
        <f t="shared" si="11"/>
        <v>0.92371508995935359</v>
      </c>
      <c r="AI60" s="9">
        <f t="shared" si="12"/>
        <v>4.5541558228043328</v>
      </c>
      <c r="AJ60" s="9">
        <f>(4*PI()*(AI60^2))/(Y60+E60)</f>
        <v>0.9270100853733807</v>
      </c>
      <c r="AK60" s="12">
        <f t="shared" si="3"/>
        <v>0.63601532567049801</v>
      </c>
      <c r="AL60" s="9" t="s">
        <v>144</v>
      </c>
      <c r="AM60" s="9" t="s">
        <v>142</v>
      </c>
      <c r="AN60" s="3">
        <v>5.6928999999999998</v>
      </c>
      <c r="AO60" s="3">
        <v>0.40988999999999998</v>
      </c>
      <c r="AP60" s="3">
        <v>5307.4</v>
      </c>
      <c r="AQ60" s="3">
        <v>4458.7</v>
      </c>
      <c r="AR60" s="3">
        <v>2.9701</v>
      </c>
      <c r="AS60" s="3">
        <v>2.5652999999999999E-2</v>
      </c>
      <c r="AT60" s="3">
        <v>0.68779999999999997</v>
      </c>
      <c r="AU60" s="3">
        <v>0.91879</v>
      </c>
      <c r="AV60" s="3">
        <v>0.32439000000000001</v>
      </c>
      <c r="AW60" s="3">
        <v>3.0653E-2</v>
      </c>
      <c r="AX60" s="3">
        <v>0.17979000000000001</v>
      </c>
      <c r="AY60" s="3">
        <v>-54.734999999999999</v>
      </c>
      <c r="AZ60" s="3">
        <v>-1311.1</v>
      </c>
      <c r="BA60" s="3">
        <v>0.35095999999999999</v>
      </c>
      <c r="BB60" s="3">
        <v>23.181000000000001</v>
      </c>
      <c r="BC60" s="3" t="s">
        <v>162</v>
      </c>
      <c r="BD60" s="33" t="s">
        <v>163</v>
      </c>
      <c r="BE60" s="12" t="s">
        <v>168</v>
      </c>
    </row>
    <row r="61" spans="1:57" x14ac:dyDescent="0.25">
      <c r="A61" s="3" t="s">
        <v>69</v>
      </c>
      <c r="B61" s="3" t="s">
        <v>13</v>
      </c>
      <c r="C61" s="3" t="s">
        <v>14</v>
      </c>
      <c r="D61" s="3">
        <v>42</v>
      </c>
      <c r="E61" s="3">
        <v>25.954999999999998</v>
      </c>
      <c r="F61" s="3">
        <v>18.579999999999998</v>
      </c>
      <c r="G61" s="3">
        <v>10.86</v>
      </c>
      <c r="H61" s="3">
        <v>6.1</v>
      </c>
      <c r="I61" s="3">
        <v>2.02</v>
      </c>
      <c r="J61" s="3">
        <v>8.3699999999999992</v>
      </c>
      <c r="K61" s="3">
        <v>29.63</v>
      </c>
      <c r="L61" s="3">
        <v>31.7</v>
      </c>
      <c r="M61" s="3">
        <v>9.6</v>
      </c>
      <c r="N61" s="3">
        <v>2</v>
      </c>
      <c r="O61" s="3">
        <f>1.48+1.75</f>
        <v>3.23</v>
      </c>
      <c r="P61" s="9">
        <v>1.0853299999999999</v>
      </c>
      <c r="Q61" s="9">
        <v>1.4781899999999999</v>
      </c>
      <c r="R61" s="9">
        <v>-1.23967E-2</v>
      </c>
      <c r="S61" s="9">
        <v>0.14653099999999999</v>
      </c>
      <c r="T61" s="9">
        <v>0.157633</v>
      </c>
      <c r="U61" s="9">
        <v>3.38795E-2</v>
      </c>
      <c r="V61" s="9">
        <v>8.3460599999999996</v>
      </c>
      <c r="W61" s="9">
        <v>5.6461300000000003</v>
      </c>
      <c r="X61" s="9">
        <v>6.1278800000000002</v>
      </c>
      <c r="Y61" s="9">
        <v>146.80600000000001</v>
      </c>
      <c r="Z61" s="9">
        <v>182.87700000000001</v>
      </c>
      <c r="AA61" s="9">
        <f t="shared" si="4"/>
        <v>2.7951138613861386</v>
      </c>
      <c r="AB61" s="9">
        <f t="shared" si="5"/>
        <v>5.3762376237623757</v>
      </c>
      <c r="AC61" s="9">
        <f t="shared" si="6"/>
        <v>3.0198019801980198</v>
      </c>
      <c r="AD61" s="9">
        <f t="shared" si="7"/>
        <v>5.6561741475630907</v>
      </c>
      <c r="AE61" s="9">
        <f t="shared" si="8"/>
        <v>7.0459256405316903</v>
      </c>
      <c r="AF61" s="9">
        <f t="shared" si="9"/>
        <v>4.5565668527784018</v>
      </c>
      <c r="AG61" s="9">
        <f t="shared" si="10"/>
        <v>2.874323067419577</v>
      </c>
      <c r="AH61" s="9">
        <f t="shared" si="11"/>
        <v>0.97200777531205862</v>
      </c>
      <c r="AI61" s="9">
        <f t="shared" si="12"/>
        <v>3.5211956754965716</v>
      </c>
      <c r="AJ61" s="9">
        <f>(4*PI()*(AI61^2))/(Y61+E61)</f>
        <v>0.90187110833792694</v>
      </c>
      <c r="AK61" s="12">
        <f t="shared" si="3"/>
        <v>0.62538699690402477</v>
      </c>
      <c r="AL61" s="9" t="s">
        <v>140</v>
      </c>
      <c r="AM61" s="9" t="s">
        <v>142</v>
      </c>
      <c r="AN61" s="3">
        <v>1.4581</v>
      </c>
      <c r="AO61" s="3">
        <v>0.20244000000000001</v>
      </c>
      <c r="AP61" s="3">
        <v>1825.4</v>
      </c>
      <c r="AQ61" s="3">
        <v>1690.6</v>
      </c>
      <c r="AR61" s="3">
        <v>0.83230000000000004</v>
      </c>
      <c r="AS61" s="3">
        <v>3.5131000000000003E-2</v>
      </c>
      <c r="AT61" s="3">
        <v>0.65086999999999995</v>
      </c>
      <c r="AU61" s="3">
        <v>2.5983000000000001</v>
      </c>
      <c r="AV61" s="3">
        <v>0.32662999999999998</v>
      </c>
      <c r="AW61" s="3">
        <v>4.8978000000000001E-2</v>
      </c>
      <c r="AX61" s="3">
        <v>9.2917E-2</v>
      </c>
      <c r="AY61" s="3">
        <v>-68.662999999999997</v>
      </c>
      <c r="AZ61" s="3">
        <v>-393.81</v>
      </c>
      <c r="BA61" s="3">
        <v>0.40272999999999998</v>
      </c>
      <c r="BB61" s="3">
        <v>3.5554999999999999</v>
      </c>
      <c r="BC61" s="3" t="s">
        <v>162</v>
      </c>
      <c r="BD61" s="33" t="s">
        <v>165</v>
      </c>
      <c r="BE61" s="12" t="s">
        <v>167</v>
      </c>
    </row>
    <row r="62" spans="1:57" x14ac:dyDescent="0.25">
      <c r="A62" s="3" t="s">
        <v>70</v>
      </c>
      <c r="B62" s="3" t="s">
        <v>13</v>
      </c>
      <c r="C62" s="3" t="s">
        <v>6</v>
      </c>
      <c r="D62" s="3">
        <v>24</v>
      </c>
      <c r="E62" s="3">
        <v>4.8532999999999999</v>
      </c>
      <c r="F62" s="3">
        <v>8.0249000000000006</v>
      </c>
      <c r="G62" s="3">
        <v>6.35</v>
      </c>
      <c r="H62" s="3">
        <v>3.85</v>
      </c>
      <c r="I62" s="3">
        <v>1.93</v>
      </c>
      <c r="J62" s="3">
        <v>62.66</v>
      </c>
      <c r="K62" s="3">
        <v>37.58</v>
      </c>
      <c r="L62" s="3">
        <v>83.7</v>
      </c>
      <c r="M62" s="3">
        <v>3.9</v>
      </c>
      <c r="N62" s="3">
        <v>2</v>
      </c>
      <c r="O62" s="3">
        <f>0.95+1.46</f>
        <v>2.41</v>
      </c>
      <c r="P62" s="9">
        <v>1.5708</v>
      </c>
      <c r="Q62" s="9">
        <v>2.4627599999999998</v>
      </c>
      <c r="R62" s="9">
        <v>0.1</v>
      </c>
      <c r="S62" s="9">
        <v>0.21248600000000001</v>
      </c>
      <c r="T62" s="9">
        <v>0.25406000000000001</v>
      </c>
      <c r="U62" s="9">
        <v>0.118307</v>
      </c>
      <c r="V62" s="9">
        <v>5.96556</v>
      </c>
      <c r="W62" s="9">
        <v>2.4222999999999999</v>
      </c>
      <c r="X62" s="9">
        <v>3.8049400000000002</v>
      </c>
      <c r="Y62" s="9">
        <v>59.621099999999998</v>
      </c>
      <c r="Z62" s="9">
        <v>39.4407</v>
      </c>
      <c r="AA62" s="9">
        <f t="shared" si="4"/>
        <v>1.2550777202072538</v>
      </c>
      <c r="AB62" s="9">
        <f t="shared" si="5"/>
        <v>3.2901554404145079</v>
      </c>
      <c r="AC62" s="9">
        <f t="shared" si="6"/>
        <v>1.9948186528497411</v>
      </c>
      <c r="AD62" s="9">
        <f t="shared" si="7"/>
        <v>12.284651680300001</v>
      </c>
      <c r="AE62" s="9">
        <f t="shared" si="8"/>
        <v>8.1265736715224701</v>
      </c>
      <c r="AF62" s="9">
        <f t="shared" si="9"/>
        <v>5.1456104918788732</v>
      </c>
      <c r="AG62" s="9">
        <f t="shared" si="10"/>
        <v>1.2429213050775947</v>
      </c>
      <c r="AH62" s="9">
        <f t="shared" si="11"/>
        <v>0.9731591523936769</v>
      </c>
      <c r="AI62" s="9">
        <f t="shared" si="12"/>
        <v>2.1116341081425665</v>
      </c>
      <c r="AJ62" s="9">
        <f>(4*PI()*(AI62^2))/(Y62+E62)</f>
        <v>0.86908027155490564</v>
      </c>
      <c r="AK62" s="12">
        <f t="shared" si="3"/>
        <v>0.80082987551867213</v>
      </c>
      <c r="AL62" s="9" t="s">
        <v>140</v>
      </c>
      <c r="AM62" s="9" t="s">
        <v>142</v>
      </c>
      <c r="AN62" s="3">
        <v>1.2833000000000001</v>
      </c>
      <c r="AO62" s="3">
        <v>0.16072</v>
      </c>
      <c r="AP62" s="3">
        <v>3438.8</v>
      </c>
      <c r="AQ62" s="3">
        <v>2902.9</v>
      </c>
      <c r="AR62" s="3">
        <v>0.59553</v>
      </c>
      <c r="AS62" s="3">
        <v>1.7916000000000001E-2</v>
      </c>
      <c r="AT62" s="3">
        <v>0.71091000000000004</v>
      </c>
      <c r="AU62" s="3">
        <v>7.0861999999999998</v>
      </c>
      <c r="AV62" s="3">
        <v>0.53525</v>
      </c>
      <c r="AW62" s="3">
        <v>1.5844E-2</v>
      </c>
      <c r="AX62" s="3">
        <v>5.4065000000000002E-2</v>
      </c>
      <c r="AY62" s="3">
        <v>-23.884</v>
      </c>
      <c r="AZ62" s="3">
        <v>-269.56</v>
      </c>
      <c r="BA62" s="3">
        <v>0.30403999999999998</v>
      </c>
      <c r="BB62" s="3">
        <v>36.323999999999998</v>
      </c>
      <c r="BC62" s="3" t="s">
        <v>162</v>
      </c>
      <c r="BD62" s="33" t="s">
        <v>165</v>
      </c>
      <c r="BE62" s="12" t="s">
        <v>168</v>
      </c>
    </row>
    <row r="63" spans="1:57" x14ac:dyDescent="0.25">
      <c r="A63" s="3" t="s">
        <v>71</v>
      </c>
      <c r="B63" s="3" t="s">
        <v>5</v>
      </c>
      <c r="C63" s="3" t="s">
        <v>6</v>
      </c>
      <c r="D63" s="3">
        <v>68</v>
      </c>
      <c r="E63" s="3">
        <v>16.247</v>
      </c>
      <c r="F63" s="3">
        <v>15.007999999999999</v>
      </c>
      <c r="G63" s="3">
        <v>7.96</v>
      </c>
      <c r="H63" s="3">
        <v>6.32</v>
      </c>
      <c r="I63" s="3">
        <v>3.42</v>
      </c>
      <c r="J63" s="3">
        <v>37.81</v>
      </c>
      <c r="K63" s="3">
        <v>48.65</v>
      </c>
      <c r="L63" s="3">
        <v>53.57</v>
      </c>
      <c r="M63" s="3">
        <v>5.55</v>
      </c>
      <c r="N63" s="3">
        <v>2</v>
      </c>
      <c r="O63" s="3">
        <f>3.35+2.16</f>
        <v>5.51</v>
      </c>
      <c r="P63" s="9">
        <v>1.3796299999999999</v>
      </c>
      <c r="Q63" s="9">
        <v>1.13178</v>
      </c>
      <c r="R63" s="9">
        <v>0.49199999999999999</v>
      </c>
      <c r="S63" s="9">
        <v>0.18341499999999999</v>
      </c>
      <c r="T63" s="9">
        <v>0.26238699999999998</v>
      </c>
      <c r="U63" s="9">
        <v>0.24849599999999999</v>
      </c>
      <c r="V63" s="9">
        <v>5.1768099999999997</v>
      </c>
      <c r="W63" s="9">
        <v>4.5740499999999997</v>
      </c>
      <c r="X63" s="9">
        <v>6.3105099999999998</v>
      </c>
      <c r="Y63" s="9">
        <v>66.531400000000005</v>
      </c>
      <c r="Z63" s="9">
        <v>45.7164</v>
      </c>
      <c r="AA63" s="9">
        <f t="shared" si="4"/>
        <v>1.3374415204678363</v>
      </c>
      <c r="AB63" s="9">
        <f t="shared" si="5"/>
        <v>2.327485380116959</v>
      </c>
      <c r="AC63" s="9">
        <f t="shared" si="6"/>
        <v>1.8479532163742691</v>
      </c>
      <c r="AD63" s="9">
        <f t="shared" si="7"/>
        <v>4.0949959992614025</v>
      </c>
      <c r="AE63" s="9">
        <f t="shared" si="8"/>
        <v>2.8138364005662586</v>
      </c>
      <c r="AF63" s="9">
        <f t="shared" si="9"/>
        <v>5.2036967487261672</v>
      </c>
      <c r="AG63" s="9">
        <f t="shared" si="10"/>
        <v>2.274110973727546</v>
      </c>
      <c r="AH63" s="9">
        <f t="shared" si="11"/>
        <v>0.95206960667782381</v>
      </c>
      <c r="AI63" s="9">
        <f t="shared" si="12"/>
        <v>2.2181681829605844</v>
      </c>
      <c r="AJ63" s="9">
        <f>(4*PI()*(AI63^2))/(Y63+E63)</f>
        <v>0.74693322711335497</v>
      </c>
      <c r="AK63" s="12">
        <f t="shared" si="3"/>
        <v>0.62068965517241381</v>
      </c>
      <c r="AL63" s="9" t="s">
        <v>140</v>
      </c>
      <c r="AM63" s="9" t="s">
        <v>142</v>
      </c>
      <c r="AN63" s="3">
        <v>14.488</v>
      </c>
      <c r="AO63" s="3">
        <v>0.87675999999999998</v>
      </c>
      <c r="AP63" s="3">
        <v>19319</v>
      </c>
      <c r="AQ63" s="3">
        <v>19288</v>
      </c>
      <c r="AR63" s="3">
        <v>6.5519999999999996</v>
      </c>
      <c r="AS63" s="3">
        <v>1.5124E-2</v>
      </c>
      <c r="AT63" s="3">
        <v>0.70647000000000004</v>
      </c>
      <c r="AU63" s="3">
        <v>0.63373999999999997</v>
      </c>
      <c r="AV63" s="3">
        <v>7.1599999999999997E-2</v>
      </c>
      <c r="AW63" s="3">
        <v>8.7205000000000008E-3</v>
      </c>
      <c r="AX63" s="3">
        <v>0.45061000000000001</v>
      </c>
      <c r="AY63" s="3">
        <v>2.4559000000000002</v>
      </c>
      <c r="AZ63" s="3">
        <v>2493.9</v>
      </c>
      <c r="BA63" s="3">
        <v>1.4633999999999999E-2</v>
      </c>
      <c r="BB63" s="3">
        <v>8.1133000000000006</v>
      </c>
      <c r="BC63" s="3" t="s">
        <v>164</v>
      </c>
      <c r="BD63" s="33" t="s">
        <v>163</v>
      </c>
      <c r="BE63" s="12" t="s">
        <v>168</v>
      </c>
    </row>
    <row r="64" spans="1:57" x14ac:dyDescent="0.25">
      <c r="A64" s="2" t="s">
        <v>72</v>
      </c>
      <c r="B64" s="2" t="s">
        <v>5</v>
      </c>
      <c r="C64" s="2" t="s">
        <v>6</v>
      </c>
      <c r="D64" s="2">
        <v>56</v>
      </c>
      <c r="E64" s="2">
        <v>95.028999999999996</v>
      </c>
      <c r="F64" s="2">
        <v>39.981000000000002</v>
      </c>
      <c r="G64" s="2">
        <v>18.36</v>
      </c>
      <c r="H64" s="2">
        <v>10</v>
      </c>
      <c r="I64" s="2">
        <v>4.24</v>
      </c>
      <c r="J64" s="2">
        <v>104.35</v>
      </c>
      <c r="K64" s="2">
        <v>2.58</v>
      </c>
      <c r="L64" s="2">
        <v>69.930000000000007</v>
      </c>
      <c r="M64" s="2">
        <v>10.5</v>
      </c>
      <c r="N64" s="2">
        <v>2</v>
      </c>
      <c r="O64" s="2">
        <f>0.88+3.87</f>
        <v>4.75</v>
      </c>
      <c r="P64" s="9">
        <v>0.99468599999999996</v>
      </c>
      <c r="Q64" s="9">
        <v>1.845</v>
      </c>
      <c r="R64" s="9">
        <v>0.14141400000000001</v>
      </c>
      <c r="S64" s="9">
        <v>0.127501</v>
      </c>
      <c r="T64" s="9">
        <v>0.14383000000000001</v>
      </c>
      <c r="U64" s="9">
        <v>3.0202099999999999E-2</v>
      </c>
      <c r="V64" s="9">
        <v>18.460799999999999</v>
      </c>
      <c r="W64" s="9">
        <v>10.005800000000001</v>
      </c>
      <c r="X64" s="9">
        <v>9.9526500000000002</v>
      </c>
      <c r="Y64" s="9">
        <v>499.43400000000003</v>
      </c>
      <c r="Z64" s="9">
        <v>1175.83</v>
      </c>
      <c r="AA64" s="9">
        <f t="shared" si="4"/>
        <v>2.3598584905660376</v>
      </c>
      <c r="AB64" s="9">
        <f t="shared" si="5"/>
        <v>4.3301886792452828</v>
      </c>
      <c r="AC64" s="9">
        <f t="shared" si="6"/>
        <v>2.3584905660377355</v>
      </c>
      <c r="AD64" s="9">
        <f t="shared" si="7"/>
        <v>5.2555956602721281</v>
      </c>
      <c r="AE64" s="9">
        <f t="shared" si="8"/>
        <v>12.373380757452988</v>
      </c>
      <c r="AF64" s="9">
        <f t="shared" si="9"/>
        <v>4.4831342765085553</v>
      </c>
      <c r="AG64" s="9">
        <f t="shared" si="10"/>
        <v>5.4998791054130853</v>
      </c>
      <c r="AH64" s="9">
        <f t="shared" si="11"/>
        <v>0.86432954619433</v>
      </c>
      <c r="AI64" s="9">
        <f t="shared" si="12"/>
        <v>6.5476477780564455</v>
      </c>
      <c r="AJ64" s="9">
        <f>(4*PI()*(AI64^2))/(Y64+E64)</f>
        <v>0.90626592961567043</v>
      </c>
      <c r="AK64" s="12">
        <f t="shared" si="3"/>
        <v>0.89263157894736844</v>
      </c>
      <c r="AL64" s="9" t="s">
        <v>140</v>
      </c>
      <c r="AM64" s="9" t="s">
        <v>142</v>
      </c>
      <c r="AN64" s="2">
        <v>0.17222000000000001</v>
      </c>
      <c r="AO64" s="2">
        <v>2.3993E-2</v>
      </c>
      <c r="AP64" s="2">
        <v>295.44</v>
      </c>
      <c r="AQ64" s="2">
        <v>240.03</v>
      </c>
      <c r="AR64" s="2">
        <v>0.14577000000000001</v>
      </c>
      <c r="AS64" s="2">
        <v>0.10441</v>
      </c>
      <c r="AT64" s="2">
        <v>0.51382000000000005</v>
      </c>
      <c r="AU64" s="2">
        <v>126.98</v>
      </c>
      <c r="AV64" s="2">
        <v>0.97433000000000003</v>
      </c>
      <c r="AW64" s="2">
        <v>7.1425000000000002E-2</v>
      </c>
      <c r="AX64" s="2">
        <v>1.2148000000000001E-2</v>
      </c>
      <c r="AY64" s="2">
        <v>-5708.6</v>
      </c>
      <c r="AZ64" s="2">
        <v>-28.324999999999999</v>
      </c>
      <c r="BA64" s="2">
        <v>12.186</v>
      </c>
      <c r="BB64" s="2">
        <v>53.228999999999999</v>
      </c>
      <c r="BC64" s="2" t="s">
        <v>164</v>
      </c>
      <c r="BD64" s="32" t="s">
        <v>165</v>
      </c>
      <c r="BE64" s="12" t="s">
        <v>167</v>
      </c>
    </row>
    <row r="65" spans="1:57" x14ac:dyDescent="0.25">
      <c r="A65" s="2" t="s">
        <v>73</v>
      </c>
      <c r="B65" s="2" t="s">
        <v>5</v>
      </c>
      <c r="C65" s="2" t="s">
        <v>6</v>
      </c>
      <c r="D65" s="2">
        <v>64</v>
      </c>
      <c r="E65" s="2">
        <v>18.425999999999998</v>
      </c>
      <c r="F65" s="2">
        <v>15.507999999999999</v>
      </c>
      <c r="G65" s="2">
        <v>15.68</v>
      </c>
      <c r="H65" s="2">
        <v>9.5</v>
      </c>
      <c r="I65" s="2">
        <v>3.81</v>
      </c>
      <c r="J65" s="2">
        <v>12.15</v>
      </c>
      <c r="K65" s="2">
        <v>26.66</v>
      </c>
      <c r="L65" s="2">
        <v>18.100000000000001</v>
      </c>
      <c r="M65" s="2">
        <v>11.9</v>
      </c>
      <c r="N65" s="2">
        <v>1</v>
      </c>
      <c r="O65" s="2">
        <v>3.78</v>
      </c>
      <c r="P65" s="9">
        <v>1.94492</v>
      </c>
      <c r="Q65" s="9">
        <v>2.3584299999999998</v>
      </c>
      <c r="R65" s="9">
        <v>0.12234</v>
      </c>
      <c r="S65" s="9">
        <v>0.25577299999999997</v>
      </c>
      <c r="T65" s="9">
        <v>0.33894600000000003</v>
      </c>
      <c r="U65" s="9">
        <v>0.19110099999999999</v>
      </c>
      <c r="V65" s="9">
        <v>11.488099999999999</v>
      </c>
      <c r="W65" s="9">
        <v>4.8710899999999997</v>
      </c>
      <c r="X65" s="9">
        <v>9.4738699999999998</v>
      </c>
      <c r="Y65" s="9">
        <v>293.97300000000001</v>
      </c>
      <c r="Z65" s="9">
        <v>360.25099999999998</v>
      </c>
      <c r="AA65" s="9">
        <f t="shared" si="4"/>
        <v>1.2785013123359579</v>
      </c>
      <c r="AB65" s="9">
        <f t="shared" si="5"/>
        <v>4.1154855643044614</v>
      </c>
      <c r="AC65" s="9">
        <f t="shared" si="6"/>
        <v>2.4934383202099739</v>
      </c>
      <c r="AD65" s="9">
        <f t="shared" si="7"/>
        <v>15.954249430153046</v>
      </c>
      <c r="AE65" s="9">
        <f t="shared" si="8"/>
        <v>19.551231954846415</v>
      </c>
      <c r="AF65" s="9">
        <f t="shared" si="9"/>
        <v>5.8063602945760007</v>
      </c>
      <c r="AG65" s="9">
        <f t="shared" si="10"/>
        <v>2.4218129495942757</v>
      </c>
      <c r="AH65" s="9">
        <f t="shared" si="11"/>
        <v>0.98121611694789845</v>
      </c>
      <c r="AI65" s="9">
        <f t="shared" si="12"/>
        <v>4.4140664001852912</v>
      </c>
      <c r="AJ65" s="9">
        <f>(4*PI()*(AI65^2))/(Y65+E65)</f>
        <v>0.7837507200194529</v>
      </c>
      <c r="AK65" s="12">
        <f t="shared" si="3"/>
        <v>1.0079365079365079</v>
      </c>
      <c r="AL65" s="9" t="s">
        <v>140</v>
      </c>
      <c r="AM65" s="9" t="s">
        <v>143</v>
      </c>
      <c r="AN65" s="2">
        <v>1.2552000000000001</v>
      </c>
      <c r="AO65" s="2">
        <v>0.23121</v>
      </c>
      <c r="AP65" s="2">
        <v>2343.8000000000002</v>
      </c>
      <c r="AQ65" s="2">
        <v>1984.8</v>
      </c>
      <c r="AR65" s="2">
        <v>0.95486000000000004</v>
      </c>
      <c r="AS65" s="2">
        <v>6.4617999999999995E-2</v>
      </c>
      <c r="AT65" s="2">
        <v>0.62912999999999997</v>
      </c>
      <c r="AU65" s="2">
        <v>4.3284000000000002</v>
      </c>
      <c r="AV65" s="2">
        <v>0.34123999999999999</v>
      </c>
      <c r="AW65" s="2">
        <v>5.7866000000000001E-2</v>
      </c>
      <c r="AX65" s="2">
        <v>9.5744999999999997E-2</v>
      </c>
      <c r="AY65" s="2">
        <v>1.5405</v>
      </c>
      <c r="AZ65" s="2">
        <v>-122.71</v>
      </c>
      <c r="BA65" s="2">
        <v>0.27683999999999997</v>
      </c>
      <c r="BB65" s="2">
        <v>13.472</v>
      </c>
      <c r="BC65" s="2" t="s">
        <v>164</v>
      </c>
      <c r="BD65" s="32" t="s">
        <v>165</v>
      </c>
      <c r="BE65" s="12" t="s">
        <v>167</v>
      </c>
    </row>
    <row r="66" spans="1:57" x14ac:dyDescent="0.25">
      <c r="A66" s="2" t="s">
        <v>74</v>
      </c>
      <c r="B66" s="2" t="s">
        <v>5</v>
      </c>
      <c r="C66" s="2" t="s">
        <v>14</v>
      </c>
      <c r="D66" s="2">
        <v>47</v>
      </c>
      <c r="E66" s="2">
        <v>5.2337999999999996</v>
      </c>
      <c r="F66" s="2">
        <v>8.2960999999999991</v>
      </c>
      <c r="G66" s="2">
        <v>5.19</v>
      </c>
      <c r="H66" s="2">
        <v>3.6</v>
      </c>
      <c r="I66" s="2">
        <v>1.99</v>
      </c>
      <c r="J66" s="2">
        <v>51.02</v>
      </c>
      <c r="K66" s="2">
        <v>39.380000000000003</v>
      </c>
      <c r="L66" s="2">
        <v>8.34</v>
      </c>
      <c r="M66" s="2">
        <v>4.9000000000000004</v>
      </c>
      <c r="N66" s="2">
        <v>1</v>
      </c>
      <c r="O66" s="2">
        <v>1.61</v>
      </c>
      <c r="P66" s="9">
        <v>1.4242699999999999</v>
      </c>
      <c r="Q66" s="9">
        <v>1.92455</v>
      </c>
      <c r="R66" s="9">
        <v>3.5211300000000001E-2</v>
      </c>
      <c r="S66" s="9">
        <v>0.17448900000000001</v>
      </c>
      <c r="T66" s="9">
        <v>0.19150900000000001</v>
      </c>
      <c r="U66" s="9">
        <v>3.3931000000000003E-2</v>
      </c>
      <c r="V66" s="9">
        <v>4.8897300000000001</v>
      </c>
      <c r="W66" s="9">
        <v>2.5407099999999998</v>
      </c>
      <c r="X66" s="9">
        <v>3.6186400000000001</v>
      </c>
      <c r="Y66" s="9">
        <v>51.318199999999997</v>
      </c>
      <c r="Z66" s="9">
        <v>35.539299999999997</v>
      </c>
      <c r="AA66" s="9">
        <f t="shared" si="4"/>
        <v>1.2767386934673366</v>
      </c>
      <c r="AB66" s="9">
        <f t="shared" si="5"/>
        <v>2.6080402010050254</v>
      </c>
      <c r="AC66" s="9">
        <f t="shared" si="6"/>
        <v>1.8090452261306533</v>
      </c>
      <c r="AD66" s="9">
        <f t="shared" si="7"/>
        <v>9.8051511330199865</v>
      </c>
      <c r="AE66" s="9">
        <f t="shared" si="8"/>
        <v>6.7903435362451754</v>
      </c>
      <c r="AF66" s="9">
        <f t="shared" si="9"/>
        <v>4.7475057782134353</v>
      </c>
      <c r="AG66" s="9">
        <f t="shared" ref="AG66:AG129" si="13">SQRT(E66/PI())</f>
        <v>1.2907247120547136</v>
      </c>
      <c r="AH66" s="9">
        <f t="shared" ref="AH66:AH97" si="14">(2*PI()*AG66)/F66</f>
        <v>0.97755120434852272</v>
      </c>
      <c r="AI66" s="9">
        <f t="shared" ref="AI66:AI129" si="15">(3*Z66/(4*PI()))^(1/3)</f>
        <v>2.0395769101710726</v>
      </c>
      <c r="AJ66" s="9">
        <f>(4*PI()*(AI66^2))/(Y66+E66)</f>
        <v>0.92436196858641606</v>
      </c>
      <c r="AK66" s="12">
        <f t="shared" si="3"/>
        <v>1.2360248447204969</v>
      </c>
      <c r="AL66" s="9" t="s">
        <v>140</v>
      </c>
      <c r="AM66" s="9" t="s">
        <v>143</v>
      </c>
      <c r="AN66" s="2">
        <v>4.6776</v>
      </c>
      <c r="AO66" s="2">
        <v>0.22355</v>
      </c>
      <c r="AP66" s="2">
        <v>12141</v>
      </c>
      <c r="AQ66" s="2">
        <v>10739</v>
      </c>
      <c r="AR66" s="2">
        <v>2.1463999999999999</v>
      </c>
      <c r="AS66" s="2">
        <v>1.0385999999999999E-2</v>
      </c>
      <c r="AT66" s="2">
        <v>0.72182000000000002</v>
      </c>
      <c r="AU66" s="2">
        <v>1.3185</v>
      </c>
      <c r="AV66" s="2">
        <v>0.46721000000000001</v>
      </c>
      <c r="AW66" s="2">
        <v>1.3967E-2</v>
      </c>
      <c r="AX66" s="2">
        <v>0.12801000000000001</v>
      </c>
      <c r="AY66" s="2">
        <v>-56.805</v>
      </c>
      <c r="AZ66" s="2">
        <v>-4981.7</v>
      </c>
      <c r="BA66" s="2">
        <v>0.14985999999999999</v>
      </c>
      <c r="BB66" s="2">
        <v>41.225999999999999</v>
      </c>
      <c r="BC66" s="2" t="s">
        <v>162</v>
      </c>
      <c r="BD66" s="32" t="s">
        <v>163</v>
      </c>
      <c r="BE66" s="12" t="s">
        <v>168</v>
      </c>
    </row>
    <row r="67" spans="1:57" x14ac:dyDescent="0.25">
      <c r="A67" s="3" t="s">
        <v>75</v>
      </c>
      <c r="B67" s="3" t="s">
        <v>5</v>
      </c>
      <c r="C67" s="3" t="s">
        <v>6</v>
      </c>
      <c r="D67" s="3">
        <v>68</v>
      </c>
      <c r="E67" s="3">
        <v>14.412000000000001</v>
      </c>
      <c r="F67" s="3">
        <v>14.034000000000001</v>
      </c>
      <c r="G67" s="3">
        <v>7.2</v>
      </c>
      <c r="H67" s="3">
        <v>5.7</v>
      </c>
      <c r="I67" s="3">
        <v>3.15</v>
      </c>
      <c r="J67" s="3">
        <v>23.5</v>
      </c>
      <c r="K67" s="3">
        <v>48.92</v>
      </c>
      <c r="L67" s="3">
        <v>46.5</v>
      </c>
      <c r="M67" s="3">
        <v>5.73</v>
      </c>
      <c r="N67" s="3">
        <v>2</v>
      </c>
      <c r="O67" s="3">
        <f>2.21+2.78</f>
        <v>4.99</v>
      </c>
      <c r="P67" s="9">
        <v>1.37835</v>
      </c>
      <c r="Q67" s="9">
        <v>1.4982800000000001</v>
      </c>
      <c r="R67" s="9">
        <v>-0.11946900000000001</v>
      </c>
      <c r="S67" s="9">
        <v>0.16126599999999999</v>
      </c>
      <c r="T67" s="9">
        <v>0.18273500000000001</v>
      </c>
      <c r="U67" s="9">
        <v>6.0732700000000001E-2</v>
      </c>
      <c r="V67" s="9">
        <v>6.21828</v>
      </c>
      <c r="W67" s="9">
        <v>4.1502800000000004</v>
      </c>
      <c r="X67" s="9">
        <v>5.7205399999999997</v>
      </c>
      <c r="Y67" s="9">
        <v>101.098</v>
      </c>
      <c r="Z67" s="9">
        <v>99.872399999999999</v>
      </c>
      <c r="AA67" s="9">
        <f t="shared" si="4"/>
        <v>1.3175492063492065</v>
      </c>
      <c r="AB67" s="9">
        <f t="shared" si="5"/>
        <v>2.285714285714286</v>
      </c>
      <c r="AC67" s="9">
        <f t="shared" si="6"/>
        <v>1.8095238095238095</v>
      </c>
      <c r="AD67" s="9">
        <f t="shared" si="7"/>
        <v>7.014848737163474</v>
      </c>
      <c r="AE67" s="9">
        <f t="shared" si="8"/>
        <v>6.9298084929225645</v>
      </c>
      <c r="AF67" s="9">
        <f t="shared" si="9"/>
        <v>4.6965495272647111</v>
      </c>
      <c r="AG67" s="9">
        <f t="shared" si="13"/>
        <v>2.1418408156725355</v>
      </c>
      <c r="AH67" s="9">
        <f t="shared" si="14"/>
        <v>0.95892708731304077</v>
      </c>
      <c r="AI67" s="9">
        <f t="shared" si="15"/>
        <v>2.8781866803389979</v>
      </c>
      <c r="AJ67" s="9">
        <f>(4*PI()*(AI67^2))/(Y67+E67)</f>
        <v>0.90121455722811938</v>
      </c>
      <c r="AK67" s="12">
        <f t="shared" ref="AK67:AK130" si="16">I67/O67</f>
        <v>0.63126252505010017</v>
      </c>
      <c r="AL67" s="9" t="s">
        <v>140</v>
      </c>
      <c r="AM67" s="9" t="s">
        <v>142</v>
      </c>
      <c r="AN67" s="3">
        <v>7.5659999999999998</v>
      </c>
      <c r="AO67" s="3">
        <v>0.57721999999999996</v>
      </c>
      <c r="AP67" s="3">
        <v>10594</v>
      </c>
      <c r="AQ67" s="3">
        <v>9786.2999999999993</v>
      </c>
      <c r="AR67" s="3">
        <v>3.6991999999999998</v>
      </c>
      <c r="AS67" s="3">
        <v>1.4319E-2</v>
      </c>
      <c r="AT67" s="3">
        <v>0.73114000000000001</v>
      </c>
      <c r="AU67" s="3">
        <v>0.54162999999999994</v>
      </c>
      <c r="AV67" s="3">
        <v>5.4396E-2</v>
      </c>
      <c r="AW67" s="3">
        <v>2.0854999999999999E-2</v>
      </c>
      <c r="AX67" s="3">
        <v>0.26307000000000003</v>
      </c>
      <c r="AY67" s="3">
        <v>-3.6532</v>
      </c>
      <c r="AZ67" s="3">
        <v>-1296.0999999999999</v>
      </c>
      <c r="BA67" s="3">
        <v>9.7055000000000002E-2</v>
      </c>
      <c r="BB67" s="3">
        <v>8.7083999999999993</v>
      </c>
      <c r="BC67" s="3" t="s">
        <v>162</v>
      </c>
      <c r="BD67" s="33" t="s">
        <v>165</v>
      </c>
      <c r="BE67" s="12" t="s">
        <v>167</v>
      </c>
    </row>
    <row r="68" spans="1:57" x14ac:dyDescent="0.25">
      <c r="A68" s="2" t="s">
        <v>76</v>
      </c>
      <c r="B68" s="2" t="s">
        <v>5</v>
      </c>
      <c r="C68" s="2" t="s">
        <v>6</v>
      </c>
      <c r="D68" s="2">
        <v>42</v>
      </c>
      <c r="E68" s="2">
        <v>9.8798999999999992</v>
      </c>
      <c r="F68" s="2">
        <v>11.68</v>
      </c>
      <c r="G68" s="2">
        <v>5.12</v>
      </c>
      <c r="H68" s="2">
        <v>3.8</v>
      </c>
      <c r="I68" s="2">
        <v>3.46</v>
      </c>
      <c r="J68" s="2">
        <v>29.63</v>
      </c>
      <c r="K68" s="2">
        <v>41.86</v>
      </c>
      <c r="L68" s="2">
        <v>14.65</v>
      </c>
      <c r="M68" s="2">
        <v>4.63</v>
      </c>
      <c r="N68" s="2">
        <v>1</v>
      </c>
      <c r="O68" s="2">
        <v>3.51</v>
      </c>
      <c r="P68" s="9">
        <v>1.1156999999999999</v>
      </c>
      <c r="Q68" s="9">
        <v>1.3437300000000001</v>
      </c>
      <c r="R68" s="10">
        <v>6.3108500000000004E-9</v>
      </c>
      <c r="S68" s="9">
        <v>0.10607</v>
      </c>
      <c r="T68" s="9">
        <v>0.120548</v>
      </c>
      <c r="U68" s="9">
        <v>3.08182E-2</v>
      </c>
      <c r="V68" s="9">
        <v>4.5527199999999999</v>
      </c>
      <c r="W68" s="9">
        <v>3.3881299999999999</v>
      </c>
      <c r="X68" s="9">
        <v>3.7801300000000002</v>
      </c>
      <c r="Y68" s="9">
        <v>49.552300000000002</v>
      </c>
      <c r="Z68" s="9">
        <v>38.256300000000003</v>
      </c>
      <c r="AA68" s="9">
        <f t="shared" si="4"/>
        <v>0.97922832369942192</v>
      </c>
      <c r="AB68" s="9">
        <f t="shared" si="5"/>
        <v>1.4797687861271678</v>
      </c>
      <c r="AC68" s="9">
        <f t="shared" si="6"/>
        <v>1.0982658959537572</v>
      </c>
      <c r="AD68" s="9">
        <f t="shared" si="7"/>
        <v>5.0154657435804015</v>
      </c>
      <c r="AE68" s="9">
        <f t="shared" si="8"/>
        <v>3.8721343333434555</v>
      </c>
      <c r="AF68" s="9">
        <f t="shared" si="9"/>
        <v>4.3644398017557675</v>
      </c>
      <c r="AG68" s="9">
        <f t="shared" si="13"/>
        <v>1.773378088425374</v>
      </c>
      <c r="AH68" s="9">
        <f t="shared" si="14"/>
        <v>0.95397800935518251</v>
      </c>
      <c r="AI68" s="9">
        <f t="shared" si="15"/>
        <v>2.0902815394259369</v>
      </c>
      <c r="AJ68" s="9">
        <f>(4*PI()*(AI68^2))/(Y68+E68)</f>
        <v>0.92384184026340332</v>
      </c>
      <c r="AK68" s="12">
        <f t="shared" si="16"/>
        <v>0.98575498575498577</v>
      </c>
      <c r="AL68" s="9" t="s">
        <v>144</v>
      </c>
      <c r="AM68" s="9" t="s">
        <v>143</v>
      </c>
      <c r="AN68" s="2">
        <v>9.0345999999999993</v>
      </c>
      <c r="AO68" s="2">
        <v>0.82445999999999997</v>
      </c>
      <c r="AP68" s="2">
        <v>11005</v>
      </c>
      <c r="AQ68" s="2">
        <v>11699</v>
      </c>
      <c r="AR68" s="2">
        <v>4.1318999999999999</v>
      </c>
      <c r="AS68" s="2">
        <v>2.1481E-3</v>
      </c>
      <c r="AT68" s="2">
        <v>0.76039999999999996</v>
      </c>
      <c r="AU68" s="2">
        <v>0.35925000000000001</v>
      </c>
      <c r="AV68" s="2">
        <v>2.2230000000000001E-3</v>
      </c>
      <c r="AW68" s="2">
        <v>1.8217999999999999E-3</v>
      </c>
      <c r="AX68" s="2">
        <v>0.30797999999999998</v>
      </c>
      <c r="AY68" s="2">
        <v>2.1526999999999998</v>
      </c>
      <c r="AZ68" s="2">
        <v>1877.5</v>
      </c>
      <c r="BA68" s="2">
        <v>2.9114999999999999E-2</v>
      </c>
      <c r="BB68" s="2">
        <v>4.5156999999999998</v>
      </c>
      <c r="BC68" s="2" t="s">
        <v>162</v>
      </c>
      <c r="BD68" s="32" t="s">
        <v>163</v>
      </c>
      <c r="BE68" s="12" t="s">
        <v>167</v>
      </c>
    </row>
    <row r="69" spans="1:57" x14ac:dyDescent="0.25">
      <c r="A69" s="3" t="s">
        <v>77</v>
      </c>
      <c r="B69" s="3" t="s">
        <v>40</v>
      </c>
      <c r="C69" s="3" t="s">
        <v>6</v>
      </c>
      <c r="D69" s="3">
        <v>33</v>
      </c>
      <c r="E69" s="3">
        <v>21.356000000000002</v>
      </c>
      <c r="F69" s="3">
        <v>17.033000000000001</v>
      </c>
      <c r="G69" s="3">
        <v>4.6500000000000004</v>
      </c>
      <c r="H69" s="3">
        <v>4.25</v>
      </c>
      <c r="I69" s="3">
        <v>2.39</v>
      </c>
      <c r="J69" s="3">
        <v>52.16</v>
      </c>
      <c r="K69" s="3">
        <v>24.18</v>
      </c>
      <c r="L69" s="3">
        <v>54.9</v>
      </c>
      <c r="M69" s="3">
        <v>6.1</v>
      </c>
      <c r="N69" s="3">
        <v>2</v>
      </c>
      <c r="O69" s="3">
        <f>1.55+1.32</f>
        <v>2.87</v>
      </c>
      <c r="P69" s="9">
        <v>0.85299999999999998</v>
      </c>
      <c r="Q69" s="9">
        <v>1.2959799999999999</v>
      </c>
      <c r="R69" s="9">
        <v>0.16666700000000001</v>
      </c>
      <c r="S69" s="9">
        <v>7.8312000000000007E-2</v>
      </c>
      <c r="T69" s="9">
        <v>9.1773900000000005E-2</v>
      </c>
      <c r="U69" s="9">
        <v>2.1481299999999998E-2</v>
      </c>
      <c r="V69" s="9">
        <v>6.4814499999999997</v>
      </c>
      <c r="W69" s="9">
        <v>5.0011999999999999</v>
      </c>
      <c r="X69" s="9">
        <v>4.2660200000000001</v>
      </c>
      <c r="Y69" s="9">
        <v>80.944000000000003</v>
      </c>
      <c r="Z69" s="9">
        <v>83.821799999999996</v>
      </c>
      <c r="AA69" s="9">
        <f t="shared" ref="AA69:AA132" si="17">W69/I69</f>
        <v>2.0925523012552301</v>
      </c>
      <c r="AB69" s="9">
        <f t="shared" ref="AB69:AB132" si="18">G69/I69</f>
        <v>1.9456066945606696</v>
      </c>
      <c r="AC69" s="9">
        <f t="shared" ref="AC69:AC132" si="19">H69/I69</f>
        <v>1.7782426778242677</v>
      </c>
      <c r="AD69" s="9">
        <f t="shared" ref="AD69:AD132" si="20">Y69/E69</f>
        <v>3.7902228881813071</v>
      </c>
      <c r="AE69" s="9">
        <f t="shared" ref="AE69:AE132" si="21">Z69/E69</f>
        <v>3.9249765873759128</v>
      </c>
      <c r="AF69" s="9">
        <f t="shared" ref="AF69:AF132" si="22">Y69/(Z69)^(2/3)</f>
        <v>4.2261671857794116</v>
      </c>
      <c r="AG69" s="9">
        <f t="shared" si="13"/>
        <v>2.6072640697369023</v>
      </c>
      <c r="AH69" s="9">
        <f t="shared" si="14"/>
        <v>0.96177557065156782</v>
      </c>
      <c r="AI69" s="9">
        <f t="shared" si="15"/>
        <v>2.7149142964009862</v>
      </c>
      <c r="AJ69" s="9">
        <f>(4*PI()*(AI69^2))/(Y69+E69)</f>
        <v>0.90541248587897494</v>
      </c>
      <c r="AK69" s="12">
        <f t="shared" si="16"/>
        <v>0.83275261324041816</v>
      </c>
      <c r="AL69" s="9" t="s">
        <v>144</v>
      </c>
      <c r="AM69" s="9" t="s">
        <v>142</v>
      </c>
      <c r="AN69" s="3">
        <v>3.9813000000000001</v>
      </c>
      <c r="AO69" s="3">
        <v>0.70313999999999999</v>
      </c>
      <c r="AP69" s="3">
        <v>4449.2</v>
      </c>
      <c r="AQ69" s="3">
        <v>4188.1000000000004</v>
      </c>
      <c r="AR69" s="3">
        <v>2.4447000000000001</v>
      </c>
      <c r="AS69" s="3">
        <v>5.0705999999999998E-3</v>
      </c>
      <c r="AT69" s="3">
        <v>0.73658999999999997</v>
      </c>
      <c r="AU69" s="3">
        <v>0.52417000000000002</v>
      </c>
      <c r="AV69" s="3">
        <v>3.0423E-3</v>
      </c>
      <c r="AW69" s="3">
        <v>4.8361999999999997E-3</v>
      </c>
      <c r="AX69" s="3">
        <v>0.19758999999999999</v>
      </c>
      <c r="AY69" s="3">
        <v>-4.7061000000000002</v>
      </c>
      <c r="AZ69" s="3">
        <v>-508.38</v>
      </c>
      <c r="BA69" s="3">
        <v>8.3833000000000005E-2</v>
      </c>
      <c r="BB69" s="3">
        <v>6.8917000000000002</v>
      </c>
      <c r="BC69" s="3" t="s">
        <v>162</v>
      </c>
      <c r="BD69" s="33" t="s">
        <v>163</v>
      </c>
      <c r="BE69" s="12" t="s">
        <v>168</v>
      </c>
    </row>
    <row r="70" spans="1:57" x14ac:dyDescent="0.25">
      <c r="A70" s="3" t="s">
        <v>78</v>
      </c>
      <c r="B70" s="3" t="s">
        <v>26</v>
      </c>
      <c r="C70" s="3" t="s">
        <v>6</v>
      </c>
      <c r="D70" s="3">
        <v>43</v>
      </c>
      <c r="E70" s="3">
        <v>6.1528</v>
      </c>
      <c r="F70" s="3">
        <v>9.2177000000000007</v>
      </c>
      <c r="G70" s="3">
        <v>4.7</v>
      </c>
      <c r="H70" s="3">
        <v>4.43</v>
      </c>
      <c r="I70" s="3">
        <v>2.19</v>
      </c>
      <c r="J70" s="3">
        <v>36.090000000000003</v>
      </c>
      <c r="K70" s="3">
        <v>68.61</v>
      </c>
      <c r="L70" s="3">
        <v>70.319999999999993</v>
      </c>
      <c r="M70" s="3">
        <v>3.55</v>
      </c>
      <c r="N70" s="3">
        <v>2</v>
      </c>
      <c r="O70" s="3">
        <f>1.59+1.53</f>
        <v>3.12</v>
      </c>
      <c r="P70" s="9">
        <v>1.6409</v>
      </c>
      <c r="Q70" s="9">
        <v>1.3804099999999999</v>
      </c>
      <c r="R70" s="9">
        <v>-1.72414E-2</v>
      </c>
      <c r="S70" s="9">
        <v>0.15871199999999999</v>
      </c>
      <c r="T70" s="9">
        <v>0.16938800000000001</v>
      </c>
      <c r="U70" s="9">
        <v>2.54489E-2</v>
      </c>
      <c r="V70" s="9">
        <v>3.7122600000000001</v>
      </c>
      <c r="W70" s="9">
        <v>2.6892399999999999</v>
      </c>
      <c r="X70" s="9">
        <v>4.4127700000000001</v>
      </c>
      <c r="Y70" s="9">
        <v>47.983899999999998</v>
      </c>
      <c r="Z70" s="9">
        <v>33.4602</v>
      </c>
      <c r="AA70" s="9">
        <f t="shared" si="17"/>
        <v>1.2279634703196347</v>
      </c>
      <c r="AB70" s="9">
        <f t="shared" si="18"/>
        <v>2.1461187214611872</v>
      </c>
      <c r="AC70" s="9">
        <f t="shared" si="19"/>
        <v>2.0228310502283104</v>
      </c>
      <c r="AD70" s="9">
        <f t="shared" si="20"/>
        <v>7.7987095306202052</v>
      </c>
      <c r="AE70" s="9">
        <f t="shared" si="21"/>
        <v>5.4382069951891818</v>
      </c>
      <c r="AF70" s="9">
        <f t="shared" si="22"/>
        <v>4.6210768210833448</v>
      </c>
      <c r="AG70" s="9">
        <f t="shared" si="13"/>
        <v>1.3994631355314893</v>
      </c>
      <c r="AH70" s="9">
        <f t="shared" si="14"/>
        <v>0.95393495244051407</v>
      </c>
      <c r="AI70" s="9">
        <f t="shared" si="15"/>
        <v>1.9990023641328447</v>
      </c>
      <c r="AJ70" s="9">
        <f>(4*PI()*(AI70^2))/(Y70+E70)</f>
        <v>0.92756574220964705</v>
      </c>
      <c r="AK70" s="12">
        <f t="shared" si="16"/>
        <v>0.70192307692307687</v>
      </c>
      <c r="AL70" s="9" t="s">
        <v>144</v>
      </c>
      <c r="AM70" s="9" t="s">
        <v>142</v>
      </c>
      <c r="AN70" s="3">
        <v>2.3858999999999999</v>
      </c>
      <c r="AO70" s="3">
        <v>0.29499999999999998</v>
      </c>
      <c r="AP70" s="3">
        <v>3894.1</v>
      </c>
      <c r="AQ70" s="3">
        <v>3570.5</v>
      </c>
      <c r="AR70" s="3">
        <v>1.1874</v>
      </c>
      <c r="AS70" s="3">
        <v>2.2463E-2</v>
      </c>
      <c r="AT70" s="3">
        <v>0.67750999999999995</v>
      </c>
      <c r="AU70" s="3">
        <v>1.4441999999999999</v>
      </c>
      <c r="AV70" s="3">
        <v>0.12083000000000001</v>
      </c>
      <c r="AW70" s="3">
        <v>2.017E-2</v>
      </c>
      <c r="AX70" s="3">
        <v>0.10828</v>
      </c>
      <c r="AY70" s="3">
        <v>-4.0671999999999997</v>
      </c>
      <c r="AZ70" s="3">
        <v>-375.44</v>
      </c>
      <c r="BA70" s="3">
        <v>0.11695</v>
      </c>
      <c r="BB70" s="3">
        <v>3.6736</v>
      </c>
      <c r="BC70" s="3" t="s">
        <v>162</v>
      </c>
      <c r="BD70" s="33" t="s">
        <v>165</v>
      </c>
      <c r="BE70" s="12" t="s">
        <v>167</v>
      </c>
    </row>
    <row r="71" spans="1:57" x14ac:dyDescent="0.25">
      <c r="A71" s="3" t="s">
        <v>79</v>
      </c>
      <c r="B71" s="3" t="s">
        <v>26</v>
      </c>
      <c r="C71" s="3" t="s">
        <v>6</v>
      </c>
      <c r="D71" s="3">
        <v>63</v>
      </c>
      <c r="E71" s="3">
        <v>4.0986000000000002</v>
      </c>
      <c r="F71" s="3">
        <v>7.5191999999999997</v>
      </c>
      <c r="G71" s="3">
        <v>2.73</v>
      </c>
      <c r="H71" s="3">
        <v>1.02</v>
      </c>
      <c r="I71" s="3">
        <v>2.0299999999999998</v>
      </c>
      <c r="J71" s="3">
        <v>80.400000000000006</v>
      </c>
      <c r="K71" s="3">
        <v>0</v>
      </c>
      <c r="L71" s="3">
        <v>80.400000000000006</v>
      </c>
      <c r="M71" s="3">
        <v>2.73</v>
      </c>
      <c r="N71" s="3">
        <v>2</v>
      </c>
      <c r="O71" s="3">
        <f>2.04+1.25</f>
        <v>3.29</v>
      </c>
      <c r="P71" s="9">
        <v>0.43799399999999999</v>
      </c>
      <c r="Q71" s="9">
        <v>1.1484799999999999</v>
      </c>
      <c r="R71" s="9">
        <v>0.44736799999999999</v>
      </c>
      <c r="S71" s="9">
        <v>6.4522999999999997E-2</v>
      </c>
      <c r="T71" s="9">
        <v>7.9988600000000007E-2</v>
      </c>
      <c r="U71" s="9">
        <v>2.1688200000000001E-3</v>
      </c>
      <c r="V71" s="9">
        <v>2.62799</v>
      </c>
      <c r="W71" s="9">
        <v>2.2882400000000001</v>
      </c>
      <c r="X71" s="9">
        <v>1.00224</v>
      </c>
      <c r="Y71" s="9">
        <v>7.5757000000000003</v>
      </c>
      <c r="Z71" s="9">
        <v>2.4468800000000002</v>
      </c>
      <c r="AA71" s="9">
        <f t="shared" si="17"/>
        <v>1.1272118226600987</v>
      </c>
      <c r="AB71" s="9">
        <f t="shared" si="18"/>
        <v>1.3448275862068966</v>
      </c>
      <c r="AC71" s="9">
        <f t="shared" si="19"/>
        <v>0.50246305418719217</v>
      </c>
      <c r="AD71" s="9">
        <f t="shared" si="20"/>
        <v>1.8483628556092324</v>
      </c>
      <c r="AE71" s="9">
        <f t="shared" si="21"/>
        <v>0.59700385497486952</v>
      </c>
      <c r="AF71" s="9">
        <f t="shared" si="22"/>
        <v>4.1720322224965232</v>
      </c>
      <c r="AG71" s="9">
        <f t="shared" si="13"/>
        <v>1.1422017770573134</v>
      </c>
      <c r="AH71" s="9">
        <f t="shared" si="14"/>
        <v>0.9544453430472557</v>
      </c>
      <c r="AI71" s="9">
        <f t="shared" si="15"/>
        <v>0.83593919241002101</v>
      </c>
      <c r="AJ71" s="9">
        <f>(4*PI()*(AI71^2))/(Y71+E71)</f>
        <v>0.75219144418148542</v>
      </c>
      <c r="AK71" s="12">
        <f t="shared" si="16"/>
        <v>0.61702127659574457</v>
      </c>
      <c r="AL71" s="9" t="s">
        <v>144</v>
      </c>
      <c r="AM71" s="9" t="s">
        <v>142</v>
      </c>
      <c r="AN71" s="3">
        <v>12.827999999999999</v>
      </c>
      <c r="AO71" s="3">
        <v>1.0487</v>
      </c>
      <c r="AP71" s="3">
        <v>28847</v>
      </c>
      <c r="AQ71" s="3">
        <v>29034</v>
      </c>
      <c r="AR71" s="3">
        <v>5.5285000000000002</v>
      </c>
      <c r="AS71" s="3">
        <v>5.6651999999999996E-3</v>
      </c>
      <c r="AT71" s="3">
        <v>0.79307000000000005</v>
      </c>
      <c r="AU71" s="3">
        <v>0.26916000000000001</v>
      </c>
      <c r="AV71" s="3">
        <v>3.3089E-3</v>
      </c>
      <c r="AW71" s="3">
        <v>3.3649000000000001E-3</v>
      </c>
      <c r="AX71" s="3">
        <v>0.28771999999999998</v>
      </c>
      <c r="AY71" s="3">
        <v>-3.1254</v>
      </c>
      <c r="AZ71" s="3">
        <v>-7837.5</v>
      </c>
      <c r="BA71" s="3">
        <v>8.1157E-3</v>
      </c>
      <c r="BB71" s="3">
        <v>11.981999999999999</v>
      </c>
      <c r="BC71" s="3" t="s">
        <v>162</v>
      </c>
      <c r="BD71" s="33" t="s">
        <v>165</v>
      </c>
      <c r="BE71" s="12" t="s">
        <v>167</v>
      </c>
    </row>
    <row r="72" spans="1:57" x14ac:dyDescent="0.25">
      <c r="A72" s="3" t="s">
        <v>80</v>
      </c>
      <c r="B72" s="3" t="s">
        <v>26</v>
      </c>
      <c r="C72" s="3" t="s">
        <v>14</v>
      </c>
      <c r="D72" s="3">
        <v>51</v>
      </c>
      <c r="E72" s="3">
        <v>19.286000000000001</v>
      </c>
      <c r="F72" s="3">
        <v>16.065999999999999</v>
      </c>
      <c r="G72" s="3">
        <v>8.6999999999999993</v>
      </c>
      <c r="H72" s="3">
        <v>6.9</v>
      </c>
      <c r="I72" s="3">
        <v>2.84</v>
      </c>
      <c r="J72" s="3">
        <v>23</v>
      </c>
      <c r="K72" s="3">
        <v>47.87</v>
      </c>
      <c r="L72" s="3">
        <v>63.75</v>
      </c>
      <c r="M72" s="3">
        <v>5.3</v>
      </c>
      <c r="N72" s="3">
        <v>2</v>
      </c>
      <c r="O72" s="3">
        <f>2.1+1.55</f>
        <v>3.6500000000000004</v>
      </c>
      <c r="P72" s="9">
        <v>1.4194100000000001</v>
      </c>
      <c r="Q72" s="9">
        <v>1.2502599999999999</v>
      </c>
      <c r="R72" s="9">
        <v>-9.5588199999999998E-2</v>
      </c>
      <c r="S72" s="9">
        <v>0.158137</v>
      </c>
      <c r="T72" s="9">
        <v>0.18096899999999999</v>
      </c>
      <c r="U72" s="9">
        <v>7.0275000000000004E-2</v>
      </c>
      <c r="V72" s="9">
        <v>6.0638699999999996</v>
      </c>
      <c r="W72" s="9">
        <v>4.8501000000000003</v>
      </c>
      <c r="X72" s="9">
        <v>6.8842999999999996</v>
      </c>
      <c r="Y72" s="9">
        <v>108.411</v>
      </c>
      <c r="Z72" s="9">
        <v>111.26300000000001</v>
      </c>
      <c r="AA72" s="9">
        <f t="shared" si="17"/>
        <v>1.7077816901408454</v>
      </c>
      <c r="AB72" s="9">
        <f t="shared" si="18"/>
        <v>3.0633802816901405</v>
      </c>
      <c r="AC72" s="9">
        <f t="shared" si="19"/>
        <v>2.4295774647887325</v>
      </c>
      <c r="AD72" s="9">
        <f t="shared" si="20"/>
        <v>5.621227833661723</v>
      </c>
      <c r="AE72" s="9">
        <f t="shared" si="21"/>
        <v>5.7691071243388983</v>
      </c>
      <c r="AF72" s="9">
        <f t="shared" si="22"/>
        <v>4.6864016434236095</v>
      </c>
      <c r="AG72" s="9">
        <f t="shared" si="13"/>
        <v>2.4776853038553117</v>
      </c>
      <c r="AH72" s="9">
        <f t="shared" si="14"/>
        <v>0.96898766942602288</v>
      </c>
      <c r="AI72" s="9">
        <f t="shared" si="15"/>
        <v>2.9836924279436374</v>
      </c>
      <c r="AJ72" s="9">
        <f>(4*PI()*(AI72^2))/(Y72+E72)</f>
        <v>0.87606690388399389</v>
      </c>
      <c r="AK72" s="12">
        <f t="shared" si="16"/>
        <v>0.77808219178082183</v>
      </c>
      <c r="AL72" s="9" t="s">
        <v>144</v>
      </c>
      <c r="AM72" s="9" t="s">
        <v>142</v>
      </c>
      <c r="AN72" s="3">
        <v>2.4916999999999998</v>
      </c>
      <c r="AO72" s="3">
        <v>0.42981999999999998</v>
      </c>
      <c r="AP72" s="3">
        <v>3325.8</v>
      </c>
      <c r="AQ72" s="3">
        <v>2933.3</v>
      </c>
      <c r="AR72" s="3">
        <v>1.4161999999999999</v>
      </c>
      <c r="AS72" s="3">
        <v>1.0753E-2</v>
      </c>
      <c r="AT72" s="3">
        <v>0.76741000000000004</v>
      </c>
      <c r="AU72" s="3">
        <v>1.1529</v>
      </c>
      <c r="AV72" s="3">
        <v>4.1841999999999997E-2</v>
      </c>
      <c r="AW72" s="3">
        <v>1.3065E-2</v>
      </c>
      <c r="AX72" s="3">
        <v>0.12659999999999999</v>
      </c>
      <c r="AY72" s="3">
        <v>-20.454000000000001</v>
      </c>
      <c r="AZ72" s="3">
        <v>-446.14</v>
      </c>
      <c r="BA72" s="3">
        <v>0.18415999999999999</v>
      </c>
      <c r="BB72" s="3">
        <v>26.719000000000001</v>
      </c>
      <c r="BC72" s="3" t="s">
        <v>162</v>
      </c>
      <c r="BD72" s="33" t="s">
        <v>165</v>
      </c>
      <c r="BE72" s="12" t="s">
        <v>167</v>
      </c>
    </row>
    <row r="73" spans="1:57" x14ac:dyDescent="0.25">
      <c r="A73" s="3" t="s">
        <v>81</v>
      </c>
      <c r="B73" s="3" t="s">
        <v>26</v>
      </c>
      <c r="C73" s="3" t="s">
        <v>14</v>
      </c>
      <c r="D73" s="3">
        <v>72</v>
      </c>
      <c r="E73" s="3">
        <v>57.366999999999997</v>
      </c>
      <c r="F73" s="3">
        <v>28.135999999999999</v>
      </c>
      <c r="G73" s="3">
        <v>14.76</v>
      </c>
      <c r="H73" s="3">
        <v>10.75</v>
      </c>
      <c r="I73" s="3">
        <v>2.87</v>
      </c>
      <c r="J73" s="3">
        <v>75.17</v>
      </c>
      <c r="K73" s="3">
        <v>39.06</v>
      </c>
      <c r="L73" s="3">
        <v>50.98</v>
      </c>
      <c r="M73" s="3">
        <v>10.3</v>
      </c>
      <c r="N73" s="3">
        <v>2</v>
      </c>
      <c r="O73" s="3">
        <f>2.92+2.17</f>
        <v>5.09</v>
      </c>
      <c r="P73" s="9">
        <v>1.3008599999999999</v>
      </c>
      <c r="Q73" s="9">
        <v>1.3571500000000001</v>
      </c>
      <c r="R73" s="9">
        <v>2.1126800000000001E-2</v>
      </c>
      <c r="S73" s="9">
        <v>0.13533899999999999</v>
      </c>
      <c r="T73" s="9">
        <v>0.15262899999999999</v>
      </c>
      <c r="U73" s="9">
        <v>4.9776099999999997E-2</v>
      </c>
      <c r="V73" s="9">
        <v>11.1859</v>
      </c>
      <c r="W73" s="9">
        <v>8.2422599999999999</v>
      </c>
      <c r="X73" s="9">
        <v>10.722</v>
      </c>
      <c r="Y73" s="9">
        <v>338.35399999999998</v>
      </c>
      <c r="Z73" s="9">
        <v>645.58900000000006</v>
      </c>
      <c r="AA73" s="9">
        <f t="shared" si="17"/>
        <v>2.8718675958188151</v>
      </c>
      <c r="AB73" s="9">
        <f t="shared" si="18"/>
        <v>5.1428571428571423</v>
      </c>
      <c r="AC73" s="9">
        <f t="shared" si="19"/>
        <v>3.7456445993031355</v>
      </c>
      <c r="AD73" s="9">
        <f t="shared" si="20"/>
        <v>5.898059860198372</v>
      </c>
      <c r="AE73" s="9">
        <f t="shared" si="21"/>
        <v>11.253664999041263</v>
      </c>
      <c r="AF73" s="9">
        <f t="shared" si="22"/>
        <v>4.5296769904743908</v>
      </c>
      <c r="AG73" s="9">
        <f t="shared" si="13"/>
        <v>4.2732286670274879</v>
      </c>
      <c r="AH73" s="9">
        <f t="shared" si="14"/>
        <v>0.95427521946565685</v>
      </c>
      <c r="AI73" s="9">
        <f t="shared" si="15"/>
        <v>5.3615353146392497</v>
      </c>
      <c r="AJ73" s="9">
        <f>(4*PI()*(AI73^2))/(Y73+E73)</f>
        <v>0.91284934423719222</v>
      </c>
      <c r="AK73" s="12">
        <f t="shared" si="16"/>
        <v>0.56385068762278978</v>
      </c>
      <c r="AL73" s="9" t="s">
        <v>144</v>
      </c>
      <c r="AM73" s="9" t="s">
        <v>142</v>
      </c>
      <c r="AN73" s="3">
        <v>0.89314000000000004</v>
      </c>
      <c r="AO73" s="3">
        <v>0.20907999999999999</v>
      </c>
      <c r="AP73" s="3">
        <v>813.33</v>
      </c>
      <c r="AQ73" s="3">
        <v>656.35</v>
      </c>
      <c r="AR73" s="3">
        <v>0.61502000000000001</v>
      </c>
      <c r="AS73" s="3">
        <v>7.4888999999999997E-2</v>
      </c>
      <c r="AT73" s="3">
        <v>0.59599000000000002</v>
      </c>
      <c r="AU73" s="3">
        <v>4.5613000000000001</v>
      </c>
      <c r="AV73" s="3">
        <v>0.71982999999999997</v>
      </c>
      <c r="AW73" s="3">
        <v>5.6059999999999999E-2</v>
      </c>
      <c r="AX73" s="3">
        <v>4.9796E-2</v>
      </c>
      <c r="AY73" s="3">
        <v>-53.286000000000001</v>
      </c>
      <c r="AZ73" s="3">
        <v>-87.039000000000001</v>
      </c>
      <c r="BA73" s="3">
        <v>0.86938000000000004</v>
      </c>
      <c r="BB73" s="3">
        <v>28.466999999999999</v>
      </c>
      <c r="BC73" s="3" t="s">
        <v>162</v>
      </c>
      <c r="BD73" s="33" t="s">
        <v>163</v>
      </c>
      <c r="BE73" s="12" t="s">
        <v>167</v>
      </c>
    </row>
    <row r="74" spans="1:57" x14ac:dyDescent="0.25">
      <c r="A74" s="2" t="s">
        <v>82</v>
      </c>
      <c r="B74" s="2" t="s">
        <v>26</v>
      </c>
      <c r="C74" s="2" t="s">
        <v>6</v>
      </c>
      <c r="D74" s="2">
        <v>49</v>
      </c>
      <c r="E74" s="2">
        <v>10.467000000000001</v>
      </c>
      <c r="F74" s="2">
        <v>12.099</v>
      </c>
      <c r="G74" s="2">
        <v>4.3099999999999996</v>
      </c>
      <c r="H74" s="2">
        <v>2.2000000000000002</v>
      </c>
      <c r="I74" s="2">
        <v>2.19</v>
      </c>
      <c r="J74" s="2">
        <v>48.1</v>
      </c>
      <c r="K74" s="2">
        <v>11.89</v>
      </c>
      <c r="L74" s="2">
        <v>63.14</v>
      </c>
      <c r="M74" s="2">
        <v>4.2</v>
      </c>
      <c r="N74" s="2">
        <v>2</v>
      </c>
      <c r="O74" s="2">
        <f>1.99+2.11</f>
        <v>4.0999999999999996</v>
      </c>
      <c r="P74" s="9">
        <v>0.61547399999999997</v>
      </c>
      <c r="Q74" s="9">
        <v>1.1539299999999999</v>
      </c>
      <c r="R74" s="9">
        <v>0.47619</v>
      </c>
      <c r="S74" s="9">
        <v>3.2418799999999998E-2</v>
      </c>
      <c r="T74" s="9">
        <v>4.53449E-2</v>
      </c>
      <c r="U74" s="9">
        <v>1.74167E-2</v>
      </c>
      <c r="V74" s="9">
        <v>4.1135799999999998</v>
      </c>
      <c r="W74" s="9">
        <v>3.5648499999999999</v>
      </c>
      <c r="X74" s="9">
        <v>2.19407</v>
      </c>
      <c r="Y74" s="9">
        <v>24.9085</v>
      </c>
      <c r="Z74" s="9">
        <v>15.4199</v>
      </c>
      <c r="AA74" s="9">
        <f t="shared" si="17"/>
        <v>1.6277853881278539</v>
      </c>
      <c r="AB74" s="9">
        <f t="shared" si="18"/>
        <v>1.9680365296803652</v>
      </c>
      <c r="AC74" s="9">
        <f t="shared" si="19"/>
        <v>1.0045662100456623</v>
      </c>
      <c r="AD74" s="9">
        <f t="shared" si="20"/>
        <v>2.3797172064583929</v>
      </c>
      <c r="AE74" s="9">
        <f t="shared" si="21"/>
        <v>1.4731919365625299</v>
      </c>
      <c r="AF74" s="9">
        <f t="shared" si="22"/>
        <v>4.0206216178954275</v>
      </c>
      <c r="AG74" s="9">
        <f t="shared" si="13"/>
        <v>1.8253080777462574</v>
      </c>
      <c r="AH74" s="9">
        <f t="shared" si="14"/>
        <v>0.94790882677671684</v>
      </c>
      <c r="AI74" s="9">
        <f t="shared" si="15"/>
        <v>1.5440605105049923</v>
      </c>
      <c r="AJ74" s="9">
        <f>(4*PI()*(AI74^2))/(Y74+E74)</f>
        <v>0.84690736385900867</v>
      </c>
      <c r="AK74" s="12">
        <f t="shared" si="16"/>
        <v>0.53414634146341466</v>
      </c>
      <c r="AL74" s="9" t="s">
        <v>144</v>
      </c>
      <c r="AM74" s="9" t="s">
        <v>142</v>
      </c>
      <c r="AN74" s="2">
        <v>8.2421000000000006</v>
      </c>
      <c r="AO74" s="2">
        <v>1.1802999999999999</v>
      </c>
      <c r="AP74" s="2">
        <v>14514</v>
      </c>
      <c r="AQ74" s="2">
        <v>14004</v>
      </c>
      <c r="AR74" s="2">
        <v>4.0465</v>
      </c>
      <c r="AS74" s="2">
        <v>1.6203000000000001E-3</v>
      </c>
      <c r="AT74" s="2">
        <v>0.78681999999999996</v>
      </c>
      <c r="AU74" s="2">
        <v>0.30127999999999999</v>
      </c>
      <c r="AV74" s="2">
        <v>0</v>
      </c>
      <c r="AW74" s="2">
        <v>4.5141000000000001E-3</v>
      </c>
      <c r="AX74" s="2">
        <v>0.25840000000000002</v>
      </c>
      <c r="AY74" s="2">
        <v>1.0307999999999999E-2</v>
      </c>
      <c r="AZ74" s="2">
        <v>-679.72</v>
      </c>
      <c r="BA74" s="2">
        <v>2.8025999999999999E-2</v>
      </c>
      <c r="BB74" s="2">
        <v>24.149000000000001</v>
      </c>
      <c r="BC74" s="2" t="s">
        <v>162</v>
      </c>
      <c r="BD74" s="32" t="s">
        <v>163</v>
      </c>
      <c r="BE74" s="12" t="s">
        <v>168</v>
      </c>
    </row>
    <row r="75" spans="1:57" x14ac:dyDescent="0.25">
      <c r="A75" s="2" t="s">
        <v>83</v>
      </c>
      <c r="B75" s="2" t="s">
        <v>5</v>
      </c>
      <c r="C75" s="2" t="s">
        <v>6</v>
      </c>
      <c r="D75" s="2">
        <v>32</v>
      </c>
      <c r="E75" s="2">
        <v>5.3851000000000004</v>
      </c>
      <c r="F75" s="2">
        <v>8.3796999999999997</v>
      </c>
      <c r="G75" s="2">
        <v>9.4700000000000006</v>
      </c>
      <c r="H75" s="2">
        <v>7.45</v>
      </c>
      <c r="I75" s="2">
        <v>2.56</v>
      </c>
      <c r="J75" s="2">
        <v>6.89</v>
      </c>
      <c r="K75" s="2">
        <v>47.17</v>
      </c>
      <c r="L75" s="2">
        <v>48.8</v>
      </c>
      <c r="M75" s="2">
        <v>7.1</v>
      </c>
      <c r="N75" s="2">
        <v>2</v>
      </c>
      <c r="O75" s="2">
        <v>2.63</v>
      </c>
      <c r="P75" s="9">
        <v>2.8974000000000002</v>
      </c>
      <c r="Q75" s="9">
        <v>3.3407399999999998</v>
      </c>
      <c r="R75" s="9">
        <v>-0.13265299999999999</v>
      </c>
      <c r="S75" s="9">
        <v>0.21706800000000001</v>
      </c>
      <c r="T75" s="9">
        <v>0.237341</v>
      </c>
      <c r="U75" s="9">
        <v>5.1641199999999998E-2</v>
      </c>
      <c r="V75" s="9">
        <v>8.5807699999999993</v>
      </c>
      <c r="W75" s="9">
        <v>2.5685199999999999</v>
      </c>
      <c r="X75" s="9">
        <v>7.4420400000000004</v>
      </c>
      <c r="Y75" s="9">
        <v>171.803</v>
      </c>
      <c r="Z75" s="9">
        <v>199.44800000000001</v>
      </c>
      <c r="AA75" s="9">
        <f t="shared" si="17"/>
        <v>1.0033281249999999</v>
      </c>
      <c r="AB75" s="9">
        <f t="shared" si="18"/>
        <v>3.69921875</v>
      </c>
      <c r="AC75" s="9">
        <f t="shared" si="19"/>
        <v>2.91015625</v>
      </c>
      <c r="AD75" s="9">
        <f t="shared" si="20"/>
        <v>31.903400122560395</v>
      </c>
      <c r="AE75" s="9">
        <f t="shared" si="21"/>
        <v>37.037009526285487</v>
      </c>
      <c r="AF75" s="9">
        <f t="shared" si="22"/>
        <v>5.0328148390940157</v>
      </c>
      <c r="AG75" s="9">
        <f t="shared" si="13"/>
        <v>1.3092480926426173</v>
      </c>
      <c r="AH75" s="9">
        <f t="shared" si="14"/>
        <v>0.98168769516152021</v>
      </c>
      <c r="AI75" s="9">
        <f t="shared" si="15"/>
        <v>3.6244909981398377</v>
      </c>
      <c r="AJ75" s="9">
        <f>(4*PI()*(AI75^2))/(Y75+E75)</f>
        <v>0.93168555840608491</v>
      </c>
      <c r="AK75" s="12">
        <f t="shared" si="16"/>
        <v>0.97338403041825106</v>
      </c>
      <c r="AL75" s="9" t="s">
        <v>144</v>
      </c>
      <c r="AM75" s="9" t="s">
        <v>143</v>
      </c>
      <c r="AN75" s="2">
        <v>0.78725000000000001</v>
      </c>
      <c r="AO75" s="2">
        <v>6.2817999999999999E-2</v>
      </c>
      <c r="AP75" s="2">
        <v>1911.1</v>
      </c>
      <c r="AQ75" s="2">
        <v>1686.4</v>
      </c>
      <c r="AR75" s="2">
        <v>0.44557000000000002</v>
      </c>
      <c r="AS75" s="2">
        <v>4.8710999999999997E-2</v>
      </c>
      <c r="AT75" s="2">
        <v>0.62026999999999999</v>
      </c>
      <c r="AU75" s="2">
        <v>6.0708000000000002</v>
      </c>
      <c r="AV75" s="2">
        <v>0.92390000000000005</v>
      </c>
      <c r="AW75" s="2">
        <v>6.3224000000000002E-2</v>
      </c>
      <c r="AX75" s="2">
        <v>3.6244999999999999E-2</v>
      </c>
      <c r="AY75" s="2">
        <v>-15.401</v>
      </c>
      <c r="AZ75" s="2">
        <v>-175.29</v>
      </c>
      <c r="BA75" s="2">
        <v>0.85133999999999999</v>
      </c>
      <c r="BB75" s="2">
        <v>19.7</v>
      </c>
      <c r="BC75" s="2" t="s">
        <v>162</v>
      </c>
      <c r="BD75" s="32" t="s">
        <v>165</v>
      </c>
      <c r="BE75" s="12" t="s">
        <v>167</v>
      </c>
    </row>
    <row r="76" spans="1:57" x14ac:dyDescent="0.25">
      <c r="A76" s="2" t="s">
        <v>84</v>
      </c>
      <c r="B76" s="2" t="s">
        <v>5</v>
      </c>
      <c r="C76" s="2" t="s">
        <v>6</v>
      </c>
      <c r="D76" s="2">
        <v>32</v>
      </c>
      <c r="E76" s="2">
        <v>2.7235</v>
      </c>
      <c r="F76" s="2">
        <v>6.4996999999999998</v>
      </c>
      <c r="G76" s="2">
        <v>3.41</v>
      </c>
      <c r="H76" s="2">
        <v>3.1</v>
      </c>
      <c r="I76" s="2">
        <v>2.69</v>
      </c>
      <c r="J76" s="2">
        <v>29.04</v>
      </c>
      <c r="K76" s="2">
        <v>60.45</v>
      </c>
      <c r="L76" s="2">
        <v>56.77</v>
      </c>
      <c r="M76" s="2">
        <v>2.0499999999999998</v>
      </c>
      <c r="N76" s="2">
        <v>2</v>
      </c>
      <c r="O76" s="2">
        <f>2.43+1.25</f>
        <v>3.68</v>
      </c>
      <c r="P76" s="9">
        <v>1.7609300000000001</v>
      </c>
      <c r="Q76" s="9">
        <v>1.3552900000000001</v>
      </c>
      <c r="R76" s="9">
        <v>0.36440699999999998</v>
      </c>
      <c r="S76" s="9">
        <v>0.16368099999999999</v>
      </c>
      <c r="T76" s="9">
        <v>0.176704</v>
      </c>
      <c r="U76" s="9">
        <v>2.2241E-2</v>
      </c>
      <c r="V76" s="9">
        <v>2.3465799999999999</v>
      </c>
      <c r="W76" s="9">
        <v>1.73142</v>
      </c>
      <c r="X76" s="9">
        <v>3.0489199999999999</v>
      </c>
      <c r="Y76" s="9">
        <v>19.3477</v>
      </c>
      <c r="Z76" s="9">
        <v>8.4540900000000008</v>
      </c>
      <c r="AA76" s="9">
        <f t="shared" si="17"/>
        <v>0.6436505576208178</v>
      </c>
      <c r="AB76" s="9">
        <f t="shared" si="18"/>
        <v>1.2676579925650557</v>
      </c>
      <c r="AC76" s="9">
        <f t="shared" si="19"/>
        <v>1.1524163568773236</v>
      </c>
      <c r="AD76" s="9">
        <f t="shared" si="20"/>
        <v>7.1039838443179733</v>
      </c>
      <c r="AE76" s="9">
        <f t="shared" si="21"/>
        <v>3.1041270424086655</v>
      </c>
      <c r="AF76" s="9">
        <f t="shared" si="22"/>
        <v>4.662134159329927</v>
      </c>
      <c r="AG76" s="9">
        <f t="shared" si="13"/>
        <v>0.93108376369774271</v>
      </c>
      <c r="AH76" s="9">
        <f t="shared" si="14"/>
        <v>0.90006797603260569</v>
      </c>
      <c r="AI76" s="9">
        <f t="shared" si="15"/>
        <v>1.263744909447164</v>
      </c>
      <c r="AJ76" s="9">
        <f>(4*PI()*(AI76^2))/(Y76+E76)</f>
        <v>0.90929071464043743</v>
      </c>
      <c r="AK76" s="12">
        <f t="shared" si="16"/>
        <v>0.73097826086956519</v>
      </c>
      <c r="AL76" s="9" t="s">
        <v>144</v>
      </c>
      <c r="AM76" s="9" t="s">
        <v>142</v>
      </c>
      <c r="AN76" s="2">
        <v>2.5047000000000001</v>
      </c>
      <c r="AO76" s="2">
        <v>0.27550999999999998</v>
      </c>
      <c r="AP76" s="2">
        <v>6577.4</v>
      </c>
      <c r="AQ76" s="2">
        <v>5676.3</v>
      </c>
      <c r="AR76" s="2">
        <v>0.92830000000000001</v>
      </c>
      <c r="AS76" s="2">
        <v>1.0972000000000001E-2</v>
      </c>
      <c r="AT76" s="2">
        <v>0.74565999999999999</v>
      </c>
      <c r="AU76" s="2">
        <v>2.887</v>
      </c>
      <c r="AV76" s="2">
        <v>0.26652999999999999</v>
      </c>
      <c r="AW76" s="2">
        <v>1.1027E-2</v>
      </c>
      <c r="AX76" s="2">
        <v>8.5540000000000005E-2</v>
      </c>
      <c r="AY76" s="2">
        <v>4.7388000000000003</v>
      </c>
      <c r="AZ76" s="2">
        <v>715.73</v>
      </c>
      <c r="BA76" s="2">
        <v>4.6501000000000001E-2</v>
      </c>
      <c r="BB76" s="2">
        <v>5.4537000000000004</v>
      </c>
      <c r="BC76" s="2" t="s">
        <v>162</v>
      </c>
      <c r="BD76" s="32" t="s">
        <v>163</v>
      </c>
      <c r="BE76" s="12" t="s">
        <v>167</v>
      </c>
    </row>
    <row r="77" spans="1:57" x14ac:dyDescent="0.25">
      <c r="A77" s="3" t="s">
        <v>85</v>
      </c>
      <c r="B77" s="3" t="s">
        <v>5</v>
      </c>
      <c r="C77" s="3" t="s">
        <v>6</v>
      </c>
      <c r="D77" s="3">
        <v>74</v>
      </c>
      <c r="E77" s="3">
        <v>52.695</v>
      </c>
      <c r="F77" s="3">
        <v>27.385000000000002</v>
      </c>
      <c r="G77" s="3">
        <v>18.62</v>
      </c>
      <c r="H77" s="3">
        <v>15.8</v>
      </c>
      <c r="I77" s="3">
        <v>2.73</v>
      </c>
      <c r="J77" s="3">
        <v>83.14</v>
      </c>
      <c r="K77" s="3">
        <v>55.7</v>
      </c>
      <c r="L77" s="3">
        <v>47.39</v>
      </c>
      <c r="M77" s="3">
        <v>12.2</v>
      </c>
      <c r="N77" s="3">
        <v>1</v>
      </c>
      <c r="O77" s="3">
        <v>3.45</v>
      </c>
      <c r="P77" s="9">
        <v>1.97451</v>
      </c>
      <c r="Q77" s="9">
        <v>2.2141700000000002</v>
      </c>
      <c r="R77" s="9">
        <v>0.16242000000000001</v>
      </c>
      <c r="S77" s="9">
        <v>0.215339</v>
      </c>
      <c r="T77" s="9">
        <v>0.29420299999999999</v>
      </c>
      <c r="U77" s="9">
        <v>0.176288</v>
      </c>
      <c r="V77" s="9">
        <v>17.679300000000001</v>
      </c>
      <c r="W77" s="9">
        <v>7.98461</v>
      </c>
      <c r="X77" s="9">
        <v>15.765700000000001</v>
      </c>
      <c r="Y77" s="9">
        <v>608.26400000000001</v>
      </c>
      <c r="Z77" s="9">
        <v>1182.9000000000001</v>
      </c>
      <c r="AA77" s="9">
        <f t="shared" si="17"/>
        <v>2.9247655677655677</v>
      </c>
      <c r="AB77" s="9">
        <f t="shared" si="18"/>
        <v>6.8205128205128212</v>
      </c>
      <c r="AC77" s="9">
        <f t="shared" si="19"/>
        <v>5.7875457875457874</v>
      </c>
      <c r="AD77" s="9">
        <f t="shared" si="20"/>
        <v>11.543106556599298</v>
      </c>
      <c r="AE77" s="9">
        <f t="shared" si="21"/>
        <v>22.448050099629949</v>
      </c>
      <c r="AF77" s="9">
        <f t="shared" si="22"/>
        <v>5.4382615686831777</v>
      </c>
      <c r="AG77" s="9">
        <f t="shared" si="13"/>
        <v>4.0955267612915005</v>
      </c>
      <c r="AH77" s="9">
        <f t="shared" si="14"/>
        <v>0.93967330917318059</v>
      </c>
      <c r="AI77" s="9">
        <f t="shared" si="15"/>
        <v>6.5607447386806337</v>
      </c>
      <c r="AJ77" s="9">
        <f>(4*PI()*(AI77^2))/(Y77+E77)</f>
        <v>0.81835478310886045</v>
      </c>
      <c r="AK77" s="12">
        <f t="shared" si="16"/>
        <v>0.79130434782608694</v>
      </c>
      <c r="AL77" s="9" t="s">
        <v>140</v>
      </c>
      <c r="AM77" s="9" t="s">
        <v>143</v>
      </c>
      <c r="AN77" s="3">
        <v>5.2107999999999999</v>
      </c>
      <c r="AO77" s="3">
        <v>0.35833999999999999</v>
      </c>
      <c r="AP77" s="3">
        <v>5148.7</v>
      </c>
      <c r="AQ77" s="3">
        <v>4496.3999999999996</v>
      </c>
      <c r="AR77" s="3">
        <v>3.4495</v>
      </c>
      <c r="AS77" s="3">
        <v>2.5159999999999998E-2</v>
      </c>
      <c r="AT77" s="3">
        <v>0.70243</v>
      </c>
      <c r="AU77" s="3">
        <v>1.6271</v>
      </c>
      <c r="AV77" s="3">
        <v>0.31214999999999998</v>
      </c>
      <c r="AW77" s="3">
        <v>1.9809E-2</v>
      </c>
      <c r="AX77" s="3">
        <v>0.26506000000000002</v>
      </c>
      <c r="AY77" s="3">
        <v>-8.1</v>
      </c>
      <c r="AZ77" s="3">
        <v>-2012.9</v>
      </c>
      <c r="BA77" s="3">
        <v>0.19742999999999999</v>
      </c>
      <c r="BB77" s="3">
        <v>4.1322999999999999</v>
      </c>
      <c r="BC77" s="3" t="s">
        <v>162</v>
      </c>
      <c r="BD77" s="33" t="s">
        <v>165</v>
      </c>
      <c r="BE77" s="12" t="s">
        <v>167</v>
      </c>
    </row>
    <row r="78" spans="1:57" x14ac:dyDescent="0.25">
      <c r="A78" s="3" t="s">
        <v>86</v>
      </c>
      <c r="B78" s="3" t="s">
        <v>26</v>
      </c>
      <c r="C78" s="3" t="s">
        <v>14</v>
      </c>
      <c r="D78" s="3">
        <v>63</v>
      </c>
      <c r="E78" s="3">
        <v>12.959</v>
      </c>
      <c r="F78" s="3">
        <v>13.4</v>
      </c>
      <c r="G78" s="3">
        <v>4.7300000000000004</v>
      </c>
      <c r="H78" s="3">
        <v>1.85</v>
      </c>
      <c r="I78" s="3">
        <v>2.78</v>
      </c>
      <c r="J78" s="3">
        <v>84.03</v>
      </c>
      <c r="K78" s="3">
        <v>0</v>
      </c>
      <c r="L78" s="3">
        <v>84.03</v>
      </c>
      <c r="M78" s="3">
        <v>4.7300000000000004</v>
      </c>
      <c r="N78" s="3">
        <v>2</v>
      </c>
      <c r="O78" s="3">
        <f>1.7+1.73</f>
        <v>3.4299999999999997</v>
      </c>
      <c r="P78" s="9">
        <v>0.46954499999999999</v>
      </c>
      <c r="Q78" s="9">
        <v>1.1885699999999999</v>
      </c>
      <c r="R78" s="9">
        <v>0.47142899999999999</v>
      </c>
      <c r="S78" s="9">
        <v>2.73504E-2</v>
      </c>
      <c r="T78" s="9">
        <v>3.67187E-2</v>
      </c>
      <c r="U78" s="9">
        <v>9.9602100000000006E-3</v>
      </c>
      <c r="V78" s="9">
        <v>4.6608200000000002</v>
      </c>
      <c r="W78" s="9">
        <v>3.92137</v>
      </c>
      <c r="X78" s="9">
        <v>1.8412599999999999</v>
      </c>
      <c r="Y78" s="9">
        <v>24.0578</v>
      </c>
      <c r="Z78" s="9">
        <v>14.8355</v>
      </c>
      <c r="AA78" s="9">
        <f t="shared" si="17"/>
        <v>1.410564748201439</v>
      </c>
      <c r="AB78" s="9">
        <f t="shared" si="18"/>
        <v>1.7014388489208636</v>
      </c>
      <c r="AC78" s="9">
        <f t="shared" si="19"/>
        <v>0.66546762589928066</v>
      </c>
      <c r="AD78" s="9">
        <f t="shared" si="20"/>
        <v>1.8564549733775755</v>
      </c>
      <c r="AE78" s="9">
        <f t="shared" si="21"/>
        <v>1.1448028397252874</v>
      </c>
      <c r="AF78" s="9">
        <f t="shared" si="22"/>
        <v>3.9846280224610915</v>
      </c>
      <c r="AG78" s="9">
        <f t="shared" si="13"/>
        <v>2.0310041395959151</v>
      </c>
      <c r="AH78" s="9">
        <f t="shared" si="14"/>
        <v>0.95232652005447538</v>
      </c>
      <c r="AI78" s="9">
        <f t="shared" si="15"/>
        <v>1.5243026086358262</v>
      </c>
      <c r="AJ78" s="9">
        <f>(4*PI()*(AI78^2))/(Y78+E78)</f>
        <v>0.78877543582316645</v>
      </c>
      <c r="AK78" s="12">
        <f t="shared" si="16"/>
        <v>0.81049562682215748</v>
      </c>
      <c r="AL78" s="9" t="s">
        <v>144</v>
      </c>
      <c r="AM78" s="9" t="s">
        <v>142</v>
      </c>
      <c r="AN78" s="3">
        <v>6.9184999999999999</v>
      </c>
      <c r="AO78" s="3">
        <v>0.80308999999999997</v>
      </c>
      <c r="AP78" s="3">
        <v>9316</v>
      </c>
      <c r="AQ78" s="3">
        <v>8776.5</v>
      </c>
      <c r="AR78" s="3">
        <v>3.2115999999999998</v>
      </c>
      <c r="AS78" s="13">
        <v>7.7587999999999995E-4</v>
      </c>
      <c r="AT78" s="3">
        <v>0.76871999999999996</v>
      </c>
      <c r="AU78" s="3">
        <v>0.43136000000000002</v>
      </c>
      <c r="AV78" s="3">
        <v>0</v>
      </c>
      <c r="AW78" s="3">
        <v>2.9011000000000002E-3</v>
      </c>
      <c r="AX78" s="3">
        <v>0.21159</v>
      </c>
      <c r="AY78" s="3">
        <v>-5.6426999999999996</v>
      </c>
      <c r="AZ78" s="3">
        <v>-1091</v>
      </c>
      <c r="BA78" s="3">
        <v>2.9250000000000002E-2</v>
      </c>
      <c r="BB78" s="3">
        <v>39.149000000000001</v>
      </c>
      <c r="BC78" s="3" t="s">
        <v>162</v>
      </c>
      <c r="BD78" s="33" t="s">
        <v>163</v>
      </c>
      <c r="BE78" s="12" t="s">
        <v>167</v>
      </c>
    </row>
    <row r="79" spans="1:57" x14ac:dyDescent="0.25">
      <c r="A79" s="3" t="s">
        <v>87</v>
      </c>
      <c r="B79" s="3" t="s">
        <v>26</v>
      </c>
      <c r="C79" s="3" t="s">
        <v>6</v>
      </c>
      <c r="D79" s="3">
        <v>28</v>
      </c>
      <c r="E79" s="3">
        <v>14.395</v>
      </c>
      <c r="F79" s="3">
        <v>14.032999999999999</v>
      </c>
      <c r="G79" s="3">
        <v>5.44</v>
      </c>
      <c r="H79" s="3">
        <v>3.88</v>
      </c>
      <c r="I79" s="3">
        <v>2.4700000000000002</v>
      </c>
      <c r="J79" s="3">
        <v>34.840000000000003</v>
      </c>
      <c r="K79" s="3">
        <v>42.35</v>
      </c>
      <c r="L79" s="3">
        <v>88</v>
      </c>
      <c r="M79" s="3">
        <v>4.42</v>
      </c>
      <c r="N79" s="3">
        <v>2</v>
      </c>
      <c r="O79" s="3">
        <f>1.67+1.48</f>
        <v>3.15</v>
      </c>
      <c r="P79" s="9">
        <v>0.92638699999999996</v>
      </c>
      <c r="Q79" s="9">
        <v>1.28593</v>
      </c>
      <c r="R79" s="9">
        <v>0.263158</v>
      </c>
      <c r="S79" s="9">
        <v>0.11783100000000001</v>
      </c>
      <c r="T79" s="9">
        <v>0.154864</v>
      </c>
      <c r="U79" s="9">
        <v>6.0523100000000003E-2</v>
      </c>
      <c r="V79" s="9">
        <v>5.3547799999999999</v>
      </c>
      <c r="W79" s="9">
        <v>4.1641300000000001</v>
      </c>
      <c r="X79" s="9">
        <v>3.8576000000000001</v>
      </c>
      <c r="Y79" s="9">
        <v>49.379199999999997</v>
      </c>
      <c r="Z79" s="9">
        <v>35.8504</v>
      </c>
      <c r="AA79" s="9">
        <f t="shared" si="17"/>
        <v>1.6858825910931172</v>
      </c>
      <c r="AB79" s="9">
        <f t="shared" si="18"/>
        <v>2.2024291497975708</v>
      </c>
      <c r="AC79" s="9">
        <f t="shared" si="19"/>
        <v>1.5708502024291495</v>
      </c>
      <c r="AD79" s="9">
        <f t="shared" si="20"/>
        <v>3.4303021882598124</v>
      </c>
      <c r="AE79" s="9">
        <f t="shared" si="21"/>
        <v>2.4904758596734977</v>
      </c>
      <c r="AF79" s="9">
        <f t="shared" si="22"/>
        <v>4.5416609803092562</v>
      </c>
      <c r="AG79" s="9">
        <f t="shared" si="13"/>
        <v>2.1405772145885482</v>
      </c>
      <c r="AH79" s="9">
        <f t="shared" si="14"/>
        <v>0.95842965179121853</v>
      </c>
      <c r="AI79" s="9">
        <f t="shared" si="15"/>
        <v>2.0455109033086467</v>
      </c>
      <c r="AJ79" s="9">
        <f>(4*PI()*(AI79^2))/(Y79+E79)</f>
        <v>0.82445782099884357</v>
      </c>
      <c r="AK79" s="12">
        <f t="shared" si="16"/>
        <v>0.78412698412698423</v>
      </c>
      <c r="AL79" s="9" t="s">
        <v>140</v>
      </c>
      <c r="AM79" s="9" t="s">
        <v>142</v>
      </c>
      <c r="AN79" s="3">
        <v>12.913</v>
      </c>
      <c r="AO79" s="3">
        <v>0.71548</v>
      </c>
      <c r="AP79" s="3">
        <v>25775</v>
      </c>
      <c r="AQ79" s="3">
        <v>22754</v>
      </c>
      <c r="AR79" s="3">
        <v>6.2893999999999997</v>
      </c>
      <c r="AS79" s="3">
        <v>8.9902999999999997E-3</v>
      </c>
      <c r="AT79" s="3">
        <v>0.71960999999999997</v>
      </c>
      <c r="AU79" s="3">
        <v>0.36107</v>
      </c>
      <c r="AV79" s="3">
        <v>4.7604E-2</v>
      </c>
      <c r="AW79" s="3">
        <v>6.5390999999999999E-3</v>
      </c>
      <c r="AX79" s="3">
        <v>0.40461999999999998</v>
      </c>
      <c r="AY79" s="3">
        <v>-3.2351000000000001</v>
      </c>
      <c r="AZ79" s="3">
        <v>-5614.3</v>
      </c>
      <c r="BA79" s="3">
        <v>2.5131000000000001E-2</v>
      </c>
      <c r="BB79" s="3">
        <v>14.779</v>
      </c>
      <c r="BC79" s="3" t="s">
        <v>162</v>
      </c>
      <c r="BD79" s="33" t="s">
        <v>165</v>
      </c>
      <c r="BE79" s="12" t="s">
        <v>167</v>
      </c>
    </row>
    <row r="80" spans="1:57" x14ac:dyDescent="0.25">
      <c r="A80" s="3" t="s">
        <v>88</v>
      </c>
      <c r="B80" s="3" t="s">
        <v>13</v>
      </c>
      <c r="C80" s="3" t="s">
        <v>6</v>
      </c>
      <c r="D80" s="3">
        <v>65</v>
      </c>
      <c r="E80" s="3">
        <v>12.118</v>
      </c>
      <c r="F80" s="3">
        <v>12.654</v>
      </c>
      <c r="G80" s="3">
        <v>5.65</v>
      </c>
      <c r="H80" s="3">
        <v>4.1100000000000003</v>
      </c>
      <c r="I80" s="3">
        <v>1.92</v>
      </c>
      <c r="J80" s="3">
        <v>54.8</v>
      </c>
      <c r="K80" s="3">
        <v>49.86</v>
      </c>
      <c r="L80" s="3">
        <v>81.599999999999994</v>
      </c>
      <c r="M80" s="3">
        <v>4.45</v>
      </c>
      <c r="N80" s="3">
        <v>2</v>
      </c>
      <c r="O80" s="3">
        <f>2.02+1.48</f>
        <v>3.5</v>
      </c>
      <c r="P80" s="9">
        <v>1.06976</v>
      </c>
      <c r="Q80" s="9">
        <v>1.29274</v>
      </c>
      <c r="R80" s="9">
        <v>0.179012</v>
      </c>
      <c r="S80" s="9">
        <v>0.10889</v>
      </c>
      <c r="T80" s="9">
        <v>0.13237599999999999</v>
      </c>
      <c r="U80" s="9">
        <v>4.5078699999999999E-2</v>
      </c>
      <c r="V80" s="9">
        <v>4.9665800000000004</v>
      </c>
      <c r="W80" s="9">
        <v>3.8418999999999999</v>
      </c>
      <c r="X80" s="9">
        <v>4.1098999999999997</v>
      </c>
      <c r="Y80" s="9">
        <v>51.996400000000001</v>
      </c>
      <c r="Z80" s="9">
        <v>40.294499999999999</v>
      </c>
      <c r="AA80" s="9">
        <f t="shared" si="17"/>
        <v>2.0009895833333333</v>
      </c>
      <c r="AB80" s="9">
        <f t="shared" si="18"/>
        <v>2.9427083333333335</v>
      </c>
      <c r="AC80" s="9">
        <f t="shared" si="19"/>
        <v>2.1406250000000004</v>
      </c>
      <c r="AD80" s="9">
        <f t="shared" si="20"/>
        <v>4.2908400726192442</v>
      </c>
      <c r="AE80" s="9">
        <f t="shared" si="21"/>
        <v>3.3251774220168344</v>
      </c>
      <c r="AF80" s="9">
        <f t="shared" si="22"/>
        <v>4.4239420417954971</v>
      </c>
      <c r="AG80" s="9">
        <f t="shared" si="13"/>
        <v>1.9639957232069463</v>
      </c>
      <c r="AH80" s="9">
        <f t="shared" si="14"/>
        <v>0.97519749260450694</v>
      </c>
      <c r="AI80" s="9">
        <f t="shared" si="15"/>
        <v>2.1267627933537581</v>
      </c>
      <c r="AJ80" s="9">
        <f>(4*PI()*(AI80^2))/(Y80+E80)</f>
        <v>0.88652786256695604</v>
      </c>
      <c r="AK80" s="12">
        <f t="shared" si="16"/>
        <v>0.5485714285714286</v>
      </c>
      <c r="AL80" s="9" t="s">
        <v>144</v>
      </c>
      <c r="AM80" s="9" t="s">
        <v>142</v>
      </c>
      <c r="AN80" s="3">
        <v>1.4674</v>
      </c>
      <c r="AO80" s="3">
        <v>0.34889999999999999</v>
      </c>
      <c r="AP80" s="3">
        <v>1482</v>
      </c>
      <c r="AQ80" s="3">
        <v>1441.6</v>
      </c>
      <c r="AR80" s="3">
        <v>0.83531999999999995</v>
      </c>
      <c r="AS80" s="3">
        <v>3.7020999999999998E-2</v>
      </c>
      <c r="AT80" s="3">
        <v>0.62455000000000005</v>
      </c>
      <c r="AU80" s="3">
        <v>1.8622000000000001</v>
      </c>
      <c r="AV80" s="3">
        <v>1.3637E-2</v>
      </c>
      <c r="AW80" s="3">
        <v>4.8023000000000003E-2</v>
      </c>
      <c r="AX80" s="3">
        <v>8.0598000000000003E-2</v>
      </c>
      <c r="AY80" s="3">
        <v>20.510999999999999</v>
      </c>
      <c r="AZ80" s="3">
        <v>644.62</v>
      </c>
      <c r="BA80" s="3">
        <v>7.1360999999999994E-2</v>
      </c>
      <c r="BB80" s="3">
        <v>4.4908000000000001</v>
      </c>
      <c r="BC80" s="3" t="s">
        <v>162</v>
      </c>
      <c r="BD80" s="33" t="s">
        <v>165</v>
      </c>
      <c r="BE80" s="12" t="s">
        <v>167</v>
      </c>
    </row>
    <row r="81" spans="1:57" x14ac:dyDescent="0.25">
      <c r="A81" s="3" t="s">
        <v>89</v>
      </c>
      <c r="B81" s="3" t="s">
        <v>13</v>
      </c>
      <c r="C81" s="3" t="s">
        <v>6</v>
      </c>
      <c r="D81" s="3">
        <v>38</v>
      </c>
      <c r="E81" s="3">
        <v>16.588999999999999</v>
      </c>
      <c r="F81" s="3">
        <v>15.182</v>
      </c>
      <c r="G81" s="3">
        <v>7.61</v>
      </c>
      <c r="H81" s="3">
        <v>4.9000000000000004</v>
      </c>
      <c r="I81" s="3">
        <v>1.76</v>
      </c>
      <c r="J81" s="3">
        <v>49.09</v>
      </c>
      <c r="K81" s="3">
        <v>32.130000000000003</v>
      </c>
      <c r="L81" s="3">
        <v>72</v>
      </c>
      <c r="M81" s="3">
        <v>6.4</v>
      </c>
      <c r="N81" s="3">
        <v>2</v>
      </c>
      <c r="O81" s="3">
        <f>1.13+1.39</f>
        <v>2.5199999999999996</v>
      </c>
      <c r="P81" s="9">
        <v>1.1040700000000001</v>
      </c>
      <c r="Q81" s="9">
        <v>1.47115</v>
      </c>
      <c r="R81" s="9">
        <v>6.25E-2</v>
      </c>
      <c r="S81" s="9">
        <v>0.123485</v>
      </c>
      <c r="T81" s="9">
        <v>0.133046</v>
      </c>
      <c r="U81" s="9">
        <v>2.9321400000000001E-2</v>
      </c>
      <c r="V81" s="9">
        <v>6.4721500000000001</v>
      </c>
      <c r="W81" s="9">
        <v>4.3993900000000004</v>
      </c>
      <c r="X81" s="9">
        <v>4.85724</v>
      </c>
      <c r="Y81" s="9">
        <v>82.808000000000007</v>
      </c>
      <c r="Z81" s="9">
        <v>80.889499999999998</v>
      </c>
      <c r="AA81" s="9">
        <f t="shared" si="17"/>
        <v>2.4996534090909095</v>
      </c>
      <c r="AB81" s="9">
        <f t="shared" si="18"/>
        <v>4.3238636363636367</v>
      </c>
      <c r="AC81" s="9">
        <f t="shared" si="19"/>
        <v>2.7840909090909092</v>
      </c>
      <c r="AD81" s="9">
        <f t="shared" si="20"/>
        <v>4.9917415154620537</v>
      </c>
      <c r="AE81" s="9">
        <f t="shared" si="21"/>
        <v>4.8760925914762794</v>
      </c>
      <c r="AF81" s="9">
        <f t="shared" si="22"/>
        <v>4.4273534546337814</v>
      </c>
      <c r="AG81" s="9">
        <f t="shared" si="13"/>
        <v>2.2979213872330151</v>
      </c>
      <c r="AH81" s="9">
        <f t="shared" si="14"/>
        <v>0.9510121128518122</v>
      </c>
      <c r="AI81" s="9">
        <f t="shared" si="15"/>
        <v>2.6828795835319532</v>
      </c>
      <c r="AJ81" s="9">
        <f>(4*PI()*(AI81^2))/(Y81+E81)</f>
        <v>0.90999487911424459</v>
      </c>
      <c r="AK81" s="12">
        <f t="shared" si="16"/>
        <v>0.69841269841269848</v>
      </c>
      <c r="AL81" s="9" t="s">
        <v>140</v>
      </c>
      <c r="AM81" s="9" t="s">
        <v>142</v>
      </c>
      <c r="AN81" s="3">
        <v>8.5798000000000005</v>
      </c>
      <c r="AO81" s="3">
        <v>0.76676999999999995</v>
      </c>
      <c r="AP81" s="3">
        <v>9328.2000000000007</v>
      </c>
      <c r="AQ81" s="3">
        <v>8794.1</v>
      </c>
      <c r="AR81" s="3">
        <v>4.3578999999999999</v>
      </c>
      <c r="AS81" s="3">
        <v>3.9698999999999998E-2</v>
      </c>
      <c r="AT81" s="3">
        <v>0.63829999999999998</v>
      </c>
      <c r="AU81" s="3">
        <v>0.38323000000000002</v>
      </c>
      <c r="AV81" s="3">
        <v>1.3517E-2</v>
      </c>
      <c r="AW81" s="3">
        <v>2.3040999999999999E-2</v>
      </c>
      <c r="AX81" s="3">
        <v>0.31556000000000001</v>
      </c>
      <c r="AY81" s="3">
        <v>-6.7762000000000002</v>
      </c>
      <c r="AZ81" s="3">
        <v>-2145.6</v>
      </c>
      <c r="BA81" s="3">
        <v>7.0684999999999998E-2</v>
      </c>
      <c r="BB81" s="3">
        <v>3.8182</v>
      </c>
      <c r="BC81" s="3" t="s">
        <v>164</v>
      </c>
      <c r="BD81" s="33" t="s">
        <v>165</v>
      </c>
      <c r="BE81" s="12" t="s">
        <v>168</v>
      </c>
    </row>
    <row r="82" spans="1:57" x14ac:dyDescent="0.25">
      <c r="A82" s="3" t="s">
        <v>90</v>
      </c>
      <c r="B82" s="3" t="s">
        <v>13</v>
      </c>
      <c r="C82" s="3" t="s">
        <v>6</v>
      </c>
      <c r="D82" s="3">
        <v>74</v>
      </c>
      <c r="E82" s="3">
        <v>7.4653</v>
      </c>
      <c r="F82" s="3">
        <v>10.012</v>
      </c>
      <c r="G82" s="3">
        <v>5.08</v>
      </c>
      <c r="H82" s="3">
        <v>2.5</v>
      </c>
      <c r="I82" s="3">
        <v>1.39</v>
      </c>
      <c r="J82" s="3">
        <v>103.07</v>
      </c>
      <c r="K82" s="3">
        <v>7.66</v>
      </c>
      <c r="L82" s="3">
        <v>75</v>
      </c>
      <c r="M82" s="3">
        <v>3.22</v>
      </c>
      <c r="N82" s="3">
        <v>2</v>
      </c>
      <c r="O82" s="3">
        <f>1.05+1.12</f>
        <v>2.17</v>
      </c>
      <c r="P82" s="9">
        <v>0.82618899999999995</v>
      </c>
      <c r="Q82" s="9">
        <v>1.61564</v>
      </c>
      <c r="R82" s="9">
        <v>-4.1666700000000001E-2</v>
      </c>
      <c r="S82" s="9">
        <v>0.13816800000000001</v>
      </c>
      <c r="T82" s="9">
        <v>0.15015100000000001</v>
      </c>
      <c r="U82" s="9">
        <v>3.48889E-2</v>
      </c>
      <c r="V82" s="9">
        <v>4.8875799999999998</v>
      </c>
      <c r="W82" s="9">
        <v>3.0251700000000001</v>
      </c>
      <c r="X82" s="9">
        <v>2.4993699999999999</v>
      </c>
      <c r="Y82" s="9">
        <v>32.383299999999998</v>
      </c>
      <c r="Z82" s="9">
        <v>19.199200000000001</v>
      </c>
      <c r="AA82" s="9">
        <f t="shared" si="17"/>
        <v>2.1763812949640289</v>
      </c>
      <c r="AB82" s="9">
        <f t="shared" si="18"/>
        <v>3.6546762589928061</v>
      </c>
      <c r="AC82" s="9">
        <f t="shared" si="19"/>
        <v>1.7985611510791368</v>
      </c>
      <c r="AD82" s="9">
        <f t="shared" si="20"/>
        <v>4.3378430873508096</v>
      </c>
      <c r="AE82" s="9">
        <f t="shared" si="21"/>
        <v>2.5717921583861334</v>
      </c>
      <c r="AF82" s="9">
        <f t="shared" si="22"/>
        <v>4.5164688025871378</v>
      </c>
      <c r="AG82" s="9">
        <f t="shared" si="13"/>
        <v>1.5415183402502393</v>
      </c>
      <c r="AH82" s="9">
        <f t="shared" si="14"/>
        <v>0.9674036542357336</v>
      </c>
      <c r="AI82" s="9">
        <f t="shared" si="15"/>
        <v>1.6611091652293208</v>
      </c>
      <c r="AJ82" s="9">
        <f>(4*PI()*(AI82^2))/(Y82+E82)</f>
        <v>0.8701480374903261</v>
      </c>
      <c r="AK82" s="12">
        <f t="shared" si="16"/>
        <v>0.64055299539170507</v>
      </c>
      <c r="AL82" s="9" t="s">
        <v>140</v>
      </c>
      <c r="AM82" s="9" t="s">
        <v>142</v>
      </c>
      <c r="AN82" s="3">
        <v>8.2623999999999995</v>
      </c>
      <c r="AO82" s="3">
        <v>0.59455999999999998</v>
      </c>
      <c r="AP82" s="3">
        <v>15171</v>
      </c>
      <c r="AQ82" s="3">
        <v>14217</v>
      </c>
      <c r="AR82" s="3">
        <v>3.7570999999999999</v>
      </c>
      <c r="AS82" s="3">
        <v>6.4602000000000001E-3</v>
      </c>
      <c r="AT82" s="3">
        <v>0.73158999999999996</v>
      </c>
      <c r="AU82" s="3">
        <v>0.41243000000000002</v>
      </c>
      <c r="AV82" s="3">
        <v>1.7958999999999999E-2</v>
      </c>
      <c r="AW82" s="3">
        <v>6.4612999999999997E-3</v>
      </c>
      <c r="AX82" s="3">
        <v>0.23376</v>
      </c>
      <c r="AY82" s="3">
        <v>-28.053000000000001</v>
      </c>
      <c r="AZ82" s="3">
        <v>-2961</v>
      </c>
      <c r="BA82" s="3">
        <v>7.4624999999999997E-2</v>
      </c>
      <c r="BB82" s="3">
        <v>6.8876999999999997</v>
      </c>
      <c r="BC82" s="3" t="s">
        <v>162</v>
      </c>
      <c r="BD82" s="33" t="s">
        <v>165</v>
      </c>
      <c r="BE82" s="12" t="s">
        <v>168</v>
      </c>
    </row>
    <row r="83" spans="1:57" x14ac:dyDescent="0.25">
      <c r="A83" s="3" t="s">
        <v>91</v>
      </c>
      <c r="B83" s="3" t="s">
        <v>13</v>
      </c>
      <c r="C83" s="3" t="s">
        <v>6</v>
      </c>
      <c r="D83" s="3">
        <v>35</v>
      </c>
      <c r="E83" s="3">
        <v>7.8451000000000004</v>
      </c>
      <c r="F83" s="3">
        <v>10.266</v>
      </c>
      <c r="G83" s="3">
        <v>9.9499999999999993</v>
      </c>
      <c r="H83" s="3">
        <v>7.63</v>
      </c>
      <c r="I83" s="3">
        <v>1.82</v>
      </c>
      <c r="J83" s="3">
        <v>86.54</v>
      </c>
      <c r="K83" s="3">
        <v>33.1</v>
      </c>
      <c r="L83" s="3">
        <v>42</v>
      </c>
      <c r="M83" s="3">
        <v>6.8</v>
      </c>
      <c r="N83" s="3">
        <v>2</v>
      </c>
      <c r="O83" s="3">
        <f>1.21+1.27</f>
        <v>2.48</v>
      </c>
      <c r="P83" s="9">
        <v>2.5022199999999999</v>
      </c>
      <c r="Q83" s="9">
        <v>2.8041800000000001</v>
      </c>
      <c r="R83" s="9">
        <v>-6.5789500000000001E-3</v>
      </c>
      <c r="S83" s="9">
        <v>0.218338</v>
      </c>
      <c r="T83" s="9">
        <v>0.25737199999999999</v>
      </c>
      <c r="U83" s="9">
        <v>8.8616299999999995E-2</v>
      </c>
      <c r="V83" s="9">
        <v>8.5940499999999993</v>
      </c>
      <c r="W83" s="9">
        <v>3.06473</v>
      </c>
      <c r="X83" s="9">
        <v>7.6686399999999999</v>
      </c>
      <c r="Y83" s="9">
        <v>182.74199999999999</v>
      </c>
      <c r="Z83" s="9">
        <v>210.23400000000001</v>
      </c>
      <c r="AA83" s="9">
        <f t="shared" si="17"/>
        <v>1.6839175824175823</v>
      </c>
      <c r="AB83" s="9">
        <f t="shared" si="18"/>
        <v>5.4670329670329663</v>
      </c>
      <c r="AC83" s="9">
        <f t="shared" si="19"/>
        <v>4.1923076923076925</v>
      </c>
      <c r="AD83" s="9">
        <f t="shared" si="20"/>
        <v>23.293775732622908</v>
      </c>
      <c r="AE83" s="9">
        <f t="shared" si="21"/>
        <v>26.798128768275738</v>
      </c>
      <c r="AF83" s="9">
        <f t="shared" si="22"/>
        <v>5.1685620927233016</v>
      </c>
      <c r="AG83" s="9">
        <f t="shared" si="13"/>
        <v>1.5802445659139146</v>
      </c>
      <c r="AH83" s="9">
        <f t="shared" si="14"/>
        <v>0.9671702160822806</v>
      </c>
      <c r="AI83" s="9">
        <f t="shared" si="15"/>
        <v>3.688683966986233</v>
      </c>
      <c r="AJ83" s="9">
        <f>(4*PI()*(AI83^2))/(Y83+E83)</f>
        <v>0.89713801211102562</v>
      </c>
      <c r="AK83" s="12">
        <f t="shared" si="16"/>
        <v>0.7338709677419355</v>
      </c>
      <c r="AL83" s="9" t="s">
        <v>140</v>
      </c>
      <c r="AM83" s="9" t="s">
        <v>142</v>
      </c>
      <c r="AN83" s="3">
        <v>1.6197999999999999</v>
      </c>
      <c r="AO83" s="3">
        <v>0.11927</v>
      </c>
      <c r="AP83" s="3">
        <v>2624.2</v>
      </c>
      <c r="AQ83" s="3">
        <v>2234.3000000000002</v>
      </c>
      <c r="AR83" s="3">
        <v>0.91100999999999999</v>
      </c>
      <c r="AS83" s="3">
        <v>1.7991E-2</v>
      </c>
      <c r="AT83" s="3">
        <v>0.67995000000000005</v>
      </c>
      <c r="AU83" s="3">
        <v>3.8163</v>
      </c>
      <c r="AV83" s="3">
        <v>0.78993999999999998</v>
      </c>
      <c r="AW83" s="3">
        <v>1.866E-2</v>
      </c>
      <c r="AX83" s="3">
        <v>5.7799000000000003E-2</v>
      </c>
      <c r="AY83" s="3">
        <v>-24.007999999999999</v>
      </c>
      <c r="AZ83" s="3">
        <v>-319.82</v>
      </c>
      <c r="BA83" s="3">
        <v>0.63934000000000002</v>
      </c>
      <c r="BB83" s="3">
        <v>19.873999999999999</v>
      </c>
      <c r="BC83" s="3" t="s">
        <v>162</v>
      </c>
      <c r="BD83" s="33" t="s">
        <v>165</v>
      </c>
      <c r="BE83" s="12" t="s">
        <v>168</v>
      </c>
    </row>
    <row r="84" spans="1:57" x14ac:dyDescent="0.25">
      <c r="A84" s="3" t="s">
        <v>92</v>
      </c>
      <c r="B84" s="3" t="s">
        <v>13</v>
      </c>
      <c r="C84" s="3" t="s">
        <v>6</v>
      </c>
      <c r="D84" s="3">
        <v>66</v>
      </c>
      <c r="E84" s="3">
        <v>16.177</v>
      </c>
      <c r="F84" s="3">
        <v>15.866</v>
      </c>
      <c r="G84" s="3">
        <v>14.7</v>
      </c>
      <c r="H84" s="3">
        <v>7.33</v>
      </c>
      <c r="I84" s="3">
        <v>1.18</v>
      </c>
      <c r="J84" s="3">
        <v>104.56</v>
      </c>
      <c r="K84" s="3">
        <v>14.59</v>
      </c>
      <c r="L84" s="3">
        <v>58.09</v>
      </c>
      <c r="M84" s="3">
        <v>7.7</v>
      </c>
      <c r="N84" s="3">
        <v>2</v>
      </c>
      <c r="O84" s="3">
        <f>1.28+1.6</f>
        <v>2.88</v>
      </c>
      <c r="P84" s="9">
        <v>2.39175</v>
      </c>
      <c r="Q84" s="9">
        <v>3.3157299999999998</v>
      </c>
      <c r="R84" s="9">
        <v>0.367647</v>
      </c>
      <c r="S84" s="9">
        <v>0.247057</v>
      </c>
      <c r="T84" s="9">
        <v>0.31226300000000001</v>
      </c>
      <c r="U84" s="9">
        <v>0.17507600000000001</v>
      </c>
      <c r="V84" s="9">
        <v>14.2568</v>
      </c>
      <c r="W84" s="9">
        <v>4.2997500000000004</v>
      </c>
      <c r="X84" s="9">
        <v>10.283899999999999</v>
      </c>
      <c r="Y84" s="9">
        <v>357.06</v>
      </c>
      <c r="Z84" s="9">
        <v>511.721</v>
      </c>
      <c r="AA84" s="9">
        <f t="shared" si="17"/>
        <v>3.6438559322033903</v>
      </c>
      <c r="AB84" s="9">
        <f t="shared" si="18"/>
        <v>12.457627118644067</v>
      </c>
      <c r="AC84" s="9">
        <f t="shared" si="19"/>
        <v>6.2118644067796618</v>
      </c>
      <c r="AD84" s="9">
        <f t="shared" si="20"/>
        <v>22.072077641095383</v>
      </c>
      <c r="AE84" s="9">
        <f t="shared" si="21"/>
        <v>31.632626568585028</v>
      </c>
      <c r="AF84" s="9">
        <f t="shared" si="22"/>
        <v>5.5810901896037288</v>
      </c>
      <c r="AG84" s="9">
        <f t="shared" si="13"/>
        <v>2.2692066959171395</v>
      </c>
      <c r="AH84" s="9">
        <f t="shared" si="14"/>
        <v>0.8986415083032967</v>
      </c>
      <c r="AI84" s="9">
        <f t="shared" si="15"/>
        <v>4.9619023165991623</v>
      </c>
      <c r="AJ84" s="9">
        <f>(4*PI()*(AI84^2))/(Y84+E84)</f>
        <v>0.82893713248789103</v>
      </c>
      <c r="AK84" s="12">
        <f t="shared" si="16"/>
        <v>0.40972222222222221</v>
      </c>
      <c r="AL84" s="9" t="s">
        <v>140</v>
      </c>
      <c r="AM84" s="9" t="s">
        <v>142</v>
      </c>
      <c r="AN84" s="3">
        <v>2.8391999999999999</v>
      </c>
      <c r="AO84" s="3">
        <v>0.18573000000000001</v>
      </c>
      <c r="AP84" s="3">
        <v>3631.5</v>
      </c>
      <c r="AQ84" s="3">
        <v>3454.1</v>
      </c>
      <c r="AR84" s="3">
        <v>1.5135000000000001</v>
      </c>
      <c r="AS84" s="3">
        <v>3.8351999999999997E-2</v>
      </c>
      <c r="AT84" s="3">
        <v>0.65639000000000003</v>
      </c>
      <c r="AU84" s="3">
        <v>2.6230000000000002</v>
      </c>
      <c r="AV84" s="3">
        <v>0.67357999999999996</v>
      </c>
      <c r="AW84" s="3">
        <v>2.8237000000000002E-2</v>
      </c>
      <c r="AX84" s="3">
        <v>9.5659999999999995E-2</v>
      </c>
      <c r="AY84" s="3">
        <v>-12.843</v>
      </c>
      <c r="AZ84" s="3">
        <v>-354.68</v>
      </c>
      <c r="BA84" s="3">
        <v>0.60514000000000001</v>
      </c>
      <c r="BB84" s="3">
        <v>4.3209999999999997</v>
      </c>
      <c r="BC84" s="3" t="s">
        <v>162</v>
      </c>
      <c r="BD84" s="33" t="s">
        <v>165</v>
      </c>
      <c r="BE84" s="12" t="s">
        <v>168</v>
      </c>
    </row>
    <row r="85" spans="1:57" x14ac:dyDescent="0.25">
      <c r="A85" s="3" t="s">
        <v>93</v>
      </c>
      <c r="B85" s="3" t="s">
        <v>13</v>
      </c>
      <c r="C85" s="3" t="s">
        <v>14</v>
      </c>
      <c r="D85" s="3">
        <v>49</v>
      </c>
      <c r="E85" s="3">
        <v>13.685</v>
      </c>
      <c r="F85" s="3">
        <v>13.557</v>
      </c>
      <c r="G85" s="3">
        <v>5.39</v>
      </c>
      <c r="H85" s="3">
        <v>4.25</v>
      </c>
      <c r="I85" s="3">
        <v>1.75</v>
      </c>
      <c r="J85" s="3">
        <v>51.99</v>
      </c>
      <c r="K85" s="3">
        <v>48.25</v>
      </c>
      <c r="L85" s="3">
        <v>67.64</v>
      </c>
      <c r="M85" s="3">
        <v>4.95</v>
      </c>
      <c r="N85" s="3">
        <v>2</v>
      </c>
      <c r="O85" s="3">
        <f>1.14+1.25</f>
        <v>2.3899999999999997</v>
      </c>
      <c r="P85" s="9">
        <v>1.04434</v>
      </c>
      <c r="Q85" s="9">
        <v>1.1684099999999999</v>
      </c>
      <c r="R85" s="9">
        <v>0.487952</v>
      </c>
      <c r="S85" s="9">
        <v>9.3921099999999993E-2</v>
      </c>
      <c r="T85" s="9">
        <v>0.10141799999999999</v>
      </c>
      <c r="U85" s="9">
        <v>1.47948E-2</v>
      </c>
      <c r="V85" s="9">
        <v>4.7412299999999998</v>
      </c>
      <c r="W85" s="9">
        <v>4.0578500000000002</v>
      </c>
      <c r="X85" s="9">
        <v>4.2377900000000004</v>
      </c>
      <c r="Y85" s="9">
        <v>49.6205</v>
      </c>
      <c r="Z85" s="9">
        <v>39.5929</v>
      </c>
      <c r="AA85" s="9">
        <f t="shared" si="17"/>
        <v>2.3187714285714285</v>
      </c>
      <c r="AB85" s="9">
        <f t="shared" si="18"/>
        <v>3.0799999999999996</v>
      </c>
      <c r="AC85" s="9">
        <f t="shared" si="19"/>
        <v>2.4285714285714284</v>
      </c>
      <c r="AD85" s="9">
        <f t="shared" si="20"/>
        <v>3.6259042747533794</v>
      </c>
      <c r="AE85" s="9">
        <f t="shared" si="21"/>
        <v>2.8931603945926194</v>
      </c>
      <c r="AF85" s="9">
        <f t="shared" si="22"/>
        <v>4.271524753476351</v>
      </c>
      <c r="AG85" s="9">
        <f t="shared" si="13"/>
        <v>2.0871202151350019</v>
      </c>
      <c r="AH85" s="9">
        <f t="shared" si="14"/>
        <v>0.96730567751373764</v>
      </c>
      <c r="AI85" s="9">
        <f t="shared" si="15"/>
        <v>2.1143468573602604</v>
      </c>
      <c r="AJ85" s="9">
        <f>(4*PI()*(AI85^2))/(Y85+E85)</f>
        <v>0.88740299447602911</v>
      </c>
      <c r="AK85" s="12">
        <f t="shared" si="16"/>
        <v>0.7322175732217574</v>
      </c>
      <c r="AL85" s="9" t="s">
        <v>140</v>
      </c>
      <c r="AM85" s="9" t="s">
        <v>142</v>
      </c>
      <c r="AN85" s="3">
        <v>7.2130000000000001</v>
      </c>
      <c r="AO85" s="3">
        <v>0.54501999999999995</v>
      </c>
      <c r="AP85" s="3">
        <v>8477</v>
      </c>
      <c r="AQ85" s="3">
        <v>7748.1</v>
      </c>
      <c r="AR85" s="3">
        <v>3.3109999999999999</v>
      </c>
      <c r="AS85" s="3">
        <v>4.8821000000000003E-3</v>
      </c>
      <c r="AT85" s="3">
        <v>0.77539999999999998</v>
      </c>
      <c r="AU85" s="3">
        <v>0.46381</v>
      </c>
      <c r="AV85" s="3">
        <v>1.3365999999999999E-2</v>
      </c>
      <c r="AW85" s="3">
        <v>8.1419000000000005E-3</v>
      </c>
      <c r="AX85" s="3">
        <v>0.23582</v>
      </c>
      <c r="AY85" s="3">
        <v>-12.877000000000001</v>
      </c>
      <c r="AZ85" s="3">
        <v>-1261.7</v>
      </c>
      <c r="BA85" s="3">
        <v>6.8346000000000004E-2</v>
      </c>
      <c r="BB85" s="3">
        <v>13.891</v>
      </c>
      <c r="BC85" s="3" t="s">
        <v>162</v>
      </c>
      <c r="BD85" s="33" t="s">
        <v>163</v>
      </c>
      <c r="BE85" s="12" t="s">
        <v>168</v>
      </c>
    </row>
    <row r="86" spans="1:57" x14ac:dyDescent="0.25">
      <c r="A86" s="3" t="s">
        <v>94</v>
      </c>
      <c r="B86" s="3" t="s">
        <v>5</v>
      </c>
      <c r="C86" s="3" t="s">
        <v>6</v>
      </c>
      <c r="D86" s="3">
        <v>64</v>
      </c>
      <c r="E86" s="3">
        <v>21.94</v>
      </c>
      <c r="F86" s="3">
        <v>17.175000000000001</v>
      </c>
      <c r="G86" s="3">
        <v>12.51</v>
      </c>
      <c r="H86" s="3">
        <v>7.75</v>
      </c>
      <c r="I86" s="3">
        <v>3.37</v>
      </c>
      <c r="J86" s="3">
        <v>71.87</v>
      </c>
      <c r="K86" s="3">
        <v>9.16</v>
      </c>
      <c r="L86" s="3">
        <v>55.55</v>
      </c>
      <c r="M86" s="3">
        <v>11.7</v>
      </c>
      <c r="N86" s="3">
        <v>1</v>
      </c>
      <c r="O86" s="3">
        <v>2.82</v>
      </c>
      <c r="P86" s="9">
        <v>1.5027699999999999</v>
      </c>
      <c r="Q86" s="9">
        <v>2.3507400000000001</v>
      </c>
      <c r="R86" s="9">
        <v>7.5163400000000005E-2</v>
      </c>
      <c r="S86" s="9">
        <v>0.18677199999999999</v>
      </c>
      <c r="T86" s="9">
        <v>0.21079100000000001</v>
      </c>
      <c r="U86" s="9">
        <v>7.4266399999999996E-2</v>
      </c>
      <c r="V86" s="9">
        <v>12.104699999999999</v>
      </c>
      <c r="W86" s="9">
        <v>5.1493200000000003</v>
      </c>
      <c r="X86" s="9">
        <v>7.7382600000000004</v>
      </c>
      <c r="Y86" s="9">
        <v>237.36500000000001</v>
      </c>
      <c r="Z86" s="9">
        <v>340.959</v>
      </c>
      <c r="AA86" s="9">
        <f t="shared" si="17"/>
        <v>1.5279881305637983</v>
      </c>
      <c r="AB86" s="9">
        <f t="shared" si="18"/>
        <v>3.7121661721068246</v>
      </c>
      <c r="AC86" s="9">
        <f t="shared" si="19"/>
        <v>2.2997032640949553</v>
      </c>
      <c r="AD86" s="9">
        <f t="shared" si="20"/>
        <v>10.818824065633546</v>
      </c>
      <c r="AE86" s="9">
        <f t="shared" si="21"/>
        <v>15.540519598906107</v>
      </c>
      <c r="AF86" s="9">
        <f t="shared" si="22"/>
        <v>4.8634961441301137</v>
      </c>
      <c r="AG86" s="9">
        <f t="shared" si="13"/>
        <v>2.6426726817508763</v>
      </c>
      <c r="AH86" s="9">
        <f t="shared" si="14"/>
        <v>0.96677741867027533</v>
      </c>
      <c r="AI86" s="9">
        <f t="shared" si="15"/>
        <v>4.3338231299009236</v>
      </c>
      <c r="AJ86" s="9">
        <f>(4*PI()*(AI86^2))/(Y86+E86)</f>
        <v>0.91020944800908321</v>
      </c>
      <c r="AK86" s="12">
        <f t="shared" si="16"/>
        <v>1.1950354609929079</v>
      </c>
      <c r="AL86" s="9" t="s">
        <v>140</v>
      </c>
      <c r="AM86" s="9" t="s">
        <v>143</v>
      </c>
      <c r="AN86" s="3">
        <v>3.7393999999999998</v>
      </c>
      <c r="AO86" s="3">
        <v>0.31284000000000001</v>
      </c>
      <c r="AP86" s="3">
        <v>6216.2</v>
      </c>
      <c r="AQ86" s="3">
        <v>5719.3</v>
      </c>
      <c r="AR86" s="3">
        <v>2.1355</v>
      </c>
      <c r="AS86" s="3">
        <v>4.3136000000000001E-2</v>
      </c>
      <c r="AT86" s="3">
        <v>0.65341000000000005</v>
      </c>
      <c r="AU86" s="3">
        <v>1.0714999999999999</v>
      </c>
      <c r="AV86" s="3">
        <v>0.40044999999999997</v>
      </c>
      <c r="AW86" s="3">
        <v>2.7458E-2</v>
      </c>
      <c r="AX86" s="3">
        <v>0.19447999999999999</v>
      </c>
      <c r="AY86" s="3">
        <v>-0.30915999999999999</v>
      </c>
      <c r="AZ86" s="3">
        <v>-539.83000000000004</v>
      </c>
      <c r="BA86" s="3">
        <v>0.13761999999999999</v>
      </c>
      <c r="BB86" s="3">
        <v>3.7509999999999999</v>
      </c>
      <c r="BC86" s="3" t="s">
        <v>164</v>
      </c>
      <c r="BD86" s="33" t="s">
        <v>165</v>
      </c>
      <c r="BE86" s="12" t="s">
        <v>168</v>
      </c>
    </row>
    <row r="87" spans="1:57" x14ac:dyDescent="0.25">
      <c r="A87" s="2" t="s">
        <v>95</v>
      </c>
      <c r="B87" s="2" t="s">
        <v>5</v>
      </c>
      <c r="C87" s="2" t="s">
        <v>6</v>
      </c>
      <c r="D87" s="2">
        <v>61</v>
      </c>
      <c r="E87" s="2">
        <v>32.661999999999999</v>
      </c>
      <c r="F87" s="2">
        <v>20.571999999999999</v>
      </c>
      <c r="G87" s="2">
        <v>10.27</v>
      </c>
      <c r="H87" s="2">
        <v>8.1999999999999993</v>
      </c>
      <c r="I87" s="2">
        <v>3.75</v>
      </c>
      <c r="J87" s="2">
        <v>101.83</v>
      </c>
      <c r="K87" s="2">
        <v>47.75</v>
      </c>
      <c r="L87" s="2">
        <v>24.59</v>
      </c>
      <c r="M87" s="2">
        <v>8.65</v>
      </c>
      <c r="N87" s="2">
        <v>1</v>
      </c>
      <c r="O87" s="2">
        <v>3.77</v>
      </c>
      <c r="P87" s="9">
        <v>1.2780499999999999</v>
      </c>
      <c r="Q87" s="9">
        <v>1.2758</v>
      </c>
      <c r="R87" s="9">
        <v>0.18518499999999999</v>
      </c>
      <c r="S87" s="9">
        <v>0.12298199999999999</v>
      </c>
      <c r="T87" s="9">
        <v>0.13053699999999999</v>
      </c>
      <c r="U87" s="9">
        <v>1.11018E-2</v>
      </c>
      <c r="V87" s="9">
        <v>8.1501599999999996</v>
      </c>
      <c r="W87" s="9">
        <v>6.3883000000000001</v>
      </c>
      <c r="X87" s="9">
        <v>8.1645699999999994</v>
      </c>
      <c r="Y87" s="9">
        <v>184.05699999999999</v>
      </c>
      <c r="Z87" s="9">
        <v>269.21199999999999</v>
      </c>
      <c r="AA87" s="9">
        <f t="shared" si="17"/>
        <v>1.7035466666666668</v>
      </c>
      <c r="AB87" s="9">
        <f t="shared" si="18"/>
        <v>2.7386666666666666</v>
      </c>
      <c r="AC87" s="9">
        <f t="shared" si="19"/>
        <v>2.1866666666666665</v>
      </c>
      <c r="AD87" s="9">
        <f t="shared" si="20"/>
        <v>5.6352029881819847</v>
      </c>
      <c r="AE87" s="9">
        <f t="shared" si="21"/>
        <v>8.2423611536341923</v>
      </c>
      <c r="AF87" s="9">
        <f t="shared" si="22"/>
        <v>4.414580047465388</v>
      </c>
      <c r="AG87" s="9">
        <f t="shared" si="13"/>
        <v>3.2243817240728445</v>
      </c>
      <c r="AH87" s="9">
        <f t="shared" si="14"/>
        <v>0.98480399929189577</v>
      </c>
      <c r="AI87" s="9">
        <f t="shared" si="15"/>
        <v>4.005609438403896</v>
      </c>
      <c r="AJ87" s="9">
        <f>(4*PI()*(AI87^2))/(Y87+E87)</f>
        <v>0.93035796351965216</v>
      </c>
      <c r="AK87" s="12">
        <f t="shared" si="16"/>
        <v>0.99469496021220161</v>
      </c>
      <c r="AL87" s="9" t="s">
        <v>144</v>
      </c>
      <c r="AM87" s="9" t="s">
        <v>143</v>
      </c>
      <c r="AN87" s="2">
        <v>3.871</v>
      </c>
      <c r="AO87" s="2">
        <v>0.45573999999999998</v>
      </c>
      <c r="AP87" s="2">
        <v>3491</v>
      </c>
      <c r="AQ87" s="2">
        <v>3142.6</v>
      </c>
      <c r="AR87" s="2">
        <v>2.5055000000000001</v>
      </c>
      <c r="AS87" s="2">
        <v>8.0105999999999997E-3</v>
      </c>
      <c r="AT87" s="2">
        <v>0.71189000000000002</v>
      </c>
      <c r="AU87" s="2">
        <v>0.55379</v>
      </c>
      <c r="AV87" s="2">
        <v>9.9208999999999999E-3</v>
      </c>
      <c r="AW87" s="2">
        <v>4.7393000000000001E-3</v>
      </c>
      <c r="AX87" s="2">
        <v>0.23425000000000001</v>
      </c>
      <c r="AY87" s="2">
        <v>-2.5653999999999999</v>
      </c>
      <c r="AZ87" s="2">
        <v>-603.69000000000005</v>
      </c>
      <c r="BA87" s="2">
        <v>0.12043</v>
      </c>
      <c r="BB87" s="2">
        <v>7.9271000000000003</v>
      </c>
      <c r="BC87" s="2" t="s">
        <v>162</v>
      </c>
      <c r="BD87" s="32" t="s">
        <v>163</v>
      </c>
      <c r="BE87" s="12" t="s">
        <v>167</v>
      </c>
    </row>
    <row r="88" spans="1:57" x14ac:dyDescent="0.25">
      <c r="A88" s="3" t="s">
        <v>96</v>
      </c>
      <c r="B88" s="3" t="s">
        <v>26</v>
      </c>
      <c r="C88" s="3" t="s">
        <v>6</v>
      </c>
      <c r="D88" s="3">
        <v>59</v>
      </c>
      <c r="E88" s="3">
        <v>7.6847000000000003</v>
      </c>
      <c r="F88" s="3">
        <v>9.9695999999999998</v>
      </c>
      <c r="G88" s="3">
        <v>4.5199999999999996</v>
      </c>
      <c r="H88" s="3">
        <v>3</v>
      </c>
      <c r="I88" s="3">
        <v>2.99</v>
      </c>
      <c r="J88" s="3">
        <v>23.84</v>
      </c>
      <c r="K88" s="3">
        <v>35.520000000000003</v>
      </c>
      <c r="L88" s="3">
        <v>63.31</v>
      </c>
      <c r="M88" s="3">
        <v>3.4</v>
      </c>
      <c r="N88" s="3">
        <v>2</v>
      </c>
      <c r="O88" s="3">
        <f>2.52+1.99</f>
        <v>4.51</v>
      </c>
      <c r="P88" s="9">
        <v>0.95993300000000004</v>
      </c>
      <c r="Q88" s="9">
        <v>1.0894200000000001</v>
      </c>
      <c r="R88" s="9">
        <v>0.37930999999999998</v>
      </c>
      <c r="S88" s="9">
        <v>0.103918</v>
      </c>
      <c r="T88" s="9">
        <v>0.113411</v>
      </c>
      <c r="U88" s="9">
        <v>1.7799599999999999E-2</v>
      </c>
      <c r="V88" s="9">
        <v>3.3683200000000002</v>
      </c>
      <c r="W88" s="9">
        <v>3.09185</v>
      </c>
      <c r="X88" s="9">
        <v>2.9679700000000002</v>
      </c>
      <c r="Y88" s="9">
        <v>26.56</v>
      </c>
      <c r="Z88" s="9">
        <v>15.195499999999999</v>
      </c>
      <c r="AA88" s="9">
        <f t="shared" si="17"/>
        <v>1.0340635451505016</v>
      </c>
      <c r="AB88" s="9">
        <f t="shared" si="18"/>
        <v>1.5117056856187288</v>
      </c>
      <c r="AC88" s="9">
        <f t="shared" si="19"/>
        <v>1.0033444816053512</v>
      </c>
      <c r="AD88" s="9">
        <f t="shared" si="20"/>
        <v>3.4562181997996015</v>
      </c>
      <c r="AE88" s="9">
        <f t="shared" si="21"/>
        <v>1.9773706195427276</v>
      </c>
      <c r="AF88" s="9">
        <f t="shared" si="22"/>
        <v>4.3293039146469647</v>
      </c>
      <c r="AG88" s="9">
        <f t="shared" si="13"/>
        <v>1.5640063882083655</v>
      </c>
      <c r="AH88" s="9">
        <f t="shared" si="14"/>
        <v>0.98569069558716627</v>
      </c>
      <c r="AI88" s="9">
        <f t="shared" si="15"/>
        <v>1.5365338368283394</v>
      </c>
      <c r="AJ88" s="9">
        <f>(4*PI()*(AI88^2))/(Y88+E88)</f>
        <v>0.86636471292323192</v>
      </c>
      <c r="AK88" s="12">
        <f t="shared" si="16"/>
        <v>0.66297117516629722</v>
      </c>
      <c r="AL88" s="9" t="s">
        <v>144</v>
      </c>
      <c r="AM88" s="9" t="s">
        <v>142</v>
      </c>
      <c r="AN88" s="3">
        <v>7.7202000000000002</v>
      </c>
      <c r="AO88" s="3">
        <v>0.85512999999999995</v>
      </c>
      <c r="AP88" s="3">
        <v>12438</v>
      </c>
      <c r="AQ88" s="3">
        <v>12136</v>
      </c>
      <c r="AR88" s="3">
        <v>3.7702</v>
      </c>
      <c r="AS88" s="3">
        <v>1.0921E-2</v>
      </c>
      <c r="AT88" s="3">
        <v>0.73558000000000001</v>
      </c>
      <c r="AU88" s="3">
        <v>0.40750999999999998</v>
      </c>
      <c r="AV88" s="3">
        <v>6.6623999999999997E-3</v>
      </c>
      <c r="AW88" s="3">
        <v>5.1793999999999998E-3</v>
      </c>
      <c r="AX88" s="3">
        <v>0.28932000000000002</v>
      </c>
      <c r="AY88" s="3">
        <v>-0.38828000000000001</v>
      </c>
      <c r="AZ88" s="3">
        <v>-2127.4</v>
      </c>
      <c r="BA88" s="3">
        <v>2.4601999999999999E-2</v>
      </c>
      <c r="BB88" s="3">
        <v>5.6361999999999997</v>
      </c>
      <c r="BC88" s="3" t="s">
        <v>162</v>
      </c>
      <c r="BD88" s="33" t="s">
        <v>165</v>
      </c>
      <c r="BE88" s="12" t="s">
        <v>167</v>
      </c>
    </row>
    <row r="89" spans="1:57" x14ac:dyDescent="0.25">
      <c r="A89" s="2" t="s">
        <v>97</v>
      </c>
      <c r="B89" s="2" t="s">
        <v>5</v>
      </c>
      <c r="C89" s="2" t="s">
        <v>6</v>
      </c>
      <c r="D89" s="2">
        <v>59</v>
      </c>
      <c r="E89" s="2">
        <v>36.412999999999997</v>
      </c>
      <c r="F89" s="2">
        <v>22.292999999999999</v>
      </c>
      <c r="G89" s="2">
        <v>12.11</v>
      </c>
      <c r="H89" s="2">
        <v>7</v>
      </c>
      <c r="I89" s="2">
        <v>3.07</v>
      </c>
      <c r="J89" s="2">
        <v>25.3</v>
      </c>
      <c r="K89" s="2">
        <v>27.46</v>
      </c>
      <c r="L89" s="2">
        <v>7.96</v>
      </c>
      <c r="M89" s="2">
        <v>8.6999999999999993</v>
      </c>
      <c r="N89" s="2">
        <v>1</v>
      </c>
      <c r="O89" s="2">
        <v>3.36</v>
      </c>
      <c r="P89" s="9">
        <v>1.0539700000000001</v>
      </c>
      <c r="Q89" s="9">
        <v>1.6216900000000001</v>
      </c>
      <c r="R89" s="9">
        <v>0.101449</v>
      </c>
      <c r="S89" s="9">
        <v>0.15181500000000001</v>
      </c>
      <c r="T89" s="9">
        <v>0.162934</v>
      </c>
      <c r="U89" s="9">
        <v>4.00258E-2</v>
      </c>
      <c r="V89" s="9">
        <v>10.7644</v>
      </c>
      <c r="W89" s="9">
        <v>6.6377800000000002</v>
      </c>
      <c r="X89" s="9">
        <v>6.9960500000000003</v>
      </c>
      <c r="Y89" s="9">
        <v>201.71299999999999</v>
      </c>
      <c r="Z89" s="9">
        <v>291.76299999999998</v>
      </c>
      <c r="AA89" s="9">
        <f t="shared" si="17"/>
        <v>2.1621433224755702</v>
      </c>
      <c r="AB89" s="9">
        <f t="shared" si="18"/>
        <v>3.9446254071661238</v>
      </c>
      <c r="AC89" s="9">
        <f t="shared" si="19"/>
        <v>2.2801302931596092</v>
      </c>
      <c r="AD89" s="9">
        <f t="shared" si="20"/>
        <v>5.5395875099552363</v>
      </c>
      <c r="AE89" s="9">
        <f t="shared" si="21"/>
        <v>8.0126053881855377</v>
      </c>
      <c r="AF89" s="9">
        <f t="shared" si="22"/>
        <v>4.585433624337881</v>
      </c>
      <c r="AG89" s="9">
        <f t="shared" si="13"/>
        <v>3.4044996527552134</v>
      </c>
      <c r="AH89" s="9">
        <f t="shared" si="14"/>
        <v>0.95954345294440224</v>
      </c>
      <c r="AI89" s="9">
        <f t="shared" si="15"/>
        <v>4.1144697041968827</v>
      </c>
      <c r="AJ89" s="9">
        <f>(4*PI()*(AI89^2))/(Y89+E89)</f>
        <v>0.89336880784064687</v>
      </c>
      <c r="AK89" s="12">
        <f t="shared" si="16"/>
        <v>0.91369047619047616</v>
      </c>
      <c r="AL89" s="9" t="s">
        <v>140</v>
      </c>
      <c r="AM89" s="9" t="s">
        <v>143</v>
      </c>
      <c r="AN89" s="2">
        <v>3.7347999999999999</v>
      </c>
      <c r="AO89" s="2">
        <v>0.38556000000000001</v>
      </c>
      <c r="AP89" s="2">
        <v>3535.8</v>
      </c>
      <c r="AQ89" s="2">
        <v>3222.8</v>
      </c>
      <c r="AR89" s="2">
        <v>2.2444000000000002</v>
      </c>
      <c r="AS89" s="2">
        <v>9.4310000000000005E-2</v>
      </c>
      <c r="AT89" s="2">
        <v>0.56923999999999997</v>
      </c>
      <c r="AU89" s="2">
        <v>1.208</v>
      </c>
      <c r="AV89" s="2">
        <v>0.15665000000000001</v>
      </c>
      <c r="AW89" s="2">
        <v>7.3185E-2</v>
      </c>
      <c r="AX89" s="2">
        <v>0.23008000000000001</v>
      </c>
      <c r="AY89" s="2">
        <v>-2.2770000000000001</v>
      </c>
      <c r="AZ89" s="2">
        <v>-1101</v>
      </c>
      <c r="BA89" s="2">
        <v>7.8204999999999997E-2</v>
      </c>
      <c r="BB89" s="2">
        <v>1.5581</v>
      </c>
      <c r="BC89" s="2" t="s">
        <v>164</v>
      </c>
      <c r="BD89" s="32" t="s">
        <v>165</v>
      </c>
      <c r="BE89" s="12" t="s">
        <v>167</v>
      </c>
    </row>
    <row r="90" spans="1:57" x14ac:dyDescent="0.25">
      <c r="A90" s="2" t="s">
        <v>98</v>
      </c>
      <c r="B90" s="2" t="s">
        <v>5</v>
      </c>
      <c r="C90" s="2" t="s">
        <v>6</v>
      </c>
      <c r="D90" s="2">
        <v>59</v>
      </c>
      <c r="E90" s="2">
        <v>13.079000000000001</v>
      </c>
      <c r="F90" s="2">
        <v>13.391</v>
      </c>
      <c r="G90" s="2">
        <v>7.21</v>
      </c>
      <c r="H90" s="2">
        <v>5.5</v>
      </c>
      <c r="I90" s="2">
        <v>3.35</v>
      </c>
      <c r="J90" s="2">
        <v>89.52</v>
      </c>
      <c r="K90" s="2">
        <v>39.74</v>
      </c>
      <c r="L90" s="2">
        <v>20.329999999999998</v>
      </c>
      <c r="M90" s="2">
        <v>5</v>
      </c>
      <c r="N90" s="2">
        <v>1</v>
      </c>
      <c r="O90" s="2">
        <v>3.25</v>
      </c>
      <c r="P90" s="9">
        <v>1.4050499999999999</v>
      </c>
      <c r="Q90" s="9">
        <v>1.4899</v>
      </c>
      <c r="R90" s="9">
        <v>-0.114679</v>
      </c>
      <c r="S90" s="9">
        <v>0.16505</v>
      </c>
      <c r="T90" s="9">
        <v>0.21535699999999999</v>
      </c>
      <c r="U90" s="9">
        <v>0.13730100000000001</v>
      </c>
      <c r="V90" s="9">
        <v>5.8575699999999999</v>
      </c>
      <c r="W90" s="9">
        <v>3.93153</v>
      </c>
      <c r="X90" s="9">
        <v>5.5240099999999996</v>
      </c>
      <c r="Y90" s="9">
        <v>88.361000000000004</v>
      </c>
      <c r="Z90" s="9">
        <v>76.769400000000005</v>
      </c>
      <c r="AA90" s="9">
        <f t="shared" si="17"/>
        <v>1.1735910447761193</v>
      </c>
      <c r="AB90" s="9">
        <f t="shared" si="18"/>
        <v>2.1522388059701494</v>
      </c>
      <c r="AC90" s="9">
        <f t="shared" si="19"/>
        <v>1.6417910447761193</v>
      </c>
      <c r="AD90" s="9">
        <f t="shared" si="20"/>
        <v>6.7559446440859396</v>
      </c>
      <c r="AE90" s="9">
        <f t="shared" si="21"/>
        <v>5.8696689349338635</v>
      </c>
      <c r="AF90" s="9">
        <f t="shared" si="22"/>
        <v>4.891798107234349</v>
      </c>
      <c r="AG90" s="9">
        <f t="shared" si="13"/>
        <v>2.0403859932370145</v>
      </c>
      <c r="AH90" s="9">
        <f t="shared" si="14"/>
        <v>0.95736862771128639</v>
      </c>
      <c r="AI90" s="9">
        <f t="shared" si="15"/>
        <v>2.6365328026494126</v>
      </c>
      <c r="AJ90" s="9">
        <f>(4*PI()*(AI90^2))/(Y90+E90)</f>
        <v>0.86112655403285054</v>
      </c>
      <c r="AK90" s="12">
        <f t="shared" si="16"/>
        <v>1.0307692307692309</v>
      </c>
      <c r="AL90" s="9" t="s">
        <v>140</v>
      </c>
      <c r="AM90" s="9" t="s">
        <v>143</v>
      </c>
      <c r="AN90" s="2">
        <v>2.6069</v>
      </c>
      <c r="AO90" s="2">
        <v>0.29215999999999998</v>
      </c>
      <c r="AP90" s="2">
        <v>4050.3</v>
      </c>
      <c r="AQ90" s="2">
        <v>3636.6</v>
      </c>
      <c r="AR90" s="2">
        <v>1.1279999999999999</v>
      </c>
      <c r="AS90" s="2">
        <v>3.5238999999999999E-2</v>
      </c>
      <c r="AT90" s="2">
        <v>0.66820999999999997</v>
      </c>
      <c r="AU90" s="2">
        <v>5.4916</v>
      </c>
      <c r="AV90" s="2">
        <v>0.65278999999999998</v>
      </c>
      <c r="AW90" s="2">
        <v>2.8209999999999999E-2</v>
      </c>
      <c r="AX90" s="2">
        <v>8.7082999999999994E-2</v>
      </c>
      <c r="AY90" s="2">
        <v>-8.3888999999999996</v>
      </c>
      <c r="AZ90" s="2">
        <v>-805.11</v>
      </c>
      <c r="BA90" s="2">
        <v>0.10879</v>
      </c>
      <c r="BB90" s="2">
        <v>24.539000000000001</v>
      </c>
      <c r="BC90" s="2" t="s">
        <v>162</v>
      </c>
      <c r="BD90" s="32" t="s">
        <v>163</v>
      </c>
      <c r="BE90" s="12" t="s">
        <v>167</v>
      </c>
    </row>
    <row r="91" spans="1:57" x14ac:dyDescent="0.25">
      <c r="A91" s="2" t="s">
        <v>99</v>
      </c>
      <c r="B91" s="2" t="s">
        <v>5</v>
      </c>
      <c r="C91" s="2" t="s">
        <v>6</v>
      </c>
      <c r="D91" s="2">
        <v>48</v>
      </c>
      <c r="E91" s="2">
        <v>28.082999999999998</v>
      </c>
      <c r="F91" s="2">
        <v>19.335000000000001</v>
      </c>
      <c r="G91" s="2">
        <v>8.02</v>
      </c>
      <c r="H91" s="2">
        <v>3.8</v>
      </c>
      <c r="I91" s="2">
        <v>4.3</v>
      </c>
      <c r="J91" s="2">
        <v>5.48</v>
      </c>
      <c r="K91" s="2">
        <v>15</v>
      </c>
      <c r="L91" s="2">
        <v>10.11</v>
      </c>
      <c r="M91" s="2">
        <v>7.7</v>
      </c>
      <c r="N91" s="2">
        <v>1</v>
      </c>
      <c r="O91" s="2">
        <v>3.86</v>
      </c>
      <c r="P91" s="9">
        <v>0.65699700000000005</v>
      </c>
      <c r="Q91" s="9">
        <v>1.18788</v>
      </c>
      <c r="R91" s="9">
        <v>0.48666700000000002</v>
      </c>
      <c r="S91" s="9">
        <v>6.0174800000000001E-2</v>
      </c>
      <c r="T91" s="9">
        <v>6.5364199999999997E-2</v>
      </c>
      <c r="U91" s="9">
        <v>1.1047599999999999E-2</v>
      </c>
      <c r="V91" s="9">
        <v>6.9420400000000004</v>
      </c>
      <c r="W91" s="9">
        <v>5.8440700000000003</v>
      </c>
      <c r="X91" s="9">
        <v>3.83954</v>
      </c>
      <c r="Y91" s="9">
        <v>73.3857</v>
      </c>
      <c r="Z91" s="9">
        <v>75.538700000000006</v>
      </c>
      <c r="AA91" s="9">
        <f t="shared" si="17"/>
        <v>1.3590860465116281</v>
      </c>
      <c r="AB91" s="9">
        <f t="shared" si="18"/>
        <v>1.8651162790697675</v>
      </c>
      <c r="AC91" s="9">
        <f t="shared" si="19"/>
        <v>0.88372093023255816</v>
      </c>
      <c r="AD91" s="9">
        <f t="shared" si="20"/>
        <v>2.6131716696934091</v>
      </c>
      <c r="AE91" s="9">
        <f t="shared" si="21"/>
        <v>2.6898372680981382</v>
      </c>
      <c r="AF91" s="9">
        <f t="shared" si="22"/>
        <v>4.1067516173975323</v>
      </c>
      <c r="AG91" s="9">
        <f t="shared" si="13"/>
        <v>2.9898321915618262</v>
      </c>
      <c r="AH91" s="9">
        <f t="shared" si="14"/>
        <v>0.971588812875811</v>
      </c>
      <c r="AI91" s="9">
        <f t="shared" si="15"/>
        <v>2.6223679740370369</v>
      </c>
      <c r="AJ91" s="9">
        <f>(4*PI()*(AI91^2))/(Y91+E91)</f>
        <v>0.85165761211928548</v>
      </c>
      <c r="AK91" s="12">
        <f t="shared" si="16"/>
        <v>1.1139896373056994</v>
      </c>
      <c r="AL91" s="9" t="s">
        <v>144</v>
      </c>
      <c r="AM91" s="9" t="s">
        <v>143</v>
      </c>
      <c r="AN91" s="2">
        <v>16.568999999999999</v>
      </c>
      <c r="AO91" s="2">
        <v>1.2771999999999999</v>
      </c>
      <c r="AP91" s="2">
        <v>21462</v>
      </c>
      <c r="AQ91" s="2">
        <v>20843</v>
      </c>
      <c r="AR91" s="2">
        <v>8.2495999999999992</v>
      </c>
      <c r="AS91" s="2">
        <v>1.3162E-2</v>
      </c>
      <c r="AT91" s="2">
        <v>0.73480000000000001</v>
      </c>
      <c r="AU91" s="2">
        <v>0.18837000000000001</v>
      </c>
      <c r="AV91" s="2">
        <v>2.3701E-3</v>
      </c>
      <c r="AW91" s="2">
        <v>1.0723999999999999E-2</v>
      </c>
      <c r="AX91" s="2">
        <v>0.57343999999999995</v>
      </c>
      <c r="AY91" s="2">
        <v>2.5005000000000002</v>
      </c>
      <c r="AZ91" s="2">
        <v>5665.3</v>
      </c>
      <c r="BA91" s="2">
        <v>1.4227999999999999E-2</v>
      </c>
      <c r="BB91" s="2">
        <v>4.9238</v>
      </c>
      <c r="BC91" s="2" t="s">
        <v>162</v>
      </c>
      <c r="BD91" s="32" t="s">
        <v>163</v>
      </c>
      <c r="BE91" s="12" t="s">
        <v>167</v>
      </c>
    </row>
    <row r="92" spans="1:57" x14ac:dyDescent="0.25">
      <c r="A92" s="3" t="s">
        <v>100</v>
      </c>
      <c r="B92" s="3" t="s">
        <v>5</v>
      </c>
      <c r="C92" s="3" t="s">
        <v>6</v>
      </c>
      <c r="D92" s="3">
        <v>64</v>
      </c>
      <c r="E92" s="3">
        <v>59.152999999999999</v>
      </c>
      <c r="F92" s="3">
        <v>28.722000000000001</v>
      </c>
      <c r="G92" s="3">
        <v>13.09</v>
      </c>
      <c r="H92" s="3">
        <v>7.25</v>
      </c>
      <c r="I92" s="3">
        <v>4.09</v>
      </c>
      <c r="J92" s="3">
        <v>50.61</v>
      </c>
      <c r="K92" s="3">
        <v>4.74</v>
      </c>
      <c r="L92" s="3">
        <v>52.17</v>
      </c>
      <c r="M92" s="3">
        <v>12.2</v>
      </c>
      <c r="N92" s="3">
        <v>1</v>
      </c>
      <c r="O92" s="3">
        <v>3.68</v>
      </c>
      <c r="P92" s="9">
        <v>0.87453700000000001</v>
      </c>
      <c r="Q92" s="9">
        <v>1.5831999999999999</v>
      </c>
      <c r="R92" s="9">
        <v>9.4405600000000006E-2</v>
      </c>
      <c r="S92" s="9">
        <v>9.8719299999999996E-2</v>
      </c>
      <c r="T92" s="9">
        <v>0.11377900000000001</v>
      </c>
      <c r="U92" s="9">
        <v>2.6449899999999998E-2</v>
      </c>
      <c r="V92" s="9">
        <v>13.0992</v>
      </c>
      <c r="W92" s="9">
        <v>8.2738499999999995</v>
      </c>
      <c r="X92" s="9">
        <v>7.2357899999999997</v>
      </c>
      <c r="Y92" s="9">
        <v>244.64500000000001</v>
      </c>
      <c r="Z92" s="9">
        <v>424.52800000000002</v>
      </c>
      <c r="AA92" s="9">
        <f t="shared" si="17"/>
        <v>2.0229462102689486</v>
      </c>
      <c r="AB92" s="9">
        <f t="shared" si="18"/>
        <v>3.2004889975550124</v>
      </c>
      <c r="AC92" s="9">
        <f t="shared" si="19"/>
        <v>1.7726161369193154</v>
      </c>
      <c r="AD92" s="9">
        <f t="shared" si="20"/>
        <v>4.1358003820600819</v>
      </c>
      <c r="AE92" s="9">
        <f t="shared" si="21"/>
        <v>7.1767788615962003</v>
      </c>
      <c r="AF92" s="9">
        <f t="shared" si="22"/>
        <v>4.331105716300871</v>
      </c>
      <c r="AG92" s="9">
        <f t="shared" si="13"/>
        <v>4.3392378014381476</v>
      </c>
      <c r="AH92" s="9">
        <f t="shared" si="14"/>
        <v>0.94924570706616596</v>
      </c>
      <c r="AI92" s="9">
        <f t="shared" si="15"/>
        <v>4.6623611377705174</v>
      </c>
      <c r="AJ92" s="9">
        <f>(4*PI()*(AI92^2))/(Y92+E92)</f>
        <v>0.89915957596605167</v>
      </c>
      <c r="AK92" s="12">
        <f t="shared" si="16"/>
        <v>1.1114130434782608</v>
      </c>
      <c r="AL92" s="9" t="s">
        <v>144</v>
      </c>
      <c r="AM92" s="9" t="s">
        <v>143</v>
      </c>
      <c r="AN92" s="3">
        <v>4.7603</v>
      </c>
      <c r="AO92" s="3">
        <v>0.50543000000000005</v>
      </c>
      <c r="AP92" s="3">
        <v>5223.1000000000004</v>
      </c>
      <c r="AQ92" s="3">
        <v>4843.2</v>
      </c>
      <c r="AR92" s="3">
        <v>2.7755999999999998</v>
      </c>
      <c r="AS92" s="3">
        <v>1.4330000000000001E-2</v>
      </c>
      <c r="AT92" s="3">
        <v>0.73824000000000001</v>
      </c>
      <c r="AU92" s="3">
        <v>0.62539999999999996</v>
      </c>
      <c r="AV92" s="3">
        <v>2.1788999999999999E-2</v>
      </c>
      <c r="AW92" s="3">
        <v>2.9064E-2</v>
      </c>
      <c r="AX92" s="3">
        <v>0.25770999999999999</v>
      </c>
      <c r="AY92" s="3">
        <v>18.077999999999999</v>
      </c>
      <c r="AZ92" s="3">
        <v>1634.2</v>
      </c>
      <c r="BA92" s="3">
        <v>9.1143000000000002E-2</v>
      </c>
      <c r="BB92" s="3">
        <v>5.9183000000000003</v>
      </c>
      <c r="BC92" s="3" t="s">
        <v>162</v>
      </c>
      <c r="BD92" s="33" t="s">
        <v>165</v>
      </c>
      <c r="BE92" s="12" t="s">
        <v>167</v>
      </c>
    </row>
    <row r="93" spans="1:57" x14ac:dyDescent="0.25">
      <c r="A93" s="3" t="s">
        <v>101</v>
      </c>
      <c r="B93" s="3" t="s">
        <v>40</v>
      </c>
      <c r="C93" s="3" t="s">
        <v>14</v>
      </c>
      <c r="D93" s="3">
        <v>49</v>
      </c>
      <c r="E93" s="3">
        <v>18.315000000000001</v>
      </c>
      <c r="F93" s="3">
        <v>15.385</v>
      </c>
      <c r="G93" s="3">
        <v>9.6999999999999993</v>
      </c>
      <c r="H93" s="3">
        <v>8.9</v>
      </c>
      <c r="I93" s="3">
        <v>2.74</v>
      </c>
      <c r="J93" s="3">
        <f>180-146.52</f>
        <v>33.47999999999999</v>
      </c>
      <c r="K93" s="3">
        <v>57.32</v>
      </c>
      <c r="L93" s="3">
        <f>180-106.4</f>
        <v>73.599999999999994</v>
      </c>
      <c r="M93" s="3">
        <v>7.6</v>
      </c>
      <c r="N93" s="3">
        <v>2</v>
      </c>
      <c r="O93" s="3">
        <f>2.35+1.39</f>
        <v>3.74</v>
      </c>
      <c r="P93" s="9">
        <v>1.9701299999999999</v>
      </c>
      <c r="Q93" s="9">
        <v>1.6477200000000001</v>
      </c>
      <c r="R93" s="9">
        <v>-6.4971699999999993E-2</v>
      </c>
      <c r="S93" s="9">
        <v>0.18310299999999999</v>
      </c>
      <c r="T93" s="9">
        <v>0.22465099999999999</v>
      </c>
      <c r="U93" s="9">
        <v>7.9005900000000004E-2</v>
      </c>
      <c r="V93" s="9">
        <v>7.4493400000000003</v>
      </c>
      <c r="W93" s="9">
        <v>4.5209900000000003</v>
      </c>
      <c r="X93" s="9">
        <v>8.9069500000000001</v>
      </c>
      <c r="Y93" s="9">
        <v>167.37899999999999</v>
      </c>
      <c r="Z93" s="9">
        <v>196.601</v>
      </c>
      <c r="AA93" s="9">
        <f t="shared" si="17"/>
        <v>1.6499963503649635</v>
      </c>
      <c r="AB93" s="9">
        <f t="shared" si="18"/>
        <v>3.5401459854014594</v>
      </c>
      <c r="AC93" s="9">
        <f t="shared" si="19"/>
        <v>3.2481751824817517</v>
      </c>
      <c r="AD93" s="9">
        <f t="shared" si="20"/>
        <v>9.1389025389025385</v>
      </c>
      <c r="AE93" s="9">
        <f t="shared" si="21"/>
        <v>10.734425334425334</v>
      </c>
      <c r="AF93" s="9">
        <f t="shared" si="22"/>
        <v>4.9504402204179563</v>
      </c>
      <c r="AG93" s="9">
        <f t="shared" si="13"/>
        <v>2.4145073131916845</v>
      </c>
      <c r="AH93" s="9">
        <f t="shared" si="14"/>
        <v>0.98607714490241494</v>
      </c>
      <c r="AI93" s="9">
        <f t="shared" si="15"/>
        <v>3.6071624750884426</v>
      </c>
      <c r="AJ93" s="9">
        <f>(4*PI()*(AI93^2))/(Y93+E93)</f>
        <v>0.88052846784889305</v>
      </c>
      <c r="AK93" s="12">
        <f t="shared" si="16"/>
        <v>0.73262032085561501</v>
      </c>
      <c r="AL93" s="9" t="s">
        <v>140</v>
      </c>
      <c r="AM93" s="9" t="s">
        <v>142</v>
      </c>
      <c r="AN93" s="3">
        <v>1.8664000000000001</v>
      </c>
      <c r="AO93" s="3">
        <v>0.3044</v>
      </c>
      <c r="AP93" s="3">
        <v>2462.8000000000002</v>
      </c>
      <c r="AQ93" s="3">
        <v>2176.3000000000002</v>
      </c>
      <c r="AR93" s="3">
        <v>1.2591000000000001</v>
      </c>
      <c r="AS93" s="3">
        <v>2.3979E-2</v>
      </c>
      <c r="AT93" s="3">
        <v>0.68640999999999996</v>
      </c>
      <c r="AU93" s="3">
        <v>1.4959</v>
      </c>
      <c r="AV93" s="3">
        <v>0.16446</v>
      </c>
      <c r="AW93" s="3">
        <v>2.7165000000000002E-2</v>
      </c>
      <c r="AX93" s="3">
        <v>0.13127</v>
      </c>
      <c r="AY93" s="3">
        <v>-15.173</v>
      </c>
      <c r="AZ93" s="3">
        <v>-306.2</v>
      </c>
      <c r="BA93" s="3">
        <v>0.33077000000000001</v>
      </c>
      <c r="BB93" s="3">
        <v>2.1013000000000002</v>
      </c>
      <c r="BC93" s="3" t="s">
        <v>164</v>
      </c>
      <c r="BD93" s="33" t="s">
        <v>165</v>
      </c>
      <c r="BE93" s="12" t="s">
        <v>167</v>
      </c>
    </row>
    <row r="94" spans="1:57" x14ac:dyDescent="0.25">
      <c r="A94" s="3" t="s">
        <v>102</v>
      </c>
      <c r="B94" s="3" t="s">
        <v>26</v>
      </c>
      <c r="C94" s="3" t="s">
        <v>14</v>
      </c>
      <c r="D94" s="3">
        <v>62</v>
      </c>
      <c r="E94" s="3">
        <v>9.9953000000000003</v>
      </c>
      <c r="F94" s="3">
        <v>11.529</v>
      </c>
      <c r="G94" s="3">
        <v>6.86</v>
      </c>
      <c r="H94" s="3">
        <v>5.7</v>
      </c>
      <c r="I94" s="3">
        <v>2.21</v>
      </c>
      <c r="J94" s="3">
        <v>25.37</v>
      </c>
      <c r="K94" s="3">
        <v>52.41</v>
      </c>
      <c r="L94" s="3">
        <v>47.89</v>
      </c>
      <c r="M94" s="3">
        <v>4.24</v>
      </c>
      <c r="N94" s="3">
        <v>2</v>
      </c>
      <c r="O94" s="3">
        <f>1.98+2.14</f>
        <v>4.12</v>
      </c>
      <c r="P94" s="9">
        <v>1.6393599999999999</v>
      </c>
      <c r="Q94" s="9">
        <v>1.2438499999999999</v>
      </c>
      <c r="R94" s="9">
        <v>-0.110619</v>
      </c>
      <c r="S94" s="9">
        <v>0.17598800000000001</v>
      </c>
      <c r="T94" s="9">
        <v>0.229493</v>
      </c>
      <c r="U94" s="9">
        <v>0.16666300000000001</v>
      </c>
      <c r="V94" s="9">
        <v>4.3408499999999997</v>
      </c>
      <c r="W94" s="9">
        <v>3.4898500000000001</v>
      </c>
      <c r="X94" s="9">
        <v>5.72112</v>
      </c>
      <c r="Y94" s="9">
        <v>70.726900000000001</v>
      </c>
      <c r="Z94" s="9">
        <v>53.497100000000003</v>
      </c>
      <c r="AA94" s="9">
        <f t="shared" si="17"/>
        <v>1.5791176470588235</v>
      </c>
      <c r="AB94" s="9">
        <f t="shared" si="18"/>
        <v>3.1040723981900453</v>
      </c>
      <c r="AC94" s="9">
        <f t="shared" si="19"/>
        <v>2.5791855203619911</v>
      </c>
      <c r="AD94" s="9">
        <f t="shared" si="20"/>
        <v>7.0760157273918738</v>
      </c>
      <c r="AE94" s="9">
        <f t="shared" si="21"/>
        <v>5.3522255460066237</v>
      </c>
      <c r="AF94" s="9">
        <f t="shared" si="22"/>
        <v>4.9815496478205699</v>
      </c>
      <c r="AG94" s="9">
        <f t="shared" si="13"/>
        <v>1.7837047977097675</v>
      </c>
      <c r="AH94" s="9">
        <f t="shared" si="14"/>
        <v>0.97210059652318048</v>
      </c>
      <c r="AI94" s="9">
        <f t="shared" si="15"/>
        <v>2.3374762682481212</v>
      </c>
      <c r="AJ94" s="9">
        <f>(4*PI()*(AI94^2))/(Y94+E94)</f>
        <v>0.85057241699173369</v>
      </c>
      <c r="AK94" s="12">
        <f t="shared" si="16"/>
        <v>0.53640776699029125</v>
      </c>
      <c r="AL94" s="9" t="s">
        <v>140</v>
      </c>
      <c r="AM94" s="9" t="s">
        <v>142</v>
      </c>
      <c r="AN94" s="3">
        <v>2.3289</v>
      </c>
      <c r="AO94" s="3">
        <v>0.35365000000000002</v>
      </c>
      <c r="AP94" s="3">
        <v>2949.6</v>
      </c>
      <c r="AQ94" s="3">
        <v>2667.1</v>
      </c>
      <c r="AR94" s="3">
        <v>1.2927</v>
      </c>
      <c r="AS94" s="3">
        <v>1.9134000000000002E-2</v>
      </c>
      <c r="AT94" s="3">
        <v>0.67708999999999997</v>
      </c>
      <c r="AU94" s="3">
        <v>1.748</v>
      </c>
      <c r="AV94" s="3">
        <v>0.20524999999999999</v>
      </c>
      <c r="AW94" s="3">
        <v>1.2916E-2</v>
      </c>
      <c r="AX94" s="3">
        <v>0.11414000000000001</v>
      </c>
      <c r="AY94" s="3">
        <v>-2.0078999999999998</v>
      </c>
      <c r="AZ94" s="3">
        <v>-260.5</v>
      </c>
      <c r="BA94" s="3">
        <v>0.10982</v>
      </c>
      <c r="BB94" s="3">
        <v>4.6271000000000004</v>
      </c>
      <c r="BC94" s="3" t="s">
        <v>162</v>
      </c>
      <c r="BD94" s="33" t="s">
        <v>165</v>
      </c>
      <c r="BE94" s="12" t="s">
        <v>168</v>
      </c>
    </row>
    <row r="95" spans="1:57" x14ac:dyDescent="0.25">
      <c r="A95" s="3" t="s">
        <v>103</v>
      </c>
      <c r="B95" s="3" t="s">
        <v>26</v>
      </c>
      <c r="C95" s="3" t="s">
        <v>14</v>
      </c>
      <c r="D95" s="3">
        <v>67</v>
      </c>
      <c r="E95" s="3">
        <v>25.215</v>
      </c>
      <c r="F95" s="3">
        <v>18.454999999999998</v>
      </c>
      <c r="G95" s="3">
        <v>11.41</v>
      </c>
      <c r="H95" s="3">
        <v>10</v>
      </c>
      <c r="I95" s="3">
        <v>2.2599999999999998</v>
      </c>
      <c r="J95" s="3">
        <v>24.1</v>
      </c>
      <c r="K95" s="3">
        <v>54.95</v>
      </c>
      <c r="L95" s="3">
        <v>61.95</v>
      </c>
      <c r="M95" s="3">
        <v>9.5</v>
      </c>
      <c r="N95" s="3">
        <v>2</v>
      </c>
      <c r="O95" s="3">
        <f>1.26+1.84</f>
        <v>3.1</v>
      </c>
      <c r="P95" s="9">
        <v>1.8211599999999999</v>
      </c>
      <c r="Q95" s="9">
        <v>1.99983</v>
      </c>
      <c r="R95" s="9">
        <v>4.5454599999999998E-2</v>
      </c>
      <c r="S95" s="9">
        <v>0.16187000000000001</v>
      </c>
      <c r="T95" s="9">
        <v>0.169459</v>
      </c>
      <c r="U95" s="9">
        <v>1.8328899999999999E-2</v>
      </c>
      <c r="V95" s="9">
        <v>10.962</v>
      </c>
      <c r="W95" s="9">
        <v>5.4814699999999998</v>
      </c>
      <c r="X95" s="9">
        <v>9.9826599999999992</v>
      </c>
      <c r="Y95" s="9">
        <v>283.59100000000001</v>
      </c>
      <c r="Z95" s="9">
        <v>480.69400000000002</v>
      </c>
      <c r="AA95" s="9">
        <f t="shared" si="17"/>
        <v>2.4254292035398231</v>
      </c>
      <c r="AB95" s="9">
        <f t="shared" si="18"/>
        <v>5.0486725663716818</v>
      </c>
      <c r="AC95" s="9">
        <f t="shared" si="19"/>
        <v>4.4247787610619476</v>
      </c>
      <c r="AD95" s="9">
        <f t="shared" si="20"/>
        <v>11.246916517945667</v>
      </c>
      <c r="AE95" s="9">
        <f t="shared" si="21"/>
        <v>19.063811223478091</v>
      </c>
      <c r="AF95" s="9">
        <f t="shared" si="22"/>
        <v>4.62146827926124</v>
      </c>
      <c r="AG95" s="9">
        <f t="shared" si="13"/>
        <v>2.833052025664951</v>
      </c>
      <c r="AH95" s="9">
        <f t="shared" si="14"/>
        <v>0.96454027971462397</v>
      </c>
      <c r="AI95" s="9">
        <f t="shared" si="15"/>
        <v>4.8595198897138827</v>
      </c>
      <c r="AJ95" s="9">
        <f>(4*PI()*(AI95^2))/(Y95+E95)</f>
        <v>0.96097228399024193</v>
      </c>
      <c r="AK95" s="12">
        <f t="shared" si="16"/>
        <v>0.72903225806451599</v>
      </c>
      <c r="AL95" s="9" t="s">
        <v>144</v>
      </c>
      <c r="AM95" s="9" t="s">
        <v>142</v>
      </c>
      <c r="AN95" s="3">
        <v>1.8096000000000001</v>
      </c>
      <c r="AO95" s="3">
        <v>0.23158000000000001</v>
      </c>
      <c r="AP95" s="3">
        <v>1729</v>
      </c>
      <c r="AQ95" s="3">
        <v>1559.2</v>
      </c>
      <c r="AR95" s="3">
        <v>1.2805</v>
      </c>
      <c r="AS95" s="3">
        <v>1.7517999999999999E-2</v>
      </c>
      <c r="AT95" s="3">
        <v>0.68701999999999996</v>
      </c>
      <c r="AU95" s="3">
        <v>1.2875000000000001</v>
      </c>
      <c r="AV95" s="3">
        <v>0.39251999999999998</v>
      </c>
      <c r="AW95" s="3">
        <v>2.4535000000000001E-2</v>
      </c>
      <c r="AX95" s="3">
        <v>0.10262</v>
      </c>
      <c r="AY95" s="3">
        <v>-29.603000000000002</v>
      </c>
      <c r="AZ95" s="3">
        <v>-268.79000000000002</v>
      </c>
      <c r="BA95" s="3">
        <v>0.68432000000000004</v>
      </c>
      <c r="BB95" s="3">
        <v>9.5699000000000005</v>
      </c>
      <c r="BC95" s="3" t="s">
        <v>162</v>
      </c>
      <c r="BD95" s="33" t="s">
        <v>163</v>
      </c>
      <c r="BE95" s="12" t="s">
        <v>167</v>
      </c>
    </row>
    <row r="96" spans="1:57" x14ac:dyDescent="0.25">
      <c r="A96" s="3" t="s">
        <v>104</v>
      </c>
      <c r="B96" s="3" t="s">
        <v>26</v>
      </c>
      <c r="C96" s="3" t="s">
        <v>6</v>
      </c>
      <c r="D96" s="3">
        <v>36</v>
      </c>
      <c r="E96" s="3">
        <v>14.32</v>
      </c>
      <c r="F96" s="3">
        <v>14.298999999999999</v>
      </c>
      <c r="G96" s="3">
        <v>6.8</v>
      </c>
      <c r="H96" s="3">
        <v>4.9000000000000004</v>
      </c>
      <c r="I96" s="3">
        <v>2.11</v>
      </c>
      <c r="J96" s="3">
        <v>46.58</v>
      </c>
      <c r="K96" s="3">
        <v>32.700000000000003</v>
      </c>
      <c r="L96" s="3">
        <v>87</v>
      </c>
      <c r="M96" s="3">
        <v>6.72</v>
      </c>
      <c r="N96" s="3">
        <v>2</v>
      </c>
      <c r="O96" s="3">
        <f>1.9+1.36</f>
        <v>3.26</v>
      </c>
      <c r="P96" s="9">
        <v>1.19442</v>
      </c>
      <c r="Q96" s="9">
        <v>1.62863</v>
      </c>
      <c r="R96" s="9">
        <v>3.0612199999999999E-2</v>
      </c>
      <c r="S96" s="9">
        <v>0.12886900000000001</v>
      </c>
      <c r="T96" s="9">
        <v>0.13751099999999999</v>
      </c>
      <c r="U96" s="9">
        <v>1.5068099999999999E-2</v>
      </c>
      <c r="V96" s="9">
        <v>6.7678700000000003</v>
      </c>
      <c r="W96" s="9">
        <v>4.15557</v>
      </c>
      <c r="X96" s="9">
        <v>4.9634999999999998</v>
      </c>
      <c r="Y96" s="9">
        <v>96.908699999999996</v>
      </c>
      <c r="Z96" s="9">
        <v>101.616</v>
      </c>
      <c r="AA96" s="9">
        <f t="shared" si="17"/>
        <v>1.9694644549763034</v>
      </c>
      <c r="AB96" s="9">
        <f t="shared" si="18"/>
        <v>3.2227488151658767</v>
      </c>
      <c r="AC96" s="9">
        <f t="shared" si="19"/>
        <v>2.3222748815165879</v>
      </c>
      <c r="AD96" s="9">
        <f t="shared" si="20"/>
        <v>6.7673673184357535</v>
      </c>
      <c r="AE96" s="9">
        <f t="shared" si="21"/>
        <v>7.0960893854748601</v>
      </c>
      <c r="AF96" s="9">
        <f t="shared" si="22"/>
        <v>4.4502871822864254</v>
      </c>
      <c r="AG96" s="9">
        <f t="shared" si="13"/>
        <v>2.1349935761383176</v>
      </c>
      <c r="AH96" s="9">
        <f t="shared" si="14"/>
        <v>0.93814674232569262</v>
      </c>
      <c r="AI96" s="9">
        <f t="shared" si="15"/>
        <v>2.8948395362228521</v>
      </c>
      <c r="AJ96" s="9">
        <f>(4*PI()*(AI96^2))/(Y96+E96)</f>
        <v>0.94676456141216336</v>
      </c>
      <c r="AK96" s="12">
        <f t="shared" si="16"/>
        <v>0.64723926380368102</v>
      </c>
      <c r="AL96" s="9" t="s">
        <v>144</v>
      </c>
      <c r="AM96" s="9" t="s">
        <v>142</v>
      </c>
      <c r="AN96" s="3">
        <v>5.9494999999999996</v>
      </c>
      <c r="AO96" s="3">
        <v>0.47576000000000002</v>
      </c>
      <c r="AP96" s="3">
        <v>8894.9</v>
      </c>
      <c r="AQ96" s="3">
        <v>7992.5</v>
      </c>
      <c r="AR96" s="3">
        <v>3.1044</v>
      </c>
      <c r="AS96" s="3">
        <v>4.7058999999999998E-3</v>
      </c>
      <c r="AT96" s="3">
        <v>0.77812999999999999</v>
      </c>
      <c r="AU96" s="3">
        <v>0.47439999999999999</v>
      </c>
      <c r="AV96" s="3">
        <v>1.5526999999999999E-2</v>
      </c>
      <c r="AW96" s="3">
        <v>6.9889000000000001E-3</v>
      </c>
      <c r="AX96" s="3">
        <v>0.22475000000000001</v>
      </c>
      <c r="AY96" s="3">
        <v>-5.3612000000000002</v>
      </c>
      <c r="AZ96" s="3">
        <v>-967.2</v>
      </c>
      <c r="BA96" s="3">
        <v>0.10584</v>
      </c>
      <c r="BB96" s="3">
        <v>4.2222999999999997</v>
      </c>
      <c r="BC96" s="3" t="s">
        <v>162</v>
      </c>
      <c r="BD96" s="33" t="s">
        <v>163</v>
      </c>
      <c r="BE96" s="12" t="s">
        <v>168</v>
      </c>
    </row>
    <row r="97" spans="1:57" x14ac:dyDescent="0.25">
      <c r="A97" s="3" t="s">
        <v>105</v>
      </c>
      <c r="B97" s="3" t="s">
        <v>40</v>
      </c>
      <c r="C97" s="3" t="s">
        <v>6</v>
      </c>
      <c r="D97" s="3">
        <v>43</v>
      </c>
      <c r="E97" s="3">
        <v>19.48</v>
      </c>
      <c r="F97" s="3">
        <v>16.152999999999999</v>
      </c>
      <c r="G97" s="3">
        <v>6.1</v>
      </c>
      <c r="H97" s="3">
        <v>4.12</v>
      </c>
      <c r="I97" s="3">
        <v>2.8</v>
      </c>
      <c r="J97" s="3">
        <v>51.8</v>
      </c>
      <c r="K97" s="3">
        <v>34.51</v>
      </c>
      <c r="L97" s="3">
        <v>69.89</v>
      </c>
      <c r="M97" s="3">
        <v>5.68</v>
      </c>
      <c r="N97" s="3">
        <v>3</v>
      </c>
      <c r="O97" s="3">
        <f>1.63+0.87+1.49</f>
        <v>3.99</v>
      </c>
      <c r="P97" s="9">
        <v>0.84619500000000003</v>
      </c>
      <c r="Q97" s="9">
        <v>1.2177100000000001</v>
      </c>
      <c r="R97" s="9">
        <v>0.22839499999999999</v>
      </c>
      <c r="S97" s="9">
        <v>6.1698700000000002E-2</v>
      </c>
      <c r="T97" s="9">
        <v>6.7340300000000006E-2</v>
      </c>
      <c r="U97" s="9">
        <v>4.4396100000000001E-3</v>
      </c>
      <c r="V97" s="9">
        <v>5.9413999999999998</v>
      </c>
      <c r="W97" s="9">
        <v>4.8791500000000001</v>
      </c>
      <c r="X97" s="9">
        <v>4.1287099999999999</v>
      </c>
      <c r="Y97" s="9">
        <v>72.637799999999999</v>
      </c>
      <c r="Z97" s="9">
        <v>74.1511</v>
      </c>
      <c r="AA97" s="9">
        <f t="shared" si="17"/>
        <v>1.7425535714285716</v>
      </c>
      <c r="AB97" s="9">
        <f t="shared" si="18"/>
        <v>2.1785714285714284</v>
      </c>
      <c r="AC97" s="9">
        <f t="shared" si="19"/>
        <v>1.4714285714285715</v>
      </c>
      <c r="AD97" s="9">
        <f t="shared" si="20"/>
        <v>3.7288398357289525</v>
      </c>
      <c r="AE97" s="9">
        <f t="shared" si="21"/>
        <v>3.8065246406570843</v>
      </c>
      <c r="AF97" s="9">
        <f t="shared" si="22"/>
        <v>4.1154527209194542</v>
      </c>
      <c r="AG97" s="9">
        <f t="shared" si="13"/>
        <v>2.4901157769991826</v>
      </c>
      <c r="AH97" s="9">
        <f t="shared" si="14"/>
        <v>0.96860390411795605</v>
      </c>
      <c r="AI97" s="9">
        <f t="shared" si="15"/>
        <v>2.6062115366139964</v>
      </c>
      <c r="AJ97" s="9">
        <f>(4*PI()*(AI97^2))/(Y97+E97)</f>
        <v>0.92658578313651219</v>
      </c>
      <c r="AK97" s="12">
        <f t="shared" si="16"/>
        <v>0.70175438596491224</v>
      </c>
      <c r="AL97" s="9" t="s">
        <v>144</v>
      </c>
      <c r="AM97" s="9" t="s">
        <v>142</v>
      </c>
      <c r="AN97" s="3">
        <v>1.9742</v>
      </c>
      <c r="AO97" s="3">
        <v>0.38840999999999998</v>
      </c>
      <c r="AP97" s="3">
        <v>2368.8000000000002</v>
      </c>
      <c r="AQ97" s="3">
        <v>2377.8000000000002</v>
      </c>
      <c r="AR97" s="3">
        <v>1.2964</v>
      </c>
      <c r="AS97" s="3">
        <v>7.8615999999999998E-3</v>
      </c>
      <c r="AT97" s="3">
        <v>0.73617999999999995</v>
      </c>
      <c r="AU97" s="3">
        <v>0.91539999999999999</v>
      </c>
      <c r="AV97" s="3">
        <v>9.7950999999999993E-3</v>
      </c>
      <c r="AW97" s="3">
        <v>8.2234999999999999E-3</v>
      </c>
      <c r="AX97" s="3">
        <v>0.13031999999999999</v>
      </c>
      <c r="AY97" s="3">
        <v>-16.335000000000001</v>
      </c>
      <c r="AZ97" s="3">
        <v>-368.78</v>
      </c>
      <c r="BA97" s="3">
        <v>0.15495</v>
      </c>
      <c r="BB97" s="3">
        <v>6.3643999999999998</v>
      </c>
      <c r="BC97" s="3" t="s">
        <v>162</v>
      </c>
      <c r="BD97" s="33" t="s">
        <v>163</v>
      </c>
      <c r="BE97" s="12" t="s">
        <v>167</v>
      </c>
    </row>
    <row r="98" spans="1:57" x14ac:dyDescent="0.25">
      <c r="A98" s="3" t="s">
        <v>106</v>
      </c>
      <c r="B98" s="3" t="s">
        <v>40</v>
      </c>
      <c r="C98" s="3" t="s">
        <v>14</v>
      </c>
      <c r="D98" s="3">
        <v>67</v>
      </c>
      <c r="E98" s="3">
        <v>38.671999999999997</v>
      </c>
      <c r="F98" s="3">
        <v>23.335999999999999</v>
      </c>
      <c r="G98" s="3">
        <v>12.62</v>
      </c>
      <c r="H98" s="3">
        <v>8.35</v>
      </c>
      <c r="I98" s="3">
        <v>2.23</v>
      </c>
      <c r="J98" s="3">
        <v>43.4</v>
      </c>
      <c r="K98" s="3">
        <v>15.34</v>
      </c>
      <c r="L98" s="3">
        <v>62</v>
      </c>
      <c r="M98" s="3">
        <v>8.9</v>
      </c>
      <c r="N98" s="3">
        <v>3</v>
      </c>
      <c r="O98" s="3">
        <f>1.38+0.71+1.62</f>
        <v>3.71</v>
      </c>
      <c r="P98" s="9">
        <v>1.2238100000000001</v>
      </c>
      <c r="Q98" s="9">
        <v>1.7533399999999999</v>
      </c>
      <c r="R98" s="9">
        <v>0.209091</v>
      </c>
      <c r="S98" s="9">
        <v>0.146039</v>
      </c>
      <c r="T98" s="9">
        <v>0.16609399999999999</v>
      </c>
      <c r="U98" s="9">
        <v>6.0303700000000002E-2</v>
      </c>
      <c r="V98" s="9">
        <v>11.92</v>
      </c>
      <c r="W98" s="9">
        <v>6.7984799999999996</v>
      </c>
      <c r="X98" s="9">
        <v>8.3200800000000008</v>
      </c>
      <c r="Y98" s="9">
        <v>268.48099999999999</v>
      </c>
      <c r="Z98" s="9">
        <v>445.48500000000001</v>
      </c>
      <c r="AA98" s="9">
        <f t="shared" si="17"/>
        <v>3.048645739910314</v>
      </c>
      <c r="AB98" s="9">
        <f t="shared" si="18"/>
        <v>5.6591928251121075</v>
      </c>
      <c r="AC98" s="9">
        <f t="shared" si="19"/>
        <v>3.7443946188340806</v>
      </c>
      <c r="AD98" s="9">
        <f t="shared" si="20"/>
        <v>6.9425165494414571</v>
      </c>
      <c r="AE98" s="9">
        <f t="shared" si="21"/>
        <v>11.519574886222591</v>
      </c>
      <c r="AF98" s="9">
        <f t="shared" si="22"/>
        <v>4.6028289199591974</v>
      </c>
      <c r="AG98" s="9">
        <f t="shared" si="13"/>
        <v>3.5085153439167902</v>
      </c>
      <c r="AH98" s="9">
        <f t="shared" ref="AH98:AH161" si="23">(2*PI()*AG98)/F98</f>
        <v>0.9446628410572554</v>
      </c>
      <c r="AI98" s="9">
        <f t="shared" si="15"/>
        <v>4.7378520200401049</v>
      </c>
      <c r="AJ98" s="9">
        <f>(4*PI()*(AI98^2))/(Y98+E98)</f>
        <v>0.91837084213407794</v>
      </c>
      <c r="AK98" s="12">
        <f t="shared" si="16"/>
        <v>0.60107816711590301</v>
      </c>
      <c r="AL98" s="9" t="s">
        <v>140</v>
      </c>
      <c r="AM98" s="9" t="s">
        <v>142</v>
      </c>
      <c r="AN98" s="3">
        <v>0.83864000000000005</v>
      </c>
      <c r="AO98" s="3">
        <v>0.16156000000000001</v>
      </c>
      <c r="AP98" s="3">
        <v>902.24</v>
      </c>
      <c r="AQ98" s="3">
        <v>841.28</v>
      </c>
      <c r="AR98" s="3">
        <v>0.72143000000000002</v>
      </c>
      <c r="AS98" s="3">
        <v>3.4795E-2</v>
      </c>
      <c r="AT98" s="3">
        <v>0.66944999999999999</v>
      </c>
      <c r="AU98" s="3">
        <v>3.7864</v>
      </c>
      <c r="AV98" s="3">
        <v>0.42354999999999998</v>
      </c>
      <c r="AW98" s="3">
        <v>2.8336E-2</v>
      </c>
      <c r="AX98" s="3">
        <v>6.9969000000000003E-2</v>
      </c>
      <c r="AY98" s="3">
        <v>-59.718000000000004</v>
      </c>
      <c r="AZ98" s="3">
        <v>-186.13</v>
      </c>
      <c r="BA98" s="3">
        <v>0.65163000000000004</v>
      </c>
      <c r="BB98" s="3">
        <v>2.9390999999999998</v>
      </c>
      <c r="BC98" s="3" t="s">
        <v>162</v>
      </c>
      <c r="BD98" s="33" t="s">
        <v>165</v>
      </c>
      <c r="BE98" s="12" t="s">
        <v>168</v>
      </c>
    </row>
    <row r="99" spans="1:57" x14ac:dyDescent="0.25">
      <c r="A99" s="2" t="s">
        <v>107</v>
      </c>
      <c r="B99" s="2" t="s">
        <v>5</v>
      </c>
      <c r="C99" s="2" t="s">
        <v>6</v>
      </c>
      <c r="D99" s="2">
        <v>84</v>
      </c>
      <c r="E99" s="2">
        <v>12.776</v>
      </c>
      <c r="F99" s="2">
        <v>12.93</v>
      </c>
      <c r="G99" s="2">
        <v>7.22</v>
      </c>
      <c r="H99" s="2">
        <v>6.4</v>
      </c>
      <c r="I99" s="2">
        <v>2.97</v>
      </c>
      <c r="J99" s="2">
        <v>59.86</v>
      </c>
      <c r="K99" s="2">
        <v>63.52</v>
      </c>
      <c r="L99" s="2">
        <v>12.6</v>
      </c>
      <c r="M99" s="2">
        <v>5.2</v>
      </c>
      <c r="N99" s="2">
        <v>1</v>
      </c>
      <c r="O99" s="2">
        <v>4.3499999999999996</v>
      </c>
      <c r="P99" s="9">
        <v>1.6217699999999999</v>
      </c>
      <c r="Q99" s="9">
        <v>1.4396800000000001</v>
      </c>
      <c r="R99" s="9">
        <v>-8.59375E-2</v>
      </c>
      <c r="S99" s="9">
        <v>0.16896900000000001</v>
      </c>
      <c r="T99" s="9">
        <v>0.19931499999999999</v>
      </c>
      <c r="U99" s="9">
        <v>7.1622900000000003E-2</v>
      </c>
      <c r="V99" s="9">
        <v>5.73489</v>
      </c>
      <c r="W99" s="9">
        <v>3.9834499999999999</v>
      </c>
      <c r="X99" s="9">
        <v>6.4602399999999998</v>
      </c>
      <c r="Y99" s="9">
        <v>98.293800000000005</v>
      </c>
      <c r="Z99" s="9">
        <v>92.8476</v>
      </c>
      <c r="AA99" s="9">
        <f t="shared" si="17"/>
        <v>1.3412289562289561</v>
      </c>
      <c r="AB99" s="9">
        <f t="shared" si="18"/>
        <v>2.4309764309764308</v>
      </c>
      <c r="AC99" s="9">
        <f t="shared" si="19"/>
        <v>2.1548821548821548</v>
      </c>
      <c r="AD99" s="9">
        <f t="shared" si="20"/>
        <v>7.6936286787726988</v>
      </c>
      <c r="AE99" s="9">
        <f t="shared" si="21"/>
        <v>7.2673450219160927</v>
      </c>
      <c r="AF99" s="9">
        <f t="shared" si="22"/>
        <v>4.7937899828589989</v>
      </c>
      <c r="AG99" s="9">
        <f t="shared" si="13"/>
        <v>2.016612780353261</v>
      </c>
      <c r="AH99" s="9">
        <f t="shared" si="23"/>
        <v>0.97994986788756266</v>
      </c>
      <c r="AI99" s="9">
        <f t="shared" si="15"/>
        <v>2.8090579003180047</v>
      </c>
      <c r="AJ99" s="9">
        <f>(4*PI()*(AI99^2))/(Y99+E99)</f>
        <v>0.89276109485042177</v>
      </c>
      <c r="AK99" s="12">
        <f t="shared" si="16"/>
        <v>0.68275862068965532</v>
      </c>
      <c r="AL99" s="9" t="s">
        <v>144</v>
      </c>
      <c r="AM99" s="9" t="s">
        <v>143</v>
      </c>
      <c r="AN99" s="2">
        <v>1.6957</v>
      </c>
      <c r="AO99" s="2">
        <v>0.28960999999999998</v>
      </c>
      <c r="AP99" s="2">
        <v>4070.1</v>
      </c>
      <c r="AQ99" s="2">
        <v>3784.1</v>
      </c>
      <c r="AR99" s="2">
        <v>1.0173000000000001</v>
      </c>
      <c r="AS99" s="2">
        <v>1.9796999999999999E-2</v>
      </c>
      <c r="AT99" s="2">
        <v>0.73165000000000002</v>
      </c>
      <c r="AU99" s="2">
        <v>2.7463000000000002</v>
      </c>
      <c r="AV99" s="2">
        <v>0.33615</v>
      </c>
      <c r="AW99" s="2">
        <v>1.342E-2</v>
      </c>
      <c r="AX99" s="2">
        <v>7.8772999999999996E-2</v>
      </c>
      <c r="AY99" s="2">
        <v>-1.2477</v>
      </c>
      <c r="AZ99" s="2">
        <v>-92.632000000000005</v>
      </c>
      <c r="BA99" s="2">
        <v>0.16478000000000001</v>
      </c>
      <c r="BB99" s="2">
        <v>17.216999999999999</v>
      </c>
      <c r="BC99" s="2" t="s">
        <v>162</v>
      </c>
      <c r="BD99" s="32" t="s">
        <v>163</v>
      </c>
      <c r="BE99" s="12" t="s">
        <v>168</v>
      </c>
    </row>
    <row r="100" spans="1:57" x14ac:dyDescent="0.25">
      <c r="A100" s="3" t="s">
        <v>108</v>
      </c>
      <c r="B100" s="3" t="s">
        <v>26</v>
      </c>
      <c r="C100" s="3" t="s">
        <v>6</v>
      </c>
      <c r="D100" s="3">
        <v>59</v>
      </c>
      <c r="E100" s="3">
        <v>52.918999999999997</v>
      </c>
      <c r="F100" s="3">
        <v>26.965</v>
      </c>
      <c r="G100" s="3">
        <v>14.36</v>
      </c>
      <c r="H100" s="3">
        <v>12.4</v>
      </c>
      <c r="I100" s="3">
        <v>2.66</v>
      </c>
      <c r="J100" s="3">
        <v>34.44</v>
      </c>
      <c r="K100" s="3">
        <v>57.17</v>
      </c>
      <c r="L100" s="3">
        <v>73.23</v>
      </c>
      <c r="M100" s="3">
        <v>9.8000000000000007</v>
      </c>
      <c r="N100" s="3">
        <v>2</v>
      </c>
      <c r="O100" s="3">
        <f>1.91+1.2</f>
        <v>3.11</v>
      </c>
      <c r="P100" s="9">
        <v>1.5604800000000001</v>
      </c>
      <c r="Q100" s="9">
        <v>1.5928</v>
      </c>
      <c r="R100" s="9">
        <v>9.2742000000000005E-2</v>
      </c>
      <c r="S100" s="9">
        <v>0.149506</v>
      </c>
      <c r="T100" s="9">
        <v>0.15559300000000001</v>
      </c>
      <c r="U100" s="9">
        <v>1.8292099999999999E-2</v>
      </c>
      <c r="V100" s="9">
        <v>12.708600000000001</v>
      </c>
      <c r="W100" s="9">
        <v>7.9788100000000002</v>
      </c>
      <c r="X100" s="9">
        <v>12.450799999999999</v>
      </c>
      <c r="Y100" s="9">
        <v>456.06599999999997</v>
      </c>
      <c r="Z100" s="9">
        <v>1004.98</v>
      </c>
      <c r="AA100" s="9">
        <f t="shared" si="17"/>
        <v>2.9995526315789474</v>
      </c>
      <c r="AB100" s="9">
        <f t="shared" si="18"/>
        <v>5.3984962406015029</v>
      </c>
      <c r="AC100" s="9">
        <f t="shared" si="19"/>
        <v>4.6616541353383454</v>
      </c>
      <c r="AD100" s="9">
        <f t="shared" si="20"/>
        <v>8.6181900640601672</v>
      </c>
      <c r="AE100" s="9">
        <f t="shared" si="21"/>
        <v>18.990910637011282</v>
      </c>
      <c r="AF100" s="9">
        <f t="shared" si="22"/>
        <v>4.5455811686799423</v>
      </c>
      <c r="AG100" s="9">
        <f t="shared" si="13"/>
        <v>4.1042223218241984</v>
      </c>
      <c r="AH100" s="9">
        <f t="shared" si="23"/>
        <v>0.95633559762226195</v>
      </c>
      <c r="AI100" s="9">
        <f t="shared" si="15"/>
        <v>6.2137856799028013</v>
      </c>
      <c r="AJ100" s="9">
        <f>(4*PI()*(AI100^2))/(Y100+E100)</f>
        <v>0.95327328021569191</v>
      </c>
      <c r="AK100" s="12">
        <f t="shared" si="16"/>
        <v>0.85530546623794224</v>
      </c>
      <c r="AL100" s="9" t="s">
        <v>144</v>
      </c>
      <c r="AM100" s="9" t="s">
        <v>142</v>
      </c>
      <c r="AN100" s="3">
        <v>1.8532</v>
      </c>
      <c r="AO100" s="3">
        <v>0.21032000000000001</v>
      </c>
      <c r="AP100" s="3">
        <v>1583.1</v>
      </c>
      <c r="AQ100" s="3">
        <v>1479.2</v>
      </c>
      <c r="AR100" s="3">
        <v>1.3404</v>
      </c>
      <c r="AS100" s="3">
        <v>4.5753000000000002E-2</v>
      </c>
      <c r="AT100" s="3">
        <v>0.64339000000000002</v>
      </c>
      <c r="AU100" s="3">
        <v>1.5398000000000001</v>
      </c>
      <c r="AV100" s="3">
        <v>0.50144999999999995</v>
      </c>
      <c r="AW100" s="3">
        <v>4.8885999999999999E-2</v>
      </c>
      <c r="AX100" s="3">
        <v>0.11829000000000001</v>
      </c>
      <c r="AY100" s="3">
        <v>-136.63</v>
      </c>
      <c r="AZ100" s="3">
        <v>-334.49</v>
      </c>
      <c r="BA100" s="3">
        <v>1.2851999999999999</v>
      </c>
      <c r="BB100" s="3">
        <v>4.0843999999999996</v>
      </c>
      <c r="BC100" s="3" t="s">
        <v>164</v>
      </c>
      <c r="BD100" s="33" t="s">
        <v>165</v>
      </c>
      <c r="BE100" s="12" t="s">
        <v>168</v>
      </c>
    </row>
    <row r="101" spans="1:57" x14ac:dyDescent="0.25">
      <c r="A101" s="3" t="s">
        <v>109</v>
      </c>
      <c r="B101" s="3" t="s">
        <v>26</v>
      </c>
      <c r="C101" s="3" t="s">
        <v>6</v>
      </c>
      <c r="D101" s="3">
        <v>42</v>
      </c>
      <c r="E101" s="3">
        <v>9.7548999999999992</v>
      </c>
      <c r="F101" s="3">
        <v>11.247999999999999</v>
      </c>
      <c r="G101" s="3">
        <v>4.87</v>
      </c>
      <c r="H101" s="3">
        <v>3.5</v>
      </c>
      <c r="I101" s="3">
        <v>2.21</v>
      </c>
      <c r="J101" s="3">
        <v>33.729999999999997</v>
      </c>
      <c r="K101" s="3">
        <v>41.56</v>
      </c>
      <c r="L101" s="3">
        <v>57.93</v>
      </c>
      <c r="M101" s="3">
        <v>3.7</v>
      </c>
      <c r="N101" s="3">
        <v>2</v>
      </c>
      <c r="O101" s="3">
        <f>1.68+1.5</f>
        <v>3.1799999999999997</v>
      </c>
      <c r="P101" s="9">
        <v>1.0113000000000001</v>
      </c>
      <c r="Q101" s="9">
        <v>1.1400300000000001</v>
      </c>
      <c r="R101" s="9">
        <v>0.137681</v>
      </c>
      <c r="S101" s="9">
        <v>9.3524599999999999E-2</v>
      </c>
      <c r="T101" s="9">
        <v>0.102353</v>
      </c>
      <c r="U101" s="9">
        <v>1.79017E-2</v>
      </c>
      <c r="V101" s="9">
        <v>3.9742799999999998</v>
      </c>
      <c r="W101" s="9">
        <v>3.4861200000000001</v>
      </c>
      <c r="X101" s="9">
        <v>3.5255000000000001</v>
      </c>
      <c r="Y101" s="9">
        <v>38.816899999999997</v>
      </c>
      <c r="Z101" s="9">
        <v>27.351299999999998</v>
      </c>
      <c r="AA101" s="9">
        <f t="shared" si="17"/>
        <v>1.5774298642533937</v>
      </c>
      <c r="AB101" s="9">
        <f t="shared" si="18"/>
        <v>2.2036199095022626</v>
      </c>
      <c r="AC101" s="9">
        <f t="shared" si="19"/>
        <v>1.5837104072398189</v>
      </c>
      <c r="AD101" s="9">
        <f t="shared" si="20"/>
        <v>3.9792206993408441</v>
      </c>
      <c r="AE101" s="9">
        <f t="shared" si="21"/>
        <v>2.8038524228849093</v>
      </c>
      <c r="AF101" s="9">
        <f t="shared" si="22"/>
        <v>4.2759787019708764</v>
      </c>
      <c r="AG101" s="9">
        <f t="shared" si="13"/>
        <v>1.762124033300227</v>
      </c>
      <c r="AH101" s="9">
        <f t="shared" si="23"/>
        <v>0.98433071083392776</v>
      </c>
      <c r="AI101" s="9">
        <f t="shared" si="15"/>
        <v>1.8690881665534669</v>
      </c>
      <c r="AJ101" s="9">
        <f>(4*PI()*(AI101^2))/(Y101+E101)</f>
        <v>0.90382685622223402</v>
      </c>
      <c r="AK101" s="12">
        <f t="shared" si="16"/>
        <v>0.69496855345911956</v>
      </c>
      <c r="AL101" s="9" t="s">
        <v>140</v>
      </c>
      <c r="AM101" s="9" t="s">
        <v>142</v>
      </c>
      <c r="AN101" s="3">
        <v>6.6685999999999996</v>
      </c>
      <c r="AO101" s="3">
        <v>0.49043999999999999</v>
      </c>
      <c r="AP101" s="3">
        <v>11609</v>
      </c>
      <c r="AQ101" s="3">
        <v>10384</v>
      </c>
      <c r="AR101" s="3">
        <v>3.0895999999999999</v>
      </c>
      <c r="AS101" s="3">
        <v>1.023E-2</v>
      </c>
      <c r="AT101" s="3">
        <v>0.71479000000000004</v>
      </c>
      <c r="AU101" s="3">
        <v>0.49774000000000002</v>
      </c>
      <c r="AV101" s="3">
        <v>1.9838000000000001E-2</v>
      </c>
      <c r="AW101" s="3">
        <v>9.5502999999999994E-3</v>
      </c>
      <c r="AX101" s="3">
        <v>0.21990000000000001</v>
      </c>
      <c r="AY101" s="3">
        <v>0.62190999999999996</v>
      </c>
      <c r="AZ101" s="3">
        <v>-168.94</v>
      </c>
      <c r="BA101" s="3">
        <v>4.1728000000000001E-2</v>
      </c>
      <c r="BB101" s="3">
        <v>32.26</v>
      </c>
      <c r="BC101" s="3" t="s">
        <v>162</v>
      </c>
      <c r="BD101" s="33" t="s">
        <v>163</v>
      </c>
      <c r="BE101" s="12" t="s">
        <v>167</v>
      </c>
    </row>
    <row r="102" spans="1:57" x14ac:dyDescent="0.25">
      <c r="A102" s="15" t="s">
        <v>169</v>
      </c>
      <c r="B102" s="16" t="s">
        <v>26</v>
      </c>
      <c r="C102" s="16" t="s">
        <v>6</v>
      </c>
      <c r="D102" s="16">
        <v>73</v>
      </c>
      <c r="E102" s="16">
        <v>4.6436999999999999</v>
      </c>
      <c r="F102" s="16">
        <v>7.774</v>
      </c>
      <c r="G102" s="15">
        <v>3.38</v>
      </c>
      <c r="H102" s="15">
        <v>2.34</v>
      </c>
      <c r="I102" s="15">
        <v>1.96</v>
      </c>
      <c r="J102" s="15">
        <v>65.5</v>
      </c>
      <c r="K102" s="15">
        <v>35.19</v>
      </c>
      <c r="L102" s="15">
        <v>50.8</v>
      </c>
      <c r="M102" s="15">
        <v>2.94</v>
      </c>
      <c r="N102" s="15">
        <v>2</v>
      </c>
      <c r="O102" s="15">
        <f>1.1+2.24</f>
        <v>3.3400000000000003</v>
      </c>
      <c r="P102" s="9">
        <v>0.978939</v>
      </c>
      <c r="Q102" s="9">
        <v>1.12635</v>
      </c>
      <c r="R102" s="9">
        <v>0.47777799999999998</v>
      </c>
      <c r="S102" s="9">
        <v>8.6809600000000001E-2</v>
      </c>
      <c r="T102" s="9">
        <v>9.8195099999999994E-2</v>
      </c>
      <c r="U102" s="9">
        <v>1.67905E-2</v>
      </c>
      <c r="V102" s="9">
        <v>2.69875</v>
      </c>
      <c r="W102" s="9">
        <v>2.3959999999999999</v>
      </c>
      <c r="X102" s="9">
        <v>2.3455400000000002</v>
      </c>
      <c r="Y102" s="9">
        <v>16.763500000000001</v>
      </c>
      <c r="Z102" s="9">
        <v>7.8163799999999997</v>
      </c>
      <c r="AA102" s="9">
        <f t="shared" si="17"/>
        <v>1.2224489795918367</v>
      </c>
      <c r="AB102" s="9">
        <f t="shared" si="18"/>
        <v>1.7244897959183674</v>
      </c>
      <c r="AC102" s="9">
        <f t="shared" si="19"/>
        <v>1.193877551020408</v>
      </c>
      <c r="AD102" s="9">
        <f t="shared" si="20"/>
        <v>3.6099446562008746</v>
      </c>
      <c r="AE102" s="9">
        <f t="shared" si="21"/>
        <v>1.68322243038956</v>
      </c>
      <c r="AF102" s="9">
        <f t="shared" si="22"/>
        <v>4.2562545046754483</v>
      </c>
      <c r="AG102" s="9">
        <f t="shared" si="13"/>
        <v>1.215786008503005</v>
      </c>
      <c r="AH102" s="9">
        <f t="shared" si="23"/>
        <v>0.9826355525213013</v>
      </c>
      <c r="AI102" s="9">
        <f t="shared" si="15"/>
        <v>1.2311350201479967</v>
      </c>
      <c r="AJ102" s="9">
        <f>(4*PI()*(AI102^2))/(Y102+E102)</f>
        <v>0.8897364194095615</v>
      </c>
      <c r="AK102" s="12">
        <f t="shared" si="16"/>
        <v>0.58682634730538918</v>
      </c>
      <c r="AL102" s="9" t="s">
        <v>144</v>
      </c>
      <c r="AM102" s="9" t="s">
        <v>142</v>
      </c>
      <c r="AN102" s="16">
        <v>6.9558999999999997</v>
      </c>
      <c r="AO102" s="17">
        <v>0.35161999999999999</v>
      </c>
      <c r="AP102" s="17">
        <v>11826</v>
      </c>
      <c r="AQ102" s="17">
        <v>12572</v>
      </c>
      <c r="AR102" s="17">
        <v>2.8429000000000002</v>
      </c>
      <c r="AS102" s="17">
        <v>9.2280999999999995E-3</v>
      </c>
      <c r="AT102" s="17">
        <v>0.73568999999999996</v>
      </c>
      <c r="AU102" s="17">
        <v>0.53659999999999997</v>
      </c>
      <c r="AV102" s="17">
        <v>2.5458000000000001E-2</v>
      </c>
      <c r="AW102" s="17">
        <v>6.2608999999999998E-3</v>
      </c>
      <c r="AX102" s="17">
        <v>0.21643999999999999</v>
      </c>
      <c r="AY102" s="17">
        <v>-17.911000000000001</v>
      </c>
      <c r="AZ102" s="17">
        <v>-7462.6</v>
      </c>
      <c r="BA102" s="17">
        <v>3.0117999999999999E-2</v>
      </c>
      <c r="BB102" s="17">
        <v>4.6173000000000002</v>
      </c>
      <c r="BC102" s="16" t="s">
        <v>162</v>
      </c>
      <c r="BD102" s="34" t="s">
        <v>163</v>
      </c>
      <c r="BE102" t="s">
        <v>167</v>
      </c>
    </row>
    <row r="103" spans="1:57" x14ac:dyDescent="0.25">
      <c r="A103" s="15" t="s">
        <v>170</v>
      </c>
      <c r="B103" s="16" t="s">
        <v>40</v>
      </c>
      <c r="C103" s="16" t="s">
        <v>6</v>
      </c>
      <c r="D103" s="16">
        <v>51</v>
      </c>
      <c r="E103" s="16">
        <v>17.251000000000001</v>
      </c>
      <c r="F103" s="16">
        <v>14.959</v>
      </c>
      <c r="G103" s="15">
        <v>5.85</v>
      </c>
      <c r="H103" s="15">
        <v>3.25</v>
      </c>
      <c r="I103" s="15">
        <v>2.64</v>
      </c>
      <c r="J103" s="15">
        <v>95.19</v>
      </c>
      <c r="K103" s="15">
        <v>17.55</v>
      </c>
      <c r="L103" s="15">
        <v>74.59</v>
      </c>
      <c r="M103" s="15">
        <v>5.7</v>
      </c>
      <c r="N103" s="15">
        <v>2</v>
      </c>
      <c r="O103" s="15">
        <f>2.39+1.67</f>
        <v>4.0600000000000005</v>
      </c>
      <c r="P103" s="9">
        <v>0.69810399999999995</v>
      </c>
      <c r="Q103" s="9">
        <v>1.1371500000000001</v>
      </c>
      <c r="R103" s="9">
        <v>0.13492100000000001</v>
      </c>
      <c r="S103" s="9">
        <v>6.5022700000000003E-2</v>
      </c>
      <c r="T103" s="9">
        <v>8.1867700000000002E-2</v>
      </c>
      <c r="U103" s="9">
        <v>4.0831800000000001E-2</v>
      </c>
      <c r="V103" s="9">
        <v>5.2743700000000002</v>
      </c>
      <c r="W103" s="9">
        <v>4.6382199999999996</v>
      </c>
      <c r="X103" s="9">
        <v>3.2379600000000002</v>
      </c>
      <c r="Y103" s="9">
        <v>48.657800000000002</v>
      </c>
      <c r="Z103" s="9">
        <v>39.707799999999999</v>
      </c>
      <c r="AA103" s="9">
        <f t="shared" si="17"/>
        <v>1.7569015151515148</v>
      </c>
      <c r="AB103" s="9">
        <f t="shared" si="18"/>
        <v>2.2159090909090908</v>
      </c>
      <c r="AC103" s="9">
        <f t="shared" si="19"/>
        <v>1.231060606060606</v>
      </c>
      <c r="AD103" s="9">
        <f t="shared" si="20"/>
        <v>2.8205785171874092</v>
      </c>
      <c r="AE103" s="9">
        <f t="shared" si="21"/>
        <v>2.3017680134484957</v>
      </c>
      <c r="AF103" s="9">
        <f t="shared" si="22"/>
        <v>4.1805676135356418</v>
      </c>
      <c r="AG103" s="9">
        <f t="shared" si="13"/>
        <v>2.3433232484137934</v>
      </c>
      <c r="AH103" s="9">
        <f t="shared" si="23"/>
        <v>0.98425925559234484</v>
      </c>
      <c r="AI103" s="9">
        <f t="shared" si="15"/>
        <v>2.1163901852189442</v>
      </c>
      <c r="AJ103" s="9">
        <f>(4*PI()*(AI103^2))/(Y103+E103)</f>
        <v>0.85400013066730318</v>
      </c>
      <c r="AK103" s="12">
        <f t="shared" si="16"/>
        <v>0.65024630541871919</v>
      </c>
      <c r="AL103" s="9" t="s">
        <v>140</v>
      </c>
      <c r="AM103" s="9" t="s">
        <v>142</v>
      </c>
      <c r="AN103" s="16">
        <v>7.5003000000000002</v>
      </c>
      <c r="AO103" s="17">
        <v>0.86853000000000002</v>
      </c>
      <c r="AP103" s="17">
        <v>12180</v>
      </c>
      <c r="AQ103" s="17">
        <v>11481</v>
      </c>
      <c r="AR103" s="17">
        <v>3.7565</v>
      </c>
      <c r="AS103" s="17">
        <v>1.7819999999999999E-2</v>
      </c>
      <c r="AT103" s="17">
        <v>0.66547000000000001</v>
      </c>
      <c r="AU103" s="17">
        <v>0.44562000000000002</v>
      </c>
      <c r="AV103" s="17">
        <v>2.5291000000000001E-2</v>
      </c>
      <c r="AW103" s="17">
        <v>2.0257000000000001E-2</v>
      </c>
      <c r="AX103" s="17">
        <v>0.25114999999999998</v>
      </c>
      <c r="AY103" s="17">
        <v>6.9916999999999998</v>
      </c>
      <c r="AZ103" s="17">
        <v>2569.6999999999998</v>
      </c>
      <c r="BA103" s="17">
        <v>2.8722000000000001E-2</v>
      </c>
      <c r="BB103" s="17">
        <v>18.103000000000002</v>
      </c>
      <c r="BC103" s="16" t="s">
        <v>162</v>
      </c>
      <c r="BD103" s="34" t="s">
        <v>163</v>
      </c>
      <c r="BE103" t="s">
        <v>168</v>
      </c>
    </row>
    <row r="104" spans="1:57" x14ac:dyDescent="0.25">
      <c r="A104" s="15" t="s">
        <v>171</v>
      </c>
      <c r="B104" s="18" t="s">
        <v>5</v>
      </c>
      <c r="C104" s="18" t="s">
        <v>6</v>
      </c>
      <c r="D104" s="18">
        <v>49</v>
      </c>
      <c r="E104" s="18">
        <v>39.059086401738703</v>
      </c>
      <c r="F104" s="18">
        <v>22.891999999999999</v>
      </c>
      <c r="G104" s="15">
        <v>10.039999999999999</v>
      </c>
      <c r="H104" s="15">
        <v>7.4</v>
      </c>
      <c r="I104" s="15">
        <v>3.12</v>
      </c>
      <c r="J104" s="15">
        <v>76.77</v>
      </c>
      <c r="K104" s="15">
        <v>27.58</v>
      </c>
      <c r="L104" s="15">
        <v>18.41</v>
      </c>
      <c r="M104" s="15">
        <v>9.6</v>
      </c>
      <c r="N104" s="15">
        <v>2</v>
      </c>
      <c r="O104" s="15">
        <f>2.79+1.28</f>
        <v>4.07</v>
      </c>
      <c r="P104" s="9">
        <v>1.0711999999999999</v>
      </c>
      <c r="Q104" s="9">
        <v>1.4229400000000001</v>
      </c>
      <c r="R104" s="9">
        <v>7.1428599999999995E-2</v>
      </c>
      <c r="S104" s="9">
        <v>0.100952</v>
      </c>
      <c r="T104" s="9">
        <v>0.103306</v>
      </c>
      <c r="U104" s="9">
        <v>2.1066100000000001E-3</v>
      </c>
      <c r="V104" s="9">
        <v>9.8626100000000001</v>
      </c>
      <c r="W104" s="9">
        <v>6.9311199999999999</v>
      </c>
      <c r="X104" s="9">
        <v>7.4245999999999999</v>
      </c>
      <c r="Y104" s="9">
        <v>218.96</v>
      </c>
      <c r="Z104" s="9">
        <v>365.84899999999999</v>
      </c>
      <c r="AA104" s="9">
        <f t="shared" si="17"/>
        <v>2.2215128205128205</v>
      </c>
      <c r="AB104" s="9">
        <f t="shared" si="18"/>
        <v>3.2179487179487176</v>
      </c>
      <c r="AC104" s="9">
        <f t="shared" si="19"/>
        <v>2.3717948717948718</v>
      </c>
      <c r="AD104" s="9">
        <f t="shared" si="20"/>
        <v>5.6058658860554678</v>
      </c>
      <c r="AE104" s="9">
        <f t="shared" si="21"/>
        <v>9.3665529254087811</v>
      </c>
      <c r="AF104" s="9">
        <f t="shared" si="22"/>
        <v>4.2805233411518486</v>
      </c>
      <c r="AG104" s="9">
        <f t="shared" si="13"/>
        <v>3.52603082048077</v>
      </c>
      <c r="AH104" s="9">
        <f t="shared" si="23"/>
        <v>0.96779246216613479</v>
      </c>
      <c r="AI104" s="9">
        <f t="shared" si="15"/>
        <v>4.436812621273952</v>
      </c>
      <c r="AJ104" s="9">
        <f>(4*PI()*(AI104^2))/(Y104+E104)</f>
        <v>0.9587385850877983</v>
      </c>
      <c r="AK104" s="12">
        <f t="shared" si="16"/>
        <v>0.7665847665847666</v>
      </c>
      <c r="AL104" s="9" t="s">
        <v>144</v>
      </c>
      <c r="AM104" s="9" t="s">
        <v>143</v>
      </c>
      <c r="AN104" s="18">
        <v>3.8531</v>
      </c>
      <c r="AO104" s="18">
        <v>0.44490000000000002</v>
      </c>
      <c r="AP104" s="18">
        <v>3002.6</v>
      </c>
      <c r="AQ104" s="18">
        <v>2758.1</v>
      </c>
      <c r="AR104" s="18">
        <v>2.7942999999999998</v>
      </c>
      <c r="AS104" s="18">
        <v>2.7097000000000002E-3</v>
      </c>
      <c r="AT104" s="18">
        <v>0.76529000000000003</v>
      </c>
      <c r="AU104" s="18">
        <v>0.41274</v>
      </c>
      <c r="AV104" s="18">
        <v>7.6311E-3</v>
      </c>
      <c r="AW104" s="18">
        <v>4.8314999999999999E-3</v>
      </c>
      <c r="AX104" s="18">
        <v>0.20363000000000001</v>
      </c>
      <c r="AY104" s="18">
        <v>-6.5419</v>
      </c>
      <c r="AZ104" s="18">
        <v>-452.95</v>
      </c>
      <c r="BA104" s="18">
        <v>0.18715000000000001</v>
      </c>
      <c r="BB104" s="18">
        <v>8.2787843459451995</v>
      </c>
      <c r="BC104" s="18" t="s">
        <v>162</v>
      </c>
      <c r="BD104" s="35" t="s">
        <v>163</v>
      </c>
      <c r="BE104" t="s">
        <v>167</v>
      </c>
    </row>
    <row r="105" spans="1:57" x14ac:dyDescent="0.25">
      <c r="A105" s="15" t="s">
        <v>172</v>
      </c>
      <c r="B105" s="18" t="s">
        <v>5</v>
      </c>
      <c r="C105" s="18" t="s">
        <v>6</v>
      </c>
      <c r="D105" s="18">
        <v>62</v>
      </c>
      <c r="E105" s="18">
        <v>10.4651897880567</v>
      </c>
      <c r="F105" s="18">
        <v>11.888</v>
      </c>
      <c r="G105" s="15">
        <v>4.34</v>
      </c>
      <c r="H105" s="15">
        <v>2.2799999999999998</v>
      </c>
      <c r="I105" s="15">
        <v>3.02</v>
      </c>
      <c r="J105" s="15">
        <v>81</v>
      </c>
      <c r="K105" s="15">
        <v>24.43</v>
      </c>
      <c r="L105" s="15">
        <v>17.739999999999998</v>
      </c>
      <c r="M105" s="15">
        <v>4.05</v>
      </c>
      <c r="N105" s="15">
        <v>1</v>
      </c>
      <c r="O105" s="15">
        <v>3.02</v>
      </c>
      <c r="P105" s="9">
        <v>0.63668599999999997</v>
      </c>
      <c r="Q105" s="9">
        <v>1.0475699999999999</v>
      </c>
      <c r="R105" s="9">
        <v>0.477273</v>
      </c>
      <c r="S105" s="9">
        <v>5.9176300000000001E-2</v>
      </c>
      <c r="T105" s="9">
        <v>9.6926899999999996E-2</v>
      </c>
      <c r="U105" s="9">
        <v>7.31459E-2</v>
      </c>
      <c r="V105" s="9">
        <v>3.74437</v>
      </c>
      <c r="W105" s="9">
        <v>3.5743299999999998</v>
      </c>
      <c r="X105" s="9">
        <v>2.2757200000000002</v>
      </c>
      <c r="Y105" s="9">
        <v>26.2819</v>
      </c>
      <c r="Z105" s="9">
        <v>15.3765</v>
      </c>
      <c r="AA105" s="9">
        <f t="shared" si="17"/>
        <v>1.1835529801324502</v>
      </c>
      <c r="AB105" s="9">
        <f t="shared" si="18"/>
        <v>1.4370860927152318</v>
      </c>
      <c r="AC105" s="9">
        <f t="shared" si="19"/>
        <v>0.75496688741721851</v>
      </c>
      <c r="AD105" s="9">
        <f t="shared" si="20"/>
        <v>2.5113639152530203</v>
      </c>
      <c r="AE105" s="9">
        <f t="shared" si="21"/>
        <v>1.4692996793568223</v>
      </c>
      <c r="AF105" s="9">
        <f t="shared" si="22"/>
        <v>4.2502886972293359</v>
      </c>
      <c r="AG105" s="9">
        <f t="shared" si="13"/>
        <v>1.8251502322625655</v>
      </c>
      <c r="AH105" s="9">
        <f t="shared" si="23"/>
        <v>0.96464982526476784</v>
      </c>
      <c r="AI105" s="9">
        <f t="shared" si="15"/>
        <v>1.5426105401358703</v>
      </c>
      <c r="AJ105" s="9">
        <f>(4*PI()*(AI105^2))/(Y105+E105)</f>
        <v>0.81376592829623995</v>
      </c>
      <c r="AK105" s="12">
        <f t="shared" si="16"/>
        <v>1</v>
      </c>
      <c r="AL105" s="9" t="s">
        <v>140</v>
      </c>
      <c r="AM105" s="9" t="s">
        <v>143</v>
      </c>
      <c r="AN105" s="18">
        <v>9.1402000000000001</v>
      </c>
      <c r="AO105" s="18">
        <v>1.1309</v>
      </c>
      <c r="AP105" s="18">
        <v>15328</v>
      </c>
      <c r="AQ105" s="18">
        <v>14743</v>
      </c>
      <c r="AR105" s="18">
        <v>4.3250999999999999</v>
      </c>
      <c r="AS105" s="18">
        <v>3.7347000000000001E-3</v>
      </c>
      <c r="AT105" s="18">
        <v>0.72275999999999996</v>
      </c>
      <c r="AU105" s="18">
        <v>0.34838999999999998</v>
      </c>
      <c r="AV105" s="18">
        <v>0</v>
      </c>
      <c r="AW105" s="18">
        <v>2.4620000000000002E-3</v>
      </c>
      <c r="AX105" s="18">
        <v>0.29269000000000001</v>
      </c>
      <c r="AY105" s="18">
        <v>2.2218</v>
      </c>
      <c r="AZ105" s="18">
        <v>-387.67</v>
      </c>
      <c r="BA105" s="18">
        <v>1.8891999999999999E-2</v>
      </c>
      <c r="BB105" s="18">
        <v>16.050999999999998</v>
      </c>
      <c r="BC105" s="18" t="s">
        <v>162</v>
      </c>
      <c r="BD105" s="35" t="s">
        <v>163</v>
      </c>
      <c r="BE105" t="s">
        <v>168</v>
      </c>
    </row>
    <row r="106" spans="1:57" x14ac:dyDescent="0.25">
      <c r="A106" s="15" t="s">
        <v>173</v>
      </c>
      <c r="B106" s="18" t="s">
        <v>5</v>
      </c>
      <c r="C106" s="18" t="s">
        <v>6</v>
      </c>
      <c r="D106" s="18">
        <v>38</v>
      </c>
      <c r="E106" s="18">
        <v>20.0480439057757</v>
      </c>
      <c r="F106" s="18">
        <v>16.236000000000001</v>
      </c>
      <c r="G106" s="15">
        <v>5.76</v>
      </c>
      <c r="H106" s="15">
        <v>3.5</v>
      </c>
      <c r="I106" s="15">
        <v>4.41</v>
      </c>
      <c r="J106" s="15">
        <v>93.11</v>
      </c>
      <c r="K106" s="15">
        <v>5.77</v>
      </c>
      <c r="L106" s="15">
        <v>18.02</v>
      </c>
      <c r="M106" s="15">
        <v>5.75</v>
      </c>
      <c r="N106" s="15">
        <v>1</v>
      </c>
      <c r="O106" s="15">
        <v>4.54</v>
      </c>
      <c r="P106" s="9">
        <v>0.713063</v>
      </c>
      <c r="Q106" s="9">
        <v>1.1344799999999999</v>
      </c>
      <c r="R106" s="9">
        <v>0.355072</v>
      </c>
      <c r="S106" s="9">
        <v>3.2866100000000002E-2</v>
      </c>
      <c r="T106" s="9">
        <v>4.0023099999999999E-2</v>
      </c>
      <c r="U106" s="9">
        <v>9.4139299999999992E-3</v>
      </c>
      <c r="V106" s="9">
        <v>5.61693</v>
      </c>
      <c r="W106" s="9">
        <v>4.9511000000000003</v>
      </c>
      <c r="X106" s="9">
        <v>3.53044</v>
      </c>
      <c r="Y106" s="9">
        <v>51.433900000000001</v>
      </c>
      <c r="Z106" s="9">
        <v>46.137500000000003</v>
      </c>
      <c r="AA106" s="9">
        <f t="shared" si="17"/>
        <v>1.1226984126984128</v>
      </c>
      <c r="AB106" s="9">
        <f t="shared" si="18"/>
        <v>1.3061224489795917</v>
      </c>
      <c r="AC106" s="9">
        <f t="shared" si="19"/>
        <v>0.79365079365079361</v>
      </c>
      <c r="AD106" s="9">
        <f t="shared" si="20"/>
        <v>2.5655320908980181</v>
      </c>
      <c r="AE106" s="9">
        <f t="shared" si="21"/>
        <v>2.3013467157615368</v>
      </c>
      <c r="AF106" s="9">
        <f t="shared" si="22"/>
        <v>3.9983433356207603</v>
      </c>
      <c r="AG106" s="9">
        <f t="shared" si="13"/>
        <v>2.5261612327512077</v>
      </c>
      <c r="AH106" s="9">
        <f t="shared" si="23"/>
        <v>0.97760157312078455</v>
      </c>
      <c r="AI106" s="9">
        <f t="shared" si="15"/>
        <v>2.224957994770083</v>
      </c>
      <c r="AJ106" s="9">
        <f>(4*PI()*(AI106^2))/(Y106+E106)</f>
        <v>0.8702762711623937</v>
      </c>
      <c r="AK106" s="12">
        <f t="shared" si="16"/>
        <v>0.97136563876651982</v>
      </c>
      <c r="AL106" s="9" t="s">
        <v>144</v>
      </c>
      <c r="AM106" s="9" t="s">
        <v>143</v>
      </c>
      <c r="AN106" s="18">
        <v>16.556999999999999</v>
      </c>
      <c r="AO106" s="18">
        <v>1.5477000000000001</v>
      </c>
      <c r="AP106" s="18">
        <v>17379</v>
      </c>
      <c r="AQ106" s="18">
        <v>16779</v>
      </c>
      <c r="AR106" s="18">
        <v>8.0570000000000004</v>
      </c>
      <c r="AS106" s="18">
        <v>7.0166999999999998E-3</v>
      </c>
      <c r="AT106" s="18">
        <v>0.77015999999999996</v>
      </c>
      <c r="AU106" s="18">
        <v>0.17967</v>
      </c>
      <c r="AV106" s="19">
        <v>6.4335E-4</v>
      </c>
      <c r="AW106" s="18">
        <v>2.4361000000000001E-3</v>
      </c>
      <c r="AX106" s="18">
        <v>0.64748000000000006</v>
      </c>
      <c r="AY106" s="18">
        <v>1.6998</v>
      </c>
      <c r="AZ106" s="18">
        <v>1799.3</v>
      </c>
      <c r="BA106" s="18">
        <v>1.2423E-2</v>
      </c>
      <c r="BB106" s="18">
        <v>4.1585999999999999</v>
      </c>
      <c r="BC106" s="18" t="s">
        <v>162</v>
      </c>
      <c r="BD106" s="35" t="s">
        <v>163</v>
      </c>
      <c r="BE106" t="s">
        <v>167</v>
      </c>
    </row>
    <row r="107" spans="1:57" x14ac:dyDescent="0.25">
      <c r="A107" s="15" t="s">
        <v>174</v>
      </c>
      <c r="B107" s="16" t="s">
        <v>5</v>
      </c>
      <c r="C107" s="16" t="s">
        <v>6</v>
      </c>
      <c r="D107" s="16">
        <v>54</v>
      </c>
      <c r="E107" s="16">
        <v>43.75</v>
      </c>
      <c r="F107" s="16">
        <v>24.567</v>
      </c>
      <c r="G107" s="15">
        <v>11.62</v>
      </c>
      <c r="H107" s="15">
        <v>8.9</v>
      </c>
      <c r="I107" s="15">
        <v>2.73</v>
      </c>
      <c r="J107" s="15">
        <v>6.78</v>
      </c>
      <c r="K107" s="15">
        <v>41.81</v>
      </c>
      <c r="L107" s="15">
        <v>51.58</v>
      </c>
      <c r="M107" s="15">
        <v>10.42</v>
      </c>
      <c r="N107" s="15">
        <v>2</v>
      </c>
      <c r="O107" s="15">
        <f>3.76+0.77</f>
        <v>4.5299999999999994</v>
      </c>
      <c r="P107" s="9">
        <v>1.2478800000000001</v>
      </c>
      <c r="Q107" s="9">
        <v>1.4356500000000001</v>
      </c>
      <c r="R107" s="9">
        <v>-5.61796E-3</v>
      </c>
      <c r="S107" s="9">
        <v>0.120959</v>
      </c>
      <c r="T107" s="9">
        <v>0.12726100000000001</v>
      </c>
      <c r="U107" s="9">
        <v>1.4608700000000001E-2</v>
      </c>
      <c r="V107" s="9">
        <v>10.337999999999999</v>
      </c>
      <c r="W107" s="9">
        <v>7.2009400000000001</v>
      </c>
      <c r="X107" s="9">
        <v>8.9859299999999998</v>
      </c>
      <c r="Y107" s="9">
        <v>271.80399999999997</v>
      </c>
      <c r="Z107" s="9">
        <v>485.84699999999998</v>
      </c>
      <c r="AA107" s="9">
        <f t="shared" si="17"/>
        <v>2.6377069597069598</v>
      </c>
      <c r="AB107" s="9">
        <f t="shared" si="18"/>
        <v>4.2564102564102564</v>
      </c>
      <c r="AC107" s="9">
        <f t="shared" si="19"/>
        <v>3.26007326007326</v>
      </c>
      <c r="AD107" s="9">
        <f t="shared" si="20"/>
        <v>6.2126628571428562</v>
      </c>
      <c r="AE107" s="9">
        <f t="shared" si="21"/>
        <v>11.105074285714286</v>
      </c>
      <c r="AF107" s="9">
        <f t="shared" si="22"/>
        <v>4.3980094696324219</v>
      </c>
      <c r="AG107" s="9">
        <f t="shared" si="13"/>
        <v>3.731763325901154</v>
      </c>
      <c r="AH107" s="9">
        <f t="shared" si="23"/>
        <v>0.95442506204150923</v>
      </c>
      <c r="AI107" s="9">
        <f t="shared" si="15"/>
        <v>4.8768227584685544</v>
      </c>
      <c r="AJ107" s="9">
        <f>(4*PI()*(AI107^2))/(Y107+E107)</f>
        <v>0.94713114586710101</v>
      </c>
      <c r="AK107" s="12">
        <f t="shared" si="16"/>
        <v>0.60264900662251664</v>
      </c>
      <c r="AL107" s="9" t="s">
        <v>144</v>
      </c>
      <c r="AM107" s="9" t="s">
        <v>142</v>
      </c>
      <c r="AN107" s="16">
        <v>6.0269000000000004</v>
      </c>
      <c r="AO107" s="17">
        <v>0.60336000000000001</v>
      </c>
      <c r="AP107" s="17">
        <v>3913.3</v>
      </c>
      <c r="AQ107" s="17">
        <v>3673.8</v>
      </c>
      <c r="AR107" s="17">
        <v>3.9721000000000002</v>
      </c>
      <c r="AS107" s="17">
        <v>8.6645999999999997E-3</v>
      </c>
      <c r="AT107" s="17">
        <v>0.70611999999999997</v>
      </c>
      <c r="AU107" s="17">
        <v>0.31545000000000001</v>
      </c>
      <c r="AV107" s="17">
        <v>5.4257000000000003E-3</v>
      </c>
      <c r="AW107" s="17">
        <v>8.4592000000000001E-3</v>
      </c>
      <c r="AX107" s="17">
        <v>0.30375999999999997</v>
      </c>
      <c r="AY107" s="17">
        <v>-2.5926</v>
      </c>
      <c r="AZ107" s="17">
        <v>-541.29</v>
      </c>
      <c r="BA107" s="17">
        <v>0.13924</v>
      </c>
      <c r="BB107" s="17">
        <v>4.6478999999999999</v>
      </c>
      <c r="BC107" s="16" t="s">
        <v>162</v>
      </c>
      <c r="BD107" s="34" t="s">
        <v>163</v>
      </c>
      <c r="BE107" t="s">
        <v>167</v>
      </c>
    </row>
    <row r="108" spans="1:57" x14ac:dyDescent="0.25">
      <c r="A108" s="15" t="s">
        <v>175</v>
      </c>
      <c r="B108" s="16" t="s">
        <v>5</v>
      </c>
      <c r="C108" s="16" t="s">
        <v>6</v>
      </c>
      <c r="D108" s="16">
        <v>54</v>
      </c>
      <c r="E108" s="16">
        <v>6.5164</v>
      </c>
      <c r="F108" s="16">
        <v>9.1626999999999992</v>
      </c>
      <c r="G108" s="15">
        <v>4.08</v>
      </c>
      <c r="H108" s="15">
        <v>3.1</v>
      </c>
      <c r="I108" s="15">
        <v>2.58</v>
      </c>
      <c r="J108" s="15">
        <v>44.95</v>
      </c>
      <c r="K108" s="15">
        <v>41.79</v>
      </c>
      <c r="L108" s="15">
        <v>48.14</v>
      </c>
      <c r="M108" s="15">
        <v>3.6</v>
      </c>
      <c r="N108" s="15">
        <v>2</v>
      </c>
      <c r="O108" s="15">
        <f>2.14+2.58</f>
        <v>4.7200000000000006</v>
      </c>
      <c r="P108" s="9">
        <v>1.08894</v>
      </c>
      <c r="Q108" s="9">
        <v>1.3238399999999999</v>
      </c>
      <c r="R108" s="9">
        <v>5.73771E-2</v>
      </c>
      <c r="S108" s="9">
        <v>0.10781300000000001</v>
      </c>
      <c r="T108" s="9">
        <v>0.121832</v>
      </c>
      <c r="U108" s="9">
        <v>2.16866E-2</v>
      </c>
      <c r="V108" s="9">
        <v>3.7781899999999999</v>
      </c>
      <c r="W108" s="9">
        <v>2.8539599999999998</v>
      </c>
      <c r="X108" s="9">
        <v>3.1078000000000001</v>
      </c>
      <c r="Y108" s="9">
        <v>34.5717</v>
      </c>
      <c r="Z108" s="9">
        <v>22.245200000000001</v>
      </c>
      <c r="AA108" s="9">
        <f t="shared" si="17"/>
        <v>1.1061860465116278</v>
      </c>
      <c r="AB108" s="9">
        <f t="shared" si="18"/>
        <v>1.5813953488372092</v>
      </c>
      <c r="AC108" s="9">
        <f t="shared" si="19"/>
        <v>1.2015503875968991</v>
      </c>
      <c r="AD108" s="9">
        <f t="shared" si="20"/>
        <v>5.3053373028052295</v>
      </c>
      <c r="AE108" s="9">
        <f t="shared" si="21"/>
        <v>3.4137253698361061</v>
      </c>
      <c r="AF108" s="9">
        <f t="shared" si="22"/>
        <v>4.3708227264463426</v>
      </c>
      <c r="AG108" s="9">
        <f t="shared" si="13"/>
        <v>1.4402203103442381</v>
      </c>
      <c r="AH108" s="9">
        <f t="shared" si="23"/>
        <v>0.98760966669830319</v>
      </c>
      <c r="AI108" s="9">
        <f t="shared" si="15"/>
        <v>1.7446804788875441</v>
      </c>
      <c r="AJ108" s="9">
        <f>(4*PI()*(AI108^2))/(Y108+E108)</f>
        <v>0.93094839728851408</v>
      </c>
      <c r="AK108" s="12">
        <f t="shared" si="16"/>
        <v>0.54661016949152541</v>
      </c>
      <c r="AL108" s="12" t="s">
        <v>144</v>
      </c>
      <c r="AM108" s="12" t="s">
        <v>142</v>
      </c>
      <c r="AN108" s="16">
        <v>5.7000999999999999</v>
      </c>
      <c r="AO108" s="17">
        <v>0.72997000000000001</v>
      </c>
      <c r="AP108" s="17">
        <v>10239</v>
      </c>
      <c r="AQ108" s="17">
        <v>9641.2999999999993</v>
      </c>
      <c r="AR108" s="17">
        <v>2.621</v>
      </c>
      <c r="AS108" s="17">
        <v>1.3296000000000001E-2</v>
      </c>
      <c r="AT108" s="17">
        <v>0.72635000000000005</v>
      </c>
      <c r="AU108" s="17">
        <v>0.60843000000000003</v>
      </c>
      <c r="AV108" s="17">
        <v>1.2501999999999999E-2</v>
      </c>
      <c r="AW108" s="17">
        <v>1.8515E-2</v>
      </c>
      <c r="AX108" s="17">
        <v>0.19758999999999999</v>
      </c>
      <c r="AY108" s="17">
        <v>-0.91212000000000004</v>
      </c>
      <c r="AZ108" s="17">
        <v>-485.78</v>
      </c>
      <c r="BA108" s="17">
        <v>6.2834000000000001E-2</v>
      </c>
      <c r="BB108" s="17">
        <v>13.292999999999999</v>
      </c>
      <c r="BC108" s="16" t="s">
        <v>162</v>
      </c>
      <c r="BD108" s="34" t="s">
        <v>165</v>
      </c>
      <c r="BE108" t="s">
        <v>167</v>
      </c>
    </row>
    <row r="109" spans="1:57" x14ac:dyDescent="0.25">
      <c r="A109" s="15" t="s">
        <v>176</v>
      </c>
      <c r="B109" s="16" t="s">
        <v>5</v>
      </c>
      <c r="C109" s="16" t="s">
        <v>6</v>
      </c>
      <c r="D109" s="16">
        <v>54</v>
      </c>
      <c r="E109" s="16">
        <v>8.0729000000000006</v>
      </c>
      <c r="F109" s="16">
        <v>10.699</v>
      </c>
      <c r="G109" s="15">
        <v>3.12</v>
      </c>
      <c r="H109" s="15">
        <v>1.68</v>
      </c>
      <c r="I109" s="15">
        <v>2.82</v>
      </c>
      <c r="J109" s="15">
        <v>121.62</v>
      </c>
      <c r="K109" s="15">
        <v>0</v>
      </c>
      <c r="L109" s="15">
        <v>44</v>
      </c>
      <c r="M109" s="15">
        <v>3.12</v>
      </c>
      <c r="N109" s="15">
        <v>2</v>
      </c>
      <c r="O109" s="15">
        <f>3.01+2.7</f>
        <v>5.71</v>
      </c>
      <c r="P109" s="9">
        <v>0.58264099999999996</v>
      </c>
      <c r="Q109" s="9">
        <v>1.0697000000000001</v>
      </c>
      <c r="R109" s="9">
        <v>0.46875</v>
      </c>
      <c r="S109" s="9">
        <v>2.4249199999999999E-2</v>
      </c>
      <c r="T109" s="9">
        <v>3.8216399999999998E-2</v>
      </c>
      <c r="U109" s="9">
        <v>8.1043E-3</v>
      </c>
      <c r="V109" s="9">
        <v>3.0802200000000002</v>
      </c>
      <c r="W109" s="9">
        <v>2.8795000000000002</v>
      </c>
      <c r="X109" s="9">
        <v>1.6777200000000001</v>
      </c>
      <c r="Y109" s="9">
        <v>13.9399</v>
      </c>
      <c r="Z109" s="9">
        <v>6.5282</v>
      </c>
      <c r="AA109" s="9">
        <f t="shared" si="17"/>
        <v>1.0210992907801419</v>
      </c>
      <c r="AB109" s="9">
        <f t="shared" si="18"/>
        <v>1.1063829787234043</v>
      </c>
      <c r="AC109" s="9">
        <f t="shared" si="19"/>
        <v>0.5957446808510638</v>
      </c>
      <c r="AD109" s="9">
        <f t="shared" si="20"/>
        <v>1.7267524681341275</v>
      </c>
      <c r="AE109" s="9">
        <f t="shared" si="21"/>
        <v>0.80865612109650797</v>
      </c>
      <c r="AF109" s="9">
        <f t="shared" si="22"/>
        <v>3.990837314221038</v>
      </c>
      <c r="AG109" s="9">
        <f t="shared" si="13"/>
        <v>1.6030233560909597</v>
      </c>
      <c r="AH109" s="9">
        <f t="shared" si="23"/>
        <v>0.9414050657123495</v>
      </c>
      <c r="AI109" s="9">
        <f t="shared" si="15"/>
        <v>1.1594044081923871</v>
      </c>
      <c r="AJ109" s="9">
        <f>(4*PI()*(AI109^2))/(Y109+E109)</f>
        <v>0.76736938893743978</v>
      </c>
      <c r="AK109" s="12">
        <f t="shared" si="16"/>
        <v>0.49387040280210154</v>
      </c>
      <c r="AL109" s="9" t="s">
        <v>144</v>
      </c>
      <c r="AM109" s="9" t="s">
        <v>143</v>
      </c>
      <c r="AN109" s="16">
        <v>21.466999999999999</v>
      </c>
      <c r="AO109" s="17">
        <v>1.5454000000000001</v>
      </c>
      <c r="AP109" s="17">
        <v>51325</v>
      </c>
      <c r="AQ109" s="17">
        <v>42392</v>
      </c>
      <c r="AR109" s="17">
        <v>10.571999999999999</v>
      </c>
      <c r="AS109" s="17">
        <v>2.6911999999999999E-3</v>
      </c>
      <c r="AT109" s="17">
        <v>0.749</v>
      </c>
      <c r="AU109" s="17">
        <v>0.18015999999999999</v>
      </c>
      <c r="AV109" s="17">
        <v>6.6826999999999998E-3</v>
      </c>
      <c r="AW109" s="17">
        <v>1.7809E-3</v>
      </c>
      <c r="AX109" s="17">
        <v>0.57476000000000005</v>
      </c>
      <c r="AY109" s="17">
        <v>2.8654999999999999</v>
      </c>
      <c r="AZ109" s="17">
        <v>26818</v>
      </c>
      <c r="BA109" s="17">
        <v>4.5269999999999998E-3</v>
      </c>
      <c r="BB109" s="17">
        <v>4.6055000000000001</v>
      </c>
      <c r="BC109" s="16" t="s">
        <v>162</v>
      </c>
      <c r="BD109" s="34" t="s">
        <v>163</v>
      </c>
      <c r="BE109" t="s">
        <v>168</v>
      </c>
    </row>
    <row r="110" spans="1:57" x14ac:dyDescent="0.25">
      <c r="A110" s="15" t="s">
        <v>177</v>
      </c>
      <c r="B110" s="18" t="s">
        <v>178</v>
      </c>
      <c r="C110" s="18" t="s">
        <v>6</v>
      </c>
      <c r="D110" s="18">
        <v>54</v>
      </c>
      <c r="E110" s="18">
        <v>7.6196771189227199</v>
      </c>
      <c r="F110" s="18">
        <v>9.9695999999999998</v>
      </c>
      <c r="G110" s="15">
        <v>5.83</v>
      </c>
      <c r="H110" s="15">
        <v>4.05</v>
      </c>
      <c r="I110" s="15">
        <v>2.4500000000000002</v>
      </c>
      <c r="J110" s="15">
        <f>180-137.78</f>
        <v>42.22</v>
      </c>
      <c r="K110" s="15">
        <v>40.54</v>
      </c>
      <c r="L110" s="15">
        <v>59.97</v>
      </c>
      <c r="M110" s="15">
        <v>4.5199999999999996</v>
      </c>
      <c r="N110" s="15">
        <v>2</v>
      </c>
      <c r="O110" s="15">
        <f>1.08+2.35</f>
        <v>3.43</v>
      </c>
      <c r="P110" s="9">
        <v>1.31908</v>
      </c>
      <c r="Q110" s="9">
        <v>1.4165099999999999</v>
      </c>
      <c r="R110" s="9">
        <v>-3.7499999999999999E-2</v>
      </c>
      <c r="S110" s="9">
        <v>0.14476700000000001</v>
      </c>
      <c r="T110" s="9">
        <v>0.17211099999999999</v>
      </c>
      <c r="U110" s="9">
        <v>6.6586500000000007E-2</v>
      </c>
      <c r="V110" s="9">
        <v>4.3713699999999998</v>
      </c>
      <c r="W110" s="9">
        <v>3.08602</v>
      </c>
      <c r="X110" s="9">
        <v>4.0707199999999997</v>
      </c>
      <c r="Y110" s="9">
        <v>48.821199999999997</v>
      </c>
      <c r="Z110" s="9">
        <v>34.171100000000003</v>
      </c>
      <c r="AA110" s="9">
        <f t="shared" si="17"/>
        <v>1.2595999999999998</v>
      </c>
      <c r="AB110" s="9">
        <f t="shared" si="18"/>
        <v>2.3795918367346935</v>
      </c>
      <c r="AC110" s="9">
        <f t="shared" si="19"/>
        <v>1.6530612244897958</v>
      </c>
      <c r="AD110" s="9">
        <f t="shared" si="20"/>
        <v>6.4072531208385906</v>
      </c>
      <c r="AE110" s="9">
        <f t="shared" si="21"/>
        <v>4.4845863501406678</v>
      </c>
      <c r="AF110" s="9">
        <f t="shared" si="22"/>
        <v>4.6362745252291928</v>
      </c>
      <c r="AG110" s="9">
        <f t="shared" si="13"/>
        <v>1.557375534828233</v>
      </c>
      <c r="AH110" s="9">
        <f t="shared" si="23"/>
        <v>0.98151170339769933</v>
      </c>
      <c r="AI110" s="9">
        <f t="shared" si="15"/>
        <v>2.0130602965041833</v>
      </c>
      <c r="AJ110" s="9">
        <f>(4*PI()*(AI110^2))/(Y110+E110)</f>
        <v>0.90225578737361911</v>
      </c>
      <c r="AK110" s="12">
        <f t="shared" si="16"/>
        <v>0.7142857142857143</v>
      </c>
      <c r="AL110" s="12" t="s">
        <v>144</v>
      </c>
      <c r="AM110" s="12" t="s">
        <v>142</v>
      </c>
      <c r="AN110" s="18">
        <v>0.20563999999999999</v>
      </c>
      <c r="AO110" s="18">
        <v>6.3102000000000005E-2</v>
      </c>
      <c r="AP110" s="18">
        <v>544.82000000000005</v>
      </c>
      <c r="AQ110" s="18">
        <v>415.75</v>
      </c>
      <c r="AR110" s="18">
        <v>0.10534</v>
      </c>
      <c r="AS110" s="18">
        <v>5.0009999999999999E-2</v>
      </c>
      <c r="AT110" s="18">
        <v>0.67130000000000001</v>
      </c>
      <c r="AU110" s="18">
        <v>191.57</v>
      </c>
      <c r="AV110" s="18">
        <v>0.87761999999999996</v>
      </c>
      <c r="AW110" s="18">
        <v>3.218E-2</v>
      </c>
      <c r="AX110" s="18">
        <v>1.1294999999999999E-2</v>
      </c>
      <c r="AY110" s="18">
        <v>-103.14</v>
      </c>
      <c r="AZ110" s="18">
        <v>-52.962000000000003</v>
      </c>
      <c r="BA110" s="18">
        <v>0.59406000000000003</v>
      </c>
      <c r="BB110" s="18">
        <v>59.574211374420599</v>
      </c>
      <c r="BC110" s="18" t="s">
        <v>162</v>
      </c>
      <c r="BD110" s="35" t="s">
        <v>163</v>
      </c>
      <c r="BE110" t="s">
        <v>167</v>
      </c>
    </row>
    <row r="111" spans="1:57" x14ac:dyDescent="0.25">
      <c r="A111" s="15" t="s">
        <v>179</v>
      </c>
      <c r="B111" s="18" t="s">
        <v>5</v>
      </c>
      <c r="C111" s="18" t="s">
        <v>6</v>
      </c>
      <c r="D111" s="18">
        <v>56</v>
      </c>
      <c r="E111" s="18">
        <v>6.4016999999999999</v>
      </c>
      <c r="F111" s="18">
        <v>9.4277999999999995</v>
      </c>
      <c r="G111" s="15">
        <v>6.48</v>
      </c>
      <c r="H111" s="15">
        <v>4.9000000000000004</v>
      </c>
      <c r="I111" s="15">
        <v>3.16</v>
      </c>
      <c r="J111" s="15">
        <v>20.27</v>
      </c>
      <c r="K111" s="15">
        <v>47.38</v>
      </c>
      <c r="L111" s="15">
        <v>64.22</v>
      </c>
      <c r="M111" s="15">
        <v>4.8</v>
      </c>
      <c r="N111" s="15">
        <v>2</v>
      </c>
      <c r="O111" s="15">
        <f>1.19+3.05</f>
        <v>4.24</v>
      </c>
      <c r="P111" s="9">
        <v>1.78094</v>
      </c>
      <c r="Q111" s="9">
        <v>1.8034699999999999</v>
      </c>
      <c r="R111" s="9">
        <v>-5.6701000000000001E-2</v>
      </c>
      <c r="S111" s="9">
        <v>0.18365000000000001</v>
      </c>
      <c r="T111" s="9">
        <v>0.19465199999999999</v>
      </c>
      <c r="U111" s="9">
        <v>3.4849999999999999E-2</v>
      </c>
      <c r="V111" s="9">
        <v>4.9941000000000004</v>
      </c>
      <c r="W111" s="9">
        <v>2.7691599999999998</v>
      </c>
      <c r="X111" s="9">
        <v>4.9317099999999998</v>
      </c>
      <c r="Y111" s="9">
        <v>66.085800000000006</v>
      </c>
      <c r="Z111" s="9">
        <v>51.632899999999999</v>
      </c>
      <c r="AA111" s="9">
        <f t="shared" si="17"/>
        <v>0.87631645569620242</v>
      </c>
      <c r="AB111" s="9">
        <f t="shared" si="18"/>
        <v>2.0506329113924049</v>
      </c>
      <c r="AC111" s="9">
        <f t="shared" si="19"/>
        <v>1.5506329113924051</v>
      </c>
      <c r="AD111" s="9">
        <f t="shared" si="20"/>
        <v>10.323164159520129</v>
      </c>
      <c r="AE111" s="9">
        <f t="shared" si="21"/>
        <v>8.0654982270334443</v>
      </c>
      <c r="AF111" s="9">
        <f t="shared" si="22"/>
        <v>4.7660340370317629</v>
      </c>
      <c r="AG111" s="9">
        <f t="shared" si="13"/>
        <v>1.4274888435230493</v>
      </c>
      <c r="AH111" s="9">
        <f t="shared" si="23"/>
        <v>0.95135417889505547</v>
      </c>
      <c r="AI111" s="9">
        <f t="shared" si="15"/>
        <v>2.3100034914181897</v>
      </c>
      <c r="AJ111" s="9">
        <f>(4*PI()*(AI111^2))/(Y111+E111)</f>
        <v>0.92506449988504214</v>
      </c>
      <c r="AK111" s="12">
        <f t="shared" si="16"/>
        <v>0.74528301886792447</v>
      </c>
      <c r="AL111" s="12" t="s">
        <v>140</v>
      </c>
      <c r="AM111" s="12" t="s">
        <v>142</v>
      </c>
      <c r="AN111" s="18">
        <v>1.0710999999999999</v>
      </c>
      <c r="AO111" s="18">
        <v>0.17171</v>
      </c>
      <c r="AP111" s="18">
        <v>2458.8000000000002</v>
      </c>
      <c r="AQ111" s="18">
        <v>2048.1</v>
      </c>
      <c r="AR111" s="18">
        <v>0.51571</v>
      </c>
      <c r="AS111" s="18">
        <v>2.3011E-2</v>
      </c>
      <c r="AT111" s="18">
        <v>0.69723999999999997</v>
      </c>
      <c r="AU111" s="18">
        <v>7.1154000000000002</v>
      </c>
      <c r="AV111" s="18">
        <v>0.58706999999999998</v>
      </c>
      <c r="AW111" s="18">
        <v>1.5344E-2</v>
      </c>
      <c r="AX111" s="18">
        <v>5.6554E-2</v>
      </c>
      <c r="AY111" s="18">
        <v>-9.5322999999999993</v>
      </c>
      <c r="AZ111" s="18">
        <v>-181.97</v>
      </c>
      <c r="BA111" s="18">
        <v>0.26580999999999999</v>
      </c>
      <c r="BB111" s="18">
        <v>5.0644</v>
      </c>
      <c r="BC111" s="18" t="s">
        <v>162</v>
      </c>
      <c r="BD111" s="35" t="s">
        <v>163</v>
      </c>
      <c r="BE111" t="s">
        <v>168</v>
      </c>
    </row>
    <row r="112" spans="1:57" x14ac:dyDescent="0.25">
      <c r="A112" s="15" t="s">
        <v>180</v>
      </c>
      <c r="B112" s="18" t="s">
        <v>26</v>
      </c>
      <c r="C112" s="18" t="s">
        <v>6</v>
      </c>
      <c r="D112" s="18">
        <v>45</v>
      </c>
      <c r="E112" s="18">
        <v>7.9670033887604603</v>
      </c>
      <c r="F112" s="18">
        <v>10.26</v>
      </c>
      <c r="G112" s="15">
        <v>4.72</v>
      </c>
      <c r="H112" s="15">
        <v>3.21</v>
      </c>
      <c r="I112" s="15">
        <v>2.42</v>
      </c>
      <c r="J112" s="15">
        <v>14.53</v>
      </c>
      <c r="K112" s="15">
        <v>23.94</v>
      </c>
      <c r="L112" s="15">
        <v>14.49</v>
      </c>
      <c r="M112" s="15">
        <v>4.25</v>
      </c>
      <c r="N112" s="15">
        <v>1</v>
      </c>
      <c r="O112" s="15">
        <v>2.67</v>
      </c>
      <c r="P112" s="9">
        <v>1.0289900000000001</v>
      </c>
      <c r="Q112" s="9">
        <v>1.2653399999999999</v>
      </c>
      <c r="R112" s="9">
        <v>0.15079400000000001</v>
      </c>
      <c r="S112" s="9">
        <v>0.107784</v>
      </c>
      <c r="T112" s="9">
        <v>0.13417799999999999</v>
      </c>
      <c r="U112" s="9">
        <v>5.8855600000000001E-2</v>
      </c>
      <c r="V112" s="9">
        <v>3.9641999999999999</v>
      </c>
      <c r="W112" s="9">
        <v>3.1329099999999999</v>
      </c>
      <c r="X112" s="9">
        <v>3.2237499999999999</v>
      </c>
      <c r="Y112" s="9">
        <v>37.098300000000002</v>
      </c>
      <c r="Z112" s="9">
        <v>24.208200000000001</v>
      </c>
      <c r="AA112" s="9">
        <f t="shared" si="17"/>
        <v>1.2945909090909091</v>
      </c>
      <c r="AB112" s="9">
        <f t="shared" si="18"/>
        <v>1.9504132231404958</v>
      </c>
      <c r="AC112" s="9">
        <f t="shared" si="19"/>
        <v>1.3264462809917357</v>
      </c>
      <c r="AD112" s="9">
        <f t="shared" si="20"/>
        <v>4.6564935634817033</v>
      </c>
      <c r="AE112" s="9">
        <f t="shared" si="21"/>
        <v>3.0385577636570349</v>
      </c>
      <c r="AF112" s="9">
        <f t="shared" si="22"/>
        <v>4.4331491502140512</v>
      </c>
      <c r="AG112" s="9">
        <f t="shared" si="13"/>
        <v>1.5924747853269818</v>
      </c>
      <c r="AH112" s="9">
        <f t="shared" si="23"/>
        <v>0.97522555294546376</v>
      </c>
      <c r="AI112" s="9">
        <f t="shared" si="15"/>
        <v>1.7945599167387452</v>
      </c>
      <c r="AJ112" s="9">
        <f>(4*PI()*(AI112^2))/(Y112+E112)</f>
        <v>0.89801479351371916</v>
      </c>
      <c r="AK112" s="12">
        <f t="shared" si="16"/>
        <v>0.90636704119850187</v>
      </c>
      <c r="AL112" s="12" t="s">
        <v>140</v>
      </c>
      <c r="AM112" s="12" t="s">
        <v>143</v>
      </c>
      <c r="AN112" s="18">
        <v>7.71199028612617</v>
      </c>
      <c r="AO112" s="18">
        <v>0.90455440448257296</v>
      </c>
      <c r="AP112" s="18">
        <v>13679.3404244863</v>
      </c>
      <c r="AQ112" s="18">
        <v>13222.053996377899</v>
      </c>
      <c r="AR112" s="18">
        <v>3.6297525689139101</v>
      </c>
      <c r="AS112" s="18">
        <v>9.2724706786871808E-3</v>
      </c>
      <c r="AT112" s="18">
        <v>0.75227015680114595</v>
      </c>
      <c r="AU112" s="18">
        <v>0.55568003349404405</v>
      </c>
      <c r="AV112" s="18">
        <v>2.0434441628735499E-2</v>
      </c>
      <c r="AW112" s="18">
        <v>4.1268710647334502E-3</v>
      </c>
      <c r="AX112" s="18">
        <v>0.26562653507908701</v>
      </c>
      <c r="AY112" s="18">
        <v>3.1353790981930599E-2</v>
      </c>
      <c r="AZ112" s="18">
        <v>-458.46664592307502</v>
      </c>
      <c r="BA112" s="18">
        <v>4.0275176637628501E-2</v>
      </c>
      <c r="BB112" s="18">
        <v>5.8930621114249702</v>
      </c>
      <c r="BC112" s="18" t="s">
        <v>162</v>
      </c>
      <c r="BD112" s="35" t="s">
        <v>163</v>
      </c>
      <c r="BE112" t="s">
        <v>167</v>
      </c>
    </row>
    <row r="113" spans="1:57" x14ac:dyDescent="0.25">
      <c r="A113" s="15" t="s">
        <v>181</v>
      </c>
      <c r="B113" s="18" t="s">
        <v>5</v>
      </c>
      <c r="C113" s="18" t="s">
        <v>6</v>
      </c>
      <c r="D113" s="18">
        <v>64</v>
      </c>
      <c r="E113" s="18">
        <v>19.246096297982</v>
      </c>
      <c r="F113" s="18">
        <v>15.975</v>
      </c>
      <c r="G113" s="15">
        <v>6.65</v>
      </c>
      <c r="H113" s="15">
        <v>4.3</v>
      </c>
      <c r="I113" s="15">
        <v>4.63</v>
      </c>
      <c r="J113" s="15">
        <f>180-169.8</f>
        <v>10.199999999999989</v>
      </c>
      <c r="K113" s="15">
        <v>32.36</v>
      </c>
      <c r="L113" s="15">
        <v>31.86</v>
      </c>
      <c r="M113" s="15">
        <v>6.35</v>
      </c>
      <c r="N113" s="15">
        <v>1</v>
      </c>
      <c r="O113" s="15">
        <v>3.25</v>
      </c>
      <c r="P113" s="9">
        <v>0.87681900000000002</v>
      </c>
      <c r="Q113" s="9">
        <v>1.27173</v>
      </c>
      <c r="R113" s="9">
        <v>0.14285700000000001</v>
      </c>
      <c r="S113" s="9">
        <v>9.1310799999999998E-2</v>
      </c>
      <c r="T113" s="9">
        <v>0.104587</v>
      </c>
      <c r="U113" s="9">
        <v>3.1524299999999998E-2</v>
      </c>
      <c r="V113" s="9">
        <v>6.2217599999999997</v>
      </c>
      <c r="W113" s="9">
        <v>4.8923500000000004</v>
      </c>
      <c r="X113" s="9">
        <v>4.2897100000000004</v>
      </c>
      <c r="Y113" s="9">
        <v>71.949399999999997</v>
      </c>
      <c r="Z113" s="9">
        <v>68.764600000000002</v>
      </c>
      <c r="AA113" s="9">
        <f t="shared" si="17"/>
        <v>1.0566630669546437</v>
      </c>
      <c r="AB113" s="9">
        <f t="shared" si="18"/>
        <v>1.4362850971922247</v>
      </c>
      <c r="AC113" s="9">
        <f t="shared" si="19"/>
        <v>0.92872570194384452</v>
      </c>
      <c r="AD113" s="9">
        <f t="shared" si="20"/>
        <v>3.7383892757277781</v>
      </c>
      <c r="AE113" s="9">
        <f t="shared" si="21"/>
        <v>3.5729115627053232</v>
      </c>
      <c r="AF113" s="9">
        <f t="shared" si="22"/>
        <v>4.2866421424658974</v>
      </c>
      <c r="AG113" s="9">
        <f t="shared" si="13"/>
        <v>2.4751207489924458</v>
      </c>
      <c r="AH113" s="9">
        <f t="shared" si="23"/>
        <v>0.97349873699935319</v>
      </c>
      <c r="AI113" s="9">
        <f t="shared" si="15"/>
        <v>2.5415116448589723</v>
      </c>
      <c r="AJ113" s="9">
        <f>(4*PI()*(AI113^2))/(Y113+E113)</f>
        <v>0.89006286258100042</v>
      </c>
      <c r="AK113" s="12">
        <f t="shared" si="16"/>
        <v>1.4246153846153846</v>
      </c>
      <c r="AL113" s="12" t="s">
        <v>140</v>
      </c>
      <c r="AM113" s="12" t="s">
        <v>143</v>
      </c>
      <c r="AN113" s="18">
        <v>5.7126000000000001</v>
      </c>
      <c r="AO113" s="18">
        <v>0.56862000000000001</v>
      </c>
      <c r="AP113" s="18">
        <v>9093.9</v>
      </c>
      <c r="AQ113" s="18">
        <v>8804.1</v>
      </c>
      <c r="AR113" s="18">
        <v>2.7974999999999999</v>
      </c>
      <c r="AS113" s="18">
        <v>6.0996999999999996E-3</v>
      </c>
      <c r="AT113" s="18">
        <v>0.76083999999999996</v>
      </c>
      <c r="AU113" s="18">
        <v>0.62216000000000005</v>
      </c>
      <c r="AV113" s="18">
        <v>0.14480999999999999</v>
      </c>
      <c r="AW113" s="18">
        <v>5.4958999999999997E-3</v>
      </c>
      <c r="AX113" s="18">
        <v>0.22492999999999999</v>
      </c>
      <c r="AY113" s="18">
        <v>-8.5321999999999996</v>
      </c>
      <c r="AZ113" s="18">
        <v>-2002.3</v>
      </c>
      <c r="BA113" s="18">
        <v>6.1749999999999999E-2</v>
      </c>
      <c r="BB113" s="18">
        <v>17.065000000000001</v>
      </c>
      <c r="BC113" s="18" t="s">
        <v>162</v>
      </c>
      <c r="BD113" s="35" t="s">
        <v>163</v>
      </c>
      <c r="BE113" t="s">
        <v>167</v>
      </c>
    </row>
    <row r="114" spans="1:57" x14ac:dyDescent="0.25">
      <c r="A114" s="15" t="s">
        <v>182</v>
      </c>
      <c r="B114" s="18" t="s">
        <v>183</v>
      </c>
      <c r="C114" s="18" t="s">
        <v>6</v>
      </c>
      <c r="D114" s="18">
        <v>73</v>
      </c>
      <c r="E114" s="18">
        <v>15.574</v>
      </c>
      <c r="F114" s="18">
        <v>14.223000000000001</v>
      </c>
      <c r="G114" s="15">
        <v>6.24</v>
      </c>
      <c r="H114" s="15">
        <v>4.4000000000000004</v>
      </c>
      <c r="I114" s="15">
        <v>3.23</v>
      </c>
      <c r="J114" s="15">
        <v>63.96</v>
      </c>
      <c r="K114" s="15">
        <v>27.21</v>
      </c>
      <c r="L114" s="15">
        <v>22.27</v>
      </c>
      <c r="M114" s="15">
        <v>5.2</v>
      </c>
      <c r="N114" s="15">
        <v>1</v>
      </c>
      <c r="O114" s="15">
        <v>2.2400000000000002</v>
      </c>
      <c r="P114" s="9">
        <v>0.99199700000000002</v>
      </c>
      <c r="Q114" s="9">
        <v>1.2759199999999999</v>
      </c>
      <c r="R114" s="9">
        <v>4.65116E-2</v>
      </c>
      <c r="S114" s="9">
        <v>8.7449100000000002E-2</v>
      </c>
      <c r="T114" s="9">
        <v>9.1551999999999994E-2</v>
      </c>
      <c r="U114" s="9">
        <v>5.0494299999999997E-3</v>
      </c>
      <c r="V114" s="9">
        <v>5.6235900000000001</v>
      </c>
      <c r="W114" s="9">
        <v>4.40747</v>
      </c>
      <c r="X114" s="9">
        <v>4.3722000000000003</v>
      </c>
      <c r="Y114" s="9">
        <v>71.902199999999993</v>
      </c>
      <c r="Z114" s="9">
        <v>70.202399999999997</v>
      </c>
      <c r="AA114" s="9">
        <f t="shared" si="17"/>
        <v>1.3645417956656347</v>
      </c>
      <c r="AB114" s="9">
        <f t="shared" si="18"/>
        <v>1.931888544891641</v>
      </c>
      <c r="AC114" s="9">
        <f t="shared" si="19"/>
        <v>1.3622291021671828</v>
      </c>
      <c r="AD114" s="9">
        <f t="shared" si="20"/>
        <v>4.6168100680621542</v>
      </c>
      <c r="AE114" s="9">
        <f t="shared" si="21"/>
        <v>4.5076666238602794</v>
      </c>
      <c r="AF114" s="9">
        <f t="shared" si="22"/>
        <v>4.2251377478709049</v>
      </c>
      <c r="AG114" s="9">
        <f t="shared" si="13"/>
        <v>2.2265125572128168</v>
      </c>
      <c r="AH114" s="9">
        <f t="shared" si="23"/>
        <v>0.98358932614289651</v>
      </c>
      <c r="AI114" s="9">
        <f t="shared" si="15"/>
        <v>2.5591031030332223</v>
      </c>
      <c r="AJ114" s="9">
        <f>(4*PI()*(AI114^2))/(Y114+E114)</f>
        <v>0.94079612945872026</v>
      </c>
      <c r="AK114" s="12">
        <f t="shared" si="16"/>
        <v>1.4419642857142856</v>
      </c>
      <c r="AL114" s="12" t="s">
        <v>144</v>
      </c>
      <c r="AM114" s="12" t="s">
        <v>143</v>
      </c>
      <c r="AN114" s="18">
        <v>0.51375999999999999</v>
      </c>
      <c r="AO114" s="18">
        <v>0.18489</v>
      </c>
      <c r="AP114" s="18">
        <v>1026.0999999999999</v>
      </c>
      <c r="AQ114" s="18">
        <v>831.6</v>
      </c>
      <c r="AR114" s="18">
        <v>0.42292999999999997</v>
      </c>
      <c r="AS114" s="18">
        <v>2.9787000000000001E-2</v>
      </c>
      <c r="AT114" s="18">
        <v>0.71157999999999999</v>
      </c>
      <c r="AU114" s="18">
        <v>6.9753999999999996</v>
      </c>
      <c r="AV114" s="18">
        <v>0.56137999999999999</v>
      </c>
      <c r="AW114" s="18">
        <v>2.3674000000000001E-2</v>
      </c>
      <c r="AX114" s="18">
        <v>2.6758000000000001E-2</v>
      </c>
      <c r="AY114" s="18">
        <v>44.508000000000003</v>
      </c>
      <c r="AZ114" s="18">
        <v>52.231000000000002</v>
      </c>
      <c r="BA114" s="18">
        <v>0.28271000000000002</v>
      </c>
      <c r="BB114" s="18">
        <v>101.94</v>
      </c>
      <c r="BC114" s="18" t="s">
        <v>162</v>
      </c>
      <c r="BD114" s="35" t="s">
        <v>163</v>
      </c>
      <c r="BE114" t="s">
        <v>167</v>
      </c>
    </row>
    <row r="115" spans="1:57" x14ac:dyDescent="0.25">
      <c r="A115" s="15" t="s">
        <v>184</v>
      </c>
      <c r="B115" s="16" t="s">
        <v>26</v>
      </c>
      <c r="C115" s="16" t="s">
        <v>14</v>
      </c>
      <c r="D115" s="16">
        <v>51</v>
      </c>
      <c r="E115" s="16">
        <v>52.21</v>
      </c>
      <c r="F115" s="16">
        <v>27.158999999999999</v>
      </c>
      <c r="G115" s="15">
        <v>15.06</v>
      </c>
      <c r="H115" s="15">
        <v>8.6</v>
      </c>
      <c r="I115" s="15">
        <v>2.65</v>
      </c>
      <c r="J115" s="15">
        <v>99.39</v>
      </c>
      <c r="K115" s="15">
        <v>12.72</v>
      </c>
      <c r="L115" s="15">
        <v>67.63</v>
      </c>
      <c r="M115" s="15">
        <v>14.3</v>
      </c>
      <c r="N115" s="15">
        <v>2</v>
      </c>
      <c r="O115" s="15">
        <f>1.55+2.07</f>
        <v>3.62</v>
      </c>
      <c r="P115" s="9">
        <v>1.07643</v>
      </c>
      <c r="Q115" s="9">
        <v>1.8480700000000001</v>
      </c>
      <c r="R115" s="9">
        <v>-6.4705899999999997E-2</v>
      </c>
      <c r="S115" s="9">
        <v>0.15214</v>
      </c>
      <c r="T115" s="9">
        <v>0.16875599999999999</v>
      </c>
      <c r="U115" s="9">
        <v>5.2645600000000001E-2</v>
      </c>
      <c r="V115" s="9">
        <v>14.7354</v>
      </c>
      <c r="W115" s="9">
        <v>7.9733700000000001</v>
      </c>
      <c r="X115" s="9">
        <v>8.5828000000000007</v>
      </c>
      <c r="Y115" s="9">
        <v>369.43700000000001</v>
      </c>
      <c r="Z115" s="9">
        <v>715.63499999999999</v>
      </c>
      <c r="AA115" s="9">
        <f t="shared" si="17"/>
        <v>3.0088188679245285</v>
      </c>
      <c r="AB115" s="9">
        <f t="shared" si="18"/>
        <v>5.6830188679245284</v>
      </c>
      <c r="AC115" s="9">
        <f t="shared" si="19"/>
        <v>3.2452830188679247</v>
      </c>
      <c r="AD115" s="9">
        <f t="shared" si="20"/>
        <v>7.0759816127178699</v>
      </c>
      <c r="AE115" s="9">
        <f t="shared" si="21"/>
        <v>13.706856923960927</v>
      </c>
      <c r="AF115" s="9">
        <f t="shared" si="22"/>
        <v>4.6175613444527039</v>
      </c>
      <c r="AG115" s="9">
        <f t="shared" si="13"/>
        <v>4.0766357646539522</v>
      </c>
      <c r="AH115" s="9">
        <f t="shared" si="23"/>
        <v>0.94312227766841683</v>
      </c>
      <c r="AI115" s="9">
        <f t="shared" si="15"/>
        <v>5.5488244844129833</v>
      </c>
      <c r="AJ115" s="9">
        <f>(4*PI()*(AI115^2))/(Y115+E115)</f>
        <v>0.91761990339596045</v>
      </c>
      <c r="AK115" s="12">
        <f t="shared" si="16"/>
        <v>0.73204419889502759</v>
      </c>
      <c r="AL115" s="12" t="s">
        <v>140</v>
      </c>
      <c r="AM115" s="12" t="s">
        <v>142</v>
      </c>
      <c r="AN115" s="16">
        <v>2.3370000000000002</v>
      </c>
      <c r="AO115" s="16">
        <v>0.23710999999999999</v>
      </c>
      <c r="AP115" s="16">
        <v>2417.5</v>
      </c>
      <c r="AQ115" s="16">
        <v>2191.3000000000002</v>
      </c>
      <c r="AR115" s="16">
        <v>1.5943000000000001</v>
      </c>
      <c r="AS115" s="16">
        <v>3.9841000000000001E-2</v>
      </c>
      <c r="AT115" s="16">
        <v>0.66354999999999997</v>
      </c>
      <c r="AU115" s="16">
        <v>1.9685999999999999</v>
      </c>
      <c r="AV115" s="16">
        <v>0.59118999999999999</v>
      </c>
      <c r="AW115" s="16">
        <v>3.5996E-2</v>
      </c>
      <c r="AX115" s="16">
        <v>0.11512</v>
      </c>
      <c r="AY115" s="16">
        <v>-91.864999999999995</v>
      </c>
      <c r="AZ115" s="16">
        <v>-1001.4</v>
      </c>
      <c r="BA115" s="16">
        <v>0.53837999999999997</v>
      </c>
      <c r="BB115" s="16">
        <v>39.920999999999999</v>
      </c>
      <c r="BC115" s="16" t="s">
        <v>162</v>
      </c>
      <c r="BD115" s="34" t="s">
        <v>165</v>
      </c>
      <c r="BE115" t="s">
        <v>167</v>
      </c>
    </row>
    <row r="116" spans="1:57" x14ac:dyDescent="0.25">
      <c r="A116" s="15" t="s">
        <v>185</v>
      </c>
      <c r="B116" s="16" t="s">
        <v>5</v>
      </c>
      <c r="C116" s="16" t="s">
        <v>6</v>
      </c>
      <c r="D116" s="16">
        <v>47</v>
      </c>
      <c r="E116" s="16">
        <v>23.648</v>
      </c>
      <c r="F116" s="16">
        <v>18.454000000000001</v>
      </c>
      <c r="G116" s="15">
        <v>16.05</v>
      </c>
      <c r="H116" s="15">
        <v>13.15</v>
      </c>
      <c r="I116" s="15">
        <v>3.25</v>
      </c>
      <c r="J116" s="15">
        <v>95.71</v>
      </c>
      <c r="K116" s="15">
        <v>5.7</v>
      </c>
      <c r="L116" s="15">
        <v>61.24</v>
      </c>
      <c r="M116" s="15">
        <v>12.9</v>
      </c>
      <c r="N116" s="15">
        <v>2</v>
      </c>
      <c r="O116" s="15">
        <f>2.29+2.77</f>
        <v>5.0600000000000005</v>
      </c>
      <c r="P116" s="9">
        <v>2.61395</v>
      </c>
      <c r="Q116" s="9">
        <v>3.1695899999999999</v>
      </c>
      <c r="R116" s="9">
        <v>-9.9236599999999994E-2</v>
      </c>
      <c r="S116" s="9">
        <v>0.22269</v>
      </c>
      <c r="T116" s="9">
        <v>0.25685400000000003</v>
      </c>
      <c r="U116" s="9">
        <v>9.7844100000000003E-2</v>
      </c>
      <c r="V116" s="9">
        <v>15.993399999999999</v>
      </c>
      <c r="W116" s="9">
        <v>5.0458800000000004</v>
      </c>
      <c r="X116" s="9">
        <v>13.1897</v>
      </c>
      <c r="Y116" s="9">
        <v>523.50599999999997</v>
      </c>
      <c r="Z116" s="9">
        <v>1020.43</v>
      </c>
      <c r="AA116" s="9">
        <f t="shared" si="17"/>
        <v>1.5525784615384617</v>
      </c>
      <c r="AB116" s="9">
        <f t="shared" si="18"/>
        <v>4.9384615384615387</v>
      </c>
      <c r="AC116" s="9">
        <f t="shared" si="19"/>
        <v>4.046153846153846</v>
      </c>
      <c r="AD116" s="9">
        <f t="shared" si="20"/>
        <v>22.137432341001354</v>
      </c>
      <c r="AE116" s="9">
        <f t="shared" si="21"/>
        <v>43.150794993234101</v>
      </c>
      <c r="AF116" s="9">
        <f t="shared" si="22"/>
        <v>5.1649507516717987</v>
      </c>
      <c r="AG116" s="9">
        <f t="shared" si="13"/>
        <v>2.7436093359795746</v>
      </c>
      <c r="AH116" s="9">
        <f t="shared" si="23"/>
        <v>0.93413925807237475</v>
      </c>
      <c r="AI116" s="9">
        <f t="shared" si="15"/>
        <v>6.2454663045733518</v>
      </c>
      <c r="AJ116" s="9">
        <f>(4*PI()*(AI116^2))/(Y116+E116)</f>
        <v>0.89583912245042918</v>
      </c>
      <c r="AK116" s="12">
        <f t="shared" si="16"/>
        <v>0.64229249011857703</v>
      </c>
      <c r="AL116" s="12" t="s">
        <v>140</v>
      </c>
      <c r="AM116" s="12" t="s">
        <v>142</v>
      </c>
      <c r="AN116" s="16">
        <v>0.30562</v>
      </c>
      <c r="AO116" s="16">
        <v>4.5962000000000003E-2</v>
      </c>
      <c r="AP116" s="16">
        <v>498.17</v>
      </c>
      <c r="AQ116" s="16">
        <v>431.3</v>
      </c>
      <c r="AR116" s="16">
        <v>0.28881000000000001</v>
      </c>
      <c r="AS116" s="16">
        <v>4.9203999999999998E-2</v>
      </c>
      <c r="AT116" s="16">
        <v>0.66125999999999996</v>
      </c>
      <c r="AU116" s="16">
        <v>7.5483000000000002</v>
      </c>
      <c r="AV116" s="16">
        <v>0.94182999999999995</v>
      </c>
      <c r="AW116" s="16">
        <v>4.3860000000000003E-2</v>
      </c>
      <c r="AX116" s="16">
        <v>2.9426000000000001E-2</v>
      </c>
      <c r="AY116" s="16">
        <v>-60.87</v>
      </c>
      <c r="AZ116" s="16">
        <v>-53.515999999999998</v>
      </c>
      <c r="BA116" s="16">
        <v>2.5657999999999999</v>
      </c>
      <c r="BB116" s="16">
        <v>3.7642000000000002</v>
      </c>
      <c r="BC116" s="16" t="s">
        <v>164</v>
      </c>
      <c r="BD116" s="34" t="s">
        <v>165</v>
      </c>
      <c r="BE116" t="s">
        <v>168</v>
      </c>
    </row>
    <row r="117" spans="1:57" x14ac:dyDescent="0.25">
      <c r="A117" s="15" t="s">
        <v>186</v>
      </c>
      <c r="B117" s="18" t="s">
        <v>5</v>
      </c>
      <c r="C117" s="18" t="s">
        <v>6</v>
      </c>
      <c r="D117" s="18">
        <v>47</v>
      </c>
      <c r="E117" s="18">
        <v>8.4766992870695308</v>
      </c>
      <c r="F117" s="18">
        <v>10.879</v>
      </c>
      <c r="G117" s="15">
        <v>7.31</v>
      </c>
      <c r="H117" s="15">
        <v>5.3</v>
      </c>
      <c r="I117" s="15">
        <v>3.13</v>
      </c>
      <c r="J117" s="15">
        <v>22.56</v>
      </c>
      <c r="K117" s="15">
        <v>38.03</v>
      </c>
      <c r="L117" s="15">
        <v>17.98</v>
      </c>
      <c r="M117" s="15">
        <v>5</v>
      </c>
      <c r="N117" s="15">
        <v>1</v>
      </c>
      <c r="O117" s="15">
        <v>2.4500000000000002</v>
      </c>
      <c r="P117" s="9">
        <v>1.65683</v>
      </c>
      <c r="Q117" s="9">
        <v>1.5318799999999999</v>
      </c>
      <c r="R117" s="9">
        <v>0.13461500000000001</v>
      </c>
      <c r="S117" s="9">
        <v>0.194859</v>
      </c>
      <c r="T117" s="9">
        <v>0.20924200000000001</v>
      </c>
      <c r="U117" s="9">
        <v>3.9011999999999998E-2</v>
      </c>
      <c r="V117" s="9">
        <v>4.8799700000000001</v>
      </c>
      <c r="W117" s="9">
        <v>3.1856100000000001</v>
      </c>
      <c r="X117" s="9">
        <v>5.2780100000000001</v>
      </c>
      <c r="Y117" s="9">
        <v>71.776399999999995</v>
      </c>
      <c r="Z117" s="9">
        <v>56.8626</v>
      </c>
      <c r="AA117" s="9">
        <f t="shared" si="17"/>
        <v>1.0177667731629394</v>
      </c>
      <c r="AB117" s="9">
        <f t="shared" si="18"/>
        <v>2.3354632587859423</v>
      </c>
      <c r="AC117" s="9">
        <f t="shared" si="19"/>
        <v>1.6932907348242812</v>
      </c>
      <c r="AD117" s="9">
        <f t="shared" si="20"/>
        <v>8.467493958348701</v>
      </c>
      <c r="AE117" s="9">
        <f t="shared" si="21"/>
        <v>6.7081063128827703</v>
      </c>
      <c r="AF117" s="9">
        <f t="shared" si="22"/>
        <v>4.8539712137429056</v>
      </c>
      <c r="AG117" s="9">
        <f t="shared" si="13"/>
        <v>1.6426250896906822</v>
      </c>
      <c r="AH117" s="9">
        <f t="shared" si="23"/>
        <v>0.94870096780485746</v>
      </c>
      <c r="AI117" s="9">
        <f t="shared" si="15"/>
        <v>2.3854997100024091</v>
      </c>
      <c r="AJ117" s="9">
        <f>(4*PI()*(AI117^2))/(Y117+E117)</f>
        <v>0.89105966837512163</v>
      </c>
      <c r="AK117" s="12">
        <f t="shared" si="16"/>
        <v>1.277551020408163</v>
      </c>
      <c r="AL117" s="12" t="s">
        <v>144</v>
      </c>
      <c r="AM117" s="12" t="s">
        <v>143</v>
      </c>
      <c r="AN117" s="18">
        <v>3.0030999999999999</v>
      </c>
      <c r="AO117" s="18">
        <v>0.30790000000000001</v>
      </c>
      <c r="AP117" s="18">
        <v>8849.6</v>
      </c>
      <c r="AQ117" s="18">
        <v>6719.3</v>
      </c>
      <c r="AR117" s="18">
        <v>1.5193000000000001</v>
      </c>
      <c r="AS117" s="18">
        <v>1.7809999999999999E-2</v>
      </c>
      <c r="AT117" s="18">
        <v>0.69233</v>
      </c>
      <c r="AU117" s="18">
        <v>1.1934</v>
      </c>
      <c r="AV117" s="18">
        <v>0.14718000000000001</v>
      </c>
      <c r="AW117" s="18">
        <v>1.2770999999999999E-2</v>
      </c>
      <c r="AX117" s="18">
        <v>0.15107999999999999</v>
      </c>
      <c r="AY117" s="18">
        <v>1.3905000000000001</v>
      </c>
      <c r="AZ117" s="18">
        <v>192.52</v>
      </c>
      <c r="BA117" s="18">
        <v>7.3044999999999999E-2</v>
      </c>
      <c r="BB117" s="18">
        <v>7.218</v>
      </c>
      <c r="BC117" s="18" t="s">
        <v>162</v>
      </c>
      <c r="BD117" s="35" t="s">
        <v>163</v>
      </c>
      <c r="BE117" t="s">
        <v>167</v>
      </c>
    </row>
    <row r="118" spans="1:57" x14ac:dyDescent="0.25">
      <c r="A118" s="15" t="s">
        <v>187</v>
      </c>
      <c r="B118" s="18" t="s">
        <v>5</v>
      </c>
      <c r="C118" s="18" t="s">
        <v>6</v>
      </c>
      <c r="D118" s="18">
        <v>56</v>
      </c>
      <c r="E118" s="18">
        <v>37.032826583313501</v>
      </c>
      <c r="F118" s="18">
        <v>22.02</v>
      </c>
      <c r="G118" s="15">
        <v>11.33</v>
      </c>
      <c r="H118" s="15">
        <v>9.4</v>
      </c>
      <c r="I118" s="15">
        <v>4.3</v>
      </c>
      <c r="J118" s="15">
        <v>18.63</v>
      </c>
      <c r="K118" s="15">
        <v>44.78</v>
      </c>
      <c r="L118" s="15">
        <v>27.28</v>
      </c>
      <c r="M118" s="15">
        <v>11.05</v>
      </c>
      <c r="N118" s="15">
        <v>1</v>
      </c>
      <c r="O118" s="15">
        <v>3.6</v>
      </c>
      <c r="P118" s="9">
        <v>1.38049</v>
      </c>
      <c r="Q118" s="9">
        <v>1.67811</v>
      </c>
      <c r="R118" s="9">
        <v>6.7567600000000005E-2</v>
      </c>
      <c r="S118" s="9">
        <v>0.142623</v>
      </c>
      <c r="T118" s="9">
        <v>0.154641</v>
      </c>
      <c r="U118" s="9">
        <v>2.3136199999999999E-2</v>
      </c>
      <c r="V118" s="9">
        <v>11.335599999999999</v>
      </c>
      <c r="W118" s="9">
        <v>6.7549700000000001</v>
      </c>
      <c r="X118" s="9">
        <v>9.3251600000000003</v>
      </c>
      <c r="Y118" s="9">
        <v>308.40199999999999</v>
      </c>
      <c r="Z118" s="9">
        <v>559.79200000000003</v>
      </c>
      <c r="AA118" s="9">
        <f t="shared" si="17"/>
        <v>1.5709232558139536</v>
      </c>
      <c r="AB118" s="9">
        <f t="shared" si="18"/>
        <v>2.6348837209302327</v>
      </c>
      <c r="AC118" s="9">
        <f t="shared" si="19"/>
        <v>2.1860465116279073</v>
      </c>
      <c r="AD118" s="9">
        <f t="shared" si="20"/>
        <v>8.3278007231282167</v>
      </c>
      <c r="AE118" s="9">
        <f t="shared" si="21"/>
        <v>15.116102432543856</v>
      </c>
      <c r="AF118" s="9">
        <f t="shared" si="22"/>
        <v>4.5404551907711621</v>
      </c>
      <c r="AG118" s="9">
        <f t="shared" si="13"/>
        <v>3.4333532901230215</v>
      </c>
      <c r="AH118" s="9">
        <f t="shared" si="23"/>
        <v>0.97967279504349047</v>
      </c>
      <c r="AI118" s="9">
        <f t="shared" si="15"/>
        <v>5.1126495662503935</v>
      </c>
      <c r="AJ118" s="9">
        <f>(4*PI()*(AI118^2))/(Y118+E118)</f>
        <v>0.95090207578724684</v>
      </c>
      <c r="AK118" s="12">
        <f t="shared" si="16"/>
        <v>1.1944444444444444</v>
      </c>
      <c r="AL118" s="12" t="s">
        <v>144</v>
      </c>
      <c r="AM118" s="12" t="s">
        <v>143</v>
      </c>
      <c r="AN118" s="18">
        <v>4.6632999999999996</v>
      </c>
      <c r="AO118" s="18">
        <v>0.46737000000000001</v>
      </c>
      <c r="AP118" s="18">
        <v>4620.2</v>
      </c>
      <c r="AQ118" s="18">
        <v>4179.7</v>
      </c>
      <c r="AR118" s="18">
        <v>3.2585000000000002</v>
      </c>
      <c r="AS118" s="18">
        <v>9.1585E-3</v>
      </c>
      <c r="AT118" s="18">
        <v>0.73346999999999996</v>
      </c>
      <c r="AU118" s="18">
        <v>0.43404999999999999</v>
      </c>
      <c r="AV118" s="18">
        <v>2.7052E-2</v>
      </c>
      <c r="AW118" s="18">
        <v>1.7533E-2</v>
      </c>
      <c r="AX118" s="18">
        <v>0.23018</v>
      </c>
      <c r="AY118" s="18">
        <v>-11.528</v>
      </c>
      <c r="AZ118" s="18">
        <v>-1002.8</v>
      </c>
      <c r="BA118" s="18">
        <v>0.26780999999999999</v>
      </c>
      <c r="BB118" s="18">
        <v>12.882</v>
      </c>
      <c r="BC118" s="18" t="s">
        <v>162</v>
      </c>
      <c r="BD118" s="35" t="s">
        <v>163</v>
      </c>
      <c r="BE118" t="s">
        <v>167</v>
      </c>
    </row>
    <row r="119" spans="1:57" x14ac:dyDescent="0.25">
      <c r="A119" s="15" t="s">
        <v>188</v>
      </c>
      <c r="B119" s="16" t="s">
        <v>26</v>
      </c>
      <c r="C119" s="16" t="s">
        <v>6</v>
      </c>
      <c r="D119" s="16">
        <v>44</v>
      </c>
      <c r="E119" s="16">
        <v>14.773</v>
      </c>
      <c r="F119" s="16">
        <v>14.753</v>
      </c>
      <c r="G119" s="15">
        <v>6.07</v>
      </c>
      <c r="H119" s="15">
        <v>4.5</v>
      </c>
      <c r="I119" s="15">
        <v>1.91</v>
      </c>
      <c r="J119" s="15">
        <v>46.26</v>
      </c>
      <c r="K119" s="15">
        <v>44.25</v>
      </c>
      <c r="L119" s="15">
        <v>90</v>
      </c>
      <c r="M119" s="15">
        <v>5.35</v>
      </c>
      <c r="N119" s="15">
        <v>2</v>
      </c>
      <c r="O119" s="15">
        <f>1.41+1.82</f>
        <v>3.23</v>
      </c>
      <c r="P119" s="9">
        <v>1.10124</v>
      </c>
      <c r="Q119" s="9">
        <v>1.5692600000000001</v>
      </c>
      <c r="R119" s="9">
        <v>0.21590899999999999</v>
      </c>
      <c r="S119" s="9">
        <v>0.108822</v>
      </c>
      <c r="T119" s="9">
        <v>0.13614000000000001</v>
      </c>
      <c r="U119" s="9">
        <v>5.2135000000000001E-2</v>
      </c>
      <c r="V119" s="9">
        <v>6.3665799999999999</v>
      </c>
      <c r="W119" s="9">
        <v>4.0570700000000004</v>
      </c>
      <c r="X119" s="9">
        <v>4.4677899999999999</v>
      </c>
      <c r="Y119" s="9">
        <v>74.938199999999995</v>
      </c>
      <c r="Z119" s="9">
        <v>69.264200000000002</v>
      </c>
      <c r="AA119" s="9">
        <f t="shared" si="17"/>
        <v>2.1241204188481677</v>
      </c>
      <c r="AB119" s="9">
        <f t="shared" si="18"/>
        <v>3.1780104712041886</v>
      </c>
      <c r="AC119" s="9">
        <f t="shared" si="19"/>
        <v>2.3560209424083771</v>
      </c>
      <c r="AD119" s="9">
        <f t="shared" si="20"/>
        <v>5.0726460434576586</v>
      </c>
      <c r="AE119" s="9">
        <f t="shared" si="21"/>
        <v>4.6885669803019026</v>
      </c>
      <c r="AF119" s="9">
        <f t="shared" si="22"/>
        <v>4.4432154808425768</v>
      </c>
      <c r="AG119" s="9">
        <f t="shared" si="13"/>
        <v>2.1684999305033745</v>
      </c>
      <c r="AH119" s="9">
        <f t="shared" si="23"/>
        <v>0.92354686517716778</v>
      </c>
      <c r="AI119" s="9">
        <f t="shared" si="15"/>
        <v>2.547651802874741</v>
      </c>
      <c r="AJ119" s="9">
        <f>(4*PI()*(AI119^2))/(Y119+E119)</f>
        <v>0.9091663226321659</v>
      </c>
      <c r="AK119" s="12">
        <f t="shared" si="16"/>
        <v>0.59133126934984515</v>
      </c>
      <c r="AL119" s="12" t="s">
        <v>140</v>
      </c>
      <c r="AM119" s="12" t="s">
        <v>142</v>
      </c>
      <c r="AN119" s="16">
        <v>3.0182000000000002</v>
      </c>
      <c r="AO119" s="16">
        <v>0.26965</v>
      </c>
      <c r="AP119" s="16">
        <v>7478.5</v>
      </c>
      <c r="AQ119" s="16">
        <v>6701.3</v>
      </c>
      <c r="AR119" s="16">
        <v>1.4618</v>
      </c>
      <c r="AS119" s="16">
        <v>2.5783E-2</v>
      </c>
      <c r="AT119" s="16">
        <v>0.71406999999999998</v>
      </c>
      <c r="AU119" s="16">
        <v>3.1798999999999999</v>
      </c>
      <c r="AV119" s="16">
        <v>0.34956999999999999</v>
      </c>
      <c r="AW119" s="16">
        <v>1.7444999999999999E-2</v>
      </c>
      <c r="AX119" s="16">
        <v>0.10409</v>
      </c>
      <c r="AY119" s="16">
        <v>-176.64</v>
      </c>
      <c r="AZ119" s="16">
        <v>-422.4</v>
      </c>
      <c r="BA119" s="16">
        <v>0.37547999999999998</v>
      </c>
      <c r="BB119" s="16">
        <v>279.37</v>
      </c>
      <c r="BC119" s="16" t="s">
        <v>162</v>
      </c>
      <c r="BD119" s="34" t="s">
        <v>165</v>
      </c>
      <c r="BE119" t="s">
        <v>167</v>
      </c>
    </row>
    <row r="120" spans="1:57" x14ac:dyDescent="0.25">
      <c r="A120" s="15" t="s">
        <v>189</v>
      </c>
      <c r="B120" s="18" t="s">
        <v>5</v>
      </c>
      <c r="C120" s="18" t="s">
        <v>6</v>
      </c>
      <c r="D120" s="18">
        <v>29</v>
      </c>
      <c r="E120" s="18">
        <v>10.9148271396843</v>
      </c>
      <c r="F120" s="18">
        <v>12.176</v>
      </c>
      <c r="G120" s="15">
        <v>5.0599999999999996</v>
      </c>
      <c r="H120" s="15">
        <v>2.5</v>
      </c>
      <c r="I120" s="15">
        <v>4.21</v>
      </c>
      <c r="J120" s="15">
        <v>155.47999999999999</v>
      </c>
      <c r="K120" s="15">
        <v>2.33</v>
      </c>
      <c r="L120" s="15">
        <v>23.88</v>
      </c>
      <c r="M120" s="15">
        <v>5.0999999999999996</v>
      </c>
      <c r="N120" s="15">
        <v>1</v>
      </c>
      <c r="O120" s="15">
        <v>3.84</v>
      </c>
      <c r="P120" s="9">
        <v>0.691276</v>
      </c>
      <c r="Q120" s="9">
        <v>1.3727499999999999</v>
      </c>
      <c r="R120" s="9">
        <v>9.1836699999999993E-2</v>
      </c>
      <c r="S120" s="9">
        <v>6.8998500000000004E-2</v>
      </c>
      <c r="T120" s="9">
        <v>9.5844499999999999E-2</v>
      </c>
      <c r="U120" s="9">
        <v>3.1391099999999998E-2</v>
      </c>
      <c r="V120" s="9">
        <v>5.0087700000000002</v>
      </c>
      <c r="W120" s="9">
        <v>3.6487099999999999</v>
      </c>
      <c r="X120" s="9">
        <v>2.5222699999999998</v>
      </c>
      <c r="Y120" s="9">
        <v>34.494199999999999</v>
      </c>
      <c r="Z120" s="9">
        <v>23.161799999999999</v>
      </c>
      <c r="AA120" s="9">
        <f t="shared" si="17"/>
        <v>0.8666769596199525</v>
      </c>
      <c r="AB120" s="9">
        <f t="shared" si="18"/>
        <v>1.2019002375296912</v>
      </c>
      <c r="AC120" s="9">
        <f t="shared" si="19"/>
        <v>0.59382422802850354</v>
      </c>
      <c r="AD120" s="9">
        <f t="shared" si="20"/>
        <v>3.1603065773332721</v>
      </c>
      <c r="AE120" s="9">
        <f t="shared" si="21"/>
        <v>2.1220491816849725</v>
      </c>
      <c r="AF120" s="9">
        <f t="shared" si="22"/>
        <v>4.2451972312617627</v>
      </c>
      <c r="AG120" s="9">
        <f t="shared" si="13"/>
        <v>1.8639467225617419</v>
      </c>
      <c r="AH120" s="9">
        <f t="shared" si="23"/>
        <v>0.9618530437389522</v>
      </c>
      <c r="AI120" s="9">
        <f t="shared" si="15"/>
        <v>1.7683215217297443</v>
      </c>
      <c r="AJ120" s="9">
        <f>(4*PI()*(AI120^2))/(Y120+E120)</f>
        <v>0.86534667996098891</v>
      </c>
      <c r="AK120" s="12">
        <f t="shared" si="16"/>
        <v>1.0963541666666667</v>
      </c>
      <c r="AL120" s="12" t="s">
        <v>140</v>
      </c>
      <c r="AM120" s="12" t="s">
        <v>143</v>
      </c>
      <c r="AN120" s="18">
        <v>15.773</v>
      </c>
      <c r="AO120" s="18">
        <v>1.2261</v>
      </c>
      <c r="AP120" s="18">
        <v>34906</v>
      </c>
      <c r="AQ120" s="18">
        <v>33933</v>
      </c>
      <c r="AR120" s="18">
        <v>7.7721</v>
      </c>
      <c r="AS120" s="18">
        <v>4.4394999999999999E-3</v>
      </c>
      <c r="AT120" s="18">
        <v>0.77261999999999997</v>
      </c>
      <c r="AU120" s="18">
        <v>0.17951</v>
      </c>
      <c r="AV120" s="18">
        <v>0</v>
      </c>
      <c r="AW120" s="18">
        <v>2.96E-3</v>
      </c>
      <c r="AX120" s="18">
        <v>0.51961999999999997</v>
      </c>
      <c r="AY120" s="18">
        <v>3.6686999999999999</v>
      </c>
      <c r="AZ120" s="18">
        <v>11108</v>
      </c>
      <c r="BA120" s="18">
        <v>1.1923E-2</v>
      </c>
      <c r="BB120" s="18">
        <v>4.7397</v>
      </c>
      <c r="BC120" s="18" t="s">
        <v>162</v>
      </c>
      <c r="BD120" s="35" t="s">
        <v>163</v>
      </c>
      <c r="BE120" t="s">
        <v>167</v>
      </c>
    </row>
    <row r="121" spans="1:57" x14ac:dyDescent="0.25">
      <c r="A121" s="15" t="s">
        <v>190</v>
      </c>
      <c r="B121" s="18" t="s">
        <v>5</v>
      </c>
      <c r="C121" s="18" t="s">
        <v>6</v>
      </c>
      <c r="D121" s="18">
        <v>70</v>
      </c>
      <c r="E121" s="18">
        <v>10.802768368771799</v>
      </c>
      <c r="F121" s="18">
        <v>12.266999999999999</v>
      </c>
      <c r="G121" s="15">
        <v>7.47</v>
      </c>
      <c r="H121" s="15">
        <v>4.95</v>
      </c>
      <c r="I121" s="15">
        <v>2.62</v>
      </c>
      <c r="J121" s="15">
        <v>21.03</v>
      </c>
      <c r="K121" s="15">
        <v>4.4400000000000004</v>
      </c>
      <c r="L121" s="15">
        <v>16.87</v>
      </c>
      <c r="M121" s="15">
        <v>7.35</v>
      </c>
      <c r="N121" s="15">
        <v>1</v>
      </c>
      <c r="O121" s="15">
        <v>3.5</v>
      </c>
      <c r="P121" s="9">
        <v>1.38466</v>
      </c>
      <c r="Q121" s="9">
        <v>2.0792099999999998</v>
      </c>
      <c r="R121" s="9">
        <v>0.17346900000000001</v>
      </c>
      <c r="S121" s="9">
        <v>0.167633</v>
      </c>
      <c r="T121" s="9">
        <v>0.18449399999999999</v>
      </c>
      <c r="U121" s="9">
        <v>3.8707199999999997E-2</v>
      </c>
      <c r="V121" s="9">
        <v>7.4477599999999997</v>
      </c>
      <c r="W121" s="9">
        <v>3.5820099999999999</v>
      </c>
      <c r="X121" s="9">
        <v>4.9598699999999996</v>
      </c>
      <c r="Y121" s="9">
        <v>104.965</v>
      </c>
      <c r="Z121" s="9">
        <v>105.316</v>
      </c>
      <c r="AA121" s="9">
        <f t="shared" si="17"/>
        <v>1.3671793893129771</v>
      </c>
      <c r="AB121" s="9">
        <f t="shared" si="18"/>
        <v>2.8511450381679388</v>
      </c>
      <c r="AC121" s="9">
        <f t="shared" si="19"/>
        <v>1.8893129770992367</v>
      </c>
      <c r="AD121" s="9">
        <f t="shared" si="20"/>
        <v>9.716490849089066</v>
      </c>
      <c r="AE121" s="9">
        <f t="shared" si="21"/>
        <v>9.7489825204845815</v>
      </c>
      <c r="AF121" s="9">
        <f t="shared" si="22"/>
        <v>4.7066828964521923</v>
      </c>
      <c r="AG121" s="9">
        <f t="shared" si="13"/>
        <v>1.8543537876936014</v>
      </c>
      <c r="AH121" s="9">
        <f t="shared" si="23"/>
        <v>0.94980422867443148</v>
      </c>
      <c r="AI121" s="9">
        <f t="shared" si="15"/>
        <v>2.9295567509276803</v>
      </c>
      <c r="AJ121" s="9">
        <f>(4*PI()*(AI121^2))/(Y121+E121)</f>
        <v>0.93159260723046433</v>
      </c>
      <c r="AK121" s="12">
        <f t="shared" si="16"/>
        <v>0.74857142857142855</v>
      </c>
      <c r="AL121" s="12" t="s">
        <v>140</v>
      </c>
      <c r="AM121" s="12" t="s">
        <v>143</v>
      </c>
      <c r="AN121" s="18">
        <v>5.3792168140322403</v>
      </c>
      <c r="AO121" s="18">
        <v>0.44073542468806498</v>
      </c>
      <c r="AP121" s="18">
        <v>10751.7888847922</v>
      </c>
      <c r="AQ121" s="18">
        <v>9716.9142410592503</v>
      </c>
      <c r="AR121" s="18">
        <v>2.6431969337991199</v>
      </c>
      <c r="AS121" s="18">
        <v>1.0125796208384301E-2</v>
      </c>
      <c r="AT121" s="18">
        <v>0.72646815579442203</v>
      </c>
      <c r="AU121" s="18">
        <v>0.63161234838841296</v>
      </c>
      <c r="AV121" s="18">
        <v>4.4327533016859898E-2</v>
      </c>
      <c r="AW121" s="18">
        <v>8.1657807571761405E-3</v>
      </c>
      <c r="AX121" s="18">
        <v>0.21961674227379799</v>
      </c>
      <c r="AY121" s="18">
        <v>-3.6159538217191498</v>
      </c>
      <c r="AZ121" s="18">
        <v>-1010.48936903393</v>
      </c>
      <c r="BA121" s="18">
        <v>0.124899762689498</v>
      </c>
      <c r="BB121" s="18">
        <v>4.6210612490827403</v>
      </c>
      <c r="BC121" s="18" t="s">
        <v>162</v>
      </c>
      <c r="BD121" s="35" t="s">
        <v>165</v>
      </c>
      <c r="BE121" t="s">
        <v>167</v>
      </c>
    </row>
    <row r="122" spans="1:57" x14ac:dyDescent="0.25">
      <c r="A122" s="15" t="s">
        <v>191</v>
      </c>
      <c r="B122" s="18" t="s">
        <v>5</v>
      </c>
      <c r="C122" s="18" t="s">
        <v>6</v>
      </c>
      <c r="D122" s="18">
        <v>57</v>
      </c>
      <c r="E122" s="18">
        <v>21.475533956597499</v>
      </c>
      <c r="F122" s="18">
        <v>17.971</v>
      </c>
      <c r="G122" s="15">
        <v>14</v>
      </c>
      <c r="H122" s="15">
        <v>9.3000000000000007</v>
      </c>
      <c r="I122" s="15">
        <v>2.61</v>
      </c>
      <c r="J122" s="15">
        <v>152.46</v>
      </c>
      <c r="K122" s="15">
        <v>6.22</v>
      </c>
      <c r="L122" s="15">
        <v>33.770000000000003</v>
      </c>
      <c r="M122" s="15">
        <v>11.7</v>
      </c>
      <c r="N122" s="15">
        <v>1</v>
      </c>
      <c r="O122" s="15">
        <v>3.11</v>
      </c>
      <c r="P122" s="9">
        <v>1.9003099999999999</v>
      </c>
      <c r="Q122" s="9">
        <v>2.8957899999999999</v>
      </c>
      <c r="R122" s="9">
        <v>3.0054600000000001E-2</v>
      </c>
      <c r="S122" s="9">
        <v>0.19744100000000001</v>
      </c>
      <c r="T122" s="9">
        <v>0.22641500000000001</v>
      </c>
      <c r="U122" s="9">
        <v>5.7984500000000001E-2</v>
      </c>
      <c r="V122" s="9">
        <v>14.093999999999999</v>
      </c>
      <c r="W122" s="9">
        <v>4.8670799999999996</v>
      </c>
      <c r="X122" s="9">
        <v>9.2489500000000007</v>
      </c>
      <c r="Y122" s="9">
        <v>393.42700000000002</v>
      </c>
      <c r="Z122" s="9">
        <v>706.06899999999996</v>
      </c>
      <c r="AA122" s="9">
        <f t="shared" si="17"/>
        <v>1.8647816091954021</v>
      </c>
      <c r="AB122" s="9">
        <f t="shared" si="18"/>
        <v>5.3639846743295019</v>
      </c>
      <c r="AC122" s="9">
        <f t="shared" si="19"/>
        <v>3.563218390804598</v>
      </c>
      <c r="AD122" s="9">
        <f t="shared" si="20"/>
        <v>18.319777324052765</v>
      </c>
      <c r="AE122" s="9">
        <f t="shared" si="21"/>
        <v>32.877832114767443</v>
      </c>
      <c r="AF122" s="9">
        <f t="shared" si="22"/>
        <v>4.9617254757464124</v>
      </c>
      <c r="AG122" s="9">
        <f t="shared" si="13"/>
        <v>2.6145505865178209</v>
      </c>
      <c r="AH122" s="9">
        <f t="shared" si="23"/>
        <v>0.91412307774116863</v>
      </c>
      <c r="AI122" s="9">
        <f t="shared" si="15"/>
        <v>5.5239895071468199</v>
      </c>
      <c r="AJ122" s="9">
        <f>(4*PI()*(AI122^2))/(Y122+E122)</f>
        <v>0.92420745360038148</v>
      </c>
      <c r="AK122" s="12">
        <f t="shared" si="16"/>
        <v>0.83922829581993563</v>
      </c>
      <c r="AL122" s="12" t="s">
        <v>144</v>
      </c>
      <c r="AM122" s="12" t="s">
        <v>143</v>
      </c>
      <c r="AN122" s="18">
        <v>2.6570999999999998</v>
      </c>
      <c r="AO122" s="18">
        <v>0.29931999999999997</v>
      </c>
      <c r="AP122" s="18">
        <v>6067.2</v>
      </c>
      <c r="AQ122" s="18">
        <v>5557</v>
      </c>
      <c r="AR122" s="18">
        <v>1.6289</v>
      </c>
      <c r="AS122" s="18">
        <v>1.4886E-2</v>
      </c>
      <c r="AT122" s="18">
        <v>0.74770999999999999</v>
      </c>
      <c r="AU122" s="18">
        <v>1.3132999999999999</v>
      </c>
      <c r="AV122" s="18">
        <v>0.50468999999999997</v>
      </c>
      <c r="AW122" s="18">
        <v>2.0164000000000001E-2</v>
      </c>
      <c r="AX122" s="18">
        <v>0.11488</v>
      </c>
      <c r="AY122" s="18">
        <v>14.548999999999999</v>
      </c>
      <c r="AZ122" s="18">
        <v>225.64</v>
      </c>
      <c r="BA122" s="18">
        <v>0.37594</v>
      </c>
      <c r="BB122" s="18">
        <v>29.382999999999999</v>
      </c>
      <c r="BC122" s="18" t="s">
        <v>162</v>
      </c>
      <c r="BD122" s="35" t="s">
        <v>165</v>
      </c>
      <c r="BE122" t="s">
        <v>167</v>
      </c>
    </row>
    <row r="123" spans="1:57" x14ac:dyDescent="0.25">
      <c r="A123" s="15" t="s">
        <v>192</v>
      </c>
      <c r="B123" s="16" t="s">
        <v>5</v>
      </c>
      <c r="C123" s="16" t="s">
        <v>6</v>
      </c>
      <c r="D123" s="16">
        <v>50</v>
      </c>
      <c r="E123" s="16">
        <v>8.3544999999999998</v>
      </c>
      <c r="F123" s="16">
        <v>10.471</v>
      </c>
      <c r="G123" s="15">
        <v>8.07</v>
      </c>
      <c r="H123" s="15">
        <v>7.3</v>
      </c>
      <c r="I123" s="15">
        <v>2.14</v>
      </c>
      <c r="J123" s="15">
        <v>58.79</v>
      </c>
      <c r="K123" s="15">
        <v>62.22</v>
      </c>
      <c r="L123" s="15">
        <v>65.14</v>
      </c>
      <c r="M123" s="15">
        <v>5.3</v>
      </c>
      <c r="N123" s="15">
        <v>2</v>
      </c>
      <c r="O123" s="15">
        <f>0.82+2.18</f>
        <v>3</v>
      </c>
      <c r="P123" s="9">
        <v>2.2842699999999998</v>
      </c>
      <c r="Q123" s="9">
        <v>1.7118199999999999</v>
      </c>
      <c r="R123" s="9">
        <v>-7.9310400000000003E-2</v>
      </c>
      <c r="S123" s="9">
        <v>0.19902900000000001</v>
      </c>
      <c r="T123" s="9">
        <v>0.21975600000000001</v>
      </c>
      <c r="U123" s="9">
        <v>6.4656599999999995E-2</v>
      </c>
      <c r="V123" s="9">
        <v>5.4877399999999996</v>
      </c>
      <c r="W123" s="9">
        <v>3.2058</v>
      </c>
      <c r="X123" s="9">
        <v>7.3229300000000004</v>
      </c>
      <c r="Y123" s="9">
        <v>101.896</v>
      </c>
      <c r="Z123" s="9">
        <v>94.268799999999999</v>
      </c>
      <c r="AA123" s="9">
        <f t="shared" si="17"/>
        <v>1.49803738317757</v>
      </c>
      <c r="AB123" s="9">
        <f t="shared" si="18"/>
        <v>3.7710280373831773</v>
      </c>
      <c r="AC123" s="9">
        <f t="shared" si="19"/>
        <v>3.4112149532710276</v>
      </c>
      <c r="AD123" s="9">
        <f t="shared" si="20"/>
        <v>12.196540786402538</v>
      </c>
      <c r="AE123" s="9">
        <f t="shared" si="21"/>
        <v>11.283595667005805</v>
      </c>
      <c r="AF123" s="9">
        <f t="shared" si="22"/>
        <v>4.9193963735061264</v>
      </c>
      <c r="AG123" s="9">
        <f t="shared" si="13"/>
        <v>1.6307421451972348</v>
      </c>
      <c r="AH123" s="9">
        <f t="shared" si="23"/>
        <v>0.97853644222154379</v>
      </c>
      <c r="AI123" s="9">
        <f t="shared" si="15"/>
        <v>2.8233179534024155</v>
      </c>
      <c r="AJ123" s="9">
        <f>(4*PI()*(AI123^2))/(Y123+E123)</f>
        <v>0.90855009038256573</v>
      </c>
      <c r="AK123" s="12">
        <f t="shared" si="16"/>
        <v>0.71333333333333337</v>
      </c>
      <c r="AL123" s="12" t="s">
        <v>144</v>
      </c>
      <c r="AM123" s="12" t="s">
        <v>142</v>
      </c>
      <c r="AN123" s="16">
        <v>4.3033999999999999</v>
      </c>
      <c r="AO123" s="16">
        <v>0.43042999999999998</v>
      </c>
      <c r="AP123" s="16">
        <v>5580.5</v>
      </c>
      <c r="AQ123" s="16">
        <v>5462.1</v>
      </c>
      <c r="AR123" s="16">
        <v>2.1133999999999999</v>
      </c>
      <c r="AS123" s="16">
        <v>1.4153000000000001E-2</v>
      </c>
      <c r="AT123" s="16">
        <v>0.71777999999999997</v>
      </c>
      <c r="AU123" s="16">
        <v>0.84618000000000004</v>
      </c>
      <c r="AV123" s="16">
        <v>6.2010000000000003E-2</v>
      </c>
      <c r="AW123" s="16">
        <v>1.0717000000000001E-2</v>
      </c>
      <c r="AX123" s="16">
        <v>0.1777</v>
      </c>
      <c r="AY123" s="16">
        <v>15.351000000000001</v>
      </c>
      <c r="AZ123" s="16">
        <v>1337.1</v>
      </c>
      <c r="BA123" s="16">
        <v>0.11210000000000001</v>
      </c>
      <c r="BB123" s="16">
        <v>17.821000000000002</v>
      </c>
      <c r="BC123" s="16" t="s">
        <v>162</v>
      </c>
      <c r="BD123" s="34" t="s">
        <v>163</v>
      </c>
      <c r="BE123" t="s">
        <v>167</v>
      </c>
    </row>
    <row r="124" spans="1:57" x14ac:dyDescent="0.25">
      <c r="A124" s="15" t="s">
        <v>193</v>
      </c>
      <c r="B124" s="16" t="s">
        <v>40</v>
      </c>
      <c r="C124" s="16" t="s">
        <v>6</v>
      </c>
      <c r="D124" s="16">
        <v>80</v>
      </c>
      <c r="E124" s="16">
        <v>12.37</v>
      </c>
      <c r="F124" s="16">
        <v>13.153</v>
      </c>
      <c r="G124" s="15">
        <v>11.89</v>
      </c>
      <c r="H124" s="15">
        <v>11.05</v>
      </c>
      <c r="I124" s="15">
        <v>3.04</v>
      </c>
      <c r="J124" s="15">
        <v>19.670000000000002</v>
      </c>
      <c r="K124" s="15">
        <v>69.040000000000006</v>
      </c>
      <c r="L124" s="15">
        <v>80.28</v>
      </c>
      <c r="M124" s="15">
        <v>1.38</v>
      </c>
      <c r="N124" s="15">
        <v>2</v>
      </c>
      <c r="O124" s="15">
        <f>2.04+2.62</f>
        <v>4.66</v>
      </c>
      <c r="P124" s="9">
        <v>2.8614299999999999</v>
      </c>
      <c r="Q124" s="9">
        <v>2.11422</v>
      </c>
      <c r="R124" s="9">
        <v>1.36364E-2</v>
      </c>
      <c r="S124" s="9">
        <v>0.23591500000000001</v>
      </c>
      <c r="T124" s="9">
        <v>0.25065900000000002</v>
      </c>
      <c r="U124" s="9">
        <v>4.8349900000000001E-2</v>
      </c>
      <c r="V124" s="9">
        <v>8.17211</v>
      </c>
      <c r="W124" s="9">
        <v>3.86531</v>
      </c>
      <c r="X124" s="9">
        <v>11.0603</v>
      </c>
      <c r="Y124" s="9">
        <v>223.702</v>
      </c>
      <c r="Z124" s="9">
        <v>288.61</v>
      </c>
      <c r="AA124" s="9">
        <f t="shared" si="17"/>
        <v>1.2714835526315789</v>
      </c>
      <c r="AB124" s="9">
        <f t="shared" si="18"/>
        <v>3.9111842105263159</v>
      </c>
      <c r="AC124" s="9">
        <f t="shared" si="19"/>
        <v>3.6348684210526319</v>
      </c>
      <c r="AD124" s="9">
        <f t="shared" si="20"/>
        <v>18.084236054971708</v>
      </c>
      <c r="AE124" s="9">
        <f t="shared" si="21"/>
        <v>23.331447049312857</v>
      </c>
      <c r="AF124" s="9">
        <f t="shared" si="22"/>
        <v>5.1222678400094779</v>
      </c>
      <c r="AG124" s="9">
        <f t="shared" si="13"/>
        <v>1.9843117930641572</v>
      </c>
      <c r="AH124" s="9">
        <f t="shared" si="23"/>
        <v>0.94790532221119828</v>
      </c>
      <c r="AI124" s="9">
        <f t="shared" si="15"/>
        <v>4.0995946890360422</v>
      </c>
      <c r="AJ124" s="9">
        <f>(4*PI()*(AI124^2))/(Y124+E124)</f>
        <v>0.89463776785001348</v>
      </c>
      <c r="AK124" s="12">
        <f t="shared" si="16"/>
        <v>0.6523605150214592</v>
      </c>
      <c r="AL124" s="12" t="s">
        <v>140</v>
      </c>
      <c r="AM124" s="12" t="s">
        <v>142</v>
      </c>
      <c r="AN124" s="16">
        <v>0.35564000000000001</v>
      </c>
      <c r="AO124" s="16">
        <v>8.0780000000000005E-2</v>
      </c>
      <c r="AP124" s="16">
        <v>744.89</v>
      </c>
      <c r="AQ124" s="16">
        <v>585.97</v>
      </c>
      <c r="AR124" s="16">
        <v>0.30987999999999999</v>
      </c>
      <c r="AS124" s="16">
        <v>2.9940999999999999E-2</v>
      </c>
      <c r="AT124" s="16">
        <v>0.67176999999999998</v>
      </c>
      <c r="AU124" s="16">
        <v>6.6772999999999998</v>
      </c>
      <c r="AV124" s="16">
        <v>0.71506000000000003</v>
      </c>
      <c r="AW124" s="16">
        <v>2.7546999999999999E-2</v>
      </c>
      <c r="AX124" s="16">
        <v>3.1195000000000001E-2</v>
      </c>
      <c r="AY124" s="16">
        <v>-15.018000000000001</v>
      </c>
      <c r="AZ124" s="16">
        <v>-53.039000000000001</v>
      </c>
      <c r="BA124" s="16">
        <v>0.92422000000000004</v>
      </c>
      <c r="BB124" s="16">
        <v>4.0193000000000003</v>
      </c>
      <c r="BC124" s="16" t="s">
        <v>162</v>
      </c>
      <c r="BD124" s="34" t="s">
        <v>165</v>
      </c>
      <c r="BE124" t="s">
        <v>167</v>
      </c>
    </row>
    <row r="125" spans="1:57" x14ac:dyDescent="0.25">
      <c r="A125" s="15" t="s">
        <v>194</v>
      </c>
      <c r="B125" s="18" t="s">
        <v>5</v>
      </c>
      <c r="C125" s="18" t="s">
        <v>6</v>
      </c>
      <c r="D125" s="18">
        <v>42</v>
      </c>
      <c r="E125" s="18">
        <v>6.7208621552558299</v>
      </c>
      <c r="F125" s="18">
        <v>9.3803999999999998</v>
      </c>
      <c r="G125" s="15">
        <v>4.46</v>
      </c>
      <c r="H125" s="15">
        <v>2.9</v>
      </c>
      <c r="I125" s="15">
        <v>2.58</v>
      </c>
      <c r="J125" s="15">
        <v>17.670000000000002</v>
      </c>
      <c r="K125" s="15">
        <v>20.25</v>
      </c>
      <c r="L125" s="15">
        <v>27.25</v>
      </c>
      <c r="M125" s="15">
        <v>4.4000000000000004</v>
      </c>
      <c r="N125" s="15">
        <v>1</v>
      </c>
      <c r="O125" s="15">
        <v>2.5099999999999998</v>
      </c>
      <c r="P125" s="9">
        <v>1.0309600000000001</v>
      </c>
      <c r="Q125" s="9">
        <v>1.4070499999999999</v>
      </c>
      <c r="R125" s="9">
        <v>9.6491199999999999E-2</v>
      </c>
      <c r="S125" s="9">
        <v>0.11138000000000001</v>
      </c>
      <c r="T125" s="9">
        <v>0.12521199999999999</v>
      </c>
      <c r="U125" s="9">
        <v>2.1570300000000001E-2</v>
      </c>
      <c r="V125" s="9">
        <v>4.0248100000000004</v>
      </c>
      <c r="W125" s="9">
        <v>2.8604500000000002</v>
      </c>
      <c r="X125" s="9">
        <v>2.9489999999999998</v>
      </c>
      <c r="Y125" s="9">
        <v>32.434899999999999</v>
      </c>
      <c r="Z125" s="9">
        <v>20.098400000000002</v>
      </c>
      <c r="AA125" s="9">
        <f t="shared" si="17"/>
        <v>1.108701550387597</v>
      </c>
      <c r="AB125" s="9">
        <f t="shared" si="18"/>
        <v>1.7286821705426356</v>
      </c>
      <c r="AC125" s="9">
        <f t="shared" si="19"/>
        <v>1.124031007751938</v>
      </c>
      <c r="AD125" s="9">
        <f t="shared" si="20"/>
        <v>4.8260028625397933</v>
      </c>
      <c r="AE125" s="9">
        <f t="shared" si="21"/>
        <v>2.9904496678722547</v>
      </c>
      <c r="AF125" s="9">
        <f t="shared" si="22"/>
        <v>4.3877132735496271</v>
      </c>
      <c r="AG125" s="9">
        <f t="shared" si="13"/>
        <v>1.4626403753816006</v>
      </c>
      <c r="AH125" s="9">
        <f t="shared" si="23"/>
        <v>0.97970667735760819</v>
      </c>
      <c r="AI125" s="9">
        <f t="shared" si="15"/>
        <v>1.6866473644016369</v>
      </c>
      <c r="AJ125" s="9">
        <f>(4*PI()*(AI125^2))/(Y125+E125)</f>
        <v>0.91298315834747612</v>
      </c>
      <c r="AK125" s="12">
        <f t="shared" si="16"/>
        <v>1.0278884462151396</v>
      </c>
      <c r="AL125" s="12" t="s">
        <v>144</v>
      </c>
      <c r="AM125" s="12" t="s">
        <v>143</v>
      </c>
      <c r="AN125" s="18">
        <v>11.635</v>
      </c>
      <c r="AO125" s="18">
        <v>1.244</v>
      </c>
      <c r="AP125" s="18">
        <v>21161</v>
      </c>
      <c r="AQ125" s="18">
        <v>21042</v>
      </c>
      <c r="AR125" s="18">
        <v>5.3925000000000001</v>
      </c>
      <c r="AS125" s="18">
        <v>9.2478999999999999E-3</v>
      </c>
      <c r="AT125" s="18">
        <v>0.75041999999999998</v>
      </c>
      <c r="AU125" s="18">
        <v>0.30299999999999999</v>
      </c>
      <c r="AV125" s="18">
        <v>5.6943999999999996E-3</v>
      </c>
      <c r="AW125" s="18">
        <v>4.2301999999999999E-3</v>
      </c>
      <c r="AX125" s="18">
        <v>0.36534</v>
      </c>
      <c r="AY125" s="18">
        <v>3.6078999999999999</v>
      </c>
      <c r="AZ125" s="18">
        <v>6440.9</v>
      </c>
      <c r="BA125" s="18">
        <v>1.9435000000000001E-2</v>
      </c>
      <c r="BB125" s="18">
        <v>5.4596</v>
      </c>
      <c r="BC125" s="18" t="s">
        <v>162</v>
      </c>
      <c r="BD125" s="35" t="s">
        <v>163</v>
      </c>
      <c r="BE125" t="s">
        <v>167</v>
      </c>
    </row>
    <row r="126" spans="1:57" x14ac:dyDescent="0.25">
      <c r="A126" s="15" t="s">
        <v>195</v>
      </c>
      <c r="B126" s="18" t="s">
        <v>13</v>
      </c>
      <c r="C126" s="18" t="s">
        <v>6</v>
      </c>
      <c r="D126" s="18">
        <v>75</v>
      </c>
      <c r="E126" s="18">
        <v>80.859721135963497</v>
      </c>
      <c r="F126" s="18">
        <v>34.933</v>
      </c>
      <c r="G126" s="15">
        <v>20.78</v>
      </c>
      <c r="H126" s="15">
        <v>17.100000000000001</v>
      </c>
      <c r="I126" s="15">
        <v>3.02</v>
      </c>
      <c r="J126" s="15">
        <v>33.46</v>
      </c>
      <c r="K126" s="15">
        <v>48.49</v>
      </c>
      <c r="L126" s="15">
        <v>52.26</v>
      </c>
      <c r="M126" s="15">
        <v>14.4</v>
      </c>
      <c r="N126" s="15">
        <v>1</v>
      </c>
      <c r="O126" s="15">
        <f>2.74</f>
        <v>2.74</v>
      </c>
      <c r="P126" s="9">
        <v>1.83996</v>
      </c>
      <c r="Q126" s="9">
        <v>1.73943</v>
      </c>
      <c r="R126" s="9">
        <v>-8.8921299999999995E-2</v>
      </c>
      <c r="S126" s="9">
        <v>0.162942</v>
      </c>
      <c r="T126" s="9">
        <v>0.17244000000000001</v>
      </c>
      <c r="U126" s="9">
        <v>1.8536400000000001E-2</v>
      </c>
      <c r="V126" s="9">
        <v>16.267700000000001</v>
      </c>
      <c r="W126" s="9">
        <v>9.3523499999999995</v>
      </c>
      <c r="X126" s="9">
        <v>17.207899999999999</v>
      </c>
      <c r="Y126" s="9">
        <v>835.92499999999995</v>
      </c>
      <c r="Z126" s="9">
        <v>2419.5700000000002</v>
      </c>
      <c r="AA126" s="9">
        <f t="shared" si="17"/>
        <v>3.0968046357615893</v>
      </c>
      <c r="AB126" s="9">
        <f t="shared" si="18"/>
        <v>6.8807947019867557</v>
      </c>
      <c r="AC126" s="9">
        <f t="shared" si="19"/>
        <v>5.6622516556291398</v>
      </c>
      <c r="AD126" s="9">
        <f t="shared" si="20"/>
        <v>10.337965407949083</v>
      </c>
      <c r="AE126" s="9">
        <f t="shared" si="21"/>
        <v>29.92305644897732</v>
      </c>
      <c r="AF126" s="9">
        <f t="shared" si="22"/>
        <v>4.6381186370741672</v>
      </c>
      <c r="AG126" s="9">
        <f t="shared" si="13"/>
        <v>5.0733074647257084</v>
      </c>
      <c r="AH126" s="9">
        <f t="shared" si="23"/>
        <v>0.91250482126267685</v>
      </c>
      <c r="AI126" s="9">
        <f t="shared" si="15"/>
        <v>8.3281753483665479</v>
      </c>
      <c r="AJ126" s="9">
        <f>(4*PI()*(AI126^2))/(Y126+E126)</f>
        <v>0.95069720773469168</v>
      </c>
      <c r="AK126" s="12">
        <f t="shared" si="16"/>
        <v>1.1021897810218977</v>
      </c>
      <c r="AL126" s="12" t="s">
        <v>144</v>
      </c>
      <c r="AM126" s="12" t="s">
        <v>142</v>
      </c>
      <c r="AN126" s="18">
        <v>0.34844000000000003</v>
      </c>
      <c r="AO126" s="18">
        <v>5.0645000000000003E-2</v>
      </c>
      <c r="AP126" s="18">
        <v>304.68</v>
      </c>
      <c r="AQ126" s="18">
        <v>251.16</v>
      </c>
      <c r="AR126" s="18">
        <v>0.28577999999999998</v>
      </c>
      <c r="AS126" s="18">
        <v>5.3109000000000003E-2</v>
      </c>
      <c r="AT126" s="18">
        <v>0.65878999999999999</v>
      </c>
      <c r="AU126" s="18">
        <v>11.653</v>
      </c>
      <c r="AV126" s="18">
        <v>0.93838999999999995</v>
      </c>
      <c r="AW126" s="18">
        <v>4.2362999999999998E-2</v>
      </c>
      <c r="AX126" s="18">
        <v>2.6793999999999998E-2</v>
      </c>
      <c r="AY126" s="18">
        <v>-950.92</v>
      </c>
      <c r="AZ126" s="18">
        <v>-43.427999999999997</v>
      </c>
      <c r="BA126" s="18">
        <v>7.7108999999999996</v>
      </c>
      <c r="BB126" s="18">
        <v>43.808999999999997</v>
      </c>
      <c r="BC126" s="18" t="s">
        <v>162</v>
      </c>
      <c r="BD126" s="35" t="s">
        <v>163</v>
      </c>
      <c r="BE126" t="s">
        <v>167</v>
      </c>
    </row>
    <row r="127" spans="1:57" x14ac:dyDescent="0.25">
      <c r="A127" s="15" t="s">
        <v>196</v>
      </c>
      <c r="B127" s="18" t="s">
        <v>5</v>
      </c>
      <c r="C127" s="18" t="s">
        <v>6</v>
      </c>
      <c r="D127" s="18">
        <v>61</v>
      </c>
      <c r="E127" s="18">
        <v>15.3469221177698</v>
      </c>
      <c r="F127" s="18">
        <v>14.188000000000001</v>
      </c>
      <c r="G127" s="15">
        <v>4.67</v>
      </c>
      <c r="H127" s="15">
        <v>2.2999999999999998</v>
      </c>
      <c r="I127" s="15">
        <v>5.61</v>
      </c>
      <c r="J127" s="15">
        <v>143.15</v>
      </c>
      <c r="K127" s="15">
        <v>8.56</v>
      </c>
      <c r="L127" s="15">
        <v>14.24</v>
      </c>
      <c r="M127" s="15">
        <v>4.4800000000000004</v>
      </c>
      <c r="N127" s="15">
        <v>1</v>
      </c>
      <c r="O127" s="15">
        <v>5.0999999999999996</v>
      </c>
      <c r="P127" s="9">
        <v>0.52937400000000001</v>
      </c>
      <c r="Q127" s="9">
        <v>1.0557099999999999</v>
      </c>
      <c r="R127" s="9">
        <v>0.47777799999999998</v>
      </c>
      <c r="S127" s="9">
        <v>4.3773600000000003E-2</v>
      </c>
      <c r="T127" s="9">
        <v>5.1871599999999997E-2</v>
      </c>
      <c r="U127" s="9">
        <v>7.73247E-3</v>
      </c>
      <c r="V127" s="9">
        <v>4.6545899999999998</v>
      </c>
      <c r="W127" s="9">
        <v>4.4089600000000004</v>
      </c>
      <c r="X127" s="9">
        <v>2.33399</v>
      </c>
      <c r="Y127" s="9">
        <v>28.830200000000001</v>
      </c>
      <c r="Z127" s="9">
        <v>19.0047</v>
      </c>
      <c r="AA127" s="9">
        <f t="shared" si="17"/>
        <v>0.78591087344028521</v>
      </c>
      <c r="AB127" s="9">
        <f t="shared" si="18"/>
        <v>0.83244206773618534</v>
      </c>
      <c r="AC127" s="9">
        <f t="shared" si="19"/>
        <v>0.40998217468805698</v>
      </c>
      <c r="AD127" s="9">
        <f t="shared" si="20"/>
        <v>1.878565602846076</v>
      </c>
      <c r="AE127" s="9">
        <f t="shared" si="21"/>
        <v>1.2383395090012839</v>
      </c>
      <c r="AF127" s="9">
        <f t="shared" si="22"/>
        <v>4.0483088965622347</v>
      </c>
      <c r="AG127" s="9">
        <f t="shared" si="13"/>
        <v>2.2102210370410478</v>
      </c>
      <c r="AH127" s="9">
        <f t="shared" si="23"/>
        <v>0.9788009829120059</v>
      </c>
      <c r="AI127" s="9">
        <f t="shared" si="15"/>
        <v>1.6554807547479415</v>
      </c>
      <c r="AJ127" s="9">
        <f>(4*PI()*(AI127^2))/(Y127+E127)</f>
        <v>0.77958004887064491</v>
      </c>
      <c r="AK127" s="12">
        <f t="shared" si="16"/>
        <v>1.1000000000000001</v>
      </c>
      <c r="AL127" s="12" t="s">
        <v>144</v>
      </c>
      <c r="AM127" s="12" t="s">
        <v>143</v>
      </c>
      <c r="AN127" s="18">
        <v>12.930999999999999</v>
      </c>
      <c r="AO127" s="18">
        <v>1.7148000000000001</v>
      </c>
      <c r="AP127" s="18">
        <v>19534</v>
      </c>
      <c r="AQ127" s="18">
        <v>20259</v>
      </c>
      <c r="AR127" s="18">
        <v>5.4053000000000004</v>
      </c>
      <c r="AS127" s="18">
        <v>1.0552000000000001E-2</v>
      </c>
      <c r="AT127" s="18">
        <v>0.74446999999999997</v>
      </c>
      <c r="AU127" s="18">
        <v>0.29385</v>
      </c>
      <c r="AV127" s="18">
        <v>0</v>
      </c>
      <c r="AW127" s="18">
        <v>1.0836999999999999E-2</v>
      </c>
      <c r="AX127" s="18">
        <v>0.40510000000000002</v>
      </c>
      <c r="AY127" s="18">
        <v>4.0045999999999999</v>
      </c>
      <c r="AZ127" s="18">
        <v>1940.4</v>
      </c>
      <c r="BA127" s="18">
        <v>1.1462E-2</v>
      </c>
      <c r="BB127" s="18">
        <v>43.808999999999997</v>
      </c>
      <c r="BC127" s="18" t="s">
        <v>164</v>
      </c>
      <c r="BD127" s="35" t="s">
        <v>165</v>
      </c>
      <c r="BE127" t="s">
        <v>167</v>
      </c>
    </row>
    <row r="128" spans="1:57" x14ac:dyDescent="0.25">
      <c r="A128" s="15" t="s">
        <v>197</v>
      </c>
      <c r="B128" s="16" t="s">
        <v>5</v>
      </c>
      <c r="C128" s="16" t="s">
        <v>6</v>
      </c>
      <c r="D128" s="16">
        <v>51</v>
      </c>
      <c r="E128" s="16">
        <v>24.849</v>
      </c>
      <c r="F128" s="16">
        <v>18.437999999999999</v>
      </c>
      <c r="G128" s="15">
        <v>16.88</v>
      </c>
      <c r="H128" s="15">
        <v>12.8</v>
      </c>
      <c r="I128" s="15">
        <v>4.1500000000000004</v>
      </c>
      <c r="J128" s="15">
        <v>8.15</v>
      </c>
      <c r="K128" s="15">
        <v>38.08</v>
      </c>
      <c r="L128" s="15">
        <v>44.07</v>
      </c>
      <c r="M128" s="15">
        <v>11</v>
      </c>
      <c r="N128" s="15">
        <v>1</v>
      </c>
      <c r="O128" s="15">
        <v>2.21</v>
      </c>
      <c r="P128" s="9">
        <v>2.3445399999999998</v>
      </c>
      <c r="Q128" s="9">
        <v>2.9338899999999999</v>
      </c>
      <c r="R128" s="9">
        <v>0.115686</v>
      </c>
      <c r="S128" s="9">
        <v>0.215672</v>
      </c>
      <c r="T128" s="9">
        <v>0.23153799999999999</v>
      </c>
      <c r="U128" s="9">
        <v>4.50681E-2</v>
      </c>
      <c r="V128" s="9">
        <v>16.029499999999999</v>
      </c>
      <c r="W128" s="9">
        <v>5.4635499999999997</v>
      </c>
      <c r="X128" s="9">
        <v>12.8095</v>
      </c>
      <c r="Y128" s="9">
        <v>510.50299999999999</v>
      </c>
      <c r="Z128" s="9">
        <v>1033.29</v>
      </c>
      <c r="AA128" s="9">
        <f t="shared" si="17"/>
        <v>1.3165180722891565</v>
      </c>
      <c r="AB128" s="9">
        <f t="shared" si="18"/>
        <v>4.0674698795180717</v>
      </c>
      <c r="AC128" s="9">
        <f t="shared" si="19"/>
        <v>3.0843373493975901</v>
      </c>
      <c r="AD128" s="9">
        <f t="shared" si="20"/>
        <v>20.544207010342468</v>
      </c>
      <c r="AE128" s="9">
        <f t="shared" si="21"/>
        <v>41.58275986961246</v>
      </c>
      <c r="AF128" s="9">
        <f t="shared" si="22"/>
        <v>4.9947851785800932</v>
      </c>
      <c r="AG128" s="9">
        <f t="shared" si="13"/>
        <v>2.8124157519436941</v>
      </c>
      <c r="AH128" s="9">
        <f t="shared" si="23"/>
        <v>0.95839729527568318</v>
      </c>
      <c r="AI128" s="9">
        <f t="shared" si="15"/>
        <v>6.2715930816519307</v>
      </c>
      <c r="AJ128" s="9">
        <f>(4*PI()*(AI128^2))/(Y128+E128)</f>
        <v>0.92326458978100334</v>
      </c>
      <c r="AK128" s="12">
        <f t="shared" si="16"/>
        <v>1.8778280542986427</v>
      </c>
      <c r="AL128" s="12" t="s">
        <v>144</v>
      </c>
      <c r="AM128" s="12" t="s">
        <v>142</v>
      </c>
      <c r="AN128" s="16">
        <v>2.1349</v>
      </c>
      <c r="AO128" s="16">
        <v>0.19106000000000001</v>
      </c>
      <c r="AP128" s="16">
        <v>4311</v>
      </c>
      <c r="AQ128" s="16">
        <v>3783.6</v>
      </c>
      <c r="AR128" s="16">
        <v>1.6817</v>
      </c>
      <c r="AS128" s="16">
        <v>5.3668E-2</v>
      </c>
      <c r="AT128" s="16">
        <v>0.64078000000000002</v>
      </c>
      <c r="AU128" s="16">
        <v>1.8512</v>
      </c>
      <c r="AV128" s="16">
        <v>0.45561000000000001</v>
      </c>
      <c r="AW128" s="16">
        <v>6.2797000000000006E-2</v>
      </c>
      <c r="AX128" s="16">
        <v>0.14313999999999999</v>
      </c>
      <c r="AY128" s="16">
        <v>-1.2076</v>
      </c>
      <c r="AZ128" s="16">
        <v>-186.6</v>
      </c>
      <c r="BA128" s="16">
        <v>0.39678000000000002</v>
      </c>
      <c r="BB128" s="16">
        <v>2.0983999999999998</v>
      </c>
      <c r="BC128" s="16" t="s">
        <v>164</v>
      </c>
      <c r="BD128" s="34" t="s">
        <v>165</v>
      </c>
      <c r="BE128" t="s">
        <v>167</v>
      </c>
    </row>
    <row r="129" spans="1:57" x14ac:dyDescent="0.25">
      <c r="A129" s="15" t="s">
        <v>198</v>
      </c>
      <c r="B129" s="16" t="s">
        <v>13</v>
      </c>
      <c r="C129" s="16" t="s">
        <v>6</v>
      </c>
      <c r="D129" s="16">
        <v>66</v>
      </c>
      <c r="E129" s="16">
        <v>15.779</v>
      </c>
      <c r="F129" s="16">
        <v>14.739000000000001</v>
      </c>
      <c r="G129" s="15">
        <v>12.3</v>
      </c>
      <c r="H129" s="15">
        <v>10</v>
      </c>
      <c r="I129" s="15">
        <v>2.08</v>
      </c>
      <c r="J129" s="15">
        <v>103.52</v>
      </c>
      <c r="K129" s="15">
        <v>11.35</v>
      </c>
      <c r="L129" s="15">
        <v>85.09</v>
      </c>
      <c r="M129" s="15">
        <v>7.9</v>
      </c>
      <c r="N129" s="15">
        <v>2</v>
      </c>
      <c r="O129" s="15">
        <f>1.76+2.05</f>
        <v>3.8099999999999996</v>
      </c>
      <c r="P129" s="9">
        <v>2.3668100000000001</v>
      </c>
      <c r="Q129" s="9">
        <v>2.8096299999999998</v>
      </c>
      <c r="R129" s="9">
        <v>7.2864300000000007E-2</v>
      </c>
      <c r="S129" s="9">
        <v>0.21998500000000001</v>
      </c>
      <c r="T129" s="9">
        <v>0.274785</v>
      </c>
      <c r="U129" s="9">
        <v>0.158772</v>
      </c>
      <c r="V129" s="9">
        <v>11.8757</v>
      </c>
      <c r="W129" s="9">
        <v>4.2267700000000001</v>
      </c>
      <c r="X129" s="9">
        <v>10.004</v>
      </c>
      <c r="Y129" s="9">
        <v>297.16300000000001</v>
      </c>
      <c r="Z129" s="9">
        <v>420.709</v>
      </c>
      <c r="AA129" s="9">
        <f t="shared" si="17"/>
        <v>2.0321009615384615</v>
      </c>
      <c r="AB129" s="9">
        <f t="shared" si="18"/>
        <v>5.9134615384615383</v>
      </c>
      <c r="AC129" s="9">
        <f t="shared" si="19"/>
        <v>4.8076923076923075</v>
      </c>
      <c r="AD129" s="9">
        <f t="shared" si="20"/>
        <v>18.832815767792635</v>
      </c>
      <c r="AE129" s="9">
        <f t="shared" si="21"/>
        <v>26.662589517713418</v>
      </c>
      <c r="AF129" s="9">
        <f t="shared" si="22"/>
        <v>5.2926543505385668</v>
      </c>
      <c r="AG129" s="9">
        <f t="shared" si="13"/>
        <v>2.2411184025155908</v>
      </c>
      <c r="AH129" s="9">
        <f t="shared" si="23"/>
        <v>0.95538111258129765</v>
      </c>
      <c r="AI129" s="9">
        <f t="shared" si="15"/>
        <v>4.6483383345537925</v>
      </c>
      <c r="AJ129" s="9">
        <f>(4*PI()*(AI129^2))/(Y129+E129)</f>
        <v>0.8676438095261505</v>
      </c>
      <c r="AK129" s="12">
        <f t="shared" si="16"/>
        <v>0.54593175853018383</v>
      </c>
      <c r="AL129" s="12" t="s">
        <v>140</v>
      </c>
      <c r="AM129" s="12" t="s">
        <v>142</v>
      </c>
      <c r="AN129" s="16">
        <v>0.77120999999999995</v>
      </c>
      <c r="AO129" s="16">
        <v>0.12659999999999999</v>
      </c>
      <c r="AP129" s="16">
        <v>1021.8</v>
      </c>
      <c r="AQ129" s="16">
        <v>864.18</v>
      </c>
      <c r="AR129" s="16">
        <v>0.56703999999999999</v>
      </c>
      <c r="AS129" s="16">
        <v>7.6654E-2</v>
      </c>
      <c r="AT129" s="16">
        <v>0.59819999999999995</v>
      </c>
      <c r="AU129" s="16">
        <v>36.055</v>
      </c>
      <c r="AV129" s="16">
        <v>0.57093000000000005</v>
      </c>
      <c r="AW129" s="16">
        <v>7.7661999999999995E-2</v>
      </c>
      <c r="AX129" s="16">
        <v>6.1600000000000002E-2</v>
      </c>
      <c r="AY129" s="16">
        <v>-17.37</v>
      </c>
      <c r="AZ129" s="16">
        <v>-122.08</v>
      </c>
      <c r="BA129" s="16">
        <v>0.80371000000000004</v>
      </c>
      <c r="BB129" s="16">
        <v>9.8691999999999993</v>
      </c>
      <c r="BC129" s="16" t="s">
        <v>164</v>
      </c>
      <c r="BD129" s="34" t="s">
        <v>165</v>
      </c>
      <c r="BE129" t="s">
        <v>167</v>
      </c>
    </row>
    <row r="130" spans="1:57" x14ac:dyDescent="0.25">
      <c r="A130" s="15" t="s">
        <v>199</v>
      </c>
      <c r="B130" s="16" t="s">
        <v>5</v>
      </c>
      <c r="C130" s="16" t="s">
        <v>6</v>
      </c>
      <c r="D130" s="16">
        <v>37</v>
      </c>
      <c r="E130" s="16">
        <v>14.045</v>
      </c>
      <c r="F130" s="16">
        <v>14.39</v>
      </c>
      <c r="G130" s="15">
        <v>6.64</v>
      </c>
      <c r="H130" s="15">
        <v>4</v>
      </c>
      <c r="I130" s="15">
        <v>3.05</v>
      </c>
      <c r="J130" s="15">
        <v>81.27</v>
      </c>
      <c r="K130" s="15">
        <v>7.8</v>
      </c>
      <c r="L130" s="15">
        <v>70.97</v>
      </c>
      <c r="M130" s="15">
        <v>6.65</v>
      </c>
      <c r="N130" s="15">
        <v>2</v>
      </c>
      <c r="O130" s="15">
        <f>2.06+1.84</f>
        <v>3.9000000000000004</v>
      </c>
      <c r="P130" s="9">
        <v>1.0218499999999999</v>
      </c>
      <c r="Q130" s="9">
        <v>1.6575200000000001</v>
      </c>
      <c r="R130" s="9">
        <v>0.12820500000000001</v>
      </c>
      <c r="S130" s="9">
        <v>0.127634</v>
      </c>
      <c r="T130" s="9">
        <v>0.149449</v>
      </c>
      <c r="U130" s="9">
        <v>4.6777600000000003E-2</v>
      </c>
      <c r="V130" s="9">
        <v>6.4739300000000002</v>
      </c>
      <c r="W130" s="9">
        <v>3.9058000000000002</v>
      </c>
      <c r="X130" s="9">
        <v>3.9911300000000001</v>
      </c>
      <c r="Y130" s="9">
        <v>67.611500000000007</v>
      </c>
      <c r="Z130" s="9">
        <v>57.9923</v>
      </c>
      <c r="AA130" s="9">
        <f t="shared" si="17"/>
        <v>1.2805901639344264</v>
      </c>
      <c r="AB130" s="9">
        <f t="shared" si="18"/>
        <v>2.1770491803278689</v>
      </c>
      <c r="AC130" s="9">
        <f t="shared" si="19"/>
        <v>1.3114754098360657</v>
      </c>
      <c r="AD130" s="9">
        <f t="shared" si="20"/>
        <v>4.8139195443218235</v>
      </c>
      <c r="AE130" s="9">
        <f t="shared" si="21"/>
        <v>4.1290352438590245</v>
      </c>
      <c r="AF130" s="9">
        <f t="shared" si="22"/>
        <v>4.5127403776036097</v>
      </c>
      <c r="AG130" s="9">
        <f t="shared" ref="AG130:AG193" si="24">SQRT(E130/PI())</f>
        <v>2.1143940861275934</v>
      </c>
      <c r="AH130" s="9">
        <f t="shared" si="23"/>
        <v>0.9232195869037042</v>
      </c>
      <c r="AI130" s="9">
        <f t="shared" ref="AI130:AI193" si="25">(3*Z130/(4*PI()))^(1/3)</f>
        <v>2.4011939550864105</v>
      </c>
      <c r="AJ130" s="9">
        <f>(4*PI()*(AI130^2))/(Y130+E130)</f>
        <v>0.88730634213531712</v>
      </c>
      <c r="AK130" s="12">
        <f t="shared" si="16"/>
        <v>0.78205128205128194</v>
      </c>
      <c r="AL130" s="12" t="s">
        <v>140</v>
      </c>
      <c r="AM130" s="12" t="s">
        <v>142</v>
      </c>
      <c r="AN130" s="16">
        <v>3.4775999999999998</v>
      </c>
      <c r="AO130" s="16">
        <v>0.36630000000000001</v>
      </c>
      <c r="AP130" s="16">
        <v>6429.6</v>
      </c>
      <c r="AQ130" s="16">
        <v>6068.7</v>
      </c>
      <c r="AR130" s="16">
        <v>1.4136</v>
      </c>
      <c r="AS130" s="16">
        <v>1.8644000000000001E-2</v>
      </c>
      <c r="AT130" s="16">
        <v>0.71553999999999995</v>
      </c>
      <c r="AU130" s="16">
        <v>1.0972999999999999</v>
      </c>
      <c r="AV130" s="16">
        <v>0.11751</v>
      </c>
      <c r="AW130" s="16">
        <v>1.9951E-2</v>
      </c>
      <c r="AX130" s="16">
        <v>0.17748</v>
      </c>
      <c r="AY130" s="16">
        <v>-14.298999999999999</v>
      </c>
      <c r="AZ130" s="16">
        <v>-1071.5999999999999</v>
      </c>
      <c r="BA130" s="16">
        <v>9.7298999999999997E-2</v>
      </c>
      <c r="BB130" s="16">
        <v>7.0472999999999999</v>
      </c>
      <c r="BC130" s="16" t="s">
        <v>162</v>
      </c>
      <c r="BD130" s="34" t="s">
        <v>165</v>
      </c>
      <c r="BE130" t="s">
        <v>167</v>
      </c>
    </row>
    <row r="131" spans="1:57" x14ac:dyDescent="0.25">
      <c r="A131" s="15" t="s">
        <v>200</v>
      </c>
      <c r="B131" s="18" t="s">
        <v>5</v>
      </c>
      <c r="C131" s="18" t="s">
        <v>14</v>
      </c>
      <c r="D131" s="18">
        <v>62</v>
      </c>
      <c r="E131" s="18">
        <v>15.4291713680656</v>
      </c>
      <c r="F131" s="18">
        <v>14.212</v>
      </c>
      <c r="G131" s="15">
        <v>11.97</v>
      </c>
      <c r="H131" s="15">
        <v>10.199999999999999</v>
      </c>
      <c r="I131" s="15">
        <v>4.47</v>
      </c>
      <c r="J131" s="15">
        <v>23.12</v>
      </c>
      <c r="K131" s="15">
        <v>57.58</v>
      </c>
      <c r="L131" s="15">
        <v>36.840000000000003</v>
      </c>
      <c r="M131" s="15">
        <v>9.4</v>
      </c>
      <c r="N131" s="15">
        <v>2</v>
      </c>
      <c r="O131" s="15">
        <f>4.28+0.9</f>
        <v>5.1800000000000006</v>
      </c>
      <c r="P131" s="9">
        <v>2.3811200000000001</v>
      </c>
      <c r="Q131" s="9">
        <v>2.1116999999999999</v>
      </c>
      <c r="R131" s="9">
        <v>-0.160194</v>
      </c>
      <c r="S131" s="9">
        <v>0.20996300000000001</v>
      </c>
      <c r="T131" s="9">
        <v>0.21736</v>
      </c>
      <c r="U131" s="9">
        <v>2.4121E-2</v>
      </c>
      <c r="V131" s="9">
        <v>9.1928400000000003</v>
      </c>
      <c r="W131" s="9">
        <v>4.3532999999999999</v>
      </c>
      <c r="X131" s="9">
        <v>10.3657</v>
      </c>
      <c r="Y131" s="9">
        <v>257.03699999999998</v>
      </c>
      <c r="Z131" s="9">
        <v>379.42500000000001</v>
      </c>
      <c r="AA131" s="9">
        <f t="shared" si="17"/>
        <v>0.97389261744966449</v>
      </c>
      <c r="AB131" s="9">
        <f t="shared" si="18"/>
        <v>2.6778523489932891</v>
      </c>
      <c r="AC131" s="9">
        <f t="shared" si="19"/>
        <v>2.2818791946308723</v>
      </c>
      <c r="AD131" s="9">
        <f t="shared" si="20"/>
        <v>16.659157764752045</v>
      </c>
      <c r="AE131" s="9">
        <f t="shared" si="21"/>
        <v>24.591404875138778</v>
      </c>
      <c r="AF131" s="9">
        <f t="shared" si="22"/>
        <v>4.9043149067700593</v>
      </c>
      <c r="AG131" s="9">
        <f t="shared" si="24"/>
        <v>2.2161357769954355</v>
      </c>
      <c r="AH131" s="9">
        <f t="shared" si="23"/>
        <v>0.97976299977010528</v>
      </c>
      <c r="AI131" s="9">
        <f t="shared" si="25"/>
        <v>4.4910281560057639</v>
      </c>
      <c r="AJ131" s="9">
        <f>(4*PI()*(AI131^2))/(Y131+E131)</f>
        <v>0.93022676369280399</v>
      </c>
      <c r="AK131" s="12">
        <f t="shared" ref="AK131:AK194" si="26">I131/O131</f>
        <v>0.86293436293436276</v>
      </c>
      <c r="AL131" s="12" t="s">
        <v>144</v>
      </c>
      <c r="AM131" s="12" t="s">
        <v>142</v>
      </c>
      <c r="AN131" s="18">
        <v>2.8214000000000001</v>
      </c>
      <c r="AO131" s="18">
        <v>0.32052999999999998</v>
      </c>
      <c r="AP131" s="18">
        <v>3087.6</v>
      </c>
      <c r="AQ131" s="18">
        <v>2752.3</v>
      </c>
      <c r="AR131" s="18">
        <v>1.6561999999999999</v>
      </c>
      <c r="AS131" s="18">
        <v>2.0754999999999999E-2</v>
      </c>
      <c r="AT131" s="18">
        <v>0.68279999999999996</v>
      </c>
      <c r="AU131" s="18">
        <v>1.3095000000000001</v>
      </c>
      <c r="AV131" s="18">
        <v>0.27723999999999999</v>
      </c>
      <c r="AW131" s="18">
        <v>2.0993999999999999E-2</v>
      </c>
      <c r="AX131" s="18">
        <v>0.13452</v>
      </c>
      <c r="AY131" s="18">
        <v>-6.5712000000000002</v>
      </c>
      <c r="AZ131" s="18">
        <v>-320.45</v>
      </c>
      <c r="BA131" s="18">
        <v>0.40547</v>
      </c>
      <c r="BB131" s="18">
        <v>17.484999999999999</v>
      </c>
      <c r="BC131" s="18" t="s">
        <v>162</v>
      </c>
      <c r="BD131" s="35" t="s">
        <v>163</v>
      </c>
      <c r="BE131" t="s">
        <v>167</v>
      </c>
    </row>
    <row r="132" spans="1:57" x14ac:dyDescent="0.25">
      <c r="A132" s="15" t="s">
        <v>201</v>
      </c>
      <c r="B132" s="16" t="s">
        <v>26</v>
      </c>
      <c r="C132" s="16" t="s">
        <v>6</v>
      </c>
      <c r="D132" s="16">
        <v>51</v>
      </c>
      <c r="E132" s="16">
        <v>24.108000000000001</v>
      </c>
      <c r="F132" s="16">
        <v>17.736000000000001</v>
      </c>
      <c r="G132" s="15">
        <v>8.27</v>
      </c>
      <c r="H132" s="15">
        <v>5.3</v>
      </c>
      <c r="I132" s="15">
        <v>2.04</v>
      </c>
      <c r="J132" s="15">
        <v>55.24</v>
      </c>
      <c r="K132" s="15">
        <v>10.76</v>
      </c>
      <c r="L132" s="15">
        <v>67.739999999999995</v>
      </c>
      <c r="M132" s="15">
        <v>6.5</v>
      </c>
      <c r="N132" s="15">
        <v>3</v>
      </c>
      <c r="O132" s="15">
        <f>2.57+1.51+0.63</f>
        <v>4.71</v>
      </c>
      <c r="P132" s="9">
        <v>0.96144799999999997</v>
      </c>
      <c r="Q132" s="9">
        <v>1.49346</v>
      </c>
      <c r="R132" s="9">
        <v>-4.8543600000000003E-3</v>
      </c>
      <c r="S132" s="9">
        <v>0.104953</v>
      </c>
      <c r="T132" s="9">
        <v>0.110554</v>
      </c>
      <c r="U132" s="9">
        <v>9.5050299999999994E-3</v>
      </c>
      <c r="V132" s="9">
        <v>8.1311300000000006</v>
      </c>
      <c r="W132" s="9">
        <v>5.4445100000000002</v>
      </c>
      <c r="X132" s="9">
        <v>5.23461</v>
      </c>
      <c r="Y132" s="9">
        <v>115.19199999999999</v>
      </c>
      <c r="Z132" s="9">
        <v>137.91200000000001</v>
      </c>
      <c r="AA132" s="9">
        <f t="shared" si="17"/>
        <v>2.6688774509803923</v>
      </c>
      <c r="AB132" s="9">
        <f t="shared" si="18"/>
        <v>4.0539215686274508</v>
      </c>
      <c r="AC132" s="9">
        <f t="shared" si="19"/>
        <v>2.5980392156862742</v>
      </c>
      <c r="AD132" s="9">
        <f t="shared" si="20"/>
        <v>4.7781649245063873</v>
      </c>
      <c r="AE132" s="9">
        <f t="shared" si="21"/>
        <v>5.7205906752945079</v>
      </c>
      <c r="AF132" s="9">
        <f t="shared" si="22"/>
        <v>4.3153989105962669</v>
      </c>
      <c r="AG132" s="9">
        <f t="shared" si="24"/>
        <v>2.7701651099020839</v>
      </c>
      <c r="AH132" s="9">
        <f t="shared" si="23"/>
        <v>0.98136336924888912</v>
      </c>
      <c r="AI132" s="9">
        <f t="shared" si="25"/>
        <v>3.2050721893501084</v>
      </c>
      <c r="AJ132" s="9">
        <f>(4*PI()*(AI132^2))/(Y132+E132)</f>
        <v>0.92668979224012638</v>
      </c>
      <c r="AK132" s="12">
        <f t="shared" si="26"/>
        <v>0.43312101910828027</v>
      </c>
      <c r="AL132" s="12" t="s">
        <v>144</v>
      </c>
      <c r="AM132" s="12" t="s">
        <v>142</v>
      </c>
      <c r="AN132" s="16">
        <v>4.2515000000000001</v>
      </c>
      <c r="AO132" s="16">
        <v>0.55405000000000004</v>
      </c>
      <c r="AP132" s="16">
        <v>5506.5</v>
      </c>
      <c r="AQ132" s="16">
        <v>4783.1000000000004</v>
      </c>
      <c r="AR132" s="16">
        <v>2.3504999999999998</v>
      </c>
      <c r="AS132" s="16">
        <v>7.8258000000000008E-3</v>
      </c>
      <c r="AT132" s="16">
        <v>0.74428000000000005</v>
      </c>
      <c r="AU132" s="16">
        <v>0.66630999999999996</v>
      </c>
      <c r="AV132" s="16">
        <v>7.5113999999999997E-3</v>
      </c>
      <c r="AW132" s="16">
        <v>1.2682000000000001E-2</v>
      </c>
      <c r="AX132" s="16">
        <v>0.17383999999999999</v>
      </c>
      <c r="AY132" s="16">
        <v>-21.143999999999998</v>
      </c>
      <c r="AZ132" s="16">
        <v>-412.28</v>
      </c>
      <c r="BA132" s="16">
        <v>0.2273</v>
      </c>
      <c r="BB132" s="16">
        <v>16.308</v>
      </c>
      <c r="BC132" s="16" t="s">
        <v>162</v>
      </c>
      <c r="BD132" s="34" t="s">
        <v>163</v>
      </c>
      <c r="BE132" t="s">
        <v>167</v>
      </c>
    </row>
    <row r="133" spans="1:57" x14ac:dyDescent="0.25">
      <c r="A133" s="15" t="s">
        <v>202</v>
      </c>
      <c r="B133" s="18" t="s">
        <v>5</v>
      </c>
      <c r="C133" s="18" t="s">
        <v>6</v>
      </c>
      <c r="D133" s="18">
        <v>55</v>
      </c>
      <c r="E133" s="18">
        <v>6.5563467948891301</v>
      </c>
      <c r="F133" s="18">
        <v>9.5039999999999996</v>
      </c>
      <c r="G133" s="15">
        <v>3.84</v>
      </c>
      <c r="H133" s="15">
        <v>2.35</v>
      </c>
      <c r="I133" s="15">
        <v>1.95</v>
      </c>
      <c r="J133" s="15">
        <v>88.68</v>
      </c>
      <c r="K133" s="15">
        <v>28.97</v>
      </c>
      <c r="L133" s="15">
        <v>22.66</v>
      </c>
      <c r="M133" s="15">
        <v>3.3</v>
      </c>
      <c r="N133" s="15">
        <v>1</v>
      </c>
      <c r="O133" s="15">
        <v>2.56</v>
      </c>
      <c r="P133" s="9">
        <v>0.84583799999999998</v>
      </c>
      <c r="Q133" s="9">
        <v>1.20042</v>
      </c>
      <c r="R133" s="9">
        <v>0.47777799999999998</v>
      </c>
      <c r="S133" s="9">
        <v>8.8932999999999998E-2</v>
      </c>
      <c r="T133" s="9">
        <v>0.123691</v>
      </c>
      <c r="U133" s="9">
        <v>7.1105399999999999E-2</v>
      </c>
      <c r="V133" s="9">
        <v>3.3163499999999999</v>
      </c>
      <c r="W133" s="9">
        <v>2.76267</v>
      </c>
      <c r="X133" s="9">
        <v>2.33677</v>
      </c>
      <c r="Y133" s="9">
        <v>18.602900000000002</v>
      </c>
      <c r="Z133" s="9">
        <v>8.7528000000000006</v>
      </c>
      <c r="AA133" s="9">
        <f t="shared" ref="AA133:AA196" si="27">W133/I133</f>
        <v>1.4167538461538463</v>
      </c>
      <c r="AB133" s="9">
        <f t="shared" ref="AB133:AB196" si="28">G133/I133</f>
        <v>1.9692307692307691</v>
      </c>
      <c r="AC133" s="9">
        <f t="shared" ref="AC133:AC196" si="29">H133/I133</f>
        <v>1.2051282051282053</v>
      </c>
      <c r="AD133" s="9">
        <f t="shared" ref="AD133:AD196" si="30">Y133/E133</f>
        <v>2.8373880427590441</v>
      </c>
      <c r="AE133" s="9">
        <f t="shared" ref="AE133:AE196" si="31">Z133/E133</f>
        <v>1.3350117487413984</v>
      </c>
      <c r="AF133" s="9">
        <f t="shared" ref="AF133:AF196" si="32">Y133/(Z133)^(2/3)</f>
        <v>4.3800861059626373</v>
      </c>
      <c r="AG133" s="9">
        <f t="shared" si="24"/>
        <v>1.4446279805066147</v>
      </c>
      <c r="AH133" s="9">
        <f t="shared" si="23"/>
        <v>0.95505737599533658</v>
      </c>
      <c r="AI133" s="9">
        <f t="shared" si="25"/>
        <v>1.2784570191003026</v>
      </c>
      <c r="AJ133" s="9">
        <f>(4*PI()*(AI133^2))/(Y133+E133)</f>
        <v>0.8163652173342183</v>
      </c>
      <c r="AK133" s="12">
        <f t="shared" si="26"/>
        <v>0.76171875</v>
      </c>
      <c r="AL133" s="12" t="s">
        <v>144</v>
      </c>
      <c r="AM133" s="12" t="s">
        <v>143</v>
      </c>
      <c r="AN133" s="18">
        <v>6.6604999999999999</v>
      </c>
      <c r="AO133" s="18">
        <v>0.87909000000000004</v>
      </c>
      <c r="AP133" s="18">
        <v>10836</v>
      </c>
      <c r="AQ133" s="18">
        <v>10746</v>
      </c>
      <c r="AR133" s="18">
        <v>3.0485000000000002</v>
      </c>
      <c r="AS133" s="18">
        <v>7.5932999999999999E-3</v>
      </c>
      <c r="AT133" s="18">
        <v>0.74385999999999997</v>
      </c>
      <c r="AU133" s="18">
        <v>0.54810000000000003</v>
      </c>
      <c r="AV133" s="18">
        <v>6.0159999999999996E-3</v>
      </c>
      <c r="AW133" s="18">
        <v>6.0001999999999998E-3</v>
      </c>
      <c r="AX133" s="18">
        <v>0.19885</v>
      </c>
      <c r="AY133" s="18">
        <v>-0.90491999999999995</v>
      </c>
      <c r="AZ133" s="18">
        <v>-955.11</v>
      </c>
      <c r="BA133" s="18">
        <v>2.5028000000000002E-2</v>
      </c>
      <c r="BB133" s="18">
        <v>15.427</v>
      </c>
      <c r="BC133" s="18" t="s">
        <v>162</v>
      </c>
      <c r="BD133" s="35" t="s">
        <v>163</v>
      </c>
      <c r="BE133" t="s">
        <v>167</v>
      </c>
    </row>
    <row r="134" spans="1:57" x14ac:dyDescent="0.25">
      <c r="A134" s="15" t="s">
        <v>203</v>
      </c>
      <c r="B134" s="16" t="s">
        <v>26</v>
      </c>
      <c r="C134" s="16" t="s">
        <v>6</v>
      </c>
      <c r="D134" s="16">
        <v>49</v>
      </c>
      <c r="E134" s="16">
        <v>44.622999999999998</v>
      </c>
      <c r="F134" s="16">
        <v>24.664000000000001</v>
      </c>
      <c r="G134" s="15">
        <v>13.24</v>
      </c>
      <c r="H134" s="15">
        <v>9.6</v>
      </c>
      <c r="I134" s="15">
        <v>2.06</v>
      </c>
      <c r="J134" s="15">
        <v>117.02</v>
      </c>
      <c r="K134" s="15">
        <v>23.2</v>
      </c>
      <c r="L134" s="15">
        <v>79.73</v>
      </c>
      <c r="M134" s="15">
        <v>11.3</v>
      </c>
      <c r="N134" s="15">
        <v>2</v>
      </c>
      <c r="O134" s="15">
        <f>2.23+2.1</f>
        <v>4.33</v>
      </c>
      <c r="P134" s="9">
        <v>1.29904</v>
      </c>
      <c r="Q134" s="9">
        <v>1.6589400000000001</v>
      </c>
      <c r="R134" s="9">
        <v>0.1</v>
      </c>
      <c r="S134" s="9">
        <v>0.150086</v>
      </c>
      <c r="T134" s="9">
        <v>0.167298</v>
      </c>
      <c r="U134" s="9">
        <v>3.9649299999999998E-2</v>
      </c>
      <c r="V134" s="9">
        <v>12.2486</v>
      </c>
      <c r="W134" s="9">
        <v>7.3833700000000002</v>
      </c>
      <c r="X134" s="9">
        <v>9.5912900000000008</v>
      </c>
      <c r="Y134" s="9">
        <v>334.02800000000002</v>
      </c>
      <c r="Z134" s="9">
        <v>616.87599999999998</v>
      </c>
      <c r="AA134" s="9">
        <f t="shared" si="27"/>
        <v>3.5841601941747574</v>
      </c>
      <c r="AB134" s="9">
        <f t="shared" si="28"/>
        <v>6.4271844660194173</v>
      </c>
      <c r="AC134" s="9">
        <f t="shared" si="29"/>
        <v>4.6601941747572813</v>
      </c>
      <c r="AD134" s="9">
        <f t="shared" si="30"/>
        <v>7.4855567756538113</v>
      </c>
      <c r="AE134" s="9">
        <f t="shared" si="31"/>
        <v>13.824171391434911</v>
      </c>
      <c r="AF134" s="9">
        <f t="shared" si="32"/>
        <v>4.6094696221192653</v>
      </c>
      <c r="AG134" s="9">
        <f t="shared" si="24"/>
        <v>3.768811755869387</v>
      </c>
      <c r="AH134" s="9">
        <f t="shared" si="23"/>
        <v>0.96010957873841352</v>
      </c>
      <c r="AI134" s="9">
        <f t="shared" si="25"/>
        <v>5.2808409594200691</v>
      </c>
      <c r="AJ134" s="9">
        <f>(4*PI()*(AI134^2))/(Y134+E134)</f>
        <v>0.92550108535888509</v>
      </c>
      <c r="AK134" s="12">
        <f t="shared" si="26"/>
        <v>0.47575057736720555</v>
      </c>
      <c r="AL134" s="12" t="s">
        <v>140</v>
      </c>
      <c r="AM134" s="12" t="s">
        <v>142</v>
      </c>
      <c r="AN134" s="16">
        <v>5.93</v>
      </c>
      <c r="AO134" s="16">
        <v>0.58033999999999997</v>
      </c>
      <c r="AP134" s="16">
        <v>4289.8999999999996</v>
      </c>
      <c r="AQ134" s="16">
        <v>4105</v>
      </c>
      <c r="AR134" s="16">
        <v>3.0202</v>
      </c>
      <c r="AS134" s="16">
        <v>7.9451999999999995E-2</v>
      </c>
      <c r="AT134" s="16">
        <v>0.61124999999999996</v>
      </c>
      <c r="AU134" s="16">
        <v>1.3549</v>
      </c>
      <c r="AV134" s="16">
        <v>0.26632</v>
      </c>
      <c r="AW134" s="16">
        <v>8.2033999999999996E-2</v>
      </c>
      <c r="AX134" s="16">
        <v>0.24110000000000001</v>
      </c>
      <c r="AY134" s="16">
        <v>-37.683</v>
      </c>
      <c r="AZ134" s="16">
        <v>-584.47</v>
      </c>
      <c r="BA134" s="16">
        <v>0.50612999999999997</v>
      </c>
      <c r="BB134" s="16">
        <v>4.5278999999999998</v>
      </c>
      <c r="BC134" s="16" t="s">
        <v>164</v>
      </c>
      <c r="BD134" s="34" t="s">
        <v>165</v>
      </c>
      <c r="BE134" t="s">
        <v>167</v>
      </c>
    </row>
    <row r="135" spans="1:57" x14ac:dyDescent="0.25">
      <c r="A135" s="15" t="s">
        <v>204</v>
      </c>
      <c r="B135" s="16" t="s">
        <v>5</v>
      </c>
      <c r="C135" s="16" t="s">
        <v>6</v>
      </c>
      <c r="D135" s="16">
        <v>49</v>
      </c>
      <c r="E135" s="16">
        <v>8.1275999999999993</v>
      </c>
      <c r="F135" s="16">
        <v>10.202</v>
      </c>
      <c r="G135" s="15">
        <v>4.75</v>
      </c>
      <c r="H135" s="15">
        <v>3.55</v>
      </c>
      <c r="I135" s="15">
        <v>3.66</v>
      </c>
      <c r="J135" s="15">
        <v>34.94</v>
      </c>
      <c r="K135" s="15">
        <v>41.47</v>
      </c>
      <c r="L135" s="15">
        <v>71.150000000000006</v>
      </c>
      <c r="M135" s="15">
        <v>4.05</v>
      </c>
      <c r="N135" s="15">
        <v>2</v>
      </c>
      <c r="O135" s="15">
        <f>3.27+2.02</f>
        <v>5.29</v>
      </c>
      <c r="P135" s="9">
        <v>1.1983999999999999</v>
      </c>
      <c r="Q135" s="9">
        <v>1.1625300000000001</v>
      </c>
      <c r="R135" s="9">
        <v>0.108108</v>
      </c>
      <c r="S135" s="9">
        <v>0.105416</v>
      </c>
      <c r="T135" s="9">
        <v>0.109179</v>
      </c>
      <c r="U135" s="9">
        <v>4.0133699999999996E-3</v>
      </c>
      <c r="V135" s="9">
        <v>3.6493099999999998</v>
      </c>
      <c r="W135" s="9">
        <v>3.1391</v>
      </c>
      <c r="X135" s="9">
        <v>3.7619099999999999</v>
      </c>
      <c r="Y135" s="9">
        <v>40.495100000000001</v>
      </c>
      <c r="Z135" s="9">
        <v>28.8123</v>
      </c>
      <c r="AA135" s="9">
        <f t="shared" si="27"/>
        <v>0.85767759562841528</v>
      </c>
      <c r="AB135" s="9">
        <f t="shared" si="28"/>
        <v>1.2978142076502732</v>
      </c>
      <c r="AC135" s="9">
        <f t="shared" si="29"/>
        <v>0.9699453551912568</v>
      </c>
      <c r="AD135" s="9">
        <f t="shared" si="30"/>
        <v>4.9824179339534433</v>
      </c>
      <c r="AE135" s="9">
        <f t="shared" si="31"/>
        <v>3.544994832422856</v>
      </c>
      <c r="AF135" s="9">
        <f t="shared" si="32"/>
        <v>4.3087423336873725</v>
      </c>
      <c r="AG135" s="9">
        <f t="shared" si="24"/>
        <v>1.6084450351029647</v>
      </c>
      <c r="AH135" s="9">
        <f t="shared" si="23"/>
        <v>0.99060558831257606</v>
      </c>
      <c r="AI135" s="9">
        <f t="shared" si="25"/>
        <v>1.9017923944826447</v>
      </c>
      <c r="AJ135" s="9">
        <f>(4*PI()*(AI135^2))/(Y135+E135)</f>
        <v>0.93475329597681267</v>
      </c>
      <c r="AK135" s="12">
        <f t="shared" si="26"/>
        <v>0.6918714555765596</v>
      </c>
      <c r="AL135" s="12" t="s">
        <v>144</v>
      </c>
      <c r="AM135" s="12" t="s">
        <v>142</v>
      </c>
      <c r="AN135" s="16">
        <v>5.7705000000000002</v>
      </c>
      <c r="AO135" s="16">
        <v>0.64700999999999997</v>
      </c>
      <c r="AP135" s="16">
        <v>7252.3</v>
      </c>
      <c r="AQ135" s="16">
        <v>7054.5</v>
      </c>
      <c r="AR135" s="16">
        <v>2.7858999999999998</v>
      </c>
      <c r="AS135" s="16">
        <v>1.0503999999999999E-2</v>
      </c>
      <c r="AT135" s="16">
        <v>0.71455000000000002</v>
      </c>
      <c r="AU135" s="16">
        <v>0.47993999999999998</v>
      </c>
      <c r="AV135" s="16">
        <v>1.4087000000000001E-2</v>
      </c>
      <c r="AW135" s="16">
        <v>1.3240999999999999E-2</v>
      </c>
      <c r="AX135" s="16">
        <v>0.23555999999999999</v>
      </c>
      <c r="AY135" s="16">
        <v>-4.5662000000000003</v>
      </c>
      <c r="AZ135" s="16">
        <v>-1203.4000000000001</v>
      </c>
      <c r="BA135" s="16">
        <v>6.1990000000000003E-2</v>
      </c>
      <c r="BB135" s="16">
        <v>3.1613000000000002</v>
      </c>
      <c r="BC135" s="16" t="s">
        <v>162</v>
      </c>
      <c r="BD135" s="34" t="s">
        <v>163</v>
      </c>
      <c r="BE135" t="s">
        <v>167</v>
      </c>
    </row>
    <row r="136" spans="1:57" x14ac:dyDescent="0.25">
      <c r="A136" s="15" t="s">
        <v>205</v>
      </c>
      <c r="B136" s="16" t="s">
        <v>5</v>
      </c>
      <c r="C136" s="16" t="s">
        <v>6</v>
      </c>
      <c r="D136" s="16">
        <v>68</v>
      </c>
      <c r="E136" s="16">
        <v>39.851999999999997</v>
      </c>
      <c r="F136" s="16">
        <v>25.952000000000002</v>
      </c>
      <c r="G136" s="15">
        <v>19.079999999999998</v>
      </c>
      <c r="H136" s="15">
        <v>8.9</v>
      </c>
      <c r="I136" s="15">
        <v>3.3</v>
      </c>
      <c r="J136" s="15">
        <v>124.34</v>
      </c>
      <c r="K136" s="15">
        <v>16.21</v>
      </c>
      <c r="L136" s="15">
        <v>40.28</v>
      </c>
      <c r="M136" s="15">
        <v>8.4</v>
      </c>
      <c r="N136" s="15">
        <v>2</v>
      </c>
      <c r="O136" s="15">
        <f>0.94+3.18</f>
        <v>4.12</v>
      </c>
      <c r="P136" s="9">
        <v>1.6546000000000001</v>
      </c>
      <c r="Q136" s="9">
        <v>2.8355000000000001</v>
      </c>
      <c r="R136" s="9">
        <v>0.26585399999999998</v>
      </c>
      <c r="S136" s="9">
        <v>0.218887</v>
      </c>
      <c r="T136" s="9">
        <v>0.25740099999999999</v>
      </c>
      <c r="U136" s="9">
        <v>8.8748900000000006E-2</v>
      </c>
      <c r="V136" s="9">
        <v>17.720300000000002</v>
      </c>
      <c r="W136" s="9">
        <v>6.2494199999999998</v>
      </c>
      <c r="X136" s="9">
        <v>10.340299999999999</v>
      </c>
      <c r="Y136" s="9">
        <v>496.565</v>
      </c>
      <c r="Z136" s="9">
        <v>941.63699999999994</v>
      </c>
      <c r="AA136" s="9">
        <f t="shared" si="27"/>
        <v>1.8937636363636363</v>
      </c>
      <c r="AB136" s="9">
        <f t="shared" si="28"/>
        <v>5.7818181818181813</v>
      </c>
      <c r="AC136" s="9">
        <f t="shared" si="29"/>
        <v>2.6969696969696972</v>
      </c>
      <c r="AD136" s="9">
        <f t="shared" si="30"/>
        <v>12.460227843019172</v>
      </c>
      <c r="AE136" s="9">
        <f t="shared" si="31"/>
        <v>23.628349894610057</v>
      </c>
      <c r="AF136" s="9">
        <f t="shared" si="32"/>
        <v>5.168768667218349</v>
      </c>
      <c r="AG136" s="9">
        <f t="shared" si="24"/>
        <v>3.5616408555883936</v>
      </c>
      <c r="AH136" s="9">
        <f t="shared" si="23"/>
        <v>0.86230153719495706</v>
      </c>
      <c r="AI136" s="9">
        <f t="shared" si="25"/>
        <v>6.0803927882992692</v>
      </c>
      <c r="AJ136" s="9">
        <f>(4*PI()*(AI136^2))/(Y136+E136)</f>
        <v>0.86610511121991607</v>
      </c>
      <c r="AK136" s="12">
        <f t="shared" si="26"/>
        <v>0.80097087378640774</v>
      </c>
      <c r="AL136" s="12" t="s">
        <v>140</v>
      </c>
      <c r="AM136" s="12" t="s">
        <v>142</v>
      </c>
      <c r="AN136" s="16">
        <v>1.9313</v>
      </c>
      <c r="AO136" s="16">
        <v>0.24331</v>
      </c>
      <c r="AP136" s="16">
        <v>3656.4</v>
      </c>
      <c r="AQ136" s="16">
        <v>3116.3</v>
      </c>
      <c r="AR136" s="16">
        <v>1.2385999999999999</v>
      </c>
      <c r="AS136" s="16">
        <v>7.0884000000000003E-2</v>
      </c>
      <c r="AT136" s="16">
        <v>0.61007999999999996</v>
      </c>
      <c r="AU136" s="16">
        <v>5.5136000000000003</v>
      </c>
      <c r="AV136" s="16">
        <v>0.73856999999999995</v>
      </c>
      <c r="AW136" s="16">
        <v>4.5469000000000002E-2</v>
      </c>
      <c r="AX136" s="16">
        <v>9.5108999999999999E-2</v>
      </c>
      <c r="AY136" s="16">
        <v>1.6632</v>
      </c>
      <c r="AZ136" s="16">
        <v>49.734999999999999</v>
      </c>
      <c r="BA136" s="16">
        <v>0.23535</v>
      </c>
      <c r="BB136" s="16">
        <v>7.8207000000000004</v>
      </c>
      <c r="BC136" s="16" t="s">
        <v>164</v>
      </c>
      <c r="BD136" s="34" t="s">
        <v>165</v>
      </c>
      <c r="BE136" t="s">
        <v>167</v>
      </c>
    </row>
    <row r="137" spans="1:57" x14ac:dyDescent="0.25">
      <c r="A137" s="15" t="s">
        <v>206</v>
      </c>
      <c r="B137" s="16" t="s">
        <v>13</v>
      </c>
      <c r="C137" s="16" t="s">
        <v>6</v>
      </c>
      <c r="D137" s="16">
        <v>74</v>
      </c>
      <c r="E137" s="16">
        <v>4.0183999999999997</v>
      </c>
      <c r="F137" s="16">
        <v>7.5101000000000004</v>
      </c>
      <c r="G137" s="15">
        <v>6.49</v>
      </c>
      <c r="H137" s="15">
        <v>5.12</v>
      </c>
      <c r="I137" s="15">
        <v>1.24</v>
      </c>
      <c r="J137" s="15">
        <v>40.950000000000003</v>
      </c>
      <c r="K137" s="15">
        <v>59.12</v>
      </c>
      <c r="L137" s="15">
        <v>49.2</v>
      </c>
      <c r="M137" s="15">
        <v>2.4500000000000002</v>
      </c>
      <c r="N137" s="15">
        <v>2</v>
      </c>
      <c r="O137" s="15">
        <f>0.73+0.6</f>
        <v>1.33</v>
      </c>
      <c r="P137" s="9">
        <v>0.54073800000000005</v>
      </c>
      <c r="Q137" s="9">
        <v>1.4846999999999999</v>
      </c>
      <c r="R137" s="9">
        <v>0.147059</v>
      </c>
      <c r="S137" s="9">
        <v>7.88137E-2</v>
      </c>
      <c r="T137" s="9">
        <v>0.12078999999999999</v>
      </c>
      <c r="U137" s="9">
        <v>7.6792600000000003E-2</v>
      </c>
      <c r="V137" s="9">
        <v>7.1393800000000001</v>
      </c>
      <c r="W137" s="9">
        <v>4.80863</v>
      </c>
      <c r="X137" s="9">
        <v>2.6002100000000001</v>
      </c>
      <c r="Y137" s="9">
        <v>52.927799999999998</v>
      </c>
      <c r="Z137" s="9">
        <v>42.213700000000003</v>
      </c>
      <c r="AA137" s="9">
        <f t="shared" si="27"/>
        <v>3.8779274193548385</v>
      </c>
      <c r="AB137" s="9">
        <f t="shared" si="28"/>
        <v>5.2338709677419359</v>
      </c>
      <c r="AC137" s="9">
        <f t="shared" si="29"/>
        <v>4.129032258064516</v>
      </c>
      <c r="AD137" s="9">
        <f t="shared" si="30"/>
        <v>13.171361736014335</v>
      </c>
      <c r="AE137" s="9">
        <f t="shared" si="31"/>
        <v>10.505101532948439</v>
      </c>
      <c r="AF137" s="9">
        <f t="shared" si="32"/>
        <v>4.3656431113068948</v>
      </c>
      <c r="AG137" s="9">
        <f t="shared" si="24"/>
        <v>1.1309714614617579</v>
      </c>
      <c r="AH137" s="9">
        <f t="shared" si="23"/>
        <v>0.94620621156788054</v>
      </c>
      <c r="AI137" s="9">
        <f t="shared" si="25"/>
        <v>2.1600058964600635</v>
      </c>
      <c r="AJ137" s="9">
        <f>(4*PI()*(AI137^2))/(Y137+E137)</f>
        <v>1.0295678875548102</v>
      </c>
      <c r="AK137" s="12">
        <f t="shared" si="26"/>
        <v>0.93233082706766912</v>
      </c>
      <c r="AL137" s="12" t="s">
        <v>140</v>
      </c>
      <c r="AM137" s="12" t="s">
        <v>142</v>
      </c>
      <c r="AN137" s="16">
        <v>4.6588000000000003</v>
      </c>
      <c r="AO137" s="16">
        <v>7.7422000000000005E-2</v>
      </c>
      <c r="AP137" s="16">
        <v>11779</v>
      </c>
      <c r="AQ137" s="16">
        <v>10277</v>
      </c>
      <c r="AR137" s="16">
        <v>2.0505</v>
      </c>
      <c r="AS137" s="16">
        <v>1.9976000000000001E-2</v>
      </c>
      <c r="AT137" s="16">
        <v>0.72838000000000003</v>
      </c>
      <c r="AU137" s="16">
        <v>1.9383999999999999</v>
      </c>
      <c r="AV137" s="16">
        <v>0.83011999999999997</v>
      </c>
      <c r="AW137" s="16">
        <v>1.9529000000000001E-2</v>
      </c>
      <c r="AX137" s="16">
        <v>0.11906</v>
      </c>
      <c r="AY137" s="16">
        <v>-197.35</v>
      </c>
      <c r="AZ137" s="16">
        <v>-18362</v>
      </c>
      <c r="BA137" s="16">
        <v>0.14133000000000001</v>
      </c>
      <c r="BB137" s="16">
        <v>14.837</v>
      </c>
      <c r="BC137" s="16" t="s">
        <v>162</v>
      </c>
      <c r="BD137" s="34" t="s">
        <v>165</v>
      </c>
      <c r="BE137" t="s">
        <v>168</v>
      </c>
    </row>
    <row r="138" spans="1:57" x14ac:dyDescent="0.25">
      <c r="A138" s="15" t="s">
        <v>207</v>
      </c>
      <c r="B138" s="18" t="s">
        <v>5</v>
      </c>
      <c r="C138" s="18" t="s">
        <v>6</v>
      </c>
      <c r="D138" s="18">
        <v>74</v>
      </c>
      <c r="E138" s="18">
        <v>21.006</v>
      </c>
      <c r="F138" s="18">
        <v>18.93</v>
      </c>
      <c r="G138" s="15">
        <v>6.97</v>
      </c>
      <c r="H138" s="15">
        <v>2.75</v>
      </c>
      <c r="I138" s="15">
        <v>3.89</v>
      </c>
      <c r="J138" s="15">
        <v>129.97</v>
      </c>
      <c r="K138" s="15">
        <v>7</v>
      </c>
      <c r="L138" s="15">
        <v>29.2</v>
      </c>
      <c r="M138" s="15">
        <v>5.7</v>
      </c>
      <c r="N138" s="15">
        <v>1</v>
      </c>
      <c r="O138" s="15">
        <v>2.48</v>
      </c>
      <c r="P138" s="9">
        <v>2.6386500000000002</v>
      </c>
      <c r="Q138" s="9">
        <v>1.9374499999999999</v>
      </c>
      <c r="R138" s="9">
        <v>-0.17543900000000001</v>
      </c>
      <c r="S138" s="9">
        <v>0.23701800000000001</v>
      </c>
      <c r="T138" s="9">
        <v>0.28965800000000003</v>
      </c>
      <c r="U138" s="9">
        <v>0.212205</v>
      </c>
      <c r="V138" s="9">
        <v>4.2369399999999997</v>
      </c>
      <c r="W138" s="9">
        <v>2.1868599999999998</v>
      </c>
      <c r="X138" s="9">
        <v>5.7703600000000002</v>
      </c>
      <c r="Y138" s="9">
        <v>55.771999999999998</v>
      </c>
      <c r="Z138" s="9">
        <v>33.159999999999997</v>
      </c>
      <c r="AA138" s="9">
        <f t="shared" si="27"/>
        <v>0.56217480719794333</v>
      </c>
      <c r="AB138" s="9">
        <f t="shared" si="28"/>
        <v>1.7917737789203083</v>
      </c>
      <c r="AC138" s="9">
        <f t="shared" si="29"/>
        <v>0.70694087403598971</v>
      </c>
      <c r="AD138" s="9">
        <f t="shared" si="30"/>
        <v>2.6550509378272875</v>
      </c>
      <c r="AE138" s="9">
        <f t="shared" si="31"/>
        <v>1.5785965914500617</v>
      </c>
      <c r="AF138" s="9">
        <f t="shared" si="32"/>
        <v>5.4034757170513696</v>
      </c>
      <c r="AG138" s="9">
        <f t="shared" si="24"/>
        <v>2.5858107953167622</v>
      </c>
      <c r="AH138" s="9">
        <f t="shared" si="23"/>
        <v>0.85827408326891919</v>
      </c>
      <c r="AI138" s="9">
        <f t="shared" si="25"/>
        <v>1.9930061439461242</v>
      </c>
      <c r="AJ138" s="9">
        <f>(4*PI()*(AI138^2))/(Y138+E138)</f>
        <v>0.6501152358798844</v>
      </c>
      <c r="AK138" s="12">
        <f t="shared" si="26"/>
        <v>1.5685483870967742</v>
      </c>
      <c r="AL138" s="12" t="s">
        <v>140</v>
      </c>
      <c r="AM138" s="12" t="s">
        <v>143</v>
      </c>
      <c r="AN138" s="18">
        <v>8.6433999999999997</v>
      </c>
      <c r="AO138" s="18">
        <v>0.88758999999999999</v>
      </c>
      <c r="AP138" s="18">
        <v>16113</v>
      </c>
      <c r="AQ138" s="18">
        <v>14786</v>
      </c>
      <c r="AR138" s="18">
        <v>4.7836999999999996</v>
      </c>
      <c r="AS138" s="18">
        <v>1.2877E-2</v>
      </c>
      <c r="AT138" s="18">
        <v>0.71264000000000005</v>
      </c>
      <c r="AU138" s="18">
        <v>0.41506999999999999</v>
      </c>
      <c r="AV138" s="18">
        <v>3.6767000000000001E-2</v>
      </c>
      <c r="AW138" s="18">
        <v>5.7485000000000001E-3</v>
      </c>
      <c r="AX138" s="18">
        <v>0.36187000000000002</v>
      </c>
      <c r="AY138" s="18">
        <v>-3.4312999999999998</v>
      </c>
      <c r="AZ138" s="18">
        <v>-7398.7</v>
      </c>
      <c r="BA138" s="18">
        <v>1.8721000000000002E-2</v>
      </c>
      <c r="BB138" s="18">
        <v>9.7960999999999991</v>
      </c>
      <c r="BC138" s="18" t="s">
        <v>162</v>
      </c>
      <c r="BD138" s="35" t="s">
        <v>163</v>
      </c>
      <c r="BE138" t="s">
        <v>167</v>
      </c>
    </row>
    <row r="139" spans="1:57" x14ac:dyDescent="0.25">
      <c r="A139" s="15" t="s">
        <v>208</v>
      </c>
      <c r="B139" s="18" t="s">
        <v>5</v>
      </c>
      <c r="C139" s="18" t="s">
        <v>6</v>
      </c>
      <c r="D139" s="18">
        <v>56</v>
      </c>
      <c r="E139" s="18">
        <v>37.281722251016703</v>
      </c>
      <c r="F139" s="18">
        <v>22.187000000000001</v>
      </c>
      <c r="G139" s="15">
        <v>9.06</v>
      </c>
      <c r="H139" s="15">
        <v>7.55</v>
      </c>
      <c r="I139" s="15">
        <v>3.03</v>
      </c>
      <c r="J139" s="15">
        <v>112.36</v>
      </c>
      <c r="K139" s="15">
        <v>47.27</v>
      </c>
      <c r="L139" s="15">
        <v>19.239999999999998</v>
      </c>
      <c r="M139" s="15">
        <v>8.1</v>
      </c>
      <c r="N139" s="15">
        <v>1</v>
      </c>
      <c r="O139" s="15">
        <v>3.83</v>
      </c>
      <c r="P139" s="9">
        <v>1.12052</v>
      </c>
      <c r="Q139" s="9">
        <v>1.2090700000000001</v>
      </c>
      <c r="R139" s="9">
        <v>0.17785200000000001</v>
      </c>
      <c r="S139" s="9">
        <v>9.8212300000000002E-2</v>
      </c>
      <c r="T139" s="9">
        <v>0.11067299999999999</v>
      </c>
      <c r="U139" s="9">
        <v>2.1312000000000001E-2</v>
      </c>
      <c r="V139" s="9">
        <v>8.1198700000000006</v>
      </c>
      <c r="W139" s="9">
        <v>6.7157999999999998</v>
      </c>
      <c r="X139" s="9">
        <v>7.5252100000000004</v>
      </c>
      <c r="Y139" s="9">
        <v>169.971</v>
      </c>
      <c r="Z139" s="9">
        <v>247.14099999999999</v>
      </c>
      <c r="AA139" s="9">
        <f t="shared" si="27"/>
        <v>2.2164356435643566</v>
      </c>
      <c r="AB139" s="9">
        <f t="shared" si="28"/>
        <v>2.9900990099009905</v>
      </c>
      <c r="AC139" s="9">
        <f t="shared" si="29"/>
        <v>2.491749174917492</v>
      </c>
      <c r="AD139" s="9">
        <f t="shared" si="30"/>
        <v>4.5590973200108733</v>
      </c>
      <c r="AE139" s="9">
        <f t="shared" si="31"/>
        <v>6.6290124242653583</v>
      </c>
      <c r="AF139" s="9">
        <f t="shared" si="32"/>
        <v>4.3159687992983784</v>
      </c>
      <c r="AG139" s="9">
        <f t="shared" si="24"/>
        <v>3.444871661826725</v>
      </c>
      <c r="AH139" s="9">
        <f t="shared" si="23"/>
        <v>0.97556077931712271</v>
      </c>
      <c r="AI139" s="9">
        <f t="shared" si="25"/>
        <v>3.8930089017067</v>
      </c>
      <c r="AJ139" s="9">
        <f>(4*PI()*(AI139^2))/(Y139+E139)</f>
        <v>0.91892573401286359</v>
      </c>
      <c r="AK139" s="12">
        <f t="shared" si="26"/>
        <v>0.79112271540469969</v>
      </c>
      <c r="AL139" s="12" t="s">
        <v>144</v>
      </c>
      <c r="AM139" s="12" t="s">
        <v>143</v>
      </c>
      <c r="AN139" s="18">
        <v>1.5750999999999999</v>
      </c>
      <c r="AO139" s="18">
        <v>0.26878999999999997</v>
      </c>
      <c r="AP139" s="18">
        <v>2919.2</v>
      </c>
      <c r="AQ139" s="18">
        <v>2475.6999999999998</v>
      </c>
      <c r="AR139" s="18">
        <v>0.97772000000000003</v>
      </c>
      <c r="AS139" s="18">
        <v>1.5381000000000001E-2</v>
      </c>
      <c r="AT139" s="18">
        <v>0.69140000000000001</v>
      </c>
      <c r="AU139" s="18">
        <v>1.5757000000000001</v>
      </c>
      <c r="AV139" s="18">
        <v>0.28081</v>
      </c>
      <c r="AW139" s="18">
        <v>1.7096E-2</v>
      </c>
      <c r="AX139" s="18">
        <v>9.8108000000000001E-2</v>
      </c>
      <c r="AY139" s="18">
        <v>-66.637</v>
      </c>
      <c r="AZ139" s="18">
        <v>-189.72</v>
      </c>
      <c r="BA139" s="18">
        <v>0.55556000000000005</v>
      </c>
      <c r="BB139" s="18">
        <v>32.183999999999997</v>
      </c>
      <c r="BC139" s="18" t="s">
        <v>162</v>
      </c>
      <c r="BD139" s="35" t="s">
        <v>163</v>
      </c>
      <c r="BE139" t="s">
        <v>167</v>
      </c>
    </row>
    <row r="140" spans="1:57" x14ac:dyDescent="0.25">
      <c r="A140" s="15" t="s">
        <v>209</v>
      </c>
      <c r="B140" s="16" t="s">
        <v>40</v>
      </c>
      <c r="C140" s="16" t="s">
        <v>6</v>
      </c>
      <c r="D140" s="16">
        <v>77</v>
      </c>
      <c r="E140" s="16">
        <v>132.19</v>
      </c>
      <c r="F140" s="16">
        <v>42.277000000000001</v>
      </c>
      <c r="G140" s="15">
        <v>20.399999999999999</v>
      </c>
      <c r="H140" s="15">
        <v>16.8</v>
      </c>
      <c r="I140" s="15">
        <v>4.0999999999999996</v>
      </c>
      <c r="J140" s="15">
        <v>42.67</v>
      </c>
      <c r="K140" s="15">
        <v>51.28</v>
      </c>
      <c r="L140" s="15">
        <v>87</v>
      </c>
      <c r="M140" s="15">
        <v>15.1</v>
      </c>
      <c r="N140" s="15">
        <v>5</v>
      </c>
      <c r="O140" s="15">
        <f>2.36+1.92+1.27+1.14+1.85</f>
        <v>8.5399999999999991</v>
      </c>
      <c r="P140" s="9">
        <v>1.31273</v>
      </c>
      <c r="Q140" s="9">
        <v>1.3715900000000001</v>
      </c>
      <c r="R140" s="9">
        <v>1.3513499999999999E-2</v>
      </c>
      <c r="S140" s="9">
        <v>0.11981899999999999</v>
      </c>
      <c r="T140" s="9">
        <v>0.12609000000000001</v>
      </c>
      <c r="U140" s="9">
        <v>1.28615E-2</v>
      </c>
      <c r="V140" s="9">
        <v>17.464700000000001</v>
      </c>
      <c r="W140" s="9">
        <v>12.7332</v>
      </c>
      <c r="X140" s="9">
        <v>16.715299999999999</v>
      </c>
      <c r="Y140" s="9">
        <v>836.00699999999995</v>
      </c>
      <c r="Z140" s="9">
        <v>2626.05</v>
      </c>
      <c r="AA140" s="9">
        <f t="shared" si="27"/>
        <v>3.1056585365853659</v>
      </c>
      <c r="AB140" s="9">
        <f t="shared" si="28"/>
        <v>4.975609756097561</v>
      </c>
      <c r="AC140" s="9">
        <f t="shared" si="29"/>
        <v>4.0975609756097562</v>
      </c>
      <c r="AD140" s="9">
        <f t="shared" si="30"/>
        <v>6.3242832286859816</v>
      </c>
      <c r="AE140" s="9">
        <f t="shared" si="31"/>
        <v>19.865723579695896</v>
      </c>
      <c r="AF140" s="9">
        <f t="shared" si="32"/>
        <v>4.3921239382064243</v>
      </c>
      <c r="AG140" s="9">
        <f t="shared" si="24"/>
        <v>6.4867082449140012</v>
      </c>
      <c r="AH140" s="9">
        <f t="shared" si="23"/>
        <v>0.96405113741288007</v>
      </c>
      <c r="AI140" s="9">
        <f t="shared" si="25"/>
        <v>8.5586406837398368</v>
      </c>
      <c r="AJ140" s="9">
        <f>(4*PI()*(AI140^2))/(Y140+E140)</f>
        <v>0.95072676205839224</v>
      </c>
      <c r="AK140" s="12">
        <f t="shared" si="26"/>
        <v>0.48009367681498832</v>
      </c>
      <c r="AL140" s="12" t="s">
        <v>144</v>
      </c>
      <c r="AM140" s="12" t="s">
        <v>142</v>
      </c>
      <c r="AN140" s="16">
        <v>0.24021999999999999</v>
      </c>
      <c r="AO140" s="16">
        <v>7.1472999999999995E-2</v>
      </c>
      <c r="AP140" s="16">
        <v>206.62</v>
      </c>
      <c r="AQ140" s="16">
        <v>164.47</v>
      </c>
      <c r="AR140" s="16">
        <v>0.24131</v>
      </c>
      <c r="AS140" s="16">
        <v>5.3679999999999999E-2</v>
      </c>
      <c r="AT140" s="16">
        <v>0.66566000000000003</v>
      </c>
      <c r="AU140" s="16">
        <v>8.2931000000000008</v>
      </c>
      <c r="AV140" s="16">
        <v>0.85428999999999999</v>
      </c>
      <c r="AW140" s="16">
        <v>4.8173000000000001E-2</v>
      </c>
      <c r="AX140" s="16">
        <v>2.4001000000000001E-2</v>
      </c>
      <c r="AY140" s="16">
        <v>-370.03</v>
      </c>
      <c r="AZ140" s="16">
        <v>-45.250999999999998</v>
      </c>
      <c r="BA140" s="16">
        <v>2.6181000000000001</v>
      </c>
      <c r="BB140" s="16">
        <v>35.881</v>
      </c>
      <c r="BC140" s="16" t="s">
        <v>162</v>
      </c>
      <c r="BD140" s="34" t="s">
        <v>163</v>
      </c>
      <c r="BE140" t="s">
        <v>167</v>
      </c>
    </row>
    <row r="141" spans="1:57" x14ac:dyDescent="0.25">
      <c r="A141" s="15" t="s">
        <v>210</v>
      </c>
      <c r="B141" s="16" t="s">
        <v>5</v>
      </c>
      <c r="C141" s="16" t="s">
        <v>6</v>
      </c>
      <c r="D141" s="16">
        <v>70</v>
      </c>
      <c r="E141" s="16">
        <v>107.71</v>
      </c>
      <c r="F141" s="16">
        <v>39.338999999999999</v>
      </c>
      <c r="G141" s="15">
        <v>15.72</v>
      </c>
      <c r="H141" s="15">
        <v>11.1</v>
      </c>
      <c r="I141" s="15">
        <v>4.2699999999999996</v>
      </c>
      <c r="J141" s="15">
        <v>25.71</v>
      </c>
      <c r="K141" s="15">
        <v>18.39</v>
      </c>
      <c r="L141" s="15">
        <v>43.9</v>
      </c>
      <c r="M141" s="15">
        <v>13.1</v>
      </c>
      <c r="N141" s="15">
        <v>1</v>
      </c>
      <c r="O141" s="15">
        <v>4.87</v>
      </c>
      <c r="P141" s="9">
        <v>1.00183</v>
      </c>
      <c r="Q141" s="9">
        <v>1.4139699999999999</v>
      </c>
      <c r="R141" s="9">
        <v>0.14253399999999999</v>
      </c>
      <c r="S141" s="9">
        <v>9.0723300000000007E-2</v>
      </c>
      <c r="T141" s="9">
        <v>0.10705000000000001</v>
      </c>
      <c r="U141" s="9">
        <v>2.0736500000000001E-2</v>
      </c>
      <c r="V141" s="9">
        <v>15.7232</v>
      </c>
      <c r="W141" s="9">
        <v>11.119899999999999</v>
      </c>
      <c r="X141" s="9">
        <v>11.1402</v>
      </c>
      <c r="Y141" s="9">
        <v>494.03800000000001</v>
      </c>
      <c r="Z141" s="9">
        <v>1232.17</v>
      </c>
      <c r="AA141" s="9">
        <f t="shared" si="27"/>
        <v>2.6041920374707259</v>
      </c>
      <c r="AB141" s="9">
        <f t="shared" si="28"/>
        <v>3.6814988290398132</v>
      </c>
      <c r="AC141" s="9">
        <f t="shared" si="29"/>
        <v>2.5995316159250588</v>
      </c>
      <c r="AD141" s="9">
        <f t="shared" si="30"/>
        <v>4.5867421780707458</v>
      </c>
      <c r="AE141" s="9">
        <f t="shared" si="31"/>
        <v>11.439699192275556</v>
      </c>
      <c r="AF141" s="9">
        <f t="shared" si="32"/>
        <v>4.2984637420875247</v>
      </c>
      <c r="AG141" s="9">
        <f t="shared" si="24"/>
        <v>5.8553529219728588</v>
      </c>
      <c r="AH141" s="9">
        <f t="shared" si="23"/>
        <v>0.93521104877325112</v>
      </c>
      <c r="AI141" s="9">
        <f t="shared" si="25"/>
        <v>6.6505976385966283</v>
      </c>
      <c r="AJ141" s="9">
        <f>(4*PI()*(AI141^2))/(Y141+E141)</f>
        <v>0.92366939973471485</v>
      </c>
      <c r="AK141" s="12">
        <f t="shared" si="26"/>
        <v>0.87679671457905528</v>
      </c>
      <c r="AL141" s="12" t="s">
        <v>144</v>
      </c>
      <c r="AM141" s="12" t="s">
        <v>143</v>
      </c>
      <c r="AN141" s="16">
        <v>0.93633</v>
      </c>
      <c r="AO141" s="16">
        <v>0.19436999999999999</v>
      </c>
      <c r="AP141" s="16">
        <v>873.57</v>
      </c>
      <c r="AQ141" s="16">
        <v>797.41</v>
      </c>
      <c r="AR141" s="16">
        <v>1.0072000000000001</v>
      </c>
      <c r="AS141" s="16">
        <v>2.1606E-2</v>
      </c>
      <c r="AT141" s="16">
        <v>0.71035999999999999</v>
      </c>
      <c r="AU141" s="16">
        <v>1.5061</v>
      </c>
      <c r="AV141" s="16">
        <v>0.18190000000000001</v>
      </c>
      <c r="AW141" s="16">
        <v>2.4544E-2</v>
      </c>
      <c r="AX141" s="16">
        <v>9.1831999999999997E-2</v>
      </c>
      <c r="AY141" s="16">
        <v>16.091000000000001</v>
      </c>
      <c r="AZ141" s="16">
        <v>120.62</v>
      </c>
      <c r="BA141" s="16">
        <v>0.28293000000000001</v>
      </c>
      <c r="BB141" s="16">
        <v>14.157</v>
      </c>
      <c r="BC141" s="16" t="s">
        <v>162</v>
      </c>
      <c r="BD141" s="34" t="s">
        <v>163</v>
      </c>
      <c r="BE141" t="s">
        <v>167</v>
      </c>
    </row>
    <row r="142" spans="1:57" x14ac:dyDescent="0.25">
      <c r="A142" s="15" t="s">
        <v>211</v>
      </c>
      <c r="B142" s="18" t="s">
        <v>5</v>
      </c>
      <c r="C142" s="18" t="s">
        <v>6</v>
      </c>
      <c r="D142" s="20">
        <v>53</v>
      </c>
      <c r="E142" s="18">
        <v>32.46</v>
      </c>
      <c r="F142" s="20">
        <v>21.087</v>
      </c>
      <c r="G142" s="15">
        <v>8.85</v>
      </c>
      <c r="H142" s="15">
        <v>4.5</v>
      </c>
      <c r="I142" s="15">
        <v>3.89</v>
      </c>
      <c r="J142" s="15">
        <v>100.53</v>
      </c>
      <c r="K142" s="15">
        <v>14.5</v>
      </c>
      <c r="L142" s="15">
        <v>19.829999999999998</v>
      </c>
      <c r="M142" s="15">
        <v>7.8</v>
      </c>
      <c r="N142" s="15">
        <v>2</v>
      </c>
      <c r="O142" s="15">
        <f>3.37+1.04</f>
        <v>4.41</v>
      </c>
      <c r="P142" s="9">
        <v>0.71723099999999995</v>
      </c>
      <c r="Q142" s="9">
        <v>1.3562700000000001</v>
      </c>
      <c r="R142" s="9">
        <v>0.106742</v>
      </c>
      <c r="S142" s="9">
        <v>8.3109299999999997E-2</v>
      </c>
      <c r="T142" s="9">
        <v>0.110003</v>
      </c>
      <c r="U142" s="9">
        <v>4.5658400000000002E-2</v>
      </c>
      <c r="V142" s="9">
        <v>8.5976300000000005</v>
      </c>
      <c r="W142" s="9">
        <v>6.3391799999999998</v>
      </c>
      <c r="X142" s="9">
        <v>4.5466600000000001</v>
      </c>
      <c r="Y142" s="9">
        <v>117.777</v>
      </c>
      <c r="Z142" s="9">
        <v>142.71199999999999</v>
      </c>
      <c r="AA142" s="9">
        <f t="shared" si="27"/>
        <v>1.6296092544987146</v>
      </c>
      <c r="AB142" s="9">
        <f t="shared" si="28"/>
        <v>2.2750642673521848</v>
      </c>
      <c r="AC142" s="9">
        <f t="shared" si="29"/>
        <v>1.1568123393316194</v>
      </c>
      <c r="AD142" s="9">
        <f t="shared" si="30"/>
        <v>3.6283733826247691</v>
      </c>
      <c r="AE142" s="9">
        <f t="shared" si="31"/>
        <v>4.3965495995070851</v>
      </c>
      <c r="AF142" s="9">
        <f t="shared" si="32"/>
        <v>4.3127421449805574</v>
      </c>
      <c r="AG142" s="9">
        <f t="shared" si="24"/>
        <v>3.2143955739027898</v>
      </c>
      <c r="AH142" s="9">
        <f t="shared" si="23"/>
        <v>0.95777697355759961</v>
      </c>
      <c r="AI142" s="9">
        <f t="shared" si="25"/>
        <v>3.2418329172530047</v>
      </c>
      <c r="AJ142" s="9">
        <f>(4*PI()*(AI142^2))/(Y142+E142)</f>
        <v>0.87905129216197608</v>
      </c>
      <c r="AK142" s="12">
        <f t="shared" si="26"/>
        <v>0.88208616780045357</v>
      </c>
      <c r="AL142" s="12" t="s">
        <v>140</v>
      </c>
      <c r="AM142" s="12" t="s">
        <v>143</v>
      </c>
      <c r="AN142" s="20">
        <v>5.4627999999999997</v>
      </c>
      <c r="AO142" s="20">
        <v>0.67069000000000001</v>
      </c>
      <c r="AP142" s="20">
        <v>7168.4</v>
      </c>
      <c r="AQ142" s="20">
        <v>6959.5</v>
      </c>
      <c r="AR142" s="20">
        <v>3.6086</v>
      </c>
      <c r="AS142" s="20">
        <v>4.6236999999999997E-3</v>
      </c>
      <c r="AT142" s="20">
        <v>0.73472000000000004</v>
      </c>
      <c r="AU142" s="20">
        <v>0.37587999999999999</v>
      </c>
      <c r="AV142" s="20">
        <v>2.4042999999999998E-2</v>
      </c>
      <c r="AW142" s="20">
        <v>2.8944000000000001E-3</v>
      </c>
      <c r="AX142" s="20">
        <v>0.28121000000000002</v>
      </c>
      <c r="AY142" s="20">
        <v>2.9914000000000001</v>
      </c>
      <c r="AZ142" s="20">
        <v>1362</v>
      </c>
      <c r="BA142" s="20">
        <v>3.8799E-2</v>
      </c>
      <c r="BB142" s="20">
        <v>5.3406000000000002</v>
      </c>
      <c r="BC142" s="18" t="s">
        <v>162</v>
      </c>
      <c r="BD142" s="35" t="s">
        <v>163</v>
      </c>
      <c r="BE142" t="s">
        <v>167</v>
      </c>
    </row>
    <row r="143" spans="1:57" x14ac:dyDescent="0.25">
      <c r="A143" s="15" t="s">
        <v>212</v>
      </c>
      <c r="B143" s="18" t="s">
        <v>5</v>
      </c>
      <c r="C143" s="18" t="s">
        <v>6</v>
      </c>
      <c r="D143" s="18">
        <v>60</v>
      </c>
      <c r="E143" s="18">
        <v>3.5240999999999998</v>
      </c>
      <c r="F143" s="18">
        <v>6.8028000000000004</v>
      </c>
      <c r="G143" s="15">
        <v>3.99</v>
      </c>
      <c r="H143" s="15">
        <v>3.3</v>
      </c>
      <c r="I143" s="15">
        <v>3.28</v>
      </c>
      <c r="J143" s="15">
        <v>36.76</v>
      </c>
      <c r="K143" s="15">
        <v>50.41</v>
      </c>
      <c r="L143" s="15">
        <v>20.2</v>
      </c>
      <c r="M143" s="15">
        <v>3</v>
      </c>
      <c r="N143" s="15">
        <v>1</v>
      </c>
      <c r="O143" s="15">
        <v>3.24</v>
      </c>
      <c r="P143" s="9">
        <v>1.60178</v>
      </c>
      <c r="Q143" s="9">
        <v>1.1554800000000001</v>
      </c>
      <c r="R143" s="9">
        <v>-6.25E-2</v>
      </c>
      <c r="S143" s="9">
        <v>0.17693200000000001</v>
      </c>
      <c r="T143" s="9">
        <v>0.19120699999999999</v>
      </c>
      <c r="U143" s="9">
        <v>4.4752500000000001E-2</v>
      </c>
      <c r="V143" s="9">
        <v>2.3648099999999999</v>
      </c>
      <c r="W143" s="9">
        <v>2.0466000000000002</v>
      </c>
      <c r="X143" s="9">
        <v>3.2782100000000001</v>
      </c>
      <c r="Y143" s="9">
        <v>22.9267</v>
      </c>
      <c r="Z143" s="9">
        <v>10.6183</v>
      </c>
      <c r="AA143" s="9">
        <f t="shared" si="27"/>
        <v>0.6239634146341464</v>
      </c>
      <c r="AB143" s="9">
        <f t="shared" si="28"/>
        <v>1.2164634146341464</v>
      </c>
      <c r="AC143" s="9">
        <f t="shared" si="29"/>
        <v>1.0060975609756098</v>
      </c>
      <c r="AD143" s="9">
        <f t="shared" si="30"/>
        <v>6.505689395874124</v>
      </c>
      <c r="AE143" s="9">
        <f t="shared" si="31"/>
        <v>3.0130529780653217</v>
      </c>
      <c r="AF143" s="9">
        <f t="shared" si="32"/>
        <v>4.7457503374715193</v>
      </c>
      <c r="AG143" s="9">
        <f t="shared" si="24"/>
        <v>1.0591297700944378</v>
      </c>
      <c r="AH143" s="9">
        <f t="shared" si="23"/>
        <v>0.97823081817102731</v>
      </c>
      <c r="AI143" s="9">
        <f t="shared" si="25"/>
        <v>1.3635009996545289</v>
      </c>
      <c r="AJ143" s="9">
        <f>(4*PI()*(AI143^2))/(Y143+E143)</f>
        <v>0.88324659863875188</v>
      </c>
      <c r="AK143" s="12">
        <f t="shared" si="26"/>
        <v>1.0123456790123455</v>
      </c>
      <c r="AL143" s="12" t="s">
        <v>144</v>
      </c>
      <c r="AM143" s="12" t="s">
        <v>143</v>
      </c>
      <c r="AN143" s="18">
        <v>7.4111000000000002</v>
      </c>
      <c r="AO143" s="18">
        <v>0.75566</v>
      </c>
      <c r="AP143" s="18">
        <v>18739</v>
      </c>
      <c r="AQ143" s="18">
        <v>17580</v>
      </c>
      <c r="AR143" s="18">
        <v>3.4691000000000001</v>
      </c>
      <c r="AS143" s="18">
        <v>1.2449999999999999E-2</v>
      </c>
      <c r="AT143" s="18">
        <v>0.72775000000000001</v>
      </c>
      <c r="AU143" s="18">
        <v>0.52041000000000004</v>
      </c>
      <c r="AV143" s="18">
        <v>1.0255999999999999E-2</v>
      </c>
      <c r="AW143" s="18">
        <v>9.2596999999999992E-3</v>
      </c>
      <c r="AX143" s="18">
        <v>0.22699</v>
      </c>
      <c r="AY143" s="18">
        <v>0.74306000000000005</v>
      </c>
      <c r="AZ143" s="18">
        <v>-1318</v>
      </c>
      <c r="BA143" s="18">
        <v>3.6700000000000003E-2</v>
      </c>
      <c r="BB143" s="18">
        <v>17.094999999999999</v>
      </c>
      <c r="BC143" s="18" t="s">
        <v>162</v>
      </c>
      <c r="BD143" s="35" t="s">
        <v>163</v>
      </c>
      <c r="BE143" t="s">
        <v>167</v>
      </c>
    </row>
    <row r="144" spans="1:57" x14ac:dyDescent="0.25">
      <c r="A144" s="15" t="s">
        <v>213</v>
      </c>
      <c r="B144" s="16" t="s">
        <v>5</v>
      </c>
      <c r="C144" s="16" t="s">
        <v>6</v>
      </c>
      <c r="D144" s="16">
        <v>59</v>
      </c>
      <c r="E144" s="16">
        <v>83.887</v>
      </c>
      <c r="F144" s="16">
        <v>35.520000000000003</v>
      </c>
      <c r="G144" s="15">
        <v>22.23</v>
      </c>
      <c r="H144" s="15">
        <v>3.96</v>
      </c>
      <c r="I144" s="15">
        <v>17.2</v>
      </c>
      <c r="J144" s="15">
        <v>59.91</v>
      </c>
      <c r="K144" s="15">
        <v>22.6</v>
      </c>
      <c r="L144" s="15">
        <v>62.05</v>
      </c>
      <c r="M144" s="15">
        <v>18.600000000000001</v>
      </c>
      <c r="N144" s="15">
        <v>1</v>
      </c>
      <c r="O144" s="15">
        <v>2.73</v>
      </c>
      <c r="P144" s="9">
        <v>1.8321700000000001</v>
      </c>
      <c r="Q144" s="9">
        <v>2.1363599999999998</v>
      </c>
      <c r="R144" s="9">
        <v>5.7951500000000003E-2</v>
      </c>
      <c r="S144" s="9">
        <v>0.16608400000000001</v>
      </c>
      <c r="T144" s="9">
        <v>0.16980899999999999</v>
      </c>
      <c r="U144" s="9">
        <v>4.9840199999999996E-3</v>
      </c>
      <c r="V144" s="9">
        <v>21.721699999999998</v>
      </c>
      <c r="W144" s="9">
        <v>10.1676</v>
      </c>
      <c r="X144" s="9">
        <v>18.628699999999998</v>
      </c>
      <c r="Y144" s="9">
        <v>1106.0899999999999</v>
      </c>
      <c r="Z144" s="9">
        <v>3700.32</v>
      </c>
      <c r="AA144" s="9">
        <f t="shared" si="27"/>
        <v>0.59113953488372095</v>
      </c>
      <c r="AB144" s="9">
        <f t="shared" si="28"/>
        <v>1.2924418604651164</v>
      </c>
      <c r="AC144" s="9">
        <f t="shared" si="29"/>
        <v>0.23023255813953489</v>
      </c>
      <c r="AD144" s="9">
        <f t="shared" si="30"/>
        <v>13.185475699452834</v>
      </c>
      <c r="AE144" s="9">
        <f t="shared" si="31"/>
        <v>44.110768057029098</v>
      </c>
      <c r="AF144" s="9">
        <f t="shared" si="32"/>
        <v>4.6234298996648739</v>
      </c>
      <c r="AG144" s="9">
        <f t="shared" si="24"/>
        <v>5.1674037409805376</v>
      </c>
      <c r="AH144" s="9">
        <f t="shared" si="23"/>
        <v>0.91406968641874276</v>
      </c>
      <c r="AI144" s="9">
        <f t="shared" si="25"/>
        <v>9.5951158913451646</v>
      </c>
      <c r="AJ144" s="9">
        <f>(4*PI()*(AI144^2))/(Y144+E144)</f>
        <v>0.97223610675675254</v>
      </c>
      <c r="AK144" s="12">
        <f t="shared" si="26"/>
        <v>6.3003663003663002</v>
      </c>
      <c r="AL144" s="12" t="s">
        <v>144</v>
      </c>
      <c r="AM144" s="12" t="s">
        <v>143</v>
      </c>
      <c r="AN144" s="16">
        <v>0.60748999999999997</v>
      </c>
      <c r="AO144" s="16">
        <v>8.8980000000000004E-2</v>
      </c>
      <c r="AP144" s="16">
        <v>779.98</v>
      </c>
      <c r="AQ144" s="16">
        <v>670.05</v>
      </c>
      <c r="AR144" s="16">
        <v>0.62222999999999995</v>
      </c>
      <c r="AS144" s="16">
        <v>3.3675999999999998E-2</v>
      </c>
      <c r="AT144" s="16">
        <v>0.68044000000000004</v>
      </c>
      <c r="AU144" s="16">
        <v>2.9722</v>
      </c>
      <c r="AV144" s="16">
        <v>0.79022000000000003</v>
      </c>
      <c r="AW144" s="16">
        <v>3.3035000000000002E-2</v>
      </c>
      <c r="AX144" s="16">
        <v>6.1017000000000002E-2</v>
      </c>
      <c r="AY144" s="16">
        <v>-27.876000000000001</v>
      </c>
      <c r="AZ144" s="16">
        <v>-118.36</v>
      </c>
      <c r="BA144" s="16">
        <v>1.2582</v>
      </c>
      <c r="BB144" s="16">
        <v>4.2900999999999998</v>
      </c>
      <c r="BC144" s="16" t="s">
        <v>162</v>
      </c>
      <c r="BD144" s="34" t="s">
        <v>163</v>
      </c>
      <c r="BE144" t="s">
        <v>167</v>
      </c>
    </row>
    <row r="145" spans="1:57" x14ac:dyDescent="0.25">
      <c r="A145" s="15" t="s">
        <v>214</v>
      </c>
      <c r="B145" s="18" t="s">
        <v>5</v>
      </c>
      <c r="C145" s="18" t="s">
        <v>14</v>
      </c>
      <c r="D145" s="18">
        <v>69</v>
      </c>
      <c r="E145" s="18">
        <v>26.244</v>
      </c>
      <c r="F145" s="18">
        <v>18.849</v>
      </c>
      <c r="G145" s="15">
        <v>8.5299999999999994</v>
      </c>
      <c r="H145" s="15">
        <v>5.3</v>
      </c>
      <c r="I145" s="15">
        <v>3.83</v>
      </c>
      <c r="J145" s="15">
        <v>132.54</v>
      </c>
      <c r="K145" s="15">
        <v>18.98</v>
      </c>
      <c r="L145" s="15">
        <v>14.3</v>
      </c>
      <c r="M145" s="15">
        <v>7.75</v>
      </c>
      <c r="N145" s="15">
        <v>1</v>
      </c>
      <c r="O145" s="15">
        <v>3.73</v>
      </c>
      <c r="P145" s="9">
        <v>0.93730100000000005</v>
      </c>
      <c r="Q145" s="9">
        <v>1.4609399999999999</v>
      </c>
      <c r="R145" s="9">
        <v>0.138095</v>
      </c>
      <c r="S145" s="9">
        <v>0.102952</v>
      </c>
      <c r="T145" s="9">
        <v>0.114674</v>
      </c>
      <c r="U145" s="9">
        <v>1.85816E-2</v>
      </c>
      <c r="V145" s="9">
        <v>8.2633600000000005</v>
      </c>
      <c r="W145" s="9">
        <v>5.6561899999999996</v>
      </c>
      <c r="X145" s="9">
        <v>5.3015600000000003</v>
      </c>
      <c r="Y145" s="9">
        <v>118.392</v>
      </c>
      <c r="Z145" s="9">
        <v>142.70099999999999</v>
      </c>
      <c r="AA145" s="9">
        <f t="shared" si="27"/>
        <v>1.476812010443864</v>
      </c>
      <c r="AB145" s="9">
        <f t="shared" si="28"/>
        <v>2.2271540469973887</v>
      </c>
      <c r="AC145" s="9">
        <f t="shared" si="29"/>
        <v>1.3838120104438643</v>
      </c>
      <c r="AD145" s="9">
        <f t="shared" si="30"/>
        <v>4.5112025605852768</v>
      </c>
      <c r="AE145" s="9">
        <f t="shared" si="31"/>
        <v>5.437471422039323</v>
      </c>
      <c r="AF145" s="9">
        <f t="shared" si="32"/>
        <v>4.3354849153187329</v>
      </c>
      <c r="AG145" s="9">
        <f t="shared" si="24"/>
        <v>2.8902810681674893</v>
      </c>
      <c r="AH145" s="9">
        <f t="shared" si="23"/>
        <v>0.96345543748364826</v>
      </c>
      <c r="AI145" s="9">
        <f t="shared" si="25"/>
        <v>3.2417496234437073</v>
      </c>
      <c r="AJ145" s="9">
        <f>(4*PI()*(AI145^2))/(Y145+E145)</f>
        <v>0.91304545624190403</v>
      </c>
      <c r="AK145" s="12">
        <f t="shared" si="26"/>
        <v>1.0268096514745308</v>
      </c>
      <c r="AL145" s="12" t="s">
        <v>140</v>
      </c>
      <c r="AM145" s="12" t="s">
        <v>143</v>
      </c>
      <c r="AN145" s="18">
        <v>7.5952999999999999</v>
      </c>
      <c r="AO145" s="18">
        <v>0.80635999999999997</v>
      </c>
      <c r="AP145" s="18">
        <v>8661.7999999999993</v>
      </c>
      <c r="AQ145" s="18">
        <v>8217.4</v>
      </c>
      <c r="AR145" s="18">
        <v>4.7990000000000004</v>
      </c>
      <c r="AS145" s="18">
        <v>4.3677999999999998E-3</v>
      </c>
      <c r="AT145" s="18">
        <v>0.74241000000000001</v>
      </c>
      <c r="AU145" s="18">
        <v>0.28525</v>
      </c>
      <c r="AV145" s="18">
        <v>2.3004E-2</v>
      </c>
      <c r="AW145" s="18">
        <v>3.2889E-3</v>
      </c>
      <c r="AX145" s="18">
        <v>0.35215999999999997</v>
      </c>
      <c r="AY145" s="18">
        <v>2.2685</v>
      </c>
      <c r="AZ145" s="18">
        <v>810.44</v>
      </c>
      <c r="BA145" s="18">
        <v>4.4039000000000002E-2</v>
      </c>
      <c r="BB145" s="18">
        <v>7.5717999999999996</v>
      </c>
      <c r="BC145" s="18" t="s">
        <v>162</v>
      </c>
      <c r="BD145" s="35" t="s">
        <v>163</v>
      </c>
      <c r="BE145" t="s">
        <v>167</v>
      </c>
    </row>
    <row r="146" spans="1:57" x14ac:dyDescent="0.25">
      <c r="A146" s="15" t="s">
        <v>215</v>
      </c>
      <c r="B146" s="16" t="s">
        <v>40</v>
      </c>
      <c r="C146" s="16" t="s">
        <v>6</v>
      </c>
      <c r="D146" s="16">
        <v>74</v>
      </c>
      <c r="E146" s="16">
        <v>26.652999999999999</v>
      </c>
      <c r="F146" s="16">
        <v>18.86</v>
      </c>
      <c r="G146" s="15">
        <v>11.28</v>
      </c>
      <c r="H146" s="15">
        <v>7.2</v>
      </c>
      <c r="I146" s="15">
        <v>2.97</v>
      </c>
      <c r="J146" s="15">
        <v>72.44</v>
      </c>
      <c r="K146" s="15">
        <v>14.15</v>
      </c>
      <c r="L146" s="15">
        <v>77.540000000000006</v>
      </c>
      <c r="M146" s="15">
        <v>10.82</v>
      </c>
      <c r="N146" s="15">
        <v>2</v>
      </c>
      <c r="O146" s="15">
        <f>2.31+2.22</f>
        <v>4.53</v>
      </c>
      <c r="P146" s="9">
        <v>1.3399300000000001</v>
      </c>
      <c r="Q146" s="9">
        <v>1.9023600000000001</v>
      </c>
      <c r="R146" s="9">
        <v>4.2253499999999999E-2</v>
      </c>
      <c r="S146" s="9">
        <v>0.18282799999999999</v>
      </c>
      <c r="T146" s="9">
        <v>0.223944</v>
      </c>
      <c r="U146" s="9">
        <v>9.5039499999999999E-2</v>
      </c>
      <c r="V146" s="9">
        <v>10.1835</v>
      </c>
      <c r="W146" s="9">
        <v>5.3530800000000003</v>
      </c>
      <c r="X146" s="9">
        <v>7.1727400000000001</v>
      </c>
      <c r="Y146" s="9">
        <v>187.60900000000001</v>
      </c>
      <c r="Z146" s="9">
        <v>233.619</v>
      </c>
      <c r="AA146" s="9">
        <f t="shared" si="27"/>
        <v>1.8023838383838384</v>
      </c>
      <c r="AB146" s="9">
        <f t="shared" si="28"/>
        <v>3.7979797979797976</v>
      </c>
      <c r="AC146" s="9">
        <f t="shared" si="29"/>
        <v>2.4242424242424243</v>
      </c>
      <c r="AD146" s="9">
        <f t="shared" si="30"/>
        <v>7.038944959291638</v>
      </c>
      <c r="AE146" s="9">
        <f t="shared" si="31"/>
        <v>8.7652046673920392</v>
      </c>
      <c r="AF146" s="9">
        <f t="shared" si="32"/>
        <v>4.9459329915208778</v>
      </c>
      <c r="AG146" s="9">
        <f t="shared" si="24"/>
        <v>2.912715811138562</v>
      </c>
      <c r="AH146" s="9">
        <f t="shared" si="23"/>
        <v>0.97036761339000455</v>
      </c>
      <c r="AI146" s="9">
        <f t="shared" si="25"/>
        <v>3.8206728339630711</v>
      </c>
      <c r="AJ146" s="9">
        <f>(4*PI()*(AI146^2))/(Y146+E146)</f>
        <v>0.85613925502532584</v>
      </c>
      <c r="AK146" s="12">
        <f t="shared" si="26"/>
        <v>0.6556291390728477</v>
      </c>
      <c r="AL146" s="12" t="s">
        <v>140</v>
      </c>
      <c r="AM146" s="12" t="s">
        <v>142</v>
      </c>
      <c r="AN146" s="16">
        <v>1.6981999999999999</v>
      </c>
      <c r="AO146" s="16">
        <v>0.41422999999999999</v>
      </c>
      <c r="AP146" s="16">
        <v>2822.2</v>
      </c>
      <c r="AQ146" s="16">
        <v>2309.9</v>
      </c>
      <c r="AR146" s="16">
        <v>1.1969000000000001</v>
      </c>
      <c r="AS146" s="16">
        <v>2.5047E-2</v>
      </c>
      <c r="AT146" s="16">
        <v>0.65712999999999999</v>
      </c>
      <c r="AU146" s="16">
        <v>1.8090999999999999</v>
      </c>
      <c r="AV146" s="16">
        <v>8.4741999999999998E-2</v>
      </c>
      <c r="AW146" s="16">
        <v>1.7590999999999999E-2</v>
      </c>
      <c r="AX146" s="16">
        <v>0.10668999999999999</v>
      </c>
      <c r="AY146" s="16">
        <v>-21.536000000000001</v>
      </c>
      <c r="AZ146" s="16">
        <v>-198.68</v>
      </c>
      <c r="BA146" s="16">
        <v>0.38134000000000001</v>
      </c>
      <c r="BB146" s="16">
        <v>11.156000000000001</v>
      </c>
      <c r="BC146" s="16" t="s">
        <v>162</v>
      </c>
      <c r="BD146" s="34" t="s">
        <v>165</v>
      </c>
      <c r="BE146" t="s">
        <v>167</v>
      </c>
    </row>
    <row r="147" spans="1:57" x14ac:dyDescent="0.25">
      <c r="A147" s="15" t="s">
        <v>216</v>
      </c>
      <c r="B147" s="16" t="s">
        <v>26</v>
      </c>
      <c r="C147" s="16" t="s">
        <v>6</v>
      </c>
      <c r="D147" s="16">
        <v>28</v>
      </c>
      <c r="E147" s="16">
        <v>4.0362999999999998</v>
      </c>
      <c r="F147" s="16">
        <v>7.4036</v>
      </c>
      <c r="G147" s="15">
        <v>4.6500000000000004</v>
      </c>
      <c r="H147" s="15">
        <v>2.85</v>
      </c>
      <c r="I147" s="15">
        <v>2.11</v>
      </c>
      <c r="J147" s="15">
        <v>16.899999999999999</v>
      </c>
      <c r="K147" s="15">
        <v>24.87</v>
      </c>
      <c r="L147" s="15">
        <v>39.97</v>
      </c>
      <c r="M147" s="15">
        <v>4.2699999999999996</v>
      </c>
      <c r="N147" s="15">
        <v>2</v>
      </c>
      <c r="O147" s="15">
        <f>1.88+0.48</f>
        <v>2.36</v>
      </c>
      <c r="P147" s="9">
        <v>1.29749</v>
      </c>
      <c r="Q147" s="9">
        <v>1.6555599999999999</v>
      </c>
      <c r="R147" s="9">
        <v>1.78572E-2</v>
      </c>
      <c r="S147" s="9">
        <v>0.166771</v>
      </c>
      <c r="T147" s="9">
        <v>0.190083</v>
      </c>
      <c r="U147" s="9">
        <v>5.0427699999999999E-2</v>
      </c>
      <c r="V147" s="9">
        <v>3.6467900000000002</v>
      </c>
      <c r="W147" s="9">
        <v>2.2027600000000001</v>
      </c>
      <c r="X147" s="9">
        <v>2.85806</v>
      </c>
      <c r="Y147" s="9">
        <v>30.1191</v>
      </c>
      <c r="Z147" s="9">
        <v>16.021899999999999</v>
      </c>
      <c r="AA147" s="9">
        <f t="shared" si="27"/>
        <v>1.0439620853080569</v>
      </c>
      <c r="AB147" s="9">
        <f t="shared" si="28"/>
        <v>2.203791469194313</v>
      </c>
      <c r="AC147" s="9">
        <f t="shared" si="29"/>
        <v>1.3507109004739337</v>
      </c>
      <c r="AD147" s="9">
        <f t="shared" si="30"/>
        <v>7.4620568342293687</v>
      </c>
      <c r="AE147" s="9">
        <f t="shared" si="31"/>
        <v>3.9694522210935759</v>
      </c>
      <c r="AF147" s="9">
        <f t="shared" si="32"/>
        <v>4.7391375346541817</v>
      </c>
      <c r="AG147" s="9">
        <f t="shared" si="24"/>
        <v>1.1334876239305105</v>
      </c>
      <c r="AH147" s="9">
        <f t="shared" si="23"/>
        <v>0.96195266958642867</v>
      </c>
      <c r="AI147" s="9">
        <f t="shared" si="25"/>
        <v>1.5638981617273977</v>
      </c>
      <c r="AJ147" s="9">
        <f>(4*PI()*(AI147^2))/(Y147+E147)</f>
        <v>0.89984441715810881</v>
      </c>
      <c r="AK147" s="12">
        <f t="shared" si="26"/>
        <v>0.89406779661016944</v>
      </c>
      <c r="AL147" s="12" t="s">
        <v>140</v>
      </c>
      <c r="AM147" s="12" t="s">
        <v>142</v>
      </c>
      <c r="AN147" s="16">
        <v>11.04</v>
      </c>
      <c r="AO147" s="16">
        <v>0.57181999999999999</v>
      </c>
      <c r="AP147" s="16">
        <v>36906</v>
      </c>
      <c r="AQ147" s="16">
        <v>32350</v>
      </c>
      <c r="AR147" s="16">
        <v>5.2803000000000004</v>
      </c>
      <c r="AS147" s="16">
        <v>5.6297999999999999E-3</v>
      </c>
      <c r="AT147" s="16">
        <v>0.74736000000000002</v>
      </c>
      <c r="AU147" s="16">
        <v>0.36649999999999999</v>
      </c>
      <c r="AV147" s="16">
        <v>2.3921000000000001E-2</v>
      </c>
      <c r="AW147" s="16">
        <v>3.6139000000000002E-3</v>
      </c>
      <c r="AX147" s="16">
        <v>0.26588000000000001</v>
      </c>
      <c r="AY147" s="16">
        <v>-1.7361</v>
      </c>
      <c r="AZ147" s="16">
        <v>-2726.3</v>
      </c>
      <c r="BA147" s="16">
        <v>3.4264000000000003E-2</v>
      </c>
      <c r="BB147" s="16">
        <v>17.344999999999999</v>
      </c>
      <c r="BC147" s="16" t="s">
        <v>162</v>
      </c>
      <c r="BD147" s="34" t="s">
        <v>163</v>
      </c>
      <c r="BE147" t="s">
        <v>167</v>
      </c>
    </row>
    <row r="148" spans="1:57" x14ac:dyDescent="0.25">
      <c r="A148" s="15" t="s">
        <v>217</v>
      </c>
      <c r="B148" s="16" t="s">
        <v>40</v>
      </c>
      <c r="C148" s="16" t="s">
        <v>6</v>
      </c>
      <c r="D148" s="16">
        <v>51</v>
      </c>
      <c r="E148" s="16">
        <v>16.518999999999998</v>
      </c>
      <c r="F148" s="16">
        <v>15.058999999999999</v>
      </c>
      <c r="G148" s="15">
        <v>5.57</v>
      </c>
      <c r="H148" s="15">
        <v>2.92</v>
      </c>
      <c r="I148" s="15">
        <v>2.86</v>
      </c>
      <c r="J148" s="15">
        <f>90-5.75</f>
        <v>84.25</v>
      </c>
      <c r="K148" s="15">
        <v>5.85</v>
      </c>
      <c r="L148" s="15">
        <v>90</v>
      </c>
      <c r="M148" s="15">
        <v>5.47</v>
      </c>
      <c r="N148" s="15">
        <v>2</v>
      </c>
      <c r="O148" s="15">
        <f>1.86+2.23</f>
        <v>4.09</v>
      </c>
      <c r="P148" s="9">
        <v>0.42790899999999998</v>
      </c>
      <c r="Q148" s="9">
        <v>1.23797</v>
      </c>
      <c r="R148" s="9">
        <v>0.39189200000000002</v>
      </c>
      <c r="S148" s="9">
        <v>5.5724700000000002E-2</v>
      </c>
      <c r="T148" s="9">
        <v>9.3514899999999998E-2</v>
      </c>
      <c r="U148" s="9">
        <v>7.2592699999999996E-2</v>
      </c>
      <c r="V148" s="9">
        <v>5.5626899999999999</v>
      </c>
      <c r="W148" s="9">
        <v>4.4933899999999998</v>
      </c>
      <c r="X148" s="9">
        <v>1.92276</v>
      </c>
      <c r="Y148" s="9">
        <v>31.211600000000001</v>
      </c>
      <c r="Z148" s="9">
        <v>20.012599999999999</v>
      </c>
      <c r="AA148" s="9">
        <f t="shared" si="27"/>
        <v>1.5711153846153847</v>
      </c>
      <c r="AB148" s="9">
        <f t="shared" si="28"/>
        <v>1.9475524475524477</v>
      </c>
      <c r="AC148" s="9">
        <f t="shared" si="29"/>
        <v>1.020979020979021</v>
      </c>
      <c r="AD148" s="9">
        <f t="shared" si="30"/>
        <v>1.8894364065621407</v>
      </c>
      <c r="AE148" s="9">
        <f t="shared" si="31"/>
        <v>1.2114897996246747</v>
      </c>
      <c r="AF148" s="9">
        <f t="shared" si="32"/>
        <v>4.2342876299809058</v>
      </c>
      <c r="AG148" s="9">
        <f t="shared" si="24"/>
        <v>2.2930680342872596</v>
      </c>
      <c r="AH148" s="9">
        <f t="shared" si="23"/>
        <v>0.95675485632491442</v>
      </c>
      <c r="AI148" s="9">
        <f t="shared" si="25"/>
        <v>1.6842438436902489</v>
      </c>
      <c r="AJ148" s="9">
        <f>(4*PI()*(AI148^2))/(Y148+E148)</f>
        <v>0.74683198156750275</v>
      </c>
      <c r="AK148" s="12">
        <f t="shared" si="26"/>
        <v>0.69926650366748166</v>
      </c>
      <c r="AL148" s="12" t="s">
        <v>140</v>
      </c>
      <c r="AM148" s="12" t="s">
        <v>142</v>
      </c>
      <c r="AN148" s="16">
        <v>6.8319000000000001</v>
      </c>
      <c r="AO148" s="16">
        <v>1.1504000000000001</v>
      </c>
      <c r="AP148" s="16">
        <v>12518</v>
      </c>
      <c r="AQ148" s="16">
        <v>12614</v>
      </c>
      <c r="AR148" s="16">
        <v>3.7183000000000002</v>
      </c>
      <c r="AS148" s="16">
        <v>8.1066000000000003E-3</v>
      </c>
      <c r="AT148" s="16">
        <v>0.74756</v>
      </c>
      <c r="AU148" s="16">
        <v>0.35076000000000002</v>
      </c>
      <c r="AV148" s="21">
        <v>1.3057999999999999E-4</v>
      </c>
      <c r="AW148" s="16">
        <v>6.0492999999999996E-3</v>
      </c>
      <c r="AX148" s="16">
        <v>0.25597999999999999</v>
      </c>
      <c r="AY148" s="16">
        <v>-2.8323999999999998</v>
      </c>
      <c r="AZ148" s="16">
        <v>-2978.5</v>
      </c>
      <c r="BA148" s="16">
        <v>1.7013E-2</v>
      </c>
      <c r="BB148" s="16">
        <v>9.3465000000000007</v>
      </c>
      <c r="BC148" s="16" t="s">
        <v>162</v>
      </c>
      <c r="BD148" s="34" t="s">
        <v>165</v>
      </c>
      <c r="BE148" t="s">
        <v>167</v>
      </c>
    </row>
    <row r="149" spans="1:57" x14ac:dyDescent="0.25">
      <c r="A149" s="15" t="s">
        <v>218</v>
      </c>
      <c r="B149" s="18" t="s">
        <v>5</v>
      </c>
      <c r="C149" s="18" t="s">
        <v>14</v>
      </c>
      <c r="D149" s="18">
        <v>89</v>
      </c>
      <c r="E149" s="18">
        <v>9.8193000000000001</v>
      </c>
      <c r="F149" s="18">
        <v>11.471</v>
      </c>
      <c r="G149" s="15">
        <v>4.5199999999999996</v>
      </c>
      <c r="H149" s="15">
        <v>3.15</v>
      </c>
      <c r="I149" s="15">
        <v>2.88</v>
      </c>
      <c r="J149" s="15">
        <v>103.51</v>
      </c>
      <c r="K149" s="15">
        <v>36.44</v>
      </c>
      <c r="L149" s="15">
        <v>22.54</v>
      </c>
      <c r="M149" s="15">
        <v>3.95</v>
      </c>
      <c r="N149" s="15">
        <v>1</v>
      </c>
      <c r="O149" s="15">
        <v>3.73</v>
      </c>
      <c r="P149" s="9">
        <v>0.88261500000000004</v>
      </c>
      <c r="Q149" s="9">
        <v>1.10897</v>
      </c>
      <c r="R149" s="9">
        <v>0.48360700000000001</v>
      </c>
      <c r="S149" s="9">
        <v>8.2419400000000004E-2</v>
      </c>
      <c r="T149" s="9">
        <v>0.102759</v>
      </c>
      <c r="U149" s="9">
        <v>4.96044E-2</v>
      </c>
      <c r="V149" s="9">
        <v>3.9513500000000001</v>
      </c>
      <c r="W149" s="9">
        <v>3.5630799999999998</v>
      </c>
      <c r="X149" s="9">
        <v>3.1448200000000002</v>
      </c>
      <c r="Y149" s="9">
        <v>29.901299999999999</v>
      </c>
      <c r="Z149" s="9">
        <v>18.479299999999999</v>
      </c>
      <c r="AA149" s="9">
        <f t="shared" si="27"/>
        <v>1.2371805555555555</v>
      </c>
      <c r="AB149" s="9">
        <f t="shared" si="28"/>
        <v>1.5694444444444444</v>
      </c>
      <c r="AC149" s="9">
        <f t="shared" si="29"/>
        <v>1.09375</v>
      </c>
      <c r="AD149" s="9">
        <f t="shared" si="30"/>
        <v>3.0451559683480491</v>
      </c>
      <c r="AE149" s="9">
        <f t="shared" si="31"/>
        <v>1.8819365942582464</v>
      </c>
      <c r="AF149" s="9">
        <f t="shared" si="32"/>
        <v>4.2779239488731715</v>
      </c>
      <c r="AG149" s="9">
        <f t="shared" si="24"/>
        <v>1.7679310691892078</v>
      </c>
      <c r="AH149" s="9">
        <f t="shared" si="23"/>
        <v>0.96837577526248164</v>
      </c>
      <c r="AI149" s="9">
        <f t="shared" si="25"/>
        <v>1.64008227698178</v>
      </c>
      <c r="AJ149" s="9">
        <f>(4*PI()*(AI149^2))/(Y149+E149)</f>
        <v>0.85099172109785948</v>
      </c>
      <c r="AK149" s="12">
        <f t="shared" si="26"/>
        <v>0.77211796246648789</v>
      </c>
      <c r="AL149" s="12" t="s">
        <v>144</v>
      </c>
      <c r="AM149" s="12" t="s">
        <v>143</v>
      </c>
      <c r="AN149" s="18">
        <v>27.318999999999999</v>
      </c>
      <c r="AO149" s="18">
        <v>2.1274000000000002</v>
      </c>
      <c r="AP149" s="18">
        <v>32050</v>
      </c>
      <c r="AQ149" s="18">
        <v>34542</v>
      </c>
      <c r="AR149" s="18">
        <v>13.164</v>
      </c>
      <c r="AS149" s="18">
        <v>3.0549000000000002E-3</v>
      </c>
      <c r="AT149" s="18">
        <v>0.79225999999999996</v>
      </c>
      <c r="AU149" s="18">
        <v>0.10800999999999999</v>
      </c>
      <c r="AV149" s="19">
        <v>5.8655000000000003E-4</v>
      </c>
      <c r="AW149" s="18">
        <v>3.4196999999999999E-3</v>
      </c>
      <c r="AX149" s="18">
        <v>0.62214999999999998</v>
      </c>
      <c r="AY149" s="18">
        <v>3.2023999999999999</v>
      </c>
      <c r="AZ149" s="18">
        <v>9643.9</v>
      </c>
      <c r="BA149" s="18">
        <v>1.1613E-2</v>
      </c>
      <c r="BB149" s="18">
        <v>12.894</v>
      </c>
      <c r="BC149" s="18" t="s">
        <v>162</v>
      </c>
      <c r="BD149" s="35" t="s">
        <v>163</v>
      </c>
      <c r="BE149" t="s">
        <v>168</v>
      </c>
    </row>
    <row r="150" spans="1:57" x14ac:dyDescent="0.25">
      <c r="A150" s="15" t="s">
        <v>219</v>
      </c>
      <c r="B150" s="18" t="s">
        <v>5</v>
      </c>
      <c r="C150" s="18" t="s">
        <v>6</v>
      </c>
      <c r="D150" s="18">
        <v>70</v>
      </c>
      <c r="E150" s="18">
        <v>17.861000000000001</v>
      </c>
      <c r="F150" s="18">
        <v>15.861000000000001</v>
      </c>
      <c r="G150" s="15">
        <v>5.6</v>
      </c>
      <c r="H150" s="15">
        <v>2.1</v>
      </c>
      <c r="I150" s="15">
        <v>3.09</v>
      </c>
      <c r="J150" s="15">
        <v>83.2</v>
      </c>
      <c r="K150" s="15">
        <v>0</v>
      </c>
      <c r="L150" s="15">
        <v>16.37</v>
      </c>
      <c r="M150" s="15">
        <v>5.6</v>
      </c>
      <c r="N150" s="15">
        <v>1</v>
      </c>
      <c r="O150" s="15">
        <v>5.36</v>
      </c>
      <c r="P150" s="9">
        <v>0.46043800000000001</v>
      </c>
      <c r="Q150" s="9">
        <v>1.2245699999999999</v>
      </c>
      <c r="R150" s="9">
        <v>0.47499999999999998</v>
      </c>
      <c r="S150" s="9">
        <v>8.0973500000000004E-2</v>
      </c>
      <c r="T150" s="9">
        <v>0.11211599999999999</v>
      </c>
      <c r="U150" s="9">
        <v>8.2581500000000002E-2</v>
      </c>
      <c r="V150" s="9">
        <v>5.5825800000000001</v>
      </c>
      <c r="W150" s="9">
        <v>4.5588100000000003</v>
      </c>
      <c r="X150" s="9">
        <v>2.0990500000000001</v>
      </c>
      <c r="Y150" s="9">
        <v>29.455100000000002</v>
      </c>
      <c r="Z150" s="9">
        <v>17.785399999999999</v>
      </c>
      <c r="AA150" s="9">
        <f t="shared" si="27"/>
        <v>1.4753430420711975</v>
      </c>
      <c r="AB150" s="9">
        <f t="shared" si="28"/>
        <v>1.8122977346278317</v>
      </c>
      <c r="AC150" s="9">
        <f t="shared" si="29"/>
        <v>0.67961165048543692</v>
      </c>
      <c r="AD150" s="9">
        <f t="shared" si="30"/>
        <v>1.6491293880521807</v>
      </c>
      <c r="AE150" s="9">
        <f t="shared" si="31"/>
        <v>0.99576731426011977</v>
      </c>
      <c r="AF150" s="9">
        <f t="shared" si="32"/>
        <v>4.322995101833401</v>
      </c>
      <c r="AG150" s="9">
        <f t="shared" si="24"/>
        <v>2.3843936078442849</v>
      </c>
      <c r="AH150" s="9">
        <f t="shared" si="23"/>
        <v>0.94455500178678109</v>
      </c>
      <c r="AI150" s="9">
        <f t="shared" si="25"/>
        <v>1.6192913996061491</v>
      </c>
      <c r="AJ150" s="9">
        <f>(4*PI()*(AI150^2))/(Y150+E150)</f>
        <v>0.69638745915537237</v>
      </c>
      <c r="AK150" s="12">
        <f t="shared" si="26"/>
        <v>0.57649253731343275</v>
      </c>
      <c r="AL150" s="12" t="s">
        <v>144</v>
      </c>
      <c r="AM150" s="12" t="s">
        <v>143</v>
      </c>
      <c r="AN150" s="18">
        <v>11.531000000000001</v>
      </c>
      <c r="AO150" s="18">
        <v>1.6387</v>
      </c>
      <c r="AP150" s="18">
        <v>16588</v>
      </c>
      <c r="AQ150" s="18">
        <v>16441</v>
      </c>
      <c r="AR150" s="18">
        <v>6.0039999999999996</v>
      </c>
      <c r="AS150" s="18">
        <v>6.2465999999999997E-3</v>
      </c>
      <c r="AT150" s="18">
        <v>0.74387000000000003</v>
      </c>
      <c r="AU150" s="18">
        <v>0.31627</v>
      </c>
      <c r="AV150" s="18">
        <v>4.8336999999999998E-3</v>
      </c>
      <c r="AW150" s="18">
        <v>3.3836000000000001E-3</v>
      </c>
      <c r="AX150" s="18">
        <v>0.41463</v>
      </c>
      <c r="AY150" s="18">
        <v>2.1564999999999999</v>
      </c>
      <c r="AZ150" s="18">
        <v>49.945999999999998</v>
      </c>
      <c r="BA150" s="18">
        <v>0.25913999999999998</v>
      </c>
      <c r="BB150" s="18">
        <v>7.3281999999999998</v>
      </c>
      <c r="BC150" s="18" t="s">
        <v>162</v>
      </c>
      <c r="BD150" s="35" t="s">
        <v>163</v>
      </c>
      <c r="BE150" t="s">
        <v>167</v>
      </c>
    </row>
    <row r="151" spans="1:57" x14ac:dyDescent="0.25">
      <c r="A151" s="15" t="s">
        <v>220</v>
      </c>
      <c r="B151" s="16" t="s">
        <v>5</v>
      </c>
      <c r="C151" s="16" t="s">
        <v>14</v>
      </c>
      <c r="D151" s="16">
        <v>42</v>
      </c>
      <c r="E151" s="16">
        <v>12.451000000000001</v>
      </c>
      <c r="F151" s="16">
        <v>12.818</v>
      </c>
      <c r="G151" s="15">
        <v>7.96</v>
      </c>
      <c r="H151" s="15">
        <v>6.1</v>
      </c>
      <c r="I151" s="15">
        <v>3.56</v>
      </c>
      <c r="J151" s="15">
        <v>87.65</v>
      </c>
      <c r="K151" s="15">
        <v>41.43</v>
      </c>
      <c r="L151" s="15">
        <v>43.29</v>
      </c>
      <c r="M151" s="15">
        <v>6.25</v>
      </c>
      <c r="N151" s="15">
        <v>2</v>
      </c>
      <c r="O151" s="15">
        <f>3.06+1.22</f>
        <v>4.28</v>
      </c>
      <c r="P151" s="9">
        <v>1.54437</v>
      </c>
      <c r="Q151" s="9">
        <v>1.6337200000000001</v>
      </c>
      <c r="R151" s="9">
        <v>0.23333300000000001</v>
      </c>
      <c r="S151" s="9">
        <v>0.18148</v>
      </c>
      <c r="T151" s="9">
        <v>0.19212899999999999</v>
      </c>
      <c r="U151" s="9">
        <v>3.11454E-2</v>
      </c>
      <c r="V151" s="9">
        <v>6.4244599999999998</v>
      </c>
      <c r="W151" s="9">
        <v>3.93241</v>
      </c>
      <c r="X151" s="9">
        <v>6.07308</v>
      </c>
      <c r="Y151" s="9">
        <v>102.489</v>
      </c>
      <c r="Z151" s="9">
        <v>100.188</v>
      </c>
      <c r="AA151" s="9">
        <f t="shared" si="27"/>
        <v>1.1046095505617977</v>
      </c>
      <c r="AB151" s="9">
        <f t="shared" si="28"/>
        <v>2.2359550561797752</v>
      </c>
      <c r="AC151" s="9">
        <f t="shared" si="29"/>
        <v>1.7134831460674156</v>
      </c>
      <c r="AD151" s="9">
        <f t="shared" si="30"/>
        <v>8.2313870371857689</v>
      </c>
      <c r="AE151" s="9">
        <f t="shared" si="31"/>
        <v>8.0465826038069235</v>
      </c>
      <c r="AF151" s="9">
        <f t="shared" si="32"/>
        <v>4.7511650504295329</v>
      </c>
      <c r="AG151" s="9">
        <f t="shared" si="24"/>
        <v>1.9907979286894937</v>
      </c>
      <c r="AH151" s="9">
        <f t="shared" si="23"/>
        <v>0.97585834725428156</v>
      </c>
      <c r="AI151" s="9">
        <f t="shared" si="25"/>
        <v>2.8812152133518958</v>
      </c>
      <c r="AJ151" s="9">
        <f>(4*PI()*(AI151^2))/(Y151+E151)</f>
        <v>0.90759076833177355</v>
      </c>
      <c r="AK151" s="12">
        <f t="shared" si="26"/>
        <v>0.83177570093457942</v>
      </c>
      <c r="AL151" s="12" t="s">
        <v>144</v>
      </c>
      <c r="AM151" s="12" t="s">
        <v>142</v>
      </c>
      <c r="AN151" s="16">
        <v>3.0043000000000002</v>
      </c>
      <c r="AO151" s="16">
        <v>0.38722000000000001</v>
      </c>
      <c r="AP151" s="16">
        <v>3468</v>
      </c>
      <c r="AQ151" s="16">
        <v>3116.4</v>
      </c>
      <c r="AR151" s="16">
        <v>1.7932999999999999</v>
      </c>
      <c r="AS151" s="16">
        <v>8.7787999999999998E-3</v>
      </c>
      <c r="AT151" s="16">
        <v>0.72194000000000003</v>
      </c>
      <c r="AU151" s="16">
        <v>0.91339000000000004</v>
      </c>
      <c r="AV151" s="16">
        <v>0.11133</v>
      </c>
      <c r="AW151" s="16">
        <v>7.8998999999999996E-3</v>
      </c>
      <c r="AX151" s="16">
        <v>0.14427999999999999</v>
      </c>
      <c r="AY151" s="16">
        <v>-13.677</v>
      </c>
      <c r="AZ151" s="16">
        <v>-528.48</v>
      </c>
      <c r="BA151" s="16">
        <v>0.20638000000000001</v>
      </c>
      <c r="BB151" s="16">
        <v>20.536000000000001</v>
      </c>
      <c r="BC151" s="16" t="s">
        <v>162</v>
      </c>
      <c r="BD151" s="34" t="s">
        <v>163</v>
      </c>
      <c r="BE151" t="s">
        <v>167</v>
      </c>
    </row>
    <row r="152" spans="1:57" x14ac:dyDescent="0.25">
      <c r="A152" s="15" t="s">
        <v>221</v>
      </c>
      <c r="B152" s="18" t="s">
        <v>5</v>
      </c>
      <c r="C152" s="18" t="s">
        <v>6</v>
      </c>
      <c r="D152" s="18">
        <v>67</v>
      </c>
      <c r="E152" s="18">
        <v>10.064</v>
      </c>
      <c r="F152" s="18">
        <v>11.411</v>
      </c>
      <c r="G152" s="15">
        <v>4.22</v>
      </c>
      <c r="H152" s="15">
        <v>2.4500000000000002</v>
      </c>
      <c r="I152" s="15">
        <v>4.12</v>
      </c>
      <c r="J152" s="15">
        <v>151.36000000000001</v>
      </c>
      <c r="K152" s="15">
        <v>10.71</v>
      </c>
      <c r="L152" s="15">
        <v>28.1</v>
      </c>
      <c r="M152" s="15">
        <v>3.9</v>
      </c>
      <c r="N152" s="15">
        <v>1</v>
      </c>
      <c r="O152" s="15">
        <v>3.72</v>
      </c>
      <c r="P152" s="9">
        <v>0.69727799999999995</v>
      </c>
      <c r="Q152" s="9">
        <v>1.08169</v>
      </c>
      <c r="R152" s="9">
        <v>0.47916700000000001</v>
      </c>
      <c r="S152" s="9">
        <v>6.0255999999999997E-2</v>
      </c>
      <c r="T152" s="9">
        <v>8.1236900000000001E-2</v>
      </c>
      <c r="U152" s="9">
        <v>4.5227000000000003E-2</v>
      </c>
      <c r="V152" s="9">
        <v>3.8143500000000001</v>
      </c>
      <c r="W152" s="9">
        <v>3.5262899999999999</v>
      </c>
      <c r="X152" s="9">
        <v>2.4588000000000001</v>
      </c>
      <c r="Y152" s="9">
        <v>26.5778</v>
      </c>
      <c r="Z152" s="9">
        <v>16.046199999999999</v>
      </c>
      <c r="AA152" s="9">
        <f t="shared" si="27"/>
        <v>0.85589563106796107</v>
      </c>
      <c r="AB152" s="9">
        <f t="shared" si="28"/>
        <v>1.0242718446601942</v>
      </c>
      <c r="AC152" s="9">
        <f t="shared" si="29"/>
        <v>0.59466019417475735</v>
      </c>
      <c r="AD152" s="9">
        <f t="shared" si="30"/>
        <v>2.6408783783783782</v>
      </c>
      <c r="AE152" s="9">
        <f t="shared" si="31"/>
        <v>1.5944157392686804</v>
      </c>
      <c r="AF152" s="9">
        <f t="shared" si="32"/>
        <v>4.1777029970094484</v>
      </c>
      <c r="AG152" s="9">
        <f t="shared" si="24"/>
        <v>1.7898242077236719</v>
      </c>
      <c r="AH152" s="9">
        <f t="shared" si="23"/>
        <v>0.98552249271787917</v>
      </c>
      <c r="AI152" s="9">
        <f t="shared" si="25"/>
        <v>1.5646884036029891</v>
      </c>
      <c r="AJ152" s="9">
        <f>(4*PI()*(AI152^2))/(Y152+E152)</f>
        <v>0.83963163239732042</v>
      </c>
      <c r="AK152" s="12">
        <f t="shared" si="26"/>
        <v>1.10752688172043</v>
      </c>
      <c r="AL152" s="12" t="s">
        <v>144</v>
      </c>
      <c r="AM152" s="12" t="s">
        <v>143</v>
      </c>
      <c r="AN152" s="18">
        <v>14.606</v>
      </c>
      <c r="AO152" s="18">
        <v>1.0703</v>
      </c>
      <c r="AP152" s="18">
        <v>24950</v>
      </c>
      <c r="AQ152" s="18">
        <v>25381</v>
      </c>
      <c r="AR152" s="18">
        <v>6.2816000000000001</v>
      </c>
      <c r="AS152" s="18">
        <v>6.3924000000000003E-3</v>
      </c>
      <c r="AT152" s="18">
        <v>0.74617999999999995</v>
      </c>
      <c r="AU152" s="18">
        <v>0.25935000000000002</v>
      </c>
      <c r="AV152" s="19">
        <v>5.7512999999999998E-4</v>
      </c>
      <c r="AW152" s="18">
        <v>4.1821000000000002E-3</v>
      </c>
      <c r="AX152" s="18">
        <v>0.39688000000000001</v>
      </c>
      <c r="AY152" s="18">
        <v>-1.659</v>
      </c>
      <c r="AZ152" s="18">
        <v>-7280.6</v>
      </c>
      <c r="BA152" s="18">
        <v>1.4163E-2</v>
      </c>
      <c r="BB152" s="18">
        <v>6.9969999999999999</v>
      </c>
      <c r="BC152" s="18" t="s">
        <v>162</v>
      </c>
      <c r="BD152" s="35" t="s">
        <v>163</v>
      </c>
      <c r="BE152" t="s">
        <v>167</v>
      </c>
    </row>
    <row r="153" spans="1:57" x14ac:dyDescent="0.25">
      <c r="A153" s="15" t="s">
        <v>222</v>
      </c>
      <c r="B153" s="18" t="s">
        <v>5</v>
      </c>
      <c r="C153" s="18" t="s">
        <v>14</v>
      </c>
      <c r="D153" s="18">
        <v>89</v>
      </c>
      <c r="E153" s="18">
        <v>5.1407999999999996</v>
      </c>
      <c r="F153" s="18">
        <v>8.2760999999999996</v>
      </c>
      <c r="G153" s="15">
        <v>5.97</v>
      </c>
      <c r="H153" s="15">
        <v>4.95</v>
      </c>
      <c r="I153" s="15">
        <v>3.88</v>
      </c>
      <c r="J153" s="15">
        <v>116.85</v>
      </c>
      <c r="K153" s="15">
        <v>7.2</v>
      </c>
      <c r="L153" s="15">
        <v>33.619999999999997</v>
      </c>
      <c r="M153" s="15">
        <v>3.57</v>
      </c>
      <c r="N153" s="15">
        <v>1</v>
      </c>
      <c r="O153" s="15">
        <v>3.95</v>
      </c>
      <c r="P153" s="9">
        <v>1.98506</v>
      </c>
      <c r="Q153" s="9">
        <v>2.3497499999999998</v>
      </c>
      <c r="R153" s="9">
        <v>-9.1836699999999993E-2</v>
      </c>
      <c r="S153" s="9">
        <v>0.18517900000000001</v>
      </c>
      <c r="T153" s="9">
        <v>0.208955</v>
      </c>
      <c r="U153" s="9">
        <v>4.9773100000000001E-2</v>
      </c>
      <c r="V153" s="9">
        <v>5.8618100000000002</v>
      </c>
      <c r="W153" s="9">
        <v>2.49465</v>
      </c>
      <c r="X153" s="9">
        <v>4.9520200000000001</v>
      </c>
      <c r="Y153" s="9">
        <v>75.993600000000001</v>
      </c>
      <c r="Z153" s="9">
        <v>61.980699999999999</v>
      </c>
      <c r="AA153" s="9">
        <f t="shared" si="27"/>
        <v>0.64295103092783512</v>
      </c>
      <c r="AB153" s="9">
        <f t="shared" si="28"/>
        <v>1.5386597938144331</v>
      </c>
      <c r="AC153" s="9">
        <f t="shared" si="29"/>
        <v>1.2757731958762888</v>
      </c>
      <c r="AD153" s="9">
        <f t="shared" si="30"/>
        <v>14.782446311858077</v>
      </c>
      <c r="AE153" s="9">
        <f t="shared" si="31"/>
        <v>12.056625427948958</v>
      </c>
      <c r="AF153" s="9">
        <f t="shared" si="32"/>
        <v>4.8522075291257716</v>
      </c>
      <c r="AG153" s="9">
        <f t="shared" si="24"/>
        <v>1.2792057938008377</v>
      </c>
      <c r="AH153" s="9">
        <f t="shared" si="23"/>
        <v>0.97116843059755475</v>
      </c>
      <c r="AI153" s="9">
        <f t="shared" si="25"/>
        <v>2.4550252082502619</v>
      </c>
      <c r="AJ153" s="9">
        <f>(4*PI()*(AI153^2))/(Y153+E153)</f>
        <v>0.93350521149118926</v>
      </c>
      <c r="AK153" s="12">
        <f t="shared" si="26"/>
        <v>0.98227848101265813</v>
      </c>
      <c r="AL153" s="12" t="s">
        <v>144</v>
      </c>
      <c r="AM153" s="12" t="s">
        <v>143</v>
      </c>
      <c r="AN153" s="18">
        <v>1.3349</v>
      </c>
      <c r="AO153" s="18">
        <v>0.1583</v>
      </c>
      <c r="AP153" s="18">
        <v>4108.1000000000004</v>
      </c>
      <c r="AQ153" s="18">
        <v>3760</v>
      </c>
      <c r="AR153" s="18">
        <v>0.72192000000000001</v>
      </c>
      <c r="AS153" s="18">
        <v>3.3420999999999999E-2</v>
      </c>
      <c r="AT153" s="18">
        <v>0.65127999999999997</v>
      </c>
      <c r="AU153" s="18">
        <v>4.1271000000000004</v>
      </c>
      <c r="AV153" s="18">
        <v>0.66186</v>
      </c>
      <c r="AW153" s="18">
        <v>2.4705000000000001E-2</v>
      </c>
      <c r="AX153" s="18">
        <v>5.9637000000000003E-2</v>
      </c>
      <c r="AY153" s="18">
        <v>-6.3529</v>
      </c>
      <c r="AZ153" s="18">
        <v>-267.48</v>
      </c>
      <c r="BA153" s="18">
        <v>0.23297000000000001</v>
      </c>
      <c r="BB153" s="18">
        <v>16.631</v>
      </c>
      <c r="BC153" s="18" t="s">
        <v>162</v>
      </c>
      <c r="BD153" s="35" t="s">
        <v>163</v>
      </c>
      <c r="BE153" t="s">
        <v>167</v>
      </c>
    </row>
    <row r="154" spans="1:57" x14ac:dyDescent="0.25">
      <c r="A154" s="15" t="s">
        <v>223</v>
      </c>
      <c r="B154" s="16" t="s">
        <v>5</v>
      </c>
      <c r="C154" s="16" t="s">
        <v>14</v>
      </c>
      <c r="D154" s="16">
        <v>50</v>
      </c>
      <c r="E154" s="16">
        <v>61.807000000000002</v>
      </c>
      <c r="F154" s="16">
        <v>30.207999999999998</v>
      </c>
      <c r="G154" s="15">
        <v>14.4</v>
      </c>
      <c r="H154" s="15">
        <v>11.6</v>
      </c>
      <c r="I154" s="15">
        <v>3.83</v>
      </c>
      <c r="J154" s="15">
        <v>81.33</v>
      </c>
      <c r="K154" s="15">
        <v>0</v>
      </c>
      <c r="L154" s="15">
        <v>56.49</v>
      </c>
      <c r="M154" s="15">
        <v>11.5</v>
      </c>
      <c r="N154" s="15">
        <v>2</v>
      </c>
      <c r="O154" s="15">
        <f>1.58+2.95</f>
        <v>4.53</v>
      </c>
      <c r="P154" s="9">
        <v>1.3858999999999999</v>
      </c>
      <c r="Q154" s="9">
        <v>1.7088300000000001</v>
      </c>
      <c r="R154" s="9">
        <v>6.2231799999999997E-2</v>
      </c>
      <c r="S154" s="9">
        <v>0.126833</v>
      </c>
      <c r="T154" s="9">
        <v>0.135939</v>
      </c>
      <c r="U154" s="9">
        <v>9.7381900000000007E-3</v>
      </c>
      <c r="V154" s="9">
        <v>14.4275</v>
      </c>
      <c r="W154" s="9">
        <v>8.4429200000000009</v>
      </c>
      <c r="X154" s="9">
        <v>11.701000000000001</v>
      </c>
      <c r="Y154" s="9">
        <v>468.214</v>
      </c>
      <c r="Z154" s="9">
        <v>1082.1099999999999</v>
      </c>
      <c r="AA154" s="9">
        <f t="shared" si="27"/>
        <v>2.204417754569191</v>
      </c>
      <c r="AB154" s="9">
        <f t="shared" si="28"/>
        <v>3.7597911227154048</v>
      </c>
      <c r="AC154" s="9">
        <f t="shared" si="29"/>
        <v>3.0287206266318538</v>
      </c>
      <c r="AD154" s="9">
        <f t="shared" si="30"/>
        <v>7.5754202598411178</v>
      </c>
      <c r="AE154" s="9">
        <f t="shared" si="31"/>
        <v>17.507887456113384</v>
      </c>
      <c r="AF154" s="9">
        <f t="shared" si="32"/>
        <v>4.4421865042713913</v>
      </c>
      <c r="AG154" s="9">
        <f t="shared" si="24"/>
        <v>4.435513401553596</v>
      </c>
      <c r="AH154" s="9">
        <f t="shared" si="23"/>
        <v>0.92257523286678056</v>
      </c>
      <c r="AI154" s="9">
        <f t="shared" si="25"/>
        <v>6.3688487281875172</v>
      </c>
      <c r="AJ154" s="9">
        <f>(4*PI()*(AI154^2))/(Y154+E154)</f>
        <v>0.96169787033002518</v>
      </c>
      <c r="AK154" s="12">
        <f t="shared" si="26"/>
        <v>0.8454746136865342</v>
      </c>
      <c r="AL154" s="12" t="s">
        <v>144</v>
      </c>
      <c r="AM154" s="12" t="s">
        <v>142</v>
      </c>
      <c r="AN154" s="16">
        <v>2.4622000000000002</v>
      </c>
      <c r="AO154" s="16">
        <v>0.25823000000000002</v>
      </c>
      <c r="AP154" s="16">
        <v>2386.9</v>
      </c>
      <c r="AQ154" s="16">
        <v>2110.3000000000002</v>
      </c>
      <c r="AR154" s="16">
        <v>2.0430000000000001</v>
      </c>
      <c r="AS154" s="16">
        <v>2.1395999999999998E-2</v>
      </c>
      <c r="AT154" s="16">
        <v>0.67911999999999995</v>
      </c>
      <c r="AU154" s="16">
        <v>0.81904999999999994</v>
      </c>
      <c r="AV154" s="16">
        <v>0.22303999999999999</v>
      </c>
      <c r="AW154" s="16">
        <v>3.3113999999999998E-2</v>
      </c>
      <c r="AX154" s="16">
        <v>0.15617</v>
      </c>
      <c r="AY154" s="16">
        <v>-12.939</v>
      </c>
      <c r="AZ154" s="16">
        <v>-708.42</v>
      </c>
      <c r="BA154" s="16">
        <v>0.28305999999999998</v>
      </c>
      <c r="BB154" s="16">
        <v>4.6936</v>
      </c>
      <c r="BC154" s="16" t="s">
        <v>162</v>
      </c>
      <c r="BD154" s="34" t="s">
        <v>163</v>
      </c>
      <c r="BE154" t="s">
        <v>167</v>
      </c>
    </row>
    <row r="155" spans="1:57" x14ac:dyDescent="0.25">
      <c r="A155" s="15" t="s">
        <v>224</v>
      </c>
      <c r="B155" s="16" t="s">
        <v>5</v>
      </c>
      <c r="C155" s="16" t="s">
        <v>6</v>
      </c>
      <c r="D155" s="16">
        <v>44</v>
      </c>
      <c r="E155" s="16">
        <v>20.645</v>
      </c>
      <c r="F155" s="16">
        <v>16.475000000000001</v>
      </c>
      <c r="G155" s="15">
        <v>10.48</v>
      </c>
      <c r="H155" s="15">
        <v>9.6</v>
      </c>
      <c r="I155" s="15">
        <v>3.16</v>
      </c>
      <c r="J155" s="15">
        <v>74.150000000000006</v>
      </c>
      <c r="K155" s="15">
        <v>63.26</v>
      </c>
      <c r="L155" s="15">
        <v>39.4</v>
      </c>
      <c r="M155" s="15">
        <v>0.82</v>
      </c>
      <c r="N155" s="15">
        <v>2</v>
      </c>
      <c r="O155" s="15">
        <f>0.72+2.98</f>
        <v>3.7</v>
      </c>
      <c r="P155" s="9">
        <v>1.9514199999999999</v>
      </c>
      <c r="Q155" s="9">
        <v>1.69051</v>
      </c>
      <c r="R155" s="9">
        <v>-5.0264499999999997E-2</v>
      </c>
      <c r="S155" s="9">
        <v>0.177428</v>
      </c>
      <c r="T155" s="9">
        <v>0.19198799999999999</v>
      </c>
      <c r="U155" s="9">
        <v>3.6629799999999997E-2</v>
      </c>
      <c r="V155" s="9">
        <v>8.2313600000000005</v>
      </c>
      <c r="W155" s="9">
        <v>4.8691500000000003</v>
      </c>
      <c r="X155" s="9">
        <v>9.5017700000000005</v>
      </c>
      <c r="Y155" s="9">
        <v>221.35499999999999</v>
      </c>
      <c r="Z155" s="9">
        <v>318.08999999999997</v>
      </c>
      <c r="AA155" s="9">
        <f t="shared" si="27"/>
        <v>1.5408702531645571</v>
      </c>
      <c r="AB155" s="9">
        <f t="shared" si="28"/>
        <v>3.3164556962025316</v>
      </c>
      <c r="AC155" s="9">
        <f t="shared" si="29"/>
        <v>3.0379746835443036</v>
      </c>
      <c r="AD155" s="9">
        <f t="shared" si="30"/>
        <v>10.721966577863888</v>
      </c>
      <c r="AE155" s="9">
        <f t="shared" si="31"/>
        <v>15.407604746912085</v>
      </c>
      <c r="AF155" s="9">
        <f t="shared" si="32"/>
        <v>4.7503177308416813</v>
      </c>
      <c r="AG155" s="9">
        <f t="shared" si="24"/>
        <v>2.5634951921672018</v>
      </c>
      <c r="AH155" s="9">
        <f t="shared" si="23"/>
        <v>0.97765798643098456</v>
      </c>
      <c r="AI155" s="9">
        <f t="shared" si="25"/>
        <v>4.2346787436633226</v>
      </c>
      <c r="AJ155" s="9">
        <f>(4*PI()*(AI155^2))/(Y155+E155)</f>
        <v>0.93118385159925732</v>
      </c>
      <c r="AK155" s="12">
        <f t="shared" si="26"/>
        <v>0.8540540540540541</v>
      </c>
      <c r="AL155" s="12" t="s">
        <v>144</v>
      </c>
      <c r="AM155" s="12" t="s">
        <v>142</v>
      </c>
      <c r="AN155" s="16">
        <v>2.6496</v>
      </c>
      <c r="AO155" s="16">
        <v>0.23282</v>
      </c>
      <c r="AP155" s="16">
        <v>3630.8</v>
      </c>
      <c r="AQ155" s="16">
        <v>3318.8</v>
      </c>
      <c r="AR155" s="16">
        <v>1.8587</v>
      </c>
      <c r="AS155" s="16">
        <v>4.5414000000000003E-2</v>
      </c>
      <c r="AT155" s="16">
        <v>0.64485999999999999</v>
      </c>
      <c r="AU155" s="16">
        <v>0.91478999999999999</v>
      </c>
      <c r="AV155" s="16">
        <v>0.22162999999999999</v>
      </c>
      <c r="AW155" s="16">
        <v>2.4693E-2</v>
      </c>
      <c r="AX155" s="16">
        <v>0.19954</v>
      </c>
      <c r="AY155" s="16">
        <v>-9.6301000000000005</v>
      </c>
      <c r="AZ155" s="16">
        <v>-1122.3</v>
      </c>
      <c r="BA155" s="16">
        <v>0.20251</v>
      </c>
      <c r="BB155" s="16">
        <v>4.5513000000000003</v>
      </c>
      <c r="BC155" s="16" t="s">
        <v>162</v>
      </c>
      <c r="BD155" s="34" t="s">
        <v>163</v>
      </c>
      <c r="BE155" t="s">
        <v>167</v>
      </c>
    </row>
    <row r="156" spans="1:57" x14ac:dyDescent="0.25">
      <c r="A156" s="15" t="s">
        <v>225</v>
      </c>
      <c r="B156" s="16" t="s">
        <v>5</v>
      </c>
      <c r="C156" s="16" t="s">
        <v>6</v>
      </c>
      <c r="D156" s="16">
        <v>47</v>
      </c>
      <c r="E156" s="16">
        <v>16.434999999999999</v>
      </c>
      <c r="F156" s="16">
        <v>14.709</v>
      </c>
      <c r="G156" s="15">
        <v>5.0999999999999996</v>
      </c>
      <c r="H156" s="15">
        <v>3.03</v>
      </c>
      <c r="I156" s="15">
        <v>3.66</v>
      </c>
      <c r="J156" s="15">
        <v>109.14</v>
      </c>
      <c r="K156" s="15">
        <v>18.739999999999998</v>
      </c>
      <c r="L156" s="15">
        <v>45.14</v>
      </c>
      <c r="M156" s="15">
        <v>5.01</v>
      </c>
      <c r="N156" s="15">
        <v>2</v>
      </c>
      <c r="O156" s="15">
        <f>3.32+0.57</f>
        <v>3.8899999999999997</v>
      </c>
      <c r="P156" s="9">
        <v>0.67597600000000002</v>
      </c>
      <c r="Q156" s="9">
        <v>1.15381</v>
      </c>
      <c r="R156" s="9">
        <v>0.29660999999999998</v>
      </c>
      <c r="S156" s="9">
        <v>3.4734800000000003E-2</v>
      </c>
      <c r="T156" s="9">
        <v>3.7561200000000003E-2</v>
      </c>
      <c r="U156" s="9">
        <v>-1.41278E-3</v>
      </c>
      <c r="V156" s="9">
        <v>5.1891100000000003</v>
      </c>
      <c r="W156" s="9">
        <v>4.4973799999999997</v>
      </c>
      <c r="X156" s="9">
        <v>3.0401199999999999</v>
      </c>
      <c r="Y156" s="9">
        <v>48.107199999999999</v>
      </c>
      <c r="Z156" s="9">
        <v>41.895200000000003</v>
      </c>
      <c r="AA156" s="9">
        <f t="shared" si="27"/>
        <v>1.2287923497267759</v>
      </c>
      <c r="AB156" s="9">
        <f t="shared" si="28"/>
        <v>1.3934426229508194</v>
      </c>
      <c r="AC156" s="9">
        <f t="shared" si="29"/>
        <v>0.82786885245901631</v>
      </c>
      <c r="AD156" s="9">
        <f t="shared" si="30"/>
        <v>2.9271189534529967</v>
      </c>
      <c r="AE156" s="9">
        <f t="shared" si="31"/>
        <v>2.5491451171280808</v>
      </c>
      <c r="AF156" s="9">
        <f t="shared" si="32"/>
        <v>3.9881109770724485</v>
      </c>
      <c r="AG156" s="9">
        <f t="shared" si="24"/>
        <v>2.2872304167771551</v>
      </c>
      <c r="AH156" s="9">
        <f t="shared" si="23"/>
        <v>0.97702716356166042</v>
      </c>
      <c r="AI156" s="9">
        <f t="shared" si="25"/>
        <v>2.1545598021163834</v>
      </c>
      <c r="AJ156" s="9">
        <f>(4*PI()*(AI156^2))/(Y156+E156)</f>
        <v>0.90382261752107163</v>
      </c>
      <c r="AK156" s="12">
        <f t="shared" si="26"/>
        <v>0.94087403598971731</v>
      </c>
      <c r="AL156" s="12" t="s">
        <v>144</v>
      </c>
      <c r="AM156" s="12" t="s">
        <v>142</v>
      </c>
      <c r="AN156" s="16">
        <v>2.6688000000000001</v>
      </c>
      <c r="AO156" s="16">
        <v>0.38057000000000002</v>
      </c>
      <c r="AP156" s="16">
        <v>4822</v>
      </c>
      <c r="AQ156" s="16">
        <v>4157.8</v>
      </c>
      <c r="AR156" s="16">
        <v>1.0835999999999999</v>
      </c>
      <c r="AS156" s="16">
        <v>4.4877E-2</v>
      </c>
      <c r="AT156" s="16">
        <v>0.66064999999999996</v>
      </c>
      <c r="AU156" s="16">
        <v>1.6444000000000001</v>
      </c>
      <c r="AV156" s="16">
        <v>0.11939</v>
      </c>
      <c r="AW156" s="16">
        <v>3.9407999999999999E-2</v>
      </c>
      <c r="AX156" s="16">
        <v>0.10072</v>
      </c>
      <c r="AY156" s="16">
        <v>-30.643000000000001</v>
      </c>
      <c r="AZ156" s="16">
        <v>-865.12</v>
      </c>
      <c r="BA156" s="16">
        <v>9.3257000000000007E-2</v>
      </c>
      <c r="BB156" s="16">
        <v>49.284999999999997</v>
      </c>
      <c r="BC156" s="16" t="s">
        <v>164</v>
      </c>
      <c r="BD156" s="34" t="s">
        <v>165</v>
      </c>
      <c r="BE156" t="s">
        <v>167</v>
      </c>
    </row>
    <row r="157" spans="1:57" x14ac:dyDescent="0.25">
      <c r="A157" s="15" t="s">
        <v>226</v>
      </c>
      <c r="B157" s="16" t="s">
        <v>26</v>
      </c>
      <c r="C157" s="16" t="s">
        <v>6</v>
      </c>
      <c r="D157" s="16">
        <v>55</v>
      </c>
      <c r="E157" s="16">
        <v>13.157</v>
      </c>
      <c r="F157" s="16">
        <v>13.215999999999999</v>
      </c>
      <c r="G157" s="15">
        <v>5.41</v>
      </c>
      <c r="H157" s="15">
        <v>3</v>
      </c>
      <c r="I157" s="15">
        <v>3.13</v>
      </c>
      <c r="J157" s="15">
        <v>81.13</v>
      </c>
      <c r="K157" s="15">
        <v>31.17</v>
      </c>
      <c r="L157" s="15">
        <v>63.29</v>
      </c>
      <c r="M157" s="15">
        <v>4.6100000000000003</v>
      </c>
      <c r="N157" s="15">
        <v>2</v>
      </c>
      <c r="O157" s="15">
        <f>2+1.87</f>
        <v>3.87</v>
      </c>
      <c r="P157" s="9">
        <v>0.74641299999999999</v>
      </c>
      <c r="Q157" s="9">
        <v>1.15642</v>
      </c>
      <c r="R157" s="9">
        <v>0.34482800000000002</v>
      </c>
      <c r="S157" s="9">
        <v>7.7917899999999998E-2</v>
      </c>
      <c r="T157" s="9">
        <v>9.0223499999999998E-2</v>
      </c>
      <c r="U157" s="9">
        <v>2.9147099999999999E-2</v>
      </c>
      <c r="V157" s="9">
        <v>4.6403600000000003</v>
      </c>
      <c r="W157" s="9">
        <v>4.0127100000000002</v>
      </c>
      <c r="X157" s="9">
        <v>2.9951400000000001</v>
      </c>
      <c r="Y157" s="9">
        <v>38.904899999999998</v>
      </c>
      <c r="Z157" s="9">
        <v>28.002600000000001</v>
      </c>
      <c r="AA157" s="9">
        <f t="shared" si="27"/>
        <v>1.2820159744408948</v>
      </c>
      <c r="AB157" s="9">
        <f t="shared" si="28"/>
        <v>1.7284345047923324</v>
      </c>
      <c r="AC157" s="9">
        <f t="shared" si="29"/>
        <v>0.95846645367412142</v>
      </c>
      <c r="AD157" s="9">
        <f t="shared" si="30"/>
        <v>2.956973474196245</v>
      </c>
      <c r="AE157" s="9">
        <f t="shared" si="31"/>
        <v>2.1283423272782551</v>
      </c>
      <c r="AF157" s="9">
        <f t="shared" si="32"/>
        <v>4.2189599121874384</v>
      </c>
      <c r="AG157" s="9">
        <f t="shared" si="24"/>
        <v>2.0464611338894598</v>
      </c>
      <c r="AH157" s="9">
        <f t="shared" si="23"/>
        <v>0.97293390800305157</v>
      </c>
      <c r="AI157" s="9">
        <f t="shared" si="25"/>
        <v>1.8838077640890238</v>
      </c>
      <c r="AJ157" s="9">
        <f>(4*PI()*(AI157^2))/(Y157+E157)</f>
        <v>0.85657030675259238</v>
      </c>
      <c r="AK157" s="12">
        <f t="shared" si="26"/>
        <v>0.80878552971576223</v>
      </c>
      <c r="AL157" s="12" t="s">
        <v>144</v>
      </c>
      <c r="AM157" s="12" t="s">
        <v>142</v>
      </c>
      <c r="AN157" s="16">
        <v>5.3287000000000004</v>
      </c>
      <c r="AO157" s="16">
        <v>0.46822999999999998</v>
      </c>
      <c r="AP157" s="16">
        <v>8468.5</v>
      </c>
      <c r="AQ157" s="16">
        <v>8106.9</v>
      </c>
      <c r="AR157" s="16">
        <v>2.5583</v>
      </c>
      <c r="AS157" s="16">
        <v>8.9928000000000004E-3</v>
      </c>
      <c r="AT157" s="16">
        <v>0.76907000000000003</v>
      </c>
      <c r="AU157" s="16">
        <v>0.76646000000000003</v>
      </c>
      <c r="AV157" s="16">
        <v>7.1759000000000003E-2</v>
      </c>
      <c r="AW157" s="16">
        <v>4.1840999999999996E-3</v>
      </c>
      <c r="AX157" s="16">
        <v>0.21728</v>
      </c>
      <c r="AY157" s="16">
        <v>-17.783000000000001</v>
      </c>
      <c r="AZ157" s="16">
        <v>-2064.4</v>
      </c>
      <c r="BA157" s="16">
        <v>5.5538999999999998E-2</v>
      </c>
      <c r="BB157" s="16">
        <v>12.617000000000001</v>
      </c>
      <c r="BC157" s="16" t="s">
        <v>162</v>
      </c>
      <c r="BD157" s="34" t="s">
        <v>163</v>
      </c>
      <c r="BE157" t="s">
        <v>167</v>
      </c>
    </row>
    <row r="158" spans="1:57" x14ac:dyDescent="0.25">
      <c r="A158" s="15" t="s">
        <v>227</v>
      </c>
      <c r="B158" s="16" t="s">
        <v>26</v>
      </c>
      <c r="C158" s="16" t="s">
        <v>6</v>
      </c>
      <c r="D158" s="16">
        <v>55</v>
      </c>
      <c r="E158" s="16">
        <v>14.374000000000001</v>
      </c>
      <c r="F158" s="16">
        <v>13.616</v>
      </c>
      <c r="G158" s="15">
        <v>7.07</v>
      </c>
      <c r="H158" s="15">
        <v>4.7</v>
      </c>
      <c r="I158" s="15">
        <v>2.42</v>
      </c>
      <c r="J158" s="15">
        <v>44.22</v>
      </c>
      <c r="K158" s="15">
        <v>30.61</v>
      </c>
      <c r="L158" s="15">
        <v>74.400000000000006</v>
      </c>
      <c r="M158" s="15">
        <v>6.4</v>
      </c>
      <c r="N158" s="15">
        <v>2</v>
      </c>
      <c r="O158" s="15">
        <f>1.6+2.18</f>
        <v>3.7800000000000002</v>
      </c>
      <c r="P158" s="9">
        <v>1.11642</v>
      </c>
      <c r="Q158" s="9">
        <v>1.3763399999999999</v>
      </c>
      <c r="R158" s="9">
        <v>5.3763600000000002E-3</v>
      </c>
      <c r="S158" s="9">
        <v>0.13308700000000001</v>
      </c>
      <c r="T158" s="9">
        <v>0.167076</v>
      </c>
      <c r="U158" s="9">
        <v>7.4281100000000003E-2</v>
      </c>
      <c r="V158" s="9">
        <v>5.8355199999999998</v>
      </c>
      <c r="W158" s="9">
        <v>4.2398699999999998</v>
      </c>
      <c r="X158" s="9">
        <v>4.7334699999999996</v>
      </c>
      <c r="Y158" s="9">
        <v>71.197000000000003</v>
      </c>
      <c r="Z158" s="9">
        <v>60.728000000000002</v>
      </c>
      <c r="AA158" s="9">
        <f t="shared" si="27"/>
        <v>1.7520123966942149</v>
      </c>
      <c r="AB158" s="9">
        <f t="shared" si="28"/>
        <v>2.9214876033057853</v>
      </c>
      <c r="AC158" s="9">
        <f t="shared" si="29"/>
        <v>1.9421487603305787</v>
      </c>
      <c r="AD158" s="9">
        <f t="shared" si="30"/>
        <v>4.9531793516070683</v>
      </c>
      <c r="AE158" s="9">
        <f t="shared" si="31"/>
        <v>4.2248504243773484</v>
      </c>
      <c r="AF158" s="9">
        <f t="shared" si="32"/>
        <v>4.608246572208194</v>
      </c>
      <c r="AG158" s="9">
        <f t="shared" si="24"/>
        <v>2.1390152650240268</v>
      </c>
      <c r="AH158" s="9">
        <f t="shared" si="23"/>
        <v>0.98706149273147881</v>
      </c>
      <c r="AI158" s="9">
        <f t="shared" si="25"/>
        <v>2.4383729004904597</v>
      </c>
      <c r="AJ158" s="9">
        <f>(4*PI()*(AI158^2))/(Y158+E158)</f>
        <v>0.87313923279453298</v>
      </c>
      <c r="AK158" s="12">
        <f t="shared" si="26"/>
        <v>0.64021164021164012</v>
      </c>
      <c r="AL158" s="12" t="s">
        <v>140</v>
      </c>
      <c r="AM158" s="12" t="s">
        <v>142</v>
      </c>
      <c r="AN158" s="16">
        <v>3.6173000000000002</v>
      </c>
      <c r="AO158" s="16">
        <v>0.58592999999999995</v>
      </c>
      <c r="AP158" s="16">
        <v>4297.3</v>
      </c>
      <c r="AQ158" s="16">
        <v>4366.8999999999996</v>
      </c>
      <c r="AR158" s="16">
        <v>1.8902000000000001</v>
      </c>
      <c r="AS158" s="16">
        <v>6.4964000000000003E-3</v>
      </c>
      <c r="AT158" s="16">
        <v>0.73524</v>
      </c>
      <c r="AU158" s="16">
        <v>0.80918000000000001</v>
      </c>
      <c r="AV158" s="16">
        <v>2.5853000000000001E-2</v>
      </c>
      <c r="AW158" s="16">
        <v>6.6094999999999999E-3</v>
      </c>
      <c r="AX158" s="16">
        <v>0.14996999999999999</v>
      </c>
      <c r="AY158" s="16">
        <v>-13.214</v>
      </c>
      <c r="AZ158" s="16">
        <v>-524.82000000000005</v>
      </c>
      <c r="BA158" s="16">
        <v>0.12967000000000001</v>
      </c>
      <c r="BB158" s="16">
        <v>40.204999999999998</v>
      </c>
      <c r="BC158" s="16" t="s">
        <v>162</v>
      </c>
      <c r="BD158" s="34" t="s">
        <v>165</v>
      </c>
      <c r="BE158" t="s">
        <v>167</v>
      </c>
    </row>
    <row r="159" spans="1:57" x14ac:dyDescent="0.25">
      <c r="A159" s="15" t="s">
        <v>228</v>
      </c>
      <c r="B159" s="16" t="s">
        <v>26</v>
      </c>
      <c r="C159" s="16" t="s">
        <v>6</v>
      </c>
      <c r="D159" s="16">
        <v>55</v>
      </c>
      <c r="E159" s="16">
        <v>9.1646000000000001</v>
      </c>
      <c r="F159" s="16">
        <v>10.956</v>
      </c>
      <c r="G159" s="15">
        <v>6.16</v>
      </c>
      <c r="H159" s="15">
        <v>4.3499999999999996</v>
      </c>
      <c r="I159" s="15">
        <v>3.22</v>
      </c>
      <c r="J159" s="15">
        <v>88.89</v>
      </c>
      <c r="K159" s="15">
        <v>31.77</v>
      </c>
      <c r="L159" s="15">
        <v>60.33</v>
      </c>
      <c r="M159" s="15">
        <v>5.5</v>
      </c>
      <c r="N159" s="15">
        <v>2</v>
      </c>
      <c r="O159" s="15">
        <f>2.35+2.44</f>
        <v>4.79</v>
      </c>
      <c r="P159" s="9">
        <v>1.3008999999999999</v>
      </c>
      <c r="Q159" s="9">
        <v>1.77393</v>
      </c>
      <c r="R159" s="9">
        <v>8.1395400000000007E-2</v>
      </c>
      <c r="S159" s="9">
        <v>0.16195999999999999</v>
      </c>
      <c r="T159" s="9">
        <v>0.17483599999999999</v>
      </c>
      <c r="U159" s="9">
        <v>2.9213800000000002E-2</v>
      </c>
      <c r="V159" s="9">
        <v>5.94529</v>
      </c>
      <c r="W159" s="9">
        <v>3.35148</v>
      </c>
      <c r="X159" s="9">
        <v>4.3599199999999998</v>
      </c>
      <c r="Y159" s="9">
        <v>66.909099999999995</v>
      </c>
      <c r="Z159" s="9">
        <v>54.554000000000002</v>
      </c>
      <c r="AA159" s="9">
        <f t="shared" si="27"/>
        <v>1.0408322981366458</v>
      </c>
      <c r="AB159" s="9">
        <f t="shared" si="28"/>
        <v>1.9130434782608694</v>
      </c>
      <c r="AC159" s="9">
        <f t="shared" si="29"/>
        <v>1.3509316770186333</v>
      </c>
      <c r="AD159" s="9">
        <f t="shared" si="30"/>
        <v>7.3008205486327817</v>
      </c>
      <c r="AE159" s="9">
        <f t="shared" si="31"/>
        <v>5.9526875150033831</v>
      </c>
      <c r="AF159" s="9">
        <f t="shared" si="32"/>
        <v>4.6515831495520397</v>
      </c>
      <c r="AG159" s="9">
        <f t="shared" si="24"/>
        <v>1.7079762243427066</v>
      </c>
      <c r="AH159" s="9">
        <f t="shared" si="23"/>
        <v>0.97951178512250459</v>
      </c>
      <c r="AI159" s="9">
        <f t="shared" si="25"/>
        <v>2.352769220667331</v>
      </c>
      <c r="AJ159" s="9">
        <f>(4*PI()*(AI159^2))/(Y159+E159)</f>
        <v>0.91439529869302305</v>
      </c>
      <c r="AK159" s="12">
        <f t="shared" si="26"/>
        <v>0.67223382045929025</v>
      </c>
      <c r="AL159" s="12" t="s">
        <v>140</v>
      </c>
      <c r="AM159" s="12" t="s">
        <v>142</v>
      </c>
      <c r="AN159" s="16">
        <v>4.1955999999999998</v>
      </c>
      <c r="AO159" s="16">
        <v>0.50612999999999997</v>
      </c>
      <c r="AP159" s="16">
        <v>7094.9</v>
      </c>
      <c r="AQ159" s="16">
        <v>6722.4</v>
      </c>
      <c r="AR159" s="16">
        <v>2.0089999999999999</v>
      </c>
      <c r="AS159" s="16">
        <v>1.0600999999999999E-2</v>
      </c>
      <c r="AT159" s="16">
        <v>0.73863999999999996</v>
      </c>
      <c r="AU159" s="16">
        <v>0.74317999999999995</v>
      </c>
      <c r="AV159" s="16">
        <v>1.7548999999999999E-2</v>
      </c>
      <c r="AW159" s="16">
        <v>1.2218E-2</v>
      </c>
      <c r="AX159" s="16">
        <v>0.17748</v>
      </c>
      <c r="AY159" s="16">
        <v>-2.3117999999999999</v>
      </c>
      <c r="AZ159" s="16">
        <v>-446.5</v>
      </c>
      <c r="BA159" s="16">
        <v>0.10324999999999999</v>
      </c>
      <c r="BB159" s="16">
        <v>5.4428999999999998</v>
      </c>
      <c r="BC159" s="16" t="s">
        <v>162</v>
      </c>
      <c r="BD159" s="34" t="s">
        <v>163</v>
      </c>
      <c r="BE159" t="s">
        <v>167</v>
      </c>
    </row>
    <row r="160" spans="1:57" x14ac:dyDescent="0.25">
      <c r="A160" s="15" t="s">
        <v>229</v>
      </c>
      <c r="B160" s="18" t="s">
        <v>5</v>
      </c>
      <c r="C160" s="18" t="s">
        <v>14</v>
      </c>
      <c r="D160" s="18">
        <v>55</v>
      </c>
      <c r="E160" s="18">
        <v>21.678999999999998</v>
      </c>
      <c r="F160" s="18">
        <v>16.911999999999999</v>
      </c>
      <c r="G160" s="15">
        <v>7.72</v>
      </c>
      <c r="H160" s="15">
        <v>4.8</v>
      </c>
      <c r="I160" s="15">
        <v>4.34</v>
      </c>
      <c r="J160" s="15">
        <v>131.55000000000001</v>
      </c>
      <c r="K160" s="15">
        <v>15.8</v>
      </c>
      <c r="L160" s="15">
        <v>16.88</v>
      </c>
      <c r="M160" s="15">
        <v>7.6</v>
      </c>
      <c r="N160" s="15">
        <v>1</v>
      </c>
      <c r="O160" s="15">
        <v>3.27</v>
      </c>
      <c r="P160" s="9">
        <v>0.94433599999999995</v>
      </c>
      <c r="Q160" s="9">
        <v>1.50071</v>
      </c>
      <c r="R160" s="9">
        <v>0.14583299999999999</v>
      </c>
      <c r="S160" s="9">
        <v>0.107959</v>
      </c>
      <c r="T160" s="9">
        <v>0.12077599999999999</v>
      </c>
      <c r="U160" s="9">
        <v>1.6595499999999999E-2</v>
      </c>
      <c r="V160" s="9">
        <v>7.7310999999999996</v>
      </c>
      <c r="W160" s="9">
        <v>5.1516200000000003</v>
      </c>
      <c r="X160" s="9">
        <v>4.8648600000000002</v>
      </c>
      <c r="Y160" s="9">
        <v>111.294</v>
      </c>
      <c r="Z160" s="9">
        <v>128.71899999999999</v>
      </c>
      <c r="AA160" s="9">
        <f t="shared" si="27"/>
        <v>1.1870092165898618</v>
      </c>
      <c r="AB160" s="9">
        <f t="shared" si="28"/>
        <v>1.7788018433179724</v>
      </c>
      <c r="AC160" s="9">
        <f t="shared" si="29"/>
        <v>1.1059907834101383</v>
      </c>
      <c r="AD160" s="9">
        <f t="shared" si="30"/>
        <v>5.1337238802527798</v>
      </c>
      <c r="AE160" s="9">
        <f t="shared" si="31"/>
        <v>5.9374971170256936</v>
      </c>
      <c r="AF160" s="9">
        <f t="shared" si="32"/>
        <v>4.3655936946829481</v>
      </c>
      <c r="AG160" s="9">
        <f t="shared" si="24"/>
        <v>2.62690693070356</v>
      </c>
      <c r="AH160" s="9">
        <f t="shared" si="23"/>
        <v>0.97595453112138308</v>
      </c>
      <c r="AI160" s="9">
        <f t="shared" si="25"/>
        <v>3.1322134438506342</v>
      </c>
      <c r="AJ160" s="9">
        <f>(4*PI()*(AI160^2))/(Y160+E160)</f>
        <v>0.92714806360481405</v>
      </c>
      <c r="AK160" s="12">
        <f t="shared" si="26"/>
        <v>1.3272171253822629</v>
      </c>
      <c r="AL160" s="12" t="s">
        <v>140</v>
      </c>
      <c r="AM160" s="12" t="s">
        <v>143</v>
      </c>
      <c r="AN160" s="18">
        <v>6.5015000000000001</v>
      </c>
      <c r="AO160" s="18">
        <v>0.74619000000000002</v>
      </c>
      <c r="AP160" s="18">
        <v>7784.2</v>
      </c>
      <c r="AQ160" s="18">
        <v>7765.1</v>
      </c>
      <c r="AR160" s="18">
        <v>4.1254999999999997</v>
      </c>
      <c r="AS160" s="18">
        <v>3.5918E-3</v>
      </c>
      <c r="AT160" s="18">
        <v>0.73697000000000001</v>
      </c>
      <c r="AU160" s="18">
        <v>0.31824999999999998</v>
      </c>
      <c r="AV160" s="18">
        <v>1.2623000000000001E-3</v>
      </c>
      <c r="AW160" s="18">
        <v>2.6960999999999999E-3</v>
      </c>
      <c r="AX160" s="18">
        <v>0.29833999999999999</v>
      </c>
      <c r="AY160" s="18">
        <v>-2.4782999999999999E-2</v>
      </c>
      <c r="AZ160" s="18">
        <v>-419.97</v>
      </c>
      <c r="BA160" s="18">
        <v>5.8401000000000002E-2</v>
      </c>
      <c r="BB160" s="18">
        <v>7.3857999999999997</v>
      </c>
      <c r="BC160" s="18" t="s">
        <v>162</v>
      </c>
      <c r="BD160" s="35" t="s">
        <v>163</v>
      </c>
      <c r="BE160" t="s">
        <v>167</v>
      </c>
    </row>
    <row r="161" spans="1:57" x14ac:dyDescent="0.25">
      <c r="A161" s="15" t="s">
        <v>230</v>
      </c>
      <c r="B161" s="16" t="s">
        <v>26</v>
      </c>
      <c r="C161" s="16" t="s">
        <v>6</v>
      </c>
      <c r="D161" s="16">
        <v>62</v>
      </c>
      <c r="E161" s="16">
        <v>41.438000000000002</v>
      </c>
      <c r="F161" s="16">
        <v>24.946999999999999</v>
      </c>
      <c r="G161" s="15">
        <v>14.31</v>
      </c>
      <c r="H161" s="15">
        <v>8.34</v>
      </c>
      <c r="I161" s="15">
        <v>2.12</v>
      </c>
      <c r="J161" s="15">
        <v>40.26</v>
      </c>
      <c r="K161" s="15">
        <v>18.54</v>
      </c>
      <c r="L161" s="15">
        <v>70.47</v>
      </c>
      <c r="M161" s="15">
        <v>9.31</v>
      </c>
      <c r="N161" s="15">
        <v>2</v>
      </c>
      <c r="O161" s="15">
        <f>2.1+2.11</f>
        <v>4.21</v>
      </c>
      <c r="P161" s="9">
        <v>1.20614</v>
      </c>
      <c r="Q161" s="9">
        <v>1.8005500000000001</v>
      </c>
      <c r="R161" s="9">
        <v>0.14024400000000001</v>
      </c>
      <c r="S161" s="9">
        <v>0.17286000000000001</v>
      </c>
      <c r="T161" s="9">
        <v>0.21201300000000001</v>
      </c>
      <c r="U161" s="9">
        <v>0.106254</v>
      </c>
      <c r="V161" s="9">
        <v>12.358499999999999</v>
      </c>
      <c r="W161" s="9">
        <v>6.86374</v>
      </c>
      <c r="X161" s="9">
        <v>8.2786500000000007</v>
      </c>
      <c r="Y161" s="9">
        <v>273.755</v>
      </c>
      <c r="Z161" s="9">
        <v>421.31900000000002</v>
      </c>
      <c r="AA161" s="9">
        <f t="shared" si="27"/>
        <v>3.2376132075471697</v>
      </c>
      <c r="AB161" s="9">
        <f t="shared" si="28"/>
        <v>6.75</v>
      </c>
      <c r="AC161" s="9">
        <f t="shared" si="29"/>
        <v>3.9339622641509431</v>
      </c>
      <c r="AD161" s="9">
        <f t="shared" si="30"/>
        <v>6.6063757903373714</v>
      </c>
      <c r="AE161" s="9">
        <f t="shared" si="31"/>
        <v>10.167454993001593</v>
      </c>
      <c r="AF161" s="9">
        <f t="shared" si="32"/>
        <v>4.8710362728381229</v>
      </c>
      <c r="AG161" s="9">
        <f t="shared" si="24"/>
        <v>3.6318211772723501</v>
      </c>
      <c r="AH161" s="9">
        <f t="shared" si="23"/>
        <v>0.91471541505356546</v>
      </c>
      <c r="AI161" s="9">
        <f t="shared" si="25"/>
        <v>4.6505838431791888</v>
      </c>
      <c r="AJ161" s="9">
        <f>(4*PI()*(AI161^2))/(Y161+E161)</f>
        <v>0.86227988894861296</v>
      </c>
      <c r="AK161" s="12">
        <f t="shared" si="26"/>
        <v>0.50356294536817103</v>
      </c>
      <c r="AL161" s="12" t="s">
        <v>140</v>
      </c>
      <c r="AM161" s="12" t="s">
        <v>142</v>
      </c>
      <c r="AN161" s="16">
        <v>2.484</v>
      </c>
      <c r="AO161" s="16">
        <v>0.33944999999999997</v>
      </c>
      <c r="AP161" s="16">
        <v>2600.6</v>
      </c>
      <c r="AQ161" s="16">
        <v>2269.5</v>
      </c>
      <c r="AR161" s="16">
        <v>1.5118</v>
      </c>
      <c r="AS161" s="16">
        <v>4.9957000000000001E-2</v>
      </c>
      <c r="AT161" s="16">
        <v>0.66446000000000005</v>
      </c>
      <c r="AU161" s="16">
        <v>3.9853999999999998</v>
      </c>
      <c r="AV161" s="16">
        <v>0.27705000000000002</v>
      </c>
      <c r="AW161" s="16">
        <v>4.7239000000000003E-2</v>
      </c>
      <c r="AX161" s="16">
        <v>0.12989999999999999</v>
      </c>
      <c r="AY161" s="16">
        <v>-51.561999999999998</v>
      </c>
      <c r="AZ161" s="16">
        <v>-361.95</v>
      </c>
      <c r="BA161" s="16">
        <v>0.54820999999999998</v>
      </c>
      <c r="BB161" s="16">
        <v>15.743</v>
      </c>
      <c r="BC161" s="16" t="s">
        <v>162</v>
      </c>
      <c r="BD161" s="34" t="s">
        <v>165</v>
      </c>
      <c r="BE161" t="s">
        <v>167</v>
      </c>
    </row>
    <row r="162" spans="1:57" x14ac:dyDescent="0.25">
      <c r="A162" s="15" t="s">
        <v>231</v>
      </c>
      <c r="B162" s="16" t="s">
        <v>5</v>
      </c>
      <c r="C162" s="16" t="s">
        <v>6</v>
      </c>
      <c r="D162" s="16">
        <v>20</v>
      </c>
      <c r="E162" s="16">
        <v>14.785</v>
      </c>
      <c r="F162" s="16">
        <v>13.917</v>
      </c>
      <c r="G162" s="15">
        <v>7.1</v>
      </c>
      <c r="H162" s="15">
        <v>4.5</v>
      </c>
      <c r="I162" s="15">
        <v>3.18</v>
      </c>
      <c r="J162" s="15">
        <v>86.7</v>
      </c>
      <c r="K162" s="15">
        <v>32.340000000000003</v>
      </c>
      <c r="L162" s="15">
        <v>38.18</v>
      </c>
      <c r="M162" s="15">
        <v>5.25</v>
      </c>
      <c r="N162" s="15">
        <v>2</v>
      </c>
      <c r="O162" s="15">
        <f>3.12+0.66</f>
        <v>3.7800000000000002</v>
      </c>
      <c r="P162" s="9">
        <v>1.0519799999999999</v>
      </c>
      <c r="Q162" s="9">
        <v>1.25674</v>
      </c>
      <c r="R162" s="9">
        <v>1.6853900000000002E-2</v>
      </c>
      <c r="S162" s="9">
        <v>0.124762</v>
      </c>
      <c r="T162" s="9">
        <v>0.14201800000000001</v>
      </c>
      <c r="U162" s="9">
        <v>3.0451099999999998E-2</v>
      </c>
      <c r="V162" s="9">
        <v>5.4101600000000003</v>
      </c>
      <c r="W162" s="9">
        <v>4.3049099999999996</v>
      </c>
      <c r="X162" s="9">
        <v>4.52867</v>
      </c>
      <c r="Y162" s="9">
        <v>71.566699999999997</v>
      </c>
      <c r="Z162" s="9">
        <v>63.984099999999998</v>
      </c>
      <c r="AA162" s="9">
        <f t="shared" si="27"/>
        <v>1.3537452830188677</v>
      </c>
      <c r="AB162" s="9">
        <f t="shared" si="28"/>
        <v>2.232704402515723</v>
      </c>
      <c r="AC162" s="9">
        <f t="shared" si="29"/>
        <v>1.4150943396226414</v>
      </c>
      <c r="AD162" s="9">
        <f t="shared" si="30"/>
        <v>4.8404937436591133</v>
      </c>
      <c r="AE162" s="9">
        <f t="shared" si="31"/>
        <v>4.3276361176868443</v>
      </c>
      <c r="AF162" s="9">
        <f t="shared" si="32"/>
        <v>4.4736597305762222</v>
      </c>
      <c r="AG162" s="9">
        <f t="shared" si="24"/>
        <v>2.1693804800512391</v>
      </c>
      <c r="AH162" s="9">
        <f t="shared" ref="AH162:AH225" si="33">(2*PI()*AG162)/F162</f>
        <v>0.97942225752246481</v>
      </c>
      <c r="AI162" s="9">
        <f t="shared" si="25"/>
        <v>2.4811964554779089</v>
      </c>
      <c r="AJ162" s="9">
        <f>(4*PI()*(AI162^2))/(Y162+E162)</f>
        <v>0.8959035887662028</v>
      </c>
      <c r="AK162" s="12">
        <f t="shared" si="26"/>
        <v>0.84126984126984128</v>
      </c>
      <c r="AL162" s="12" t="s">
        <v>144</v>
      </c>
      <c r="AM162" s="12" t="s">
        <v>142</v>
      </c>
      <c r="AN162" s="16">
        <v>6.4828000000000001</v>
      </c>
      <c r="AO162" s="16">
        <v>0.69713000000000003</v>
      </c>
      <c r="AP162" s="16">
        <v>6256.7</v>
      </c>
      <c r="AQ162" s="16">
        <v>6205.3</v>
      </c>
      <c r="AR162" s="16">
        <v>2.8239000000000001</v>
      </c>
      <c r="AS162" s="16">
        <v>9.9807999999999997E-3</v>
      </c>
      <c r="AT162" s="16">
        <v>0.73916999999999999</v>
      </c>
      <c r="AU162" s="16">
        <v>0.49565999999999999</v>
      </c>
      <c r="AV162" s="16">
        <v>2.0856E-3</v>
      </c>
      <c r="AW162" s="16">
        <v>5.2243999999999997E-3</v>
      </c>
      <c r="AX162" s="16">
        <v>0.29759999999999998</v>
      </c>
      <c r="AY162" s="16">
        <v>3.8557999999999999</v>
      </c>
      <c r="AZ162" s="16">
        <v>779.19</v>
      </c>
      <c r="BA162" s="16">
        <v>4.1590000000000002E-2</v>
      </c>
      <c r="BB162" s="16">
        <v>10.959</v>
      </c>
      <c r="BC162" s="16" t="s">
        <v>162</v>
      </c>
      <c r="BD162" s="34" t="s">
        <v>163</v>
      </c>
      <c r="BE162" t="s">
        <v>167</v>
      </c>
    </row>
    <row r="163" spans="1:57" x14ac:dyDescent="0.25">
      <c r="A163" s="15" t="s">
        <v>232</v>
      </c>
      <c r="B163" s="18" t="s">
        <v>5</v>
      </c>
      <c r="C163" s="18" t="s">
        <v>6</v>
      </c>
      <c r="D163" s="18">
        <v>39</v>
      </c>
      <c r="E163" s="18">
        <v>10.423</v>
      </c>
      <c r="F163" s="18">
        <v>11.956</v>
      </c>
      <c r="G163" s="15">
        <v>6.11</v>
      </c>
      <c r="H163" s="15">
        <v>4.0999999999999996</v>
      </c>
      <c r="I163" s="15">
        <v>3.85</v>
      </c>
      <c r="J163" s="15">
        <v>5.31</v>
      </c>
      <c r="K163" s="15">
        <v>31.44</v>
      </c>
      <c r="L163" s="15">
        <v>24.84</v>
      </c>
      <c r="M163" s="15">
        <v>5.4</v>
      </c>
      <c r="N163" s="15">
        <v>2</v>
      </c>
      <c r="O163" s="15">
        <f>0.91+3.45</f>
        <v>4.3600000000000003</v>
      </c>
      <c r="P163" s="9">
        <v>1.1594199999999999</v>
      </c>
      <c r="Q163" s="9">
        <v>1.63662</v>
      </c>
      <c r="R163" s="9">
        <v>-1.85185E-2</v>
      </c>
      <c r="S163" s="9">
        <v>0.13412399999999999</v>
      </c>
      <c r="T163" s="9">
        <v>0.14709700000000001</v>
      </c>
      <c r="U163" s="9">
        <v>2.71548E-2</v>
      </c>
      <c r="V163" s="9">
        <v>5.7913100000000002</v>
      </c>
      <c r="W163" s="9">
        <v>3.53857</v>
      </c>
      <c r="X163" s="9">
        <v>4.1026899999999999</v>
      </c>
      <c r="Y163" s="9">
        <v>66.417699999999996</v>
      </c>
      <c r="Z163" s="9">
        <v>56.697499999999998</v>
      </c>
      <c r="AA163" s="9">
        <f t="shared" si="27"/>
        <v>0.91910909090909088</v>
      </c>
      <c r="AB163" s="9">
        <f t="shared" si="28"/>
        <v>1.587012987012987</v>
      </c>
      <c r="AC163" s="9">
        <f t="shared" si="29"/>
        <v>1.0649350649350648</v>
      </c>
      <c r="AD163" s="9">
        <f t="shared" si="30"/>
        <v>6.3722248872685405</v>
      </c>
      <c r="AE163" s="9">
        <f t="shared" si="31"/>
        <v>5.4396526911637721</v>
      </c>
      <c r="AF163" s="9">
        <f t="shared" si="32"/>
        <v>4.5002975127009455</v>
      </c>
      <c r="AG163" s="9">
        <f t="shared" si="24"/>
        <v>1.8214675247430712</v>
      </c>
      <c r="AH163" s="9">
        <f t="shared" si="33"/>
        <v>0.95722800175396738</v>
      </c>
      <c r="AI163" s="9">
        <f t="shared" si="25"/>
        <v>2.3831887135878453</v>
      </c>
      <c r="AJ163" s="9">
        <f>(4*PI()*(AI163^2))/(Y163+E163)</f>
        <v>0.92882825548868819</v>
      </c>
      <c r="AK163" s="12">
        <f t="shared" si="26"/>
        <v>0.8830275229357798</v>
      </c>
      <c r="AL163" s="12" t="s">
        <v>144</v>
      </c>
      <c r="AM163" s="12" t="s">
        <v>143</v>
      </c>
      <c r="AN163" s="18">
        <v>7.5983000000000001</v>
      </c>
      <c r="AO163" s="18">
        <v>0.66063000000000005</v>
      </c>
      <c r="AP163" s="18">
        <v>15460</v>
      </c>
      <c r="AQ163" s="18">
        <v>13180</v>
      </c>
      <c r="AR163" s="18">
        <v>3.6728000000000001</v>
      </c>
      <c r="AS163" s="18">
        <v>1.1833E-2</v>
      </c>
      <c r="AT163" s="18">
        <v>0.71977999999999998</v>
      </c>
      <c r="AU163" s="18">
        <v>0.49491000000000002</v>
      </c>
      <c r="AV163" s="18">
        <v>4.1661999999999998E-2</v>
      </c>
      <c r="AW163" s="18">
        <v>6.7735E-3</v>
      </c>
      <c r="AX163" s="18">
        <v>0.29508000000000001</v>
      </c>
      <c r="AY163" s="18">
        <v>-1.2162999999999999</v>
      </c>
      <c r="AZ163" s="18">
        <v>-1256.3</v>
      </c>
      <c r="BA163" s="18">
        <v>6.0567000000000003E-2</v>
      </c>
      <c r="BB163" s="18">
        <v>8.5289999999999999</v>
      </c>
      <c r="BC163" s="18" t="s">
        <v>162</v>
      </c>
      <c r="BD163" s="35" t="s">
        <v>163</v>
      </c>
      <c r="BE163" t="s">
        <v>167</v>
      </c>
    </row>
    <row r="164" spans="1:57" x14ac:dyDescent="0.25">
      <c r="A164" s="15" t="s">
        <v>233</v>
      </c>
      <c r="B164" s="16" t="s">
        <v>13</v>
      </c>
      <c r="C164" s="16" t="s">
        <v>14</v>
      </c>
      <c r="D164" s="16">
        <v>77</v>
      </c>
      <c r="E164" s="16">
        <v>38</v>
      </c>
      <c r="F164" s="16">
        <v>26.472000000000001</v>
      </c>
      <c r="G164" s="15">
        <v>22.15</v>
      </c>
      <c r="H164" s="15">
        <v>12.5</v>
      </c>
      <c r="I164" s="15">
        <v>2.0699999999999998</v>
      </c>
      <c r="J164" s="15">
        <v>51.11</v>
      </c>
      <c r="K164" s="15">
        <f>180-169.83</f>
        <v>10.169999999999987</v>
      </c>
      <c r="L164" s="15">
        <v>56.01</v>
      </c>
      <c r="M164" s="15">
        <v>11.3</v>
      </c>
      <c r="N164" s="15">
        <v>2</v>
      </c>
      <c r="O164" s="15">
        <f>1.48+1.61</f>
        <v>3.09</v>
      </c>
      <c r="P164" s="9">
        <v>2.0200300000000002</v>
      </c>
      <c r="Q164" s="9">
        <v>3.4803199999999999</v>
      </c>
      <c r="R164" s="9">
        <v>-0.11600000000000001</v>
      </c>
      <c r="S164" s="9">
        <v>0.221801</v>
      </c>
      <c r="T164" s="9">
        <v>0.24329500000000001</v>
      </c>
      <c r="U164" s="9">
        <v>5.7601199999999998E-2</v>
      </c>
      <c r="V164" s="9">
        <v>21.665800000000001</v>
      </c>
      <c r="W164" s="9">
        <v>6.22525</v>
      </c>
      <c r="X164" s="9">
        <v>12.575200000000001</v>
      </c>
      <c r="Y164" s="9">
        <v>817.39599999999996</v>
      </c>
      <c r="Z164" s="9">
        <v>2045.63</v>
      </c>
      <c r="AA164" s="9">
        <f t="shared" si="27"/>
        <v>3.0073671497584544</v>
      </c>
      <c r="AB164" s="9">
        <f t="shared" si="28"/>
        <v>10.70048309178744</v>
      </c>
      <c r="AC164" s="9">
        <f t="shared" si="29"/>
        <v>6.0386473429951693</v>
      </c>
      <c r="AD164" s="9">
        <f t="shared" si="30"/>
        <v>21.510421052631578</v>
      </c>
      <c r="AE164" s="9">
        <f t="shared" si="31"/>
        <v>53.832368421052635</v>
      </c>
      <c r="AF164" s="9">
        <f t="shared" si="32"/>
        <v>5.0724111906355027</v>
      </c>
      <c r="AG164" s="9">
        <f t="shared" si="24"/>
        <v>3.477898169151024</v>
      </c>
      <c r="AH164" s="9">
        <f t="shared" si="33"/>
        <v>0.82548650182368155</v>
      </c>
      <c r="AI164" s="9">
        <f t="shared" si="25"/>
        <v>7.8749201401794053</v>
      </c>
      <c r="AJ164" s="9">
        <f>(4*PI()*(AI164^2))/(Y164+E164)</f>
        <v>0.91103479771783169</v>
      </c>
      <c r="AK164" s="12">
        <f t="shared" si="26"/>
        <v>0.66990291262135915</v>
      </c>
      <c r="AL164" s="12" t="s">
        <v>140</v>
      </c>
      <c r="AM164" s="12" t="s">
        <v>142</v>
      </c>
      <c r="AN164" s="16">
        <v>0.51285000000000003</v>
      </c>
      <c r="AO164" s="16">
        <v>3.8211000000000002E-2</v>
      </c>
      <c r="AP164" s="16">
        <v>1117.8</v>
      </c>
      <c r="AQ164" s="16">
        <v>945.64</v>
      </c>
      <c r="AR164" s="16">
        <v>0.39907999999999999</v>
      </c>
      <c r="AS164" s="16">
        <v>6.7122000000000001E-2</v>
      </c>
      <c r="AT164" s="16">
        <v>0.57415000000000005</v>
      </c>
      <c r="AU164" s="16">
        <v>14.339</v>
      </c>
      <c r="AV164" s="16">
        <v>0.94884999999999997</v>
      </c>
      <c r="AW164" s="16">
        <v>6.8581000000000003E-2</v>
      </c>
      <c r="AX164" s="16">
        <v>2.9295000000000002E-2</v>
      </c>
      <c r="AY164" s="16">
        <v>-324.60000000000002</v>
      </c>
      <c r="AZ164" s="16">
        <v>-361.47</v>
      </c>
      <c r="BA164" s="16">
        <v>3.0884999999999998</v>
      </c>
      <c r="BB164" s="16">
        <v>80.867999999999995</v>
      </c>
      <c r="BC164" s="16" t="s">
        <v>164</v>
      </c>
      <c r="BD164" s="34" t="s">
        <v>165</v>
      </c>
      <c r="BE164" t="s">
        <v>167</v>
      </c>
    </row>
    <row r="165" spans="1:57" x14ac:dyDescent="0.25">
      <c r="A165" s="15" t="s">
        <v>234</v>
      </c>
      <c r="B165" s="16" t="s">
        <v>5</v>
      </c>
      <c r="C165" s="16" t="s">
        <v>6</v>
      </c>
      <c r="D165" s="16">
        <v>57</v>
      </c>
      <c r="E165" s="16">
        <v>94.08</v>
      </c>
      <c r="F165" s="16">
        <v>35.784999999999997</v>
      </c>
      <c r="G165" s="15">
        <v>18.64</v>
      </c>
      <c r="H165" s="15">
        <v>10.9</v>
      </c>
      <c r="I165" s="15">
        <v>3.68</v>
      </c>
      <c r="J165" s="15">
        <v>135.21</v>
      </c>
      <c r="K165" s="15">
        <v>16.5</v>
      </c>
      <c r="L165" s="15">
        <v>32.049999999999997</v>
      </c>
      <c r="M165" s="15">
        <v>14.7</v>
      </c>
      <c r="N165" s="15">
        <v>1</v>
      </c>
      <c r="O165" s="15">
        <v>3.48</v>
      </c>
      <c r="P165" s="9">
        <v>1.0334099999999999</v>
      </c>
      <c r="Q165" s="9">
        <v>1.59859</v>
      </c>
      <c r="R165" s="9">
        <v>0.273148</v>
      </c>
      <c r="S165" s="9">
        <v>0.12690100000000001</v>
      </c>
      <c r="T165" s="9">
        <v>0.13981399999999999</v>
      </c>
      <c r="U165" s="9">
        <v>2.4301300000000001E-2</v>
      </c>
      <c r="V165" s="9">
        <v>16.8064</v>
      </c>
      <c r="W165" s="9">
        <v>10.513299999999999</v>
      </c>
      <c r="X165" s="9">
        <v>10.8645</v>
      </c>
      <c r="Y165" s="9">
        <v>519.97699999999998</v>
      </c>
      <c r="Z165" s="9">
        <v>1257.92</v>
      </c>
      <c r="AA165" s="9">
        <f t="shared" si="27"/>
        <v>2.8568749999999996</v>
      </c>
      <c r="AB165" s="9">
        <f t="shared" si="28"/>
        <v>5.0652173913043477</v>
      </c>
      <c r="AC165" s="9">
        <f t="shared" si="29"/>
        <v>2.9619565217391304</v>
      </c>
      <c r="AD165" s="9">
        <f t="shared" si="30"/>
        <v>5.5269664115646258</v>
      </c>
      <c r="AE165" s="9">
        <f t="shared" si="31"/>
        <v>13.370748299319729</v>
      </c>
      <c r="AF165" s="9">
        <f t="shared" si="32"/>
        <v>4.4621974731335907</v>
      </c>
      <c r="AG165" s="9">
        <f t="shared" si="24"/>
        <v>5.4723481333127033</v>
      </c>
      <c r="AH165" s="9">
        <f t="shared" si="33"/>
        <v>0.96084329710778305</v>
      </c>
      <c r="AI165" s="9">
        <f t="shared" si="25"/>
        <v>6.6966068734150923</v>
      </c>
      <c r="AJ165" s="9">
        <f>(4*PI()*(AI165^2))/(Y165+E165)</f>
        <v>0.91772124594931714</v>
      </c>
      <c r="AK165" s="12">
        <f t="shared" si="26"/>
        <v>1.0574712643678161</v>
      </c>
      <c r="AL165" s="12" t="s">
        <v>140</v>
      </c>
      <c r="AM165" s="12" t="s">
        <v>143</v>
      </c>
      <c r="AN165" s="16">
        <v>0.81149000000000004</v>
      </c>
      <c r="AO165" s="16">
        <v>0.11888</v>
      </c>
      <c r="AP165" s="16">
        <v>894.59</v>
      </c>
      <c r="AQ165" s="16">
        <v>752.67</v>
      </c>
      <c r="AR165" s="16">
        <v>0.80186999999999997</v>
      </c>
      <c r="AS165" s="16">
        <v>4.2632999999999997E-2</v>
      </c>
      <c r="AT165" s="16">
        <v>0.68193999999999999</v>
      </c>
      <c r="AU165" s="16">
        <v>2.5061</v>
      </c>
      <c r="AV165" s="16">
        <v>0.72248999999999997</v>
      </c>
      <c r="AW165" s="16">
        <v>2.8684000000000001E-2</v>
      </c>
      <c r="AX165" s="16">
        <v>8.3863999999999994E-2</v>
      </c>
      <c r="AY165" s="16">
        <v>-16.395</v>
      </c>
      <c r="AZ165" s="16">
        <v>-299.83</v>
      </c>
      <c r="BA165" s="16">
        <v>0.32030999999999998</v>
      </c>
      <c r="BB165" s="16">
        <v>7.5075000000000003</v>
      </c>
      <c r="BC165" s="16" t="s">
        <v>162</v>
      </c>
      <c r="BD165" s="34" t="s">
        <v>163</v>
      </c>
      <c r="BE165" t="s">
        <v>167</v>
      </c>
    </row>
    <row r="166" spans="1:57" x14ac:dyDescent="0.25">
      <c r="A166" s="22" t="s">
        <v>235</v>
      </c>
      <c r="B166" s="16" t="s">
        <v>5</v>
      </c>
      <c r="C166" s="16" t="s">
        <v>6</v>
      </c>
      <c r="D166" s="16">
        <v>79</v>
      </c>
      <c r="E166" s="16">
        <v>78.231999999999999</v>
      </c>
      <c r="F166" s="16">
        <v>32.710999999999999</v>
      </c>
      <c r="G166" s="15">
        <v>15.76</v>
      </c>
      <c r="H166" s="15">
        <v>7.5</v>
      </c>
      <c r="I166" s="15">
        <v>4.55</v>
      </c>
      <c r="J166" s="15">
        <v>134.19999999999999</v>
      </c>
      <c r="K166" s="15">
        <v>15.88</v>
      </c>
      <c r="L166" s="15">
        <v>26.3</v>
      </c>
      <c r="M166" s="15">
        <v>15.3</v>
      </c>
      <c r="N166" s="15">
        <v>1</v>
      </c>
      <c r="O166" s="15">
        <v>4.4400000000000004</v>
      </c>
      <c r="P166" s="9">
        <v>0.77359999999999995</v>
      </c>
      <c r="Q166" s="9">
        <v>1.5663100000000001</v>
      </c>
      <c r="R166" s="9">
        <v>8.3892599999999998E-2</v>
      </c>
      <c r="S166" s="9">
        <v>0.14843899999999999</v>
      </c>
      <c r="T166" s="9">
        <v>0.17860500000000001</v>
      </c>
      <c r="U166" s="9">
        <v>5.6246499999999998E-2</v>
      </c>
      <c r="V166" s="9">
        <v>15.2102</v>
      </c>
      <c r="W166" s="9">
        <v>9.7108600000000003</v>
      </c>
      <c r="X166" s="9">
        <v>7.5123199999999999</v>
      </c>
      <c r="Y166" s="9">
        <v>355.81599999999997</v>
      </c>
      <c r="Z166" s="9">
        <v>664.43899999999996</v>
      </c>
      <c r="AA166" s="9">
        <f t="shared" si="27"/>
        <v>2.1342549450549453</v>
      </c>
      <c r="AB166" s="9">
        <f t="shared" si="28"/>
        <v>3.4637362637362639</v>
      </c>
      <c r="AC166" s="9">
        <f t="shared" si="29"/>
        <v>1.6483516483516485</v>
      </c>
      <c r="AD166" s="9">
        <f t="shared" si="30"/>
        <v>4.5482155639635948</v>
      </c>
      <c r="AE166" s="9">
        <f t="shared" si="31"/>
        <v>8.4931869311790571</v>
      </c>
      <c r="AF166" s="9">
        <f t="shared" si="32"/>
        <v>4.6729241228851617</v>
      </c>
      <c r="AG166" s="9">
        <f t="shared" si="24"/>
        <v>4.9901922824606979</v>
      </c>
      <c r="AH166" s="9">
        <f t="shared" si="33"/>
        <v>0.95852474180422553</v>
      </c>
      <c r="AI166" s="9">
        <f t="shared" si="25"/>
        <v>5.413217812404131</v>
      </c>
      <c r="AJ166" s="9">
        <f>(4*PI()*(AI166^2))/(Y166+E166)</f>
        <v>0.84836571492032975</v>
      </c>
      <c r="AK166" s="12">
        <f t="shared" si="26"/>
        <v>1.0247747747747746</v>
      </c>
      <c r="AL166" s="12" t="s">
        <v>140</v>
      </c>
      <c r="AM166" s="12" t="s">
        <v>143</v>
      </c>
      <c r="AN166" s="16">
        <v>4.8209</v>
      </c>
      <c r="AO166" s="16">
        <v>0.56567000000000001</v>
      </c>
      <c r="AP166" s="16">
        <v>4370.7</v>
      </c>
      <c r="AQ166" s="16">
        <v>3951.6</v>
      </c>
      <c r="AR166" s="16">
        <v>3.25</v>
      </c>
      <c r="AS166" s="16">
        <v>2.3650000000000001E-2</v>
      </c>
      <c r="AT166" s="16">
        <v>0.67762999999999995</v>
      </c>
      <c r="AU166" s="16">
        <v>0.59197</v>
      </c>
      <c r="AV166" s="16">
        <v>7.0197999999999997E-2</v>
      </c>
      <c r="AW166" s="16">
        <v>1.5886000000000001E-2</v>
      </c>
      <c r="AX166" s="16">
        <v>0.27066000000000001</v>
      </c>
      <c r="AY166" s="16">
        <v>-20.783000000000001</v>
      </c>
      <c r="AZ166" s="16">
        <v>-1338.8</v>
      </c>
      <c r="BA166" s="16">
        <v>0.19699</v>
      </c>
      <c r="BB166" s="16">
        <v>24.754999999999999</v>
      </c>
      <c r="BC166" s="16" t="s">
        <v>164</v>
      </c>
      <c r="BD166" s="34" t="s">
        <v>165</v>
      </c>
      <c r="BE166" t="s">
        <v>167</v>
      </c>
    </row>
    <row r="167" spans="1:57" x14ac:dyDescent="0.25">
      <c r="A167" s="15" t="s">
        <v>236</v>
      </c>
      <c r="B167" s="16" t="s">
        <v>26</v>
      </c>
      <c r="C167" s="16" t="s">
        <v>6</v>
      </c>
      <c r="D167" s="16">
        <v>79</v>
      </c>
      <c r="E167" s="16">
        <v>5.7899000000000003</v>
      </c>
      <c r="F167" s="16">
        <v>8.6709999999999994</v>
      </c>
      <c r="G167" s="15">
        <v>3.42</v>
      </c>
      <c r="H167" s="15">
        <v>2.75</v>
      </c>
      <c r="I167" s="15">
        <v>2.93</v>
      </c>
      <c r="J167" s="15">
        <v>73.17</v>
      </c>
      <c r="K167" s="15">
        <v>39.79</v>
      </c>
      <c r="L167" s="15">
        <v>78.12</v>
      </c>
      <c r="M167" s="15">
        <v>2.62</v>
      </c>
      <c r="N167" s="15">
        <v>2</v>
      </c>
      <c r="O167" s="15">
        <f>2.8+1.23</f>
        <v>4.0299999999999994</v>
      </c>
      <c r="P167" s="9">
        <v>1.0349299999999999</v>
      </c>
      <c r="Q167" s="9">
        <v>1.0643899999999999</v>
      </c>
      <c r="R167" s="9">
        <v>0.48148099999999999</v>
      </c>
      <c r="S167" s="9">
        <v>8.6089499999999999E-2</v>
      </c>
      <c r="T167" s="9">
        <v>9.6115099999999995E-2</v>
      </c>
      <c r="U167" s="9">
        <v>1.41917E-2</v>
      </c>
      <c r="V167" s="9">
        <v>2.8488199999999999</v>
      </c>
      <c r="W167" s="9">
        <v>2.6764899999999998</v>
      </c>
      <c r="X167" s="9">
        <v>2.76999</v>
      </c>
      <c r="Y167" s="9">
        <v>21.3019</v>
      </c>
      <c r="Z167" s="9">
        <v>11.235300000000001</v>
      </c>
      <c r="AA167" s="9">
        <f t="shared" si="27"/>
        <v>0.91347781569965858</v>
      </c>
      <c r="AB167" s="9">
        <f t="shared" si="28"/>
        <v>1.1672354948805459</v>
      </c>
      <c r="AC167" s="9">
        <f t="shared" si="29"/>
        <v>0.93856655290102387</v>
      </c>
      <c r="AD167" s="9">
        <f t="shared" si="30"/>
        <v>3.6791481718164389</v>
      </c>
      <c r="AE167" s="9">
        <f t="shared" si="31"/>
        <v>1.9404998359211731</v>
      </c>
      <c r="AF167" s="9">
        <f t="shared" si="32"/>
        <v>4.2464748806543753</v>
      </c>
      <c r="AG167" s="9">
        <f t="shared" si="24"/>
        <v>1.3575648824330755</v>
      </c>
      <c r="AH167" s="9">
        <f t="shared" si="33"/>
        <v>0.98371949288968785</v>
      </c>
      <c r="AI167" s="9">
        <f t="shared" si="25"/>
        <v>1.3894151220429856</v>
      </c>
      <c r="AJ167" s="9">
        <f>(4*PI()*(AI167^2))/(Y167+E167)</f>
        <v>0.89543908259019978</v>
      </c>
      <c r="AK167" s="12">
        <f t="shared" si="26"/>
        <v>0.72704714640198531</v>
      </c>
      <c r="AL167" s="12" t="s">
        <v>144</v>
      </c>
      <c r="AM167" s="12" t="s">
        <v>142</v>
      </c>
      <c r="AN167" s="16">
        <v>9.1793999999999993</v>
      </c>
      <c r="AO167" s="16">
        <v>0.79684999999999995</v>
      </c>
      <c r="AP167" s="16">
        <v>19222</v>
      </c>
      <c r="AQ167" s="16">
        <v>18310</v>
      </c>
      <c r="AR167" s="16">
        <v>3.8163</v>
      </c>
      <c r="AS167" s="16">
        <v>9.3211000000000006E-3</v>
      </c>
      <c r="AT167" s="16">
        <v>0.77063999999999999</v>
      </c>
      <c r="AU167" s="16">
        <v>0.38167000000000001</v>
      </c>
      <c r="AV167" s="16">
        <v>5.1392E-3</v>
      </c>
      <c r="AW167" s="16">
        <v>9.3837E-3</v>
      </c>
      <c r="AX167" s="16">
        <v>0.25119000000000002</v>
      </c>
      <c r="AY167" s="16">
        <v>-1.5766</v>
      </c>
      <c r="AZ167" s="16">
        <v>-697.27</v>
      </c>
      <c r="BA167" s="16">
        <v>5.0762000000000002E-2</v>
      </c>
      <c r="BB167" s="16">
        <v>29.808</v>
      </c>
      <c r="BC167" s="16" t="s">
        <v>162</v>
      </c>
      <c r="BD167" s="34" t="s">
        <v>163</v>
      </c>
      <c r="BE167" t="s">
        <v>167</v>
      </c>
    </row>
    <row r="168" spans="1:57" x14ac:dyDescent="0.25">
      <c r="A168" s="15" t="s">
        <v>237</v>
      </c>
      <c r="B168" s="18" t="s">
        <v>5</v>
      </c>
      <c r="C168" s="18" t="s">
        <v>6</v>
      </c>
      <c r="D168" s="20">
        <v>33</v>
      </c>
      <c r="E168" s="20">
        <v>9.3971999999999998</v>
      </c>
      <c r="F168" s="18">
        <v>11.256</v>
      </c>
      <c r="G168" s="15">
        <v>5.58</v>
      </c>
      <c r="H168" s="15">
        <v>4.25</v>
      </c>
      <c r="I168" s="15">
        <v>3.46</v>
      </c>
      <c r="J168" s="15">
        <v>21.65</v>
      </c>
      <c r="K168" s="15">
        <v>39.6</v>
      </c>
      <c r="L168" s="15">
        <v>16.739999999999998</v>
      </c>
      <c r="M168" s="15">
        <v>4.9000000000000004</v>
      </c>
      <c r="N168" s="15">
        <v>1</v>
      </c>
      <c r="O168" s="15">
        <v>4.12</v>
      </c>
      <c r="P168" s="9">
        <v>1.24749</v>
      </c>
      <c r="Q168" s="9">
        <v>1.43923</v>
      </c>
      <c r="R168" s="9">
        <v>3.0120500000000001E-2</v>
      </c>
      <c r="S168" s="9">
        <v>0.122685</v>
      </c>
      <c r="T168" s="9">
        <v>0.13659399999999999</v>
      </c>
      <c r="U168" s="9">
        <v>1.9697099999999999E-2</v>
      </c>
      <c r="V168" s="9">
        <v>4.89886</v>
      </c>
      <c r="W168" s="9">
        <v>3.40381</v>
      </c>
      <c r="X168" s="9">
        <v>4.2462099999999996</v>
      </c>
      <c r="Y168" s="9">
        <v>57.915999999999997</v>
      </c>
      <c r="Z168" s="9">
        <v>47.0229</v>
      </c>
      <c r="AA168" s="9">
        <f t="shared" si="27"/>
        <v>0.98376011560693644</v>
      </c>
      <c r="AB168" s="9">
        <f t="shared" si="28"/>
        <v>1.6127167630057804</v>
      </c>
      <c r="AC168" s="9">
        <f t="shared" si="29"/>
        <v>1.2283236994219653</v>
      </c>
      <c r="AD168" s="9">
        <f t="shared" si="30"/>
        <v>6.1631124164644788</v>
      </c>
      <c r="AE168" s="9">
        <f t="shared" si="31"/>
        <v>5.0039267015706805</v>
      </c>
      <c r="AF168" s="9">
        <f t="shared" si="32"/>
        <v>4.4455512344383257</v>
      </c>
      <c r="AG168" s="9">
        <f t="shared" si="24"/>
        <v>1.7295148633204394</v>
      </c>
      <c r="AH168" s="9">
        <f t="shared" si="33"/>
        <v>0.96542842730665379</v>
      </c>
      <c r="AI168" s="9">
        <f t="shared" si="25"/>
        <v>2.2391005676462541</v>
      </c>
      <c r="AJ168" s="9">
        <f>(4*PI()*(AI168^2))/(Y168+E168)</f>
        <v>0.9359590052350838</v>
      </c>
      <c r="AK168" s="12">
        <f t="shared" si="26"/>
        <v>0.83980582524271841</v>
      </c>
      <c r="AL168" s="12" t="s">
        <v>144</v>
      </c>
      <c r="AM168" s="12" t="s">
        <v>143</v>
      </c>
      <c r="AN168" s="20">
        <v>4.1703999999999999</v>
      </c>
      <c r="AO168" s="20">
        <v>0.44922000000000001</v>
      </c>
      <c r="AP168" s="20">
        <v>9043.9</v>
      </c>
      <c r="AQ168" s="20">
        <v>8581.2999999999993</v>
      </c>
      <c r="AR168" s="20">
        <v>2.1276999999999999</v>
      </c>
      <c r="AS168" s="20">
        <v>4.7055999999999999E-3</v>
      </c>
      <c r="AT168" s="20">
        <v>0.75990999999999997</v>
      </c>
      <c r="AU168" s="20">
        <v>0.67200000000000004</v>
      </c>
      <c r="AV168" s="20">
        <v>1.8532E-2</v>
      </c>
      <c r="AW168" s="20">
        <v>4.9191E-3</v>
      </c>
      <c r="AX168" s="20">
        <v>0.15923000000000001</v>
      </c>
      <c r="AY168" s="20">
        <v>2.6924999999999999</v>
      </c>
      <c r="AZ168" s="20">
        <v>1191.4000000000001</v>
      </c>
      <c r="BA168" s="20">
        <v>4.5682E-2</v>
      </c>
      <c r="BB168" s="20">
        <v>8.5961999999999996</v>
      </c>
      <c r="BC168" s="18" t="s">
        <v>162</v>
      </c>
      <c r="BD168" s="35" t="s">
        <v>163</v>
      </c>
      <c r="BE168" t="s">
        <v>167</v>
      </c>
    </row>
    <row r="169" spans="1:57" x14ac:dyDescent="0.25">
      <c r="A169" s="22" t="s">
        <v>238</v>
      </c>
      <c r="B169" s="16" t="s">
        <v>5</v>
      </c>
      <c r="C169" s="16" t="s">
        <v>6</v>
      </c>
      <c r="D169" s="16">
        <v>75</v>
      </c>
      <c r="E169" s="16">
        <v>106.75</v>
      </c>
      <c r="F169" s="16">
        <v>37.755000000000003</v>
      </c>
      <c r="G169" s="15">
        <v>20.09</v>
      </c>
      <c r="H169" s="15">
        <v>14.65</v>
      </c>
      <c r="I169" s="15">
        <v>4.13</v>
      </c>
      <c r="J169" s="15">
        <v>111.96</v>
      </c>
      <c r="K169" s="15">
        <v>40.71</v>
      </c>
      <c r="L169" s="15">
        <v>24.89</v>
      </c>
      <c r="M169" s="15">
        <v>16.600000000000001</v>
      </c>
      <c r="N169" s="15">
        <v>1</v>
      </c>
      <c r="O169" s="15">
        <v>3.78</v>
      </c>
      <c r="P169" s="9">
        <v>1.2940799999999999</v>
      </c>
      <c r="Q169" s="9">
        <v>1.4108099999999999</v>
      </c>
      <c r="R169" s="9">
        <v>0.10068299999999999</v>
      </c>
      <c r="S169" s="9">
        <v>0.150279</v>
      </c>
      <c r="T169" s="9">
        <v>0.18109600000000001</v>
      </c>
      <c r="U169" s="9">
        <v>7.2701399999999999E-2</v>
      </c>
      <c r="V169" s="9">
        <v>16.034199999999998</v>
      </c>
      <c r="W169" s="9">
        <v>11.3652</v>
      </c>
      <c r="X169" s="9">
        <v>14.7074</v>
      </c>
      <c r="Y169" s="9">
        <v>608.17600000000004</v>
      </c>
      <c r="Z169" s="9">
        <v>1478.02</v>
      </c>
      <c r="AA169" s="9">
        <f t="shared" si="27"/>
        <v>2.7518644067796609</v>
      </c>
      <c r="AB169" s="9">
        <f t="shared" si="28"/>
        <v>4.8644067796610173</v>
      </c>
      <c r="AC169" s="9">
        <f t="shared" si="29"/>
        <v>3.5472154963680391</v>
      </c>
      <c r="AD169" s="9">
        <f t="shared" si="30"/>
        <v>5.6971990632318503</v>
      </c>
      <c r="AE169" s="9">
        <f t="shared" si="31"/>
        <v>13.845620608899297</v>
      </c>
      <c r="AF169" s="9">
        <f t="shared" si="32"/>
        <v>4.6871523581428107</v>
      </c>
      <c r="AG169" s="9">
        <f t="shared" si="24"/>
        <v>5.8292006613359648</v>
      </c>
      <c r="AH169" s="9">
        <f t="shared" si="33"/>
        <v>0.97009529725619548</v>
      </c>
      <c r="AI169" s="9">
        <f t="shared" si="25"/>
        <v>7.0663839959618766</v>
      </c>
      <c r="AJ169" s="9">
        <f>(4*PI()*(AI169^2))/(Y169+E169)</f>
        <v>0.87769422369602679</v>
      </c>
      <c r="AK169" s="12">
        <f t="shared" si="26"/>
        <v>1.0925925925925926</v>
      </c>
      <c r="AL169" s="12" t="s">
        <v>140</v>
      </c>
      <c r="AM169" s="12" t="s">
        <v>143</v>
      </c>
      <c r="AN169" s="16">
        <v>5.3696999999999999</v>
      </c>
      <c r="AO169" s="16">
        <v>0.47393999999999997</v>
      </c>
      <c r="AP169" s="16">
        <v>3870.8</v>
      </c>
      <c r="AQ169" s="16">
        <v>3518.8</v>
      </c>
      <c r="AR169" s="16">
        <v>4.1428000000000003</v>
      </c>
      <c r="AS169" s="16">
        <v>2.8132000000000001E-2</v>
      </c>
      <c r="AT169" s="16">
        <v>0.69572999999999996</v>
      </c>
      <c r="AU169" s="16">
        <v>0.48154999999999998</v>
      </c>
      <c r="AV169" s="16">
        <v>0.17099</v>
      </c>
      <c r="AW169" s="16">
        <v>9.8078000000000002E-3</v>
      </c>
      <c r="AX169" s="16">
        <v>0.34714</v>
      </c>
      <c r="AY169" s="16">
        <v>11.359</v>
      </c>
      <c r="AZ169" s="16">
        <v>1181.4000000000001</v>
      </c>
      <c r="BA169" s="16">
        <v>0.12486</v>
      </c>
      <c r="BB169" s="16">
        <v>21.419</v>
      </c>
      <c r="BC169" s="16" t="s">
        <v>162</v>
      </c>
      <c r="BD169" s="34" t="s">
        <v>163</v>
      </c>
      <c r="BE169" t="s">
        <v>167</v>
      </c>
    </row>
    <row r="170" spans="1:57" x14ac:dyDescent="0.25">
      <c r="A170" s="15" t="s">
        <v>239</v>
      </c>
      <c r="B170" s="16" t="s">
        <v>5</v>
      </c>
      <c r="C170" s="16" t="s">
        <v>14</v>
      </c>
      <c r="D170" s="16">
        <v>40</v>
      </c>
      <c r="E170" s="16">
        <v>27.648</v>
      </c>
      <c r="F170" s="16">
        <v>19.059999999999999</v>
      </c>
      <c r="G170" s="15">
        <v>9.8800000000000008</v>
      </c>
      <c r="H170" s="15">
        <v>6.8</v>
      </c>
      <c r="I170" s="15">
        <v>3.25</v>
      </c>
      <c r="J170" s="15">
        <v>45.46</v>
      </c>
      <c r="K170" s="15">
        <v>4</v>
      </c>
      <c r="L170" s="15">
        <v>20.58</v>
      </c>
      <c r="M170" s="15">
        <v>9.75</v>
      </c>
      <c r="N170" s="15">
        <v>1</v>
      </c>
      <c r="O170" s="15">
        <v>2.93</v>
      </c>
      <c r="P170" s="9">
        <v>1.1478299999999999</v>
      </c>
      <c r="Q170" s="9">
        <v>1.67974</v>
      </c>
      <c r="R170" s="9">
        <v>1.49254E-2</v>
      </c>
      <c r="S170" s="9">
        <v>0.122935</v>
      </c>
      <c r="T170" s="9">
        <v>0.12768099999999999</v>
      </c>
      <c r="U170" s="9">
        <v>7.4879200000000003E-3</v>
      </c>
      <c r="V170" s="9">
        <v>9.9322700000000008</v>
      </c>
      <c r="W170" s="9">
        <v>5.9130000000000003</v>
      </c>
      <c r="X170" s="9">
        <v>6.7871300000000003</v>
      </c>
      <c r="Y170" s="9">
        <v>186.63900000000001</v>
      </c>
      <c r="Z170" s="9">
        <v>276.25099999999998</v>
      </c>
      <c r="AA170" s="9">
        <f t="shared" si="27"/>
        <v>1.8193846153846154</v>
      </c>
      <c r="AB170" s="9">
        <f t="shared" si="28"/>
        <v>3.04</v>
      </c>
      <c r="AC170" s="9">
        <f t="shared" si="29"/>
        <v>2.0923076923076924</v>
      </c>
      <c r="AD170" s="9">
        <f t="shared" si="30"/>
        <v>6.7505425347222223</v>
      </c>
      <c r="AE170" s="9">
        <f t="shared" si="31"/>
        <v>9.9917173032407405</v>
      </c>
      <c r="AF170" s="9">
        <f t="shared" si="32"/>
        <v>4.400139982549458</v>
      </c>
      <c r="AG170" s="9">
        <f t="shared" si="24"/>
        <v>2.9665858715380962</v>
      </c>
      <c r="AH170" s="9">
        <f t="shared" si="33"/>
        <v>0.97794379646037333</v>
      </c>
      <c r="AI170" s="9">
        <f t="shared" si="25"/>
        <v>4.0402206418911533</v>
      </c>
      <c r="AJ170" s="9">
        <f>(4*PI()*(AI170^2))/(Y170+E170)</f>
        <v>0.95724742232021431</v>
      </c>
      <c r="AK170" s="12">
        <f t="shared" si="26"/>
        <v>1.1092150170648463</v>
      </c>
      <c r="AL170" s="12" t="s">
        <v>144</v>
      </c>
      <c r="AM170" s="12" t="s">
        <v>143</v>
      </c>
      <c r="AN170" s="16">
        <v>2.4931000000000001</v>
      </c>
      <c r="AO170" s="16">
        <v>0.42068</v>
      </c>
      <c r="AP170" s="16">
        <v>2512.4</v>
      </c>
      <c r="AQ170" s="16">
        <v>2524.9</v>
      </c>
      <c r="AR170" s="16">
        <v>2.0367000000000002</v>
      </c>
      <c r="AS170" s="16">
        <v>9.7403999999999998E-3</v>
      </c>
      <c r="AT170" s="16">
        <v>0.7097</v>
      </c>
      <c r="AU170" s="16">
        <v>0.6321</v>
      </c>
      <c r="AV170" s="16">
        <v>0.11761000000000001</v>
      </c>
      <c r="AW170" s="16">
        <v>9.2999999999999992E-3</v>
      </c>
      <c r="AX170" s="16">
        <v>0.15717999999999999</v>
      </c>
      <c r="AY170" s="16">
        <v>1.0629999999999999</v>
      </c>
      <c r="AZ170" s="16">
        <v>41.402000000000001</v>
      </c>
      <c r="BA170" s="16">
        <v>0.12612999999999999</v>
      </c>
      <c r="BB170" s="16">
        <v>4.7912999999999997</v>
      </c>
      <c r="BC170" s="16" t="s">
        <v>162</v>
      </c>
      <c r="BD170" s="34" t="s">
        <v>163</v>
      </c>
      <c r="BE170" t="s">
        <v>167</v>
      </c>
    </row>
    <row r="171" spans="1:57" x14ac:dyDescent="0.25">
      <c r="A171" s="15" t="s">
        <v>240</v>
      </c>
      <c r="B171" s="18" t="s">
        <v>5</v>
      </c>
      <c r="C171" s="18" t="s">
        <v>6</v>
      </c>
      <c r="D171" s="18">
        <v>46</v>
      </c>
      <c r="E171" s="18">
        <v>14.736000000000001</v>
      </c>
      <c r="F171" s="18">
        <v>14.01</v>
      </c>
      <c r="G171" s="15">
        <v>6.6</v>
      </c>
      <c r="H171" s="15">
        <v>4.0999999999999996</v>
      </c>
      <c r="I171" s="15">
        <v>3.92</v>
      </c>
      <c r="J171" s="15">
        <v>83.11</v>
      </c>
      <c r="K171" s="15">
        <v>31.42</v>
      </c>
      <c r="L171" s="15">
        <v>28.56</v>
      </c>
      <c r="M171" s="15">
        <v>5.7</v>
      </c>
      <c r="N171" s="15">
        <v>2</v>
      </c>
      <c r="O171" s="15">
        <f>3.18+0.85</f>
        <v>4.03</v>
      </c>
      <c r="P171" s="9">
        <v>0.96124100000000001</v>
      </c>
      <c r="Q171" s="9">
        <v>1.43309</v>
      </c>
      <c r="R171" s="9">
        <v>-3.7499999999999999E-2</v>
      </c>
      <c r="S171" s="9">
        <v>0.12407</v>
      </c>
      <c r="T171" s="9">
        <v>0.170985</v>
      </c>
      <c r="U171" s="9">
        <v>9.7543199999999997E-2</v>
      </c>
      <c r="V171" s="9">
        <v>6.1035300000000001</v>
      </c>
      <c r="W171" s="9">
        <v>4.2589800000000002</v>
      </c>
      <c r="X171" s="9">
        <v>4.0939100000000002</v>
      </c>
      <c r="Y171" s="9">
        <v>65.567899999999995</v>
      </c>
      <c r="Z171" s="9">
        <v>53.292900000000003</v>
      </c>
      <c r="AA171" s="9">
        <f t="shared" si="27"/>
        <v>1.0864744897959184</v>
      </c>
      <c r="AB171" s="9">
        <f t="shared" si="28"/>
        <v>1.6836734693877551</v>
      </c>
      <c r="AC171" s="9">
        <f t="shared" si="29"/>
        <v>1.0459183673469388</v>
      </c>
      <c r="AD171" s="9">
        <f t="shared" si="30"/>
        <v>4.4495046145494026</v>
      </c>
      <c r="AE171" s="9">
        <f t="shared" si="31"/>
        <v>3.6165105863192184</v>
      </c>
      <c r="AF171" s="9">
        <f t="shared" si="32"/>
        <v>4.6299720786865395</v>
      </c>
      <c r="AG171" s="9">
        <f t="shared" si="24"/>
        <v>2.1657826490219048</v>
      </c>
      <c r="AH171" s="9">
        <f t="shared" si="33"/>
        <v>0.97130718907058644</v>
      </c>
      <c r="AI171" s="9">
        <f t="shared" si="25"/>
        <v>2.3344984043354677</v>
      </c>
      <c r="AJ171" s="9">
        <f>(4*PI()*(AI171^2))/(Y171+E171)</f>
        <v>0.85282591589787982</v>
      </c>
      <c r="AK171" s="12">
        <f t="shared" si="26"/>
        <v>0.97270471464019848</v>
      </c>
      <c r="AL171" s="12" t="s">
        <v>140</v>
      </c>
      <c r="AM171" s="12" t="s">
        <v>142</v>
      </c>
      <c r="AN171" s="23">
        <v>6.7256</v>
      </c>
      <c r="AO171" s="18">
        <v>0.66059999999999997</v>
      </c>
      <c r="AP171" s="18">
        <v>9188</v>
      </c>
      <c r="AQ171" s="18">
        <v>8788.7000000000007</v>
      </c>
      <c r="AR171" s="18">
        <v>2.9058999999999999</v>
      </c>
      <c r="AS171" s="18">
        <v>1.1247999999999999E-2</v>
      </c>
      <c r="AT171" s="18">
        <v>0.72975999999999996</v>
      </c>
      <c r="AU171" s="18">
        <v>0.67369000000000001</v>
      </c>
      <c r="AV171" s="18">
        <v>1.6598999999999999E-2</v>
      </c>
      <c r="AW171" s="18">
        <v>6.4703E-3</v>
      </c>
      <c r="AX171" s="18">
        <v>0.27442</v>
      </c>
      <c r="AY171" s="18">
        <v>3.5209999999999999</v>
      </c>
      <c r="AZ171" s="18">
        <v>437.64</v>
      </c>
      <c r="BA171" s="18">
        <v>3.5769000000000002E-2</v>
      </c>
      <c r="BB171" s="18">
        <v>7.8407</v>
      </c>
      <c r="BC171" s="18" t="s">
        <v>162</v>
      </c>
      <c r="BD171" s="35" t="s">
        <v>165</v>
      </c>
      <c r="BE171" t="s">
        <v>167</v>
      </c>
    </row>
    <row r="172" spans="1:57" x14ac:dyDescent="0.25">
      <c r="A172" s="12" t="s">
        <v>241</v>
      </c>
      <c r="B172" s="16" t="s">
        <v>13</v>
      </c>
      <c r="C172" s="16" t="s">
        <v>6</v>
      </c>
      <c r="D172" s="16">
        <v>67</v>
      </c>
      <c r="E172" s="16">
        <v>11.573</v>
      </c>
      <c r="F172" s="16">
        <v>12.996</v>
      </c>
      <c r="G172" s="15">
        <v>6.97</v>
      </c>
      <c r="H172" s="15">
        <v>4</v>
      </c>
      <c r="I172" s="15">
        <v>2.58</v>
      </c>
      <c r="J172" s="15">
        <v>36.46</v>
      </c>
      <c r="K172" s="15">
        <v>19.14</v>
      </c>
      <c r="L172" s="15">
        <v>22.29</v>
      </c>
      <c r="M172" s="15">
        <v>6.78</v>
      </c>
      <c r="N172" s="15">
        <v>2</v>
      </c>
      <c r="O172" s="15">
        <f>2.31+0.66</f>
        <v>2.97</v>
      </c>
      <c r="P172" s="9">
        <v>1.10087</v>
      </c>
      <c r="Q172" s="9">
        <v>1.4444999999999999</v>
      </c>
      <c r="R172" s="9">
        <v>0.31012699999999999</v>
      </c>
      <c r="S172" s="9">
        <v>0.15101600000000001</v>
      </c>
      <c r="T172" s="9">
        <v>0.18448100000000001</v>
      </c>
      <c r="U172" s="9">
        <v>6.9064399999999998E-2</v>
      </c>
      <c r="V172" s="9">
        <v>5.2788199999999996</v>
      </c>
      <c r="W172" s="9">
        <v>3.6544400000000001</v>
      </c>
      <c r="X172" s="9">
        <v>4.0230499999999996</v>
      </c>
      <c r="Y172" s="9">
        <v>63.527999999999999</v>
      </c>
      <c r="Z172" s="9">
        <v>49.589199999999998</v>
      </c>
      <c r="AA172" s="9">
        <f t="shared" si="27"/>
        <v>1.4164496124031007</v>
      </c>
      <c r="AB172" s="9">
        <f t="shared" si="28"/>
        <v>2.7015503875968991</v>
      </c>
      <c r="AC172" s="9">
        <f t="shared" si="29"/>
        <v>1.5503875968992247</v>
      </c>
      <c r="AD172" s="9">
        <f t="shared" si="30"/>
        <v>5.4893286096949794</v>
      </c>
      <c r="AE172" s="9">
        <f t="shared" si="31"/>
        <v>4.284904519139376</v>
      </c>
      <c r="AF172" s="9">
        <f t="shared" si="32"/>
        <v>4.7065980979600939</v>
      </c>
      <c r="AG172" s="9">
        <f t="shared" si="24"/>
        <v>1.9193228787270289</v>
      </c>
      <c r="AH172" s="9">
        <f t="shared" si="33"/>
        <v>0.92793638899286668</v>
      </c>
      <c r="AI172" s="9">
        <f t="shared" si="25"/>
        <v>2.2791146054308999</v>
      </c>
      <c r="AJ172" s="9">
        <f>(4*PI()*(AI172^2))/(Y172+E172)</f>
        <v>0.86915347861749026</v>
      </c>
      <c r="AK172" s="12">
        <f t="shared" si="26"/>
        <v>0.86868686868686862</v>
      </c>
      <c r="AL172" s="12" t="s">
        <v>140</v>
      </c>
      <c r="AM172" s="12" t="s">
        <v>142</v>
      </c>
      <c r="AN172" s="16">
        <v>1.6054999999999999</v>
      </c>
      <c r="AO172" s="16">
        <v>0.25305</v>
      </c>
      <c r="AP172" s="16">
        <v>3799.2</v>
      </c>
      <c r="AQ172" s="16">
        <v>3295.7</v>
      </c>
      <c r="AR172" s="16">
        <v>0.88851999999999998</v>
      </c>
      <c r="AS172" s="16">
        <v>1.465E-2</v>
      </c>
      <c r="AT172" s="16">
        <v>0.6956</v>
      </c>
      <c r="AU172" s="16">
        <v>2.2155</v>
      </c>
      <c r="AV172" s="16">
        <v>0.28327000000000002</v>
      </c>
      <c r="AW172" s="16">
        <v>1.5993E-2</v>
      </c>
      <c r="AX172" s="16">
        <v>8.2223000000000004E-2</v>
      </c>
      <c r="AY172" s="16">
        <v>-24.597000000000001</v>
      </c>
      <c r="AZ172" s="16">
        <v>-442.89</v>
      </c>
      <c r="BA172" s="16">
        <v>0.15501999999999999</v>
      </c>
      <c r="BB172" s="16">
        <v>11.227</v>
      </c>
      <c r="BC172" s="16" t="s">
        <v>162</v>
      </c>
      <c r="BD172" s="34" t="s">
        <v>163</v>
      </c>
      <c r="BE172" t="s">
        <v>168</v>
      </c>
    </row>
    <row r="173" spans="1:57" x14ac:dyDescent="0.25">
      <c r="A173" s="15" t="s">
        <v>242</v>
      </c>
      <c r="B173" s="18" t="s">
        <v>5</v>
      </c>
      <c r="C173" s="18" t="s">
        <v>6</v>
      </c>
      <c r="D173" s="18">
        <v>46</v>
      </c>
      <c r="E173" s="18">
        <v>23.614000000000001</v>
      </c>
      <c r="F173" s="18">
        <v>18.213000000000001</v>
      </c>
      <c r="G173" s="15">
        <v>11.32</v>
      </c>
      <c r="H173" s="15">
        <v>9</v>
      </c>
      <c r="I173" s="15">
        <v>2.84</v>
      </c>
      <c r="J173" s="15">
        <v>64.989999999999995</v>
      </c>
      <c r="K173" s="15">
        <v>45.1</v>
      </c>
      <c r="L173" s="15">
        <v>36.26</v>
      </c>
      <c r="M173" s="15">
        <v>7.6</v>
      </c>
      <c r="N173" s="15">
        <v>1</v>
      </c>
      <c r="O173" s="15">
        <v>2.38</v>
      </c>
      <c r="P173" s="9">
        <v>1.76952</v>
      </c>
      <c r="Q173" s="9">
        <v>1.8600300000000001</v>
      </c>
      <c r="R173" s="9">
        <v>0.114525</v>
      </c>
      <c r="S173" s="9">
        <v>0.175426</v>
      </c>
      <c r="T173" s="9">
        <v>0.188282</v>
      </c>
      <c r="U173" s="9">
        <v>2.9592199999999999E-2</v>
      </c>
      <c r="V173" s="9">
        <v>9.4679400000000005</v>
      </c>
      <c r="W173" s="9">
        <v>5.0902000000000003</v>
      </c>
      <c r="X173" s="9">
        <v>9.0072299999999998</v>
      </c>
      <c r="Y173" s="9">
        <v>222.858</v>
      </c>
      <c r="Z173" s="9">
        <v>323.548</v>
      </c>
      <c r="AA173" s="9">
        <f t="shared" si="27"/>
        <v>1.792323943661972</v>
      </c>
      <c r="AB173" s="9">
        <f t="shared" si="28"/>
        <v>3.9859154929577469</v>
      </c>
      <c r="AC173" s="9">
        <f t="shared" si="29"/>
        <v>3.1690140845070425</v>
      </c>
      <c r="AD173" s="9">
        <f t="shared" si="30"/>
        <v>9.4375370542898285</v>
      </c>
      <c r="AE173" s="9">
        <f t="shared" si="31"/>
        <v>13.701532988904887</v>
      </c>
      <c r="AF173" s="9">
        <f t="shared" si="32"/>
        <v>4.7286345268956342</v>
      </c>
      <c r="AG173" s="9">
        <f t="shared" si="24"/>
        <v>2.7416363092766396</v>
      </c>
      <c r="AH173" s="9">
        <f t="shared" si="33"/>
        <v>0.94581941339027342</v>
      </c>
      <c r="AI173" s="9">
        <f t="shared" si="25"/>
        <v>4.2587619980215798</v>
      </c>
      <c r="AJ173" s="9">
        <f>(4*PI()*(AI173^2))/(Y173+E173)</f>
        <v>0.92471736890132261</v>
      </c>
      <c r="AK173" s="12">
        <f t="shared" si="26"/>
        <v>1.1932773109243697</v>
      </c>
      <c r="AL173" s="12" t="s">
        <v>144</v>
      </c>
      <c r="AM173" s="12" t="s">
        <v>143</v>
      </c>
      <c r="AN173" s="18">
        <v>1.9853000000000001</v>
      </c>
      <c r="AO173" s="18">
        <v>0.16632</v>
      </c>
      <c r="AP173" s="18">
        <v>2142.6</v>
      </c>
      <c r="AQ173" s="18">
        <v>1824</v>
      </c>
      <c r="AR173" s="18">
        <v>1.246</v>
      </c>
      <c r="AS173" s="18">
        <v>2.0410999999999999E-2</v>
      </c>
      <c r="AT173" s="18">
        <v>0.70384999999999998</v>
      </c>
      <c r="AU173" s="18">
        <v>1.4843999999999999</v>
      </c>
      <c r="AV173" s="18">
        <v>0.58492</v>
      </c>
      <c r="AW173" s="18">
        <v>2.5042999999999999E-2</v>
      </c>
      <c r="AX173" s="18">
        <v>0.10224999999999999</v>
      </c>
      <c r="AY173" s="18">
        <v>-73.677999999999997</v>
      </c>
      <c r="AZ173" s="18">
        <v>-612.28</v>
      </c>
      <c r="BA173" s="18">
        <v>0.53574999999999995</v>
      </c>
      <c r="BB173" s="18">
        <v>19.678999999999998</v>
      </c>
      <c r="BC173" s="18" t="s">
        <v>162</v>
      </c>
      <c r="BD173" s="35" t="s">
        <v>163</v>
      </c>
      <c r="BE173" t="s">
        <v>167</v>
      </c>
    </row>
    <row r="174" spans="1:57" x14ac:dyDescent="0.25">
      <c r="A174" s="15" t="s">
        <v>243</v>
      </c>
      <c r="B174" s="16" t="s">
        <v>26</v>
      </c>
      <c r="C174" s="16" t="s">
        <v>6</v>
      </c>
      <c r="D174" s="16">
        <v>46</v>
      </c>
      <c r="E174" s="16">
        <v>16.891999999999999</v>
      </c>
      <c r="F174" s="16">
        <v>15.023999999999999</v>
      </c>
      <c r="G174" s="15">
        <v>6.95</v>
      </c>
      <c r="H174" s="15">
        <v>4.1500000000000004</v>
      </c>
      <c r="I174" s="15">
        <v>1.88</v>
      </c>
      <c r="J174" s="15">
        <v>124.28</v>
      </c>
      <c r="K174" s="15">
        <v>9.01</v>
      </c>
      <c r="L174" s="15">
        <v>66.510000000000005</v>
      </c>
      <c r="M174" s="15">
        <v>6.6</v>
      </c>
      <c r="N174" s="15">
        <v>2</v>
      </c>
      <c r="O174" s="15">
        <f>0.91+1.72</f>
        <v>2.63</v>
      </c>
      <c r="P174" s="9">
        <v>1.0095499999999999</v>
      </c>
      <c r="Q174" s="9">
        <v>1.6600900000000001</v>
      </c>
      <c r="R174" s="9">
        <v>-3.6585300000000001E-2</v>
      </c>
      <c r="S174" s="9">
        <v>0.127639</v>
      </c>
      <c r="T174" s="9">
        <v>0.14643600000000001</v>
      </c>
      <c r="U174" s="9">
        <v>4.9130300000000002E-2</v>
      </c>
      <c r="V174" s="9">
        <v>6.8389199999999999</v>
      </c>
      <c r="W174" s="9">
        <v>4.1196099999999998</v>
      </c>
      <c r="X174" s="9">
        <v>4.1589600000000004</v>
      </c>
      <c r="Y174" s="9">
        <v>74.255700000000004</v>
      </c>
      <c r="Z174" s="9">
        <v>67.1023</v>
      </c>
      <c r="AA174" s="9">
        <f t="shared" si="27"/>
        <v>2.1912819148936169</v>
      </c>
      <c r="AB174" s="9">
        <f t="shared" si="28"/>
        <v>3.6968085106382982</v>
      </c>
      <c r="AC174" s="9">
        <f t="shared" si="29"/>
        <v>2.2074468085106385</v>
      </c>
      <c r="AD174" s="9">
        <f t="shared" si="30"/>
        <v>4.3959093061804406</v>
      </c>
      <c r="AE174" s="9">
        <f t="shared" si="31"/>
        <v>3.9724307364432869</v>
      </c>
      <c r="AF174" s="9">
        <f t="shared" si="32"/>
        <v>4.4968133224571911</v>
      </c>
      <c r="AG174" s="9">
        <f t="shared" si="24"/>
        <v>2.3188123247508825</v>
      </c>
      <c r="AH174" s="9">
        <f t="shared" si="33"/>
        <v>0.96975023488962231</v>
      </c>
      <c r="AI174" s="9">
        <f t="shared" si="25"/>
        <v>2.5208650609267504</v>
      </c>
      <c r="AJ174" s="9">
        <f>(4*PI()*(AI174^2))/(Y174+E174)</f>
        <v>0.87611950231678737</v>
      </c>
      <c r="AK174" s="12">
        <f t="shared" si="26"/>
        <v>0.71482889733840305</v>
      </c>
      <c r="AL174" s="12" t="s">
        <v>140</v>
      </c>
      <c r="AM174" s="12" t="s">
        <v>142</v>
      </c>
      <c r="AN174" s="16">
        <v>3.6587999999999998</v>
      </c>
      <c r="AO174" s="16">
        <v>0.22452</v>
      </c>
      <c r="AP174" s="16">
        <v>4736.5</v>
      </c>
      <c r="AQ174" s="16">
        <v>4172.6000000000004</v>
      </c>
      <c r="AR174" s="16">
        <v>1.7765</v>
      </c>
      <c r="AS174" s="16">
        <v>3.0238999999999999E-2</v>
      </c>
      <c r="AT174" s="16">
        <v>0.66569999999999996</v>
      </c>
      <c r="AU174" s="16">
        <v>2.62</v>
      </c>
      <c r="AV174" s="16">
        <v>0.50248000000000004</v>
      </c>
      <c r="AW174" s="16">
        <v>2.0322E-2</v>
      </c>
      <c r="AX174" s="16">
        <v>0.12345</v>
      </c>
      <c r="AY174" s="16">
        <v>-11.051</v>
      </c>
      <c r="AZ174" s="16">
        <v>-355.73</v>
      </c>
      <c r="BA174" s="16">
        <v>0.10052999999999999</v>
      </c>
      <c r="BB174" s="16">
        <v>17.343</v>
      </c>
      <c r="BC174" s="16" t="s">
        <v>162</v>
      </c>
      <c r="BD174" s="34" t="s">
        <v>163</v>
      </c>
      <c r="BE174" t="s">
        <v>167</v>
      </c>
    </row>
    <row r="175" spans="1:57" x14ac:dyDescent="0.25">
      <c r="A175" s="15" t="s">
        <v>244</v>
      </c>
      <c r="B175" s="16" t="s">
        <v>5</v>
      </c>
      <c r="C175" s="16" t="s">
        <v>6</v>
      </c>
      <c r="D175" s="16">
        <v>87</v>
      </c>
      <c r="E175" s="16">
        <v>100.14</v>
      </c>
      <c r="F175" s="16">
        <v>38.93</v>
      </c>
      <c r="G175" s="15">
        <v>16.73</v>
      </c>
      <c r="H175" s="15">
        <v>12</v>
      </c>
      <c r="I175" s="15">
        <v>3.97</v>
      </c>
      <c r="J175" s="15">
        <v>99.85</v>
      </c>
      <c r="K175" s="15">
        <v>22.06</v>
      </c>
      <c r="L175" s="15">
        <v>55.77</v>
      </c>
      <c r="M175" s="15">
        <v>14.8</v>
      </c>
      <c r="N175" s="15">
        <v>1</v>
      </c>
      <c r="O175" s="15">
        <v>4.34</v>
      </c>
      <c r="P175" s="9">
        <v>0.99800699999999998</v>
      </c>
      <c r="Q175" s="9">
        <v>1.4422600000000001</v>
      </c>
      <c r="R175" s="9">
        <v>0.33902399999999999</v>
      </c>
      <c r="S175" s="9">
        <v>9.8518999999999995E-2</v>
      </c>
      <c r="T175" s="9">
        <v>0.12039</v>
      </c>
      <c r="U175" s="9">
        <v>4.1935500000000001E-2</v>
      </c>
      <c r="V175" s="9">
        <v>14.9337</v>
      </c>
      <c r="W175" s="9">
        <v>10.3544</v>
      </c>
      <c r="X175" s="9">
        <v>10.3337</v>
      </c>
      <c r="Y175" s="9">
        <v>417.75799999999998</v>
      </c>
      <c r="Z175" s="9">
        <v>936.72299999999996</v>
      </c>
      <c r="AA175" s="9">
        <f t="shared" si="27"/>
        <v>2.60816120906801</v>
      </c>
      <c r="AB175" s="9">
        <f t="shared" si="28"/>
        <v>4.2141057934508819</v>
      </c>
      <c r="AC175" s="9">
        <f t="shared" si="29"/>
        <v>3.0226700251889169</v>
      </c>
      <c r="AD175" s="9">
        <f t="shared" si="30"/>
        <v>4.1717395646095463</v>
      </c>
      <c r="AE175" s="9">
        <f t="shared" si="31"/>
        <v>9.3541342121030553</v>
      </c>
      <c r="AF175" s="9">
        <f t="shared" si="32"/>
        <v>4.363657468816581</v>
      </c>
      <c r="AG175" s="9">
        <f t="shared" si="24"/>
        <v>5.6458437812646567</v>
      </c>
      <c r="AH175" s="9">
        <f t="shared" si="33"/>
        <v>0.91122226285829255</v>
      </c>
      <c r="AI175" s="9">
        <f t="shared" si="25"/>
        <v>6.0697973477013552</v>
      </c>
      <c r="AJ175" s="9">
        <f>(4*PI()*(AI175^2))/(Y175+E175)</f>
        <v>0.89395161478485186</v>
      </c>
      <c r="AK175" s="12">
        <f t="shared" si="26"/>
        <v>0.91474654377880193</v>
      </c>
      <c r="AL175" s="12" t="s">
        <v>140</v>
      </c>
      <c r="AM175" s="12" t="s">
        <v>143</v>
      </c>
      <c r="AN175" s="16">
        <v>3.2431000000000001</v>
      </c>
      <c r="AO175" s="16">
        <v>0.29275000000000001</v>
      </c>
      <c r="AP175" s="16">
        <v>2783.3</v>
      </c>
      <c r="AQ175" s="16">
        <v>2571.1999999999998</v>
      </c>
      <c r="AR175" s="16">
        <v>2.4706000000000001</v>
      </c>
      <c r="AS175" s="16">
        <v>5.1340999999999998E-2</v>
      </c>
      <c r="AT175" s="16">
        <v>0.62046000000000001</v>
      </c>
      <c r="AU175" s="16">
        <v>0.69508000000000003</v>
      </c>
      <c r="AV175" s="16">
        <v>0.26917999999999997</v>
      </c>
      <c r="AW175" s="16">
        <v>3.2529000000000002E-2</v>
      </c>
      <c r="AX175" s="16">
        <v>0.20165</v>
      </c>
      <c r="AY175" s="16">
        <v>-32.093000000000004</v>
      </c>
      <c r="AZ175" s="16">
        <v>-3671.4</v>
      </c>
      <c r="BA175" s="16">
        <v>0.13716</v>
      </c>
      <c r="BB175" s="16">
        <v>11.722</v>
      </c>
      <c r="BC175" s="16" t="s">
        <v>162</v>
      </c>
      <c r="BD175" s="34" t="s">
        <v>163</v>
      </c>
      <c r="BE175" t="s">
        <v>167</v>
      </c>
    </row>
    <row r="176" spans="1:57" x14ac:dyDescent="0.25">
      <c r="A176" s="15" t="s">
        <v>245</v>
      </c>
      <c r="B176" s="16" t="s">
        <v>5</v>
      </c>
      <c r="C176" s="16" t="s">
        <v>6</v>
      </c>
      <c r="D176" s="16">
        <v>87</v>
      </c>
      <c r="E176" s="16">
        <v>8.3778000000000006</v>
      </c>
      <c r="F176" s="16">
        <v>10.545</v>
      </c>
      <c r="G176" s="15">
        <v>6.22</v>
      </c>
      <c r="H176" s="15">
        <v>3.7</v>
      </c>
      <c r="I176" s="15">
        <v>2.89</v>
      </c>
      <c r="J176" s="15">
        <v>41.89</v>
      </c>
      <c r="K176" s="15">
        <v>27.88</v>
      </c>
      <c r="L176" s="15">
        <v>61.89</v>
      </c>
      <c r="M176" s="15">
        <v>4.9000000000000004</v>
      </c>
      <c r="N176" s="15">
        <v>2</v>
      </c>
      <c r="O176" s="15">
        <f>2.57+1.71</f>
        <v>4.2799999999999994</v>
      </c>
      <c r="P176" s="9">
        <v>1.1525300000000001</v>
      </c>
      <c r="Q176" s="9">
        <v>1.5626199999999999</v>
      </c>
      <c r="R176" s="9">
        <v>1.3888899999999999E-2</v>
      </c>
      <c r="S176" s="9">
        <v>0.15387999999999999</v>
      </c>
      <c r="T176" s="9">
        <v>0.16699800000000001</v>
      </c>
      <c r="U176" s="9">
        <v>3.4292299999999998E-2</v>
      </c>
      <c r="V176" s="9">
        <v>4.9768800000000004</v>
      </c>
      <c r="W176" s="9">
        <v>3.1849599999999998</v>
      </c>
      <c r="X176" s="9">
        <v>3.6707700000000001</v>
      </c>
      <c r="Y176" s="9">
        <v>56.641399999999997</v>
      </c>
      <c r="Z176" s="9">
        <v>43.098199999999999</v>
      </c>
      <c r="AA176" s="9">
        <f t="shared" si="27"/>
        <v>1.1020622837370242</v>
      </c>
      <c r="AB176" s="9">
        <f t="shared" si="28"/>
        <v>2.1522491349480966</v>
      </c>
      <c r="AC176" s="9">
        <f t="shared" si="29"/>
        <v>1.2802768166089966</v>
      </c>
      <c r="AD176" s="9">
        <f t="shared" si="30"/>
        <v>6.760891880923392</v>
      </c>
      <c r="AE176" s="9">
        <f t="shared" si="31"/>
        <v>5.144333834658263</v>
      </c>
      <c r="AF176" s="9">
        <f t="shared" si="32"/>
        <v>4.6078099451293788</v>
      </c>
      <c r="AG176" s="9">
        <f t="shared" si="24"/>
        <v>1.6330145634594204</v>
      </c>
      <c r="AH176" s="9">
        <f t="shared" si="33"/>
        <v>0.97302352883248133</v>
      </c>
      <c r="AI176" s="9">
        <f t="shared" si="25"/>
        <v>2.1749878787394898</v>
      </c>
      <c r="AJ176" s="9">
        <f>(4*PI()*(AI176^2))/(Y176+E176)</f>
        <v>0.91428569401505211</v>
      </c>
      <c r="AK176" s="12">
        <f t="shared" si="26"/>
        <v>0.67523364485981319</v>
      </c>
      <c r="AL176" s="12" t="s">
        <v>140</v>
      </c>
      <c r="AM176" s="12" t="s">
        <v>142</v>
      </c>
      <c r="AN176" s="16">
        <v>3.6261000000000001</v>
      </c>
      <c r="AO176" s="16">
        <v>0.42476999999999998</v>
      </c>
      <c r="AP176" s="16">
        <v>5754.9</v>
      </c>
      <c r="AQ176" s="16">
        <v>5669.2</v>
      </c>
      <c r="AR176" s="16">
        <v>1.6485000000000001</v>
      </c>
      <c r="AS176" s="16">
        <v>1.8838000000000001E-2</v>
      </c>
      <c r="AT176" s="16">
        <v>0.70726</v>
      </c>
      <c r="AU176" s="16">
        <v>1.1767000000000001</v>
      </c>
      <c r="AV176" s="16">
        <v>0.11309</v>
      </c>
      <c r="AW176" s="16">
        <v>1.3809999999999999E-2</v>
      </c>
      <c r="AX176" s="16">
        <v>0.15673000000000001</v>
      </c>
      <c r="AY176" s="16">
        <v>-12.920999999999999</v>
      </c>
      <c r="AZ176" s="16">
        <v>-704.46</v>
      </c>
      <c r="BA176" s="16">
        <v>0.14047000000000001</v>
      </c>
      <c r="BB176" s="16">
        <v>6.3765000000000001</v>
      </c>
      <c r="BC176" s="16" t="s">
        <v>162</v>
      </c>
      <c r="BD176" s="34" t="s">
        <v>165</v>
      </c>
      <c r="BE176" t="s">
        <v>167</v>
      </c>
    </row>
    <row r="177" spans="1:57" x14ac:dyDescent="0.25">
      <c r="A177" s="15" t="s">
        <v>246</v>
      </c>
      <c r="B177" s="16" t="s">
        <v>5</v>
      </c>
      <c r="C177" s="16" t="s">
        <v>6</v>
      </c>
      <c r="D177" s="16">
        <v>39</v>
      </c>
      <c r="E177" s="16">
        <v>62.445</v>
      </c>
      <c r="F177" s="16">
        <v>29.672999999999998</v>
      </c>
      <c r="G177" s="15">
        <v>13.6</v>
      </c>
      <c r="H177" s="15">
        <v>8.3000000000000007</v>
      </c>
      <c r="I177" s="15">
        <v>4.0599999999999996</v>
      </c>
      <c r="J177" s="15">
        <v>83.54</v>
      </c>
      <c r="K177" s="15">
        <v>11.59</v>
      </c>
      <c r="L177" s="15">
        <v>38.26</v>
      </c>
      <c r="M177" s="15">
        <v>9.9</v>
      </c>
      <c r="N177" s="15">
        <v>2</v>
      </c>
      <c r="O177" s="15">
        <f>2.59+0.83</f>
        <v>3.42</v>
      </c>
      <c r="P177" s="9">
        <v>0.97575699999999999</v>
      </c>
      <c r="Q177" s="9">
        <v>1.5847500000000001</v>
      </c>
      <c r="R177" s="9">
        <v>0.22121199999999999</v>
      </c>
      <c r="S177" s="9">
        <v>0.112965</v>
      </c>
      <c r="T177" s="9">
        <v>0.127001</v>
      </c>
      <c r="U177" s="9">
        <v>1.9029500000000001E-2</v>
      </c>
      <c r="V177" s="9">
        <v>13.507899999999999</v>
      </c>
      <c r="W177" s="9">
        <v>8.5237099999999995</v>
      </c>
      <c r="X177" s="9">
        <v>8.3170699999999993</v>
      </c>
      <c r="Y177" s="9">
        <v>280.71699999999998</v>
      </c>
      <c r="Z177" s="9">
        <v>510.16699999999997</v>
      </c>
      <c r="AA177" s="9">
        <f t="shared" si="27"/>
        <v>2.099435960591133</v>
      </c>
      <c r="AB177" s="9">
        <f t="shared" si="28"/>
        <v>3.3497536945812811</v>
      </c>
      <c r="AC177" s="9">
        <f t="shared" si="29"/>
        <v>2.0443349753694586</v>
      </c>
      <c r="AD177" s="9">
        <f t="shared" si="30"/>
        <v>4.4954279766194247</v>
      </c>
      <c r="AE177" s="9">
        <f t="shared" si="31"/>
        <v>8.1698614781007279</v>
      </c>
      <c r="AF177" s="9">
        <f t="shared" si="32"/>
        <v>4.3967030900607265</v>
      </c>
      <c r="AG177" s="9">
        <f t="shared" si="24"/>
        <v>4.4583473219060457</v>
      </c>
      <c r="AH177" s="9">
        <f t="shared" si="33"/>
        <v>0.94404416093093135</v>
      </c>
      <c r="AI177" s="9">
        <f t="shared" si="25"/>
        <v>4.9568744369500379</v>
      </c>
      <c r="AJ177" s="9">
        <f>(4*PI()*(AI177^2))/(Y177+E177)</f>
        <v>0.89975964235829409</v>
      </c>
      <c r="AK177" s="12">
        <f t="shared" si="26"/>
        <v>1.1871345029239766</v>
      </c>
      <c r="AL177" s="12" t="s">
        <v>144</v>
      </c>
      <c r="AM177" s="12" t="s">
        <v>142</v>
      </c>
      <c r="AN177" s="16">
        <v>4.3117999999999999</v>
      </c>
      <c r="AO177" s="16">
        <v>0.44564999999999999</v>
      </c>
      <c r="AP177" s="16">
        <v>3729.1</v>
      </c>
      <c r="AQ177" s="16">
        <v>3639.7</v>
      </c>
      <c r="AR177" s="16">
        <v>2.7048000000000001</v>
      </c>
      <c r="AS177" s="16">
        <v>1.1480000000000001E-2</v>
      </c>
      <c r="AT177" s="16">
        <v>0.72951999999999995</v>
      </c>
      <c r="AU177" s="16">
        <v>0.57176000000000005</v>
      </c>
      <c r="AV177" s="16">
        <v>9.2521999999999993E-2</v>
      </c>
      <c r="AW177" s="16">
        <v>8.7465000000000008E-3</v>
      </c>
      <c r="AX177" s="16">
        <v>0.24293999999999999</v>
      </c>
      <c r="AY177" s="16">
        <v>-24.951000000000001</v>
      </c>
      <c r="AZ177" s="16">
        <v>-1778.5</v>
      </c>
      <c r="BA177" s="16">
        <v>0.16467000000000001</v>
      </c>
      <c r="BB177" s="16">
        <v>13.616</v>
      </c>
      <c r="BC177" s="16" t="s">
        <v>162</v>
      </c>
      <c r="BD177" s="34" t="s">
        <v>165</v>
      </c>
      <c r="BE177" t="s">
        <v>167</v>
      </c>
    </row>
    <row r="178" spans="1:57" x14ac:dyDescent="0.25">
      <c r="A178" s="15" t="s">
        <v>247</v>
      </c>
      <c r="B178" s="18" t="s">
        <v>5</v>
      </c>
      <c r="C178" s="18" t="s">
        <v>6</v>
      </c>
      <c r="D178" s="18">
        <v>29</v>
      </c>
      <c r="E178" s="18">
        <v>12.194000000000001</v>
      </c>
      <c r="F178" s="18">
        <v>13.27</v>
      </c>
      <c r="G178" s="15">
        <v>11.37</v>
      </c>
      <c r="H178" s="15">
        <v>8.6</v>
      </c>
      <c r="I178" s="15">
        <v>2.1800000000000002</v>
      </c>
      <c r="J178" s="15">
        <f>180-79.19</f>
        <v>100.81</v>
      </c>
      <c r="K178" s="15">
        <v>30.48</v>
      </c>
      <c r="L178" s="15">
        <v>45.56</v>
      </c>
      <c r="M178" s="15">
        <v>8.6999999999999993</v>
      </c>
      <c r="N178" s="15">
        <v>1</v>
      </c>
      <c r="O178" s="15">
        <v>3.96</v>
      </c>
      <c r="P178" s="9">
        <v>2.3629199999999999</v>
      </c>
      <c r="Q178" s="9">
        <v>2.81541</v>
      </c>
      <c r="R178" s="9">
        <v>0.14912300000000001</v>
      </c>
      <c r="S178" s="9">
        <v>0.215672</v>
      </c>
      <c r="T178" s="9">
        <v>0.24316099999999999</v>
      </c>
      <c r="U178" s="9">
        <v>6.4005500000000007E-2</v>
      </c>
      <c r="V178" s="9">
        <v>10.256500000000001</v>
      </c>
      <c r="W178" s="9">
        <v>3.6429800000000001</v>
      </c>
      <c r="X178" s="9">
        <v>8.6080900000000007</v>
      </c>
      <c r="Y178" s="9">
        <v>232.625</v>
      </c>
      <c r="Z178" s="9">
        <v>310.65499999999997</v>
      </c>
      <c r="AA178" s="9">
        <f t="shared" si="27"/>
        <v>1.671091743119266</v>
      </c>
      <c r="AB178" s="9">
        <f t="shared" si="28"/>
        <v>5.2155963302752282</v>
      </c>
      <c r="AC178" s="9">
        <f t="shared" si="29"/>
        <v>3.9449541284403664</v>
      </c>
      <c r="AD178" s="9">
        <f t="shared" si="30"/>
        <v>19.077005084467771</v>
      </c>
      <c r="AE178" s="9">
        <f t="shared" si="31"/>
        <v>25.476053796949316</v>
      </c>
      <c r="AF178" s="9">
        <f t="shared" si="32"/>
        <v>5.0715123509043858</v>
      </c>
      <c r="AG178" s="9">
        <f t="shared" si="24"/>
        <v>1.9701448556197951</v>
      </c>
      <c r="AH178" s="9">
        <f t="shared" si="33"/>
        <v>0.9328398801692348</v>
      </c>
      <c r="AI178" s="9">
        <f t="shared" si="25"/>
        <v>4.2014246540622384</v>
      </c>
      <c r="AJ178" s="9">
        <f>(4*PI()*(AI178^2))/(Y178+E178)</f>
        <v>0.90606197265089006</v>
      </c>
      <c r="AK178" s="12">
        <f t="shared" si="26"/>
        <v>0.5505050505050505</v>
      </c>
      <c r="AL178" s="12" t="s">
        <v>140</v>
      </c>
      <c r="AM178" s="12" t="s">
        <v>143</v>
      </c>
      <c r="AN178" s="18">
        <v>1.8365</v>
      </c>
      <c r="AO178" s="18">
        <v>0.20638000000000001</v>
      </c>
      <c r="AP178" s="18">
        <v>2939.8</v>
      </c>
      <c r="AQ178" s="18">
        <v>2531.5</v>
      </c>
      <c r="AR178" s="18">
        <v>0.97101999999999999</v>
      </c>
      <c r="AS178" s="18">
        <v>3.049E-2</v>
      </c>
      <c r="AT178" s="18">
        <v>0.69262000000000001</v>
      </c>
      <c r="AU178" s="18">
        <v>3.8561999999999999</v>
      </c>
      <c r="AV178" s="18">
        <v>0.67415999999999998</v>
      </c>
      <c r="AW178" s="18">
        <v>2.3081999999999998E-2</v>
      </c>
      <c r="AX178" s="18">
        <v>7.2449E-2</v>
      </c>
      <c r="AY178" s="18">
        <v>-52.213999999999999</v>
      </c>
      <c r="AZ178" s="18">
        <v>-292.74</v>
      </c>
      <c r="BA178" s="18">
        <v>1.0105999999999999</v>
      </c>
      <c r="BB178" s="18">
        <v>32.875999999999998</v>
      </c>
      <c r="BC178" s="18" t="s">
        <v>162</v>
      </c>
      <c r="BD178" s="35" t="s">
        <v>163</v>
      </c>
      <c r="BE178" t="s">
        <v>167</v>
      </c>
    </row>
    <row r="179" spans="1:57" x14ac:dyDescent="0.25">
      <c r="A179" s="15" t="s">
        <v>248</v>
      </c>
      <c r="B179" s="16" t="s">
        <v>26</v>
      </c>
      <c r="C179" s="16" t="s">
        <v>14</v>
      </c>
      <c r="D179" s="16">
        <v>42</v>
      </c>
      <c r="E179" s="16">
        <v>25.097000000000001</v>
      </c>
      <c r="F179" s="16">
        <v>18.132999999999999</v>
      </c>
      <c r="G179" s="15">
        <v>6.7</v>
      </c>
      <c r="H179" s="15">
        <v>4.4000000000000004</v>
      </c>
      <c r="I179" s="15">
        <v>2</v>
      </c>
      <c r="J179" s="15">
        <v>56.41</v>
      </c>
      <c r="K179" s="15">
        <v>7.72</v>
      </c>
      <c r="L179" s="15">
        <v>54.45</v>
      </c>
      <c r="M179" s="15">
        <v>6.3</v>
      </c>
      <c r="N179" s="15">
        <v>2</v>
      </c>
      <c r="O179" s="15">
        <f>2.77+1.28</f>
        <v>4.05</v>
      </c>
      <c r="P179" s="9">
        <v>0.78430699999999998</v>
      </c>
      <c r="Q179" s="9">
        <v>1.21218</v>
      </c>
      <c r="R179" s="9">
        <v>0.30232599999999998</v>
      </c>
      <c r="S179" s="9">
        <v>4.7314700000000001E-2</v>
      </c>
      <c r="T179" s="9">
        <v>5.2977400000000001E-2</v>
      </c>
      <c r="U179" s="9">
        <v>1.0998900000000001E-2</v>
      </c>
      <c r="V179" s="9">
        <v>6.7383499999999996</v>
      </c>
      <c r="W179" s="9">
        <v>5.5588699999999998</v>
      </c>
      <c r="X179" s="9">
        <v>4.3598600000000003</v>
      </c>
      <c r="Y179" s="9">
        <v>74.5976</v>
      </c>
      <c r="Z179" s="9">
        <v>78.961699999999993</v>
      </c>
      <c r="AA179" s="9">
        <f t="shared" si="27"/>
        <v>2.7794349999999999</v>
      </c>
      <c r="AB179" s="9">
        <f t="shared" si="28"/>
        <v>3.35</v>
      </c>
      <c r="AC179" s="9">
        <f t="shared" si="29"/>
        <v>2.2000000000000002</v>
      </c>
      <c r="AD179" s="9">
        <f t="shared" si="30"/>
        <v>2.9723711997449893</v>
      </c>
      <c r="AE179" s="9">
        <f t="shared" si="31"/>
        <v>3.1462605092242097</v>
      </c>
      <c r="AF179" s="9">
        <f t="shared" si="32"/>
        <v>4.0530366295971616</v>
      </c>
      <c r="AG179" s="9">
        <f t="shared" si="24"/>
        <v>2.8264152585129092</v>
      </c>
      <c r="AH179" s="9">
        <f t="shared" si="33"/>
        <v>0.97936860002627824</v>
      </c>
      <c r="AI179" s="9">
        <f t="shared" si="25"/>
        <v>2.6613947358432259</v>
      </c>
      <c r="AJ179" s="9">
        <f>(4*PI()*(AI179^2))/(Y179+E179)</f>
        <v>0.89280541541217873</v>
      </c>
      <c r="AK179" s="12">
        <f t="shared" si="26"/>
        <v>0.49382716049382719</v>
      </c>
      <c r="AL179" s="12" t="s">
        <v>144</v>
      </c>
      <c r="AM179" s="12" t="s">
        <v>142</v>
      </c>
      <c r="AN179" s="16">
        <v>6.3696000000000002</v>
      </c>
      <c r="AO179" s="16">
        <v>0.64215999999999995</v>
      </c>
      <c r="AP179" s="16">
        <v>7835.6</v>
      </c>
      <c r="AQ179" s="16">
        <v>7579.8</v>
      </c>
      <c r="AR179" s="16">
        <v>3.2917000000000001</v>
      </c>
      <c r="AS179" s="16">
        <v>1.2109999999999999E-2</v>
      </c>
      <c r="AT179" s="16">
        <v>0.72209000000000001</v>
      </c>
      <c r="AU179" s="16">
        <v>0.54878000000000005</v>
      </c>
      <c r="AV179" s="16">
        <v>1.3027E-2</v>
      </c>
      <c r="AW179" s="16">
        <v>1.5188E-2</v>
      </c>
      <c r="AX179" s="16">
        <v>0.22078999999999999</v>
      </c>
      <c r="AY179" s="16">
        <v>-18.292000000000002</v>
      </c>
      <c r="AZ179" s="16">
        <v>-2378.5</v>
      </c>
      <c r="BA179" s="16">
        <v>7.4711E-2</v>
      </c>
      <c r="BB179" s="16">
        <v>21.431000000000001</v>
      </c>
      <c r="BC179" s="16" t="s">
        <v>162</v>
      </c>
      <c r="BD179" s="34" t="s">
        <v>163</v>
      </c>
      <c r="BE179" t="s">
        <v>167</v>
      </c>
    </row>
    <row r="180" spans="1:57" x14ac:dyDescent="0.25">
      <c r="A180" s="15" t="s">
        <v>249</v>
      </c>
      <c r="B180" s="16" t="s">
        <v>26</v>
      </c>
      <c r="C180" s="16" t="s">
        <v>14</v>
      </c>
      <c r="D180" s="16">
        <v>42</v>
      </c>
      <c r="E180" s="16">
        <v>9.7911000000000001</v>
      </c>
      <c r="F180" s="16">
        <v>11.417999999999999</v>
      </c>
      <c r="G180" s="15">
        <v>4.13</v>
      </c>
      <c r="H180" s="15">
        <v>2.7</v>
      </c>
      <c r="I180" s="15">
        <v>1.72</v>
      </c>
      <c r="J180" s="15">
        <v>72.39</v>
      </c>
      <c r="K180" s="15">
        <v>19.39</v>
      </c>
      <c r="L180" s="15">
        <v>81.33</v>
      </c>
      <c r="M180" s="15">
        <v>3.4</v>
      </c>
      <c r="N180" s="15">
        <v>2</v>
      </c>
      <c r="O180" s="15">
        <f>1.77+1.33</f>
        <v>3.1</v>
      </c>
      <c r="P180" s="9">
        <v>0.78479500000000002</v>
      </c>
      <c r="Q180" s="9">
        <v>1.18828</v>
      </c>
      <c r="R180" s="9">
        <v>0.42452800000000002</v>
      </c>
      <c r="S180" s="9">
        <v>4.5568600000000001E-2</v>
      </c>
      <c r="T180" s="9">
        <v>4.93923E-2</v>
      </c>
      <c r="U180" s="9">
        <v>-2.88908E-3</v>
      </c>
      <c r="V180" s="9">
        <v>4.1029299999999997</v>
      </c>
      <c r="W180" s="9">
        <v>3.4528300000000001</v>
      </c>
      <c r="X180" s="9">
        <v>2.7097600000000002</v>
      </c>
      <c r="Y180" s="9">
        <v>29.183299999999999</v>
      </c>
      <c r="Z180" s="9">
        <v>19.430800000000001</v>
      </c>
      <c r="AA180" s="9">
        <f t="shared" si="27"/>
        <v>2.0074593023255813</v>
      </c>
      <c r="AB180" s="9">
        <f t="shared" si="28"/>
        <v>2.4011627906976742</v>
      </c>
      <c r="AC180" s="9">
        <f t="shared" si="29"/>
        <v>1.5697674418604652</v>
      </c>
      <c r="AD180" s="9">
        <f t="shared" si="30"/>
        <v>2.9805946216461887</v>
      </c>
      <c r="AE180" s="9">
        <f t="shared" si="31"/>
        <v>1.9845369774591211</v>
      </c>
      <c r="AF180" s="9">
        <f t="shared" si="32"/>
        <v>4.037761027375085</v>
      </c>
      <c r="AG180" s="9">
        <f t="shared" si="24"/>
        <v>1.7653905875511269</v>
      </c>
      <c r="AH180" s="9">
        <f t="shared" si="33"/>
        <v>0.9714727799206847</v>
      </c>
      <c r="AI180" s="9">
        <f t="shared" si="25"/>
        <v>1.6677618076346543</v>
      </c>
      <c r="AJ180" s="9">
        <f>(4*PI()*(AI180^2))/(Y180+E180)</f>
        <v>0.89680593591574265</v>
      </c>
      <c r="AK180" s="12">
        <f t="shared" si="26"/>
        <v>0.55483870967741933</v>
      </c>
      <c r="AL180" s="12" t="s">
        <v>144</v>
      </c>
      <c r="AM180" s="12" t="s">
        <v>142</v>
      </c>
      <c r="AN180" s="16">
        <v>5.6079999999999997</v>
      </c>
      <c r="AO180" s="16">
        <v>0.64288999999999996</v>
      </c>
      <c r="AP180" s="16">
        <v>7915.1</v>
      </c>
      <c r="AQ180" s="16">
        <v>7623.1</v>
      </c>
      <c r="AR180" s="16">
        <v>2.5541999999999998</v>
      </c>
      <c r="AS180" s="16">
        <v>6.3676999999999996E-3</v>
      </c>
      <c r="AT180" s="16">
        <v>0.77590999999999999</v>
      </c>
      <c r="AU180" s="16">
        <v>0.65754999999999997</v>
      </c>
      <c r="AV180" s="16">
        <v>3.0062999999999999E-3</v>
      </c>
      <c r="AW180" s="16">
        <v>8.6923E-3</v>
      </c>
      <c r="AX180" s="16">
        <v>0.16270000000000001</v>
      </c>
      <c r="AY180" s="16">
        <v>-14.074</v>
      </c>
      <c r="AZ180" s="16">
        <v>-631.38</v>
      </c>
      <c r="BA180" s="16">
        <v>7.2168999999999997E-2</v>
      </c>
      <c r="BB180" s="16">
        <v>77.972999999999999</v>
      </c>
      <c r="BC180" s="16" t="s">
        <v>162</v>
      </c>
      <c r="BD180" s="34" t="s">
        <v>163</v>
      </c>
      <c r="BE180" t="s">
        <v>167</v>
      </c>
    </row>
    <row r="181" spans="1:57" x14ac:dyDescent="0.25">
      <c r="A181" s="15" t="s">
        <v>250</v>
      </c>
      <c r="B181" s="16" t="s">
        <v>26</v>
      </c>
      <c r="C181" s="16" t="s">
        <v>14</v>
      </c>
      <c r="D181" s="16">
        <v>42</v>
      </c>
      <c r="E181" s="16">
        <v>22.43</v>
      </c>
      <c r="F181" s="16">
        <v>17.114999999999998</v>
      </c>
      <c r="G181" s="15">
        <v>5.99</v>
      </c>
      <c r="H181" s="15">
        <v>3.9</v>
      </c>
      <c r="I181" s="15">
        <v>2.31</v>
      </c>
      <c r="J181" s="15">
        <v>44.02</v>
      </c>
      <c r="K181" s="15">
        <v>30.88</v>
      </c>
      <c r="L181" s="15">
        <v>78.12</v>
      </c>
      <c r="M181" s="15">
        <v>5.5</v>
      </c>
      <c r="N181" s="15">
        <v>2</v>
      </c>
      <c r="O181" s="15">
        <f>1.75+0.73</f>
        <v>2.48</v>
      </c>
      <c r="P181" s="9">
        <v>0.75624800000000003</v>
      </c>
      <c r="Q181" s="9">
        <v>1.1556200000000001</v>
      </c>
      <c r="R181" s="9">
        <v>0.17948700000000001</v>
      </c>
      <c r="S181" s="9">
        <v>4.4237499999999999E-2</v>
      </c>
      <c r="T181" s="9">
        <v>4.7490900000000003E-2</v>
      </c>
      <c r="U181" s="9">
        <v>1.9509799999999999E-3</v>
      </c>
      <c r="V181" s="9">
        <v>6.0912800000000002</v>
      </c>
      <c r="W181" s="9">
        <v>5.27102</v>
      </c>
      <c r="X181" s="9">
        <v>3.9862000000000002</v>
      </c>
      <c r="Y181" s="9">
        <v>72.304699999999997</v>
      </c>
      <c r="Z181" s="9">
        <v>76.004999999999995</v>
      </c>
      <c r="AA181" s="9">
        <f t="shared" si="27"/>
        <v>2.2818268398268398</v>
      </c>
      <c r="AB181" s="9">
        <f t="shared" si="28"/>
        <v>2.5930735930735933</v>
      </c>
      <c r="AC181" s="9">
        <f t="shared" si="29"/>
        <v>1.6883116883116882</v>
      </c>
      <c r="AD181" s="9">
        <f t="shared" si="30"/>
        <v>3.2235711101203743</v>
      </c>
      <c r="AE181" s="9">
        <f t="shared" si="31"/>
        <v>3.3885421310744537</v>
      </c>
      <c r="AF181" s="9">
        <f t="shared" si="32"/>
        <v>4.0296910704761357</v>
      </c>
      <c r="AG181" s="9">
        <f t="shared" si="24"/>
        <v>2.6720199750567781</v>
      </c>
      <c r="AH181" s="9">
        <f t="shared" si="33"/>
        <v>0.98094049943132433</v>
      </c>
      <c r="AI181" s="9">
        <f t="shared" si="25"/>
        <v>2.6277528634877321</v>
      </c>
      <c r="AJ181" s="9">
        <f>(4*PI()*(AI181^2))/(Y181+E181)</f>
        <v>0.9159458850416673</v>
      </c>
      <c r="AK181" s="12">
        <f t="shared" si="26"/>
        <v>0.93145161290322587</v>
      </c>
      <c r="AL181" s="12" t="s">
        <v>144</v>
      </c>
      <c r="AM181" s="12" t="s">
        <v>142</v>
      </c>
      <c r="AN181" s="16">
        <v>2.718</v>
      </c>
      <c r="AO181" s="16">
        <v>0.31380999999999998</v>
      </c>
      <c r="AP181" s="16">
        <v>3274.2</v>
      </c>
      <c r="AQ181" s="16">
        <v>3225.9</v>
      </c>
      <c r="AR181" s="16">
        <v>1.4570000000000001</v>
      </c>
      <c r="AS181" s="16">
        <v>1.2917E-2</v>
      </c>
      <c r="AT181" s="16">
        <v>0.73143000000000002</v>
      </c>
      <c r="AU181" s="16">
        <v>0.93761000000000005</v>
      </c>
      <c r="AV181" s="16">
        <v>2.4798000000000001E-2</v>
      </c>
      <c r="AW181" s="16">
        <v>9.3027000000000006E-3</v>
      </c>
      <c r="AX181" s="16">
        <v>0.12973999999999999</v>
      </c>
      <c r="AY181" s="16">
        <v>-112.77</v>
      </c>
      <c r="AZ181" s="16">
        <v>-1301.9000000000001</v>
      </c>
      <c r="BA181" s="16">
        <v>0.18259</v>
      </c>
      <c r="BB181" s="16">
        <v>8.4009999999999998</v>
      </c>
      <c r="BC181" s="16" t="s">
        <v>162</v>
      </c>
      <c r="BD181" s="34" t="s">
        <v>165</v>
      </c>
      <c r="BE181" t="s">
        <v>167</v>
      </c>
    </row>
    <row r="182" spans="1:57" x14ac:dyDescent="0.25">
      <c r="A182" s="15" t="s">
        <v>251</v>
      </c>
      <c r="B182" s="16" t="s">
        <v>26</v>
      </c>
      <c r="C182" s="16" t="s">
        <v>14</v>
      </c>
      <c r="D182" s="16">
        <v>42</v>
      </c>
      <c r="E182" s="16">
        <v>6.1733000000000002</v>
      </c>
      <c r="F182" s="16">
        <v>8.8710000000000004</v>
      </c>
      <c r="G182" s="15">
        <v>3.41</v>
      </c>
      <c r="H182" s="15">
        <v>2.8</v>
      </c>
      <c r="I182" s="15">
        <v>2.25</v>
      </c>
      <c r="J182" s="15">
        <v>57.13</v>
      </c>
      <c r="K182" s="15">
        <v>49.81</v>
      </c>
      <c r="L182" s="15">
        <v>69.03</v>
      </c>
      <c r="M182" s="15">
        <v>3.15</v>
      </c>
      <c r="N182" s="15">
        <v>2</v>
      </c>
      <c r="O182" s="15">
        <f>0.58+2.25</f>
        <v>2.83</v>
      </c>
      <c r="P182" s="9">
        <v>1.08077</v>
      </c>
      <c r="Q182" s="9">
        <v>1.17364</v>
      </c>
      <c r="R182" s="9">
        <v>8.1818199999999994E-2</v>
      </c>
      <c r="S182" s="9">
        <v>8.3755399999999994E-2</v>
      </c>
      <c r="T182" s="9">
        <v>8.7439500000000003E-2</v>
      </c>
      <c r="U182" s="9">
        <v>-1.755E-3</v>
      </c>
      <c r="V182" s="9">
        <v>3.0470600000000001</v>
      </c>
      <c r="W182" s="9">
        <v>2.59626</v>
      </c>
      <c r="X182" s="9">
        <v>2.8059500000000002</v>
      </c>
      <c r="Y182" s="9">
        <v>24.036799999999999</v>
      </c>
      <c r="Z182" s="9">
        <v>13.6614</v>
      </c>
      <c r="AA182" s="9">
        <f t="shared" si="27"/>
        <v>1.1538933333333334</v>
      </c>
      <c r="AB182" s="9">
        <f t="shared" si="28"/>
        <v>1.5155555555555555</v>
      </c>
      <c r="AC182" s="9">
        <f t="shared" si="29"/>
        <v>1.2444444444444445</v>
      </c>
      <c r="AD182" s="9">
        <f t="shared" si="30"/>
        <v>3.8936711321335427</v>
      </c>
      <c r="AE182" s="9">
        <f t="shared" si="31"/>
        <v>2.2129817115643173</v>
      </c>
      <c r="AF182" s="9">
        <f t="shared" si="32"/>
        <v>4.206102431810967</v>
      </c>
      <c r="AG182" s="9">
        <f t="shared" si="24"/>
        <v>1.4017925739489403</v>
      </c>
      <c r="AH182" s="9">
        <f t="shared" si="33"/>
        <v>0.9928669264287493</v>
      </c>
      <c r="AI182" s="9">
        <f t="shared" si="25"/>
        <v>1.4829808151173611</v>
      </c>
      <c r="AJ182" s="9">
        <f>(4*PI()*(AI182^2))/(Y182+E182)</f>
        <v>0.91480549917213083</v>
      </c>
      <c r="AK182" s="12">
        <f t="shared" si="26"/>
        <v>0.79505300353356889</v>
      </c>
      <c r="AL182" s="12" t="s">
        <v>144</v>
      </c>
      <c r="AM182" s="12" t="s">
        <v>142</v>
      </c>
      <c r="AN182" s="16">
        <v>3.2246999999999999</v>
      </c>
      <c r="AO182" s="16">
        <v>0.43106</v>
      </c>
      <c r="AP182" s="16">
        <v>4085.7</v>
      </c>
      <c r="AQ182" s="16">
        <v>4194.6000000000004</v>
      </c>
      <c r="AR182" s="16">
        <v>1.4391</v>
      </c>
      <c r="AS182" s="16">
        <v>7.1028999999999997E-3</v>
      </c>
      <c r="AT182" s="16">
        <v>0.72926999999999997</v>
      </c>
      <c r="AU182" s="16">
        <v>0.89915</v>
      </c>
      <c r="AV182" s="16">
        <v>4.4025000000000002E-3</v>
      </c>
      <c r="AW182" s="16">
        <v>5.8402000000000003E-3</v>
      </c>
      <c r="AX182" s="16">
        <v>0.1235</v>
      </c>
      <c r="AY182" s="16">
        <v>-31.539000000000001</v>
      </c>
      <c r="AZ182" s="16">
        <v>-979.05</v>
      </c>
      <c r="BA182" s="16">
        <v>7.5239E-2</v>
      </c>
      <c r="BB182" s="16">
        <v>14.483000000000001</v>
      </c>
      <c r="BC182" s="16" t="s">
        <v>162</v>
      </c>
      <c r="BD182" s="34" t="s">
        <v>163</v>
      </c>
      <c r="BE182" t="s">
        <v>167</v>
      </c>
    </row>
    <row r="183" spans="1:57" x14ac:dyDescent="0.25">
      <c r="A183" s="15" t="s">
        <v>252</v>
      </c>
      <c r="B183" s="16" t="s">
        <v>5</v>
      </c>
      <c r="C183" s="16" t="s">
        <v>14</v>
      </c>
      <c r="D183" s="16">
        <v>42</v>
      </c>
      <c r="E183" s="16">
        <v>10.198</v>
      </c>
      <c r="F183" s="16">
        <v>12.731999999999999</v>
      </c>
      <c r="G183" s="15">
        <v>5.77</v>
      </c>
      <c r="H183" s="15">
        <v>3</v>
      </c>
      <c r="I183" s="15">
        <v>3.35</v>
      </c>
      <c r="J183" s="15">
        <v>95.4</v>
      </c>
      <c r="K183" s="15">
        <v>13.02</v>
      </c>
      <c r="L183" s="15">
        <v>57.01</v>
      </c>
      <c r="M183" s="15">
        <v>3.1</v>
      </c>
      <c r="N183" s="15">
        <v>2</v>
      </c>
      <c r="O183" s="15">
        <f>3.1+2.77</f>
        <v>5.87</v>
      </c>
      <c r="P183" s="9">
        <v>0.90116099999999999</v>
      </c>
      <c r="Q183" s="9">
        <v>1.74875</v>
      </c>
      <c r="R183" s="9">
        <v>0.17241400000000001</v>
      </c>
      <c r="S183" s="9">
        <v>0.124865</v>
      </c>
      <c r="T183" s="9">
        <v>0.17058000000000001</v>
      </c>
      <c r="U183" s="9">
        <v>0.10155500000000001</v>
      </c>
      <c r="V183" s="9">
        <v>5.7839799999999997</v>
      </c>
      <c r="W183" s="9">
        <v>3.3075000000000001</v>
      </c>
      <c r="X183" s="9">
        <v>2.9805899999999999</v>
      </c>
      <c r="Y183" s="9">
        <v>43.490600000000001</v>
      </c>
      <c r="Z183" s="9">
        <v>28.81</v>
      </c>
      <c r="AA183" s="9">
        <f t="shared" si="27"/>
        <v>0.98731343283582085</v>
      </c>
      <c r="AB183" s="9">
        <f t="shared" si="28"/>
        <v>1.7223880597014924</v>
      </c>
      <c r="AC183" s="9">
        <f t="shared" si="29"/>
        <v>0.89552238805970152</v>
      </c>
      <c r="AD183" s="9">
        <f t="shared" si="30"/>
        <v>4.2646205138262401</v>
      </c>
      <c r="AE183" s="9">
        <f t="shared" si="31"/>
        <v>2.8250637379878407</v>
      </c>
      <c r="AF183" s="9">
        <f t="shared" si="32"/>
        <v>4.6277145262761561</v>
      </c>
      <c r="AG183" s="9">
        <f t="shared" si="24"/>
        <v>1.8017003689021929</v>
      </c>
      <c r="AH183" s="9">
        <f t="shared" si="33"/>
        <v>0.88913110947426166</v>
      </c>
      <c r="AI183" s="9">
        <f t="shared" si="25"/>
        <v>1.9017417883306018</v>
      </c>
      <c r="AJ183" s="9">
        <f>(4*PI()*(AI183^2))/(Y183+E183)</f>
        <v>0.84650764373188192</v>
      </c>
      <c r="AK183" s="12">
        <f t="shared" si="26"/>
        <v>0.5706984667802385</v>
      </c>
      <c r="AL183" s="12" t="s">
        <v>140</v>
      </c>
      <c r="AM183" s="12" t="s">
        <v>142</v>
      </c>
      <c r="AN183" s="16">
        <v>6.5621</v>
      </c>
      <c r="AO183" s="16">
        <v>0.61768999999999996</v>
      </c>
      <c r="AP183" s="16">
        <v>16286</v>
      </c>
      <c r="AQ183" s="16">
        <v>14395</v>
      </c>
      <c r="AR183" s="16">
        <v>3.2698999999999998</v>
      </c>
      <c r="AS183" s="16">
        <v>6.6008999999999998E-3</v>
      </c>
      <c r="AT183" s="16">
        <v>0.74114999999999998</v>
      </c>
      <c r="AU183" s="16">
        <v>0.57891999999999999</v>
      </c>
      <c r="AV183" s="16">
        <v>3.5390999999999999E-2</v>
      </c>
      <c r="AW183" s="16">
        <v>6.5357999999999996E-3</v>
      </c>
      <c r="AX183" s="16">
        <v>0.22534000000000001</v>
      </c>
      <c r="AY183" s="16">
        <v>-11.22</v>
      </c>
      <c r="AZ183" s="16">
        <v>-2528.4</v>
      </c>
      <c r="BA183" s="16">
        <v>5.2735999999999998E-2</v>
      </c>
      <c r="BB183" s="16">
        <v>12.454000000000001</v>
      </c>
      <c r="BC183" s="16" t="s">
        <v>162</v>
      </c>
      <c r="BD183" s="34" t="s">
        <v>165</v>
      </c>
      <c r="BE183" t="s">
        <v>167</v>
      </c>
    </row>
    <row r="184" spans="1:57" x14ac:dyDescent="0.25">
      <c r="A184" s="15" t="s">
        <v>253</v>
      </c>
      <c r="B184" s="18" t="s">
        <v>26</v>
      </c>
      <c r="C184" s="18" t="s">
        <v>6</v>
      </c>
      <c r="D184" s="18">
        <v>44</v>
      </c>
      <c r="E184" s="18">
        <v>6.7697000000000003</v>
      </c>
      <c r="F184" s="18">
        <v>9.4138000000000002</v>
      </c>
      <c r="G184" s="15">
        <v>4.12</v>
      </c>
      <c r="H184" s="15">
        <v>3</v>
      </c>
      <c r="I184" s="15">
        <v>2.09</v>
      </c>
      <c r="J184" s="15">
        <v>55.69</v>
      </c>
      <c r="K184" s="15">
        <v>20.85</v>
      </c>
      <c r="L184" s="15">
        <v>27.07</v>
      </c>
      <c r="M184" s="15">
        <v>3.96</v>
      </c>
      <c r="N184" s="15">
        <v>1</v>
      </c>
      <c r="O184" s="15">
        <v>2.67</v>
      </c>
      <c r="P184" s="9">
        <v>1.06053</v>
      </c>
      <c r="Q184" s="9">
        <v>1.4034199999999999</v>
      </c>
      <c r="R184" s="9">
        <v>0.17796600000000001</v>
      </c>
      <c r="S184" s="9">
        <v>0.129131</v>
      </c>
      <c r="T184" s="9">
        <v>0.149233</v>
      </c>
      <c r="U184" s="9">
        <v>4.18836E-2</v>
      </c>
      <c r="V184" s="9">
        <v>3.98678</v>
      </c>
      <c r="W184" s="9">
        <v>2.84077</v>
      </c>
      <c r="X184" s="9">
        <v>3.0127199999999998</v>
      </c>
      <c r="Y184" s="9">
        <v>35.492400000000004</v>
      </c>
      <c r="Z184" s="9">
        <v>22.065200000000001</v>
      </c>
      <c r="AA184" s="9">
        <f t="shared" si="27"/>
        <v>1.3592200956937801</v>
      </c>
      <c r="AB184" s="9">
        <f t="shared" si="28"/>
        <v>1.9712918660287084</v>
      </c>
      <c r="AC184" s="9">
        <f t="shared" si="29"/>
        <v>1.4354066985645935</v>
      </c>
      <c r="AD184" s="9">
        <f t="shared" si="30"/>
        <v>5.2428320309614902</v>
      </c>
      <c r="AE184" s="9">
        <f t="shared" si="31"/>
        <v>3.2594058820922642</v>
      </c>
      <c r="AF184" s="9">
        <f t="shared" si="32"/>
        <v>4.5115951578463092</v>
      </c>
      <c r="AG184" s="9">
        <f t="shared" si="24"/>
        <v>1.4679449705279852</v>
      </c>
      <c r="AH184" s="9">
        <f t="shared" si="33"/>
        <v>0.97977121572262071</v>
      </c>
      <c r="AI184" s="9">
        <f t="shared" si="25"/>
        <v>1.7399619575364922</v>
      </c>
      <c r="AJ184" s="9">
        <f>(4*PI()*(AI184^2))/(Y184+E184)</f>
        <v>0.9001985243610664</v>
      </c>
      <c r="AK184" s="12">
        <f t="shared" si="26"/>
        <v>0.78277153558052426</v>
      </c>
      <c r="AL184" s="12" t="s">
        <v>144</v>
      </c>
      <c r="AM184" s="12" t="s">
        <v>143</v>
      </c>
      <c r="AN184" s="18">
        <v>7.0102000000000002</v>
      </c>
      <c r="AO184" s="18">
        <v>0.68569000000000002</v>
      </c>
      <c r="AP184" s="18">
        <v>13559</v>
      </c>
      <c r="AQ184" s="18">
        <v>12854</v>
      </c>
      <c r="AR184" s="18">
        <v>3.1377000000000002</v>
      </c>
      <c r="AS184" s="18">
        <v>1.3202999999999999E-2</v>
      </c>
      <c r="AT184" s="18">
        <v>0.74322999999999995</v>
      </c>
      <c r="AU184" s="18">
        <v>0.55728999999999995</v>
      </c>
      <c r="AV184" s="18">
        <v>2.5797E-2</v>
      </c>
      <c r="AW184" s="18">
        <v>6.3975000000000004E-3</v>
      </c>
      <c r="AX184" s="18">
        <v>0.25457999999999997</v>
      </c>
      <c r="AY184" s="18">
        <v>-3.3732000000000002</v>
      </c>
      <c r="AZ184" s="18">
        <v>-1809.2</v>
      </c>
      <c r="BA184" s="18">
        <v>4.2462E-2</v>
      </c>
      <c r="BB184" s="18">
        <v>3.0217999999999998</v>
      </c>
      <c r="BC184" s="18" t="s">
        <v>162</v>
      </c>
      <c r="BD184" s="35" t="s">
        <v>163</v>
      </c>
      <c r="BE184" t="s">
        <v>167</v>
      </c>
    </row>
    <row r="185" spans="1:57" x14ac:dyDescent="0.25">
      <c r="A185" s="15" t="s">
        <v>254</v>
      </c>
      <c r="B185" s="16" t="s">
        <v>178</v>
      </c>
      <c r="C185" s="16" t="s">
        <v>6</v>
      </c>
      <c r="D185" s="16">
        <v>79</v>
      </c>
      <c r="E185" s="16">
        <v>6.9580000000000002</v>
      </c>
      <c r="F185" s="16">
        <v>9.6225000000000005</v>
      </c>
      <c r="G185" s="15">
        <v>4.5999999999999996</v>
      </c>
      <c r="H185" s="15">
        <v>3.55</v>
      </c>
      <c r="I185" s="15">
        <v>4.0999999999999996</v>
      </c>
      <c r="J185" s="15">
        <v>40.28</v>
      </c>
      <c r="K185" s="15">
        <v>47.64</v>
      </c>
      <c r="L185" s="15">
        <v>86.5</v>
      </c>
      <c r="M185" s="15">
        <v>4.4000000000000004</v>
      </c>
      <c r="N185" s="15">
        <v>2</v>
      </c>
      <c r="O185" s="15">
        <f>1.33+2.93</f>
        <v>4.26</v>
      </c>
      <c r="P185" s="9">
        <v>1.2179599999999999</v>
      </c>
      <c r="Q185" s="9">
        <v>1.5422100000000001</v>
      </c>
      <c r="R185" s="9">
        <v>4.2857199999999998E-2</v>
      </c>
      <c r="S185" s="9">
        <v>0.148868</v>
      </c>
      <c r="T185" s="9">
        <v>0.17174400000000001</v>
      </c>
      <c r="U185" s="9">
        <v>6.3749299999999995E-2</v>
      </c>
      <c r="V185" s="9">
        <v>4.5190999999999999</v>
      </c>
      <c r="W185" s="9">
        <v>2.9302800000000002</v>
      </c>
      <c r="X185" s="9">
        <v>3.5689500000000001</v>
      </c>
      <c r="Y185" s="9">
        <v>40.244399999999999</v>
      </c>
      <c r="Z185" s="9">
        <v>25.5914</v>
      </c>
      <c r="AA185" s="9">
        <f t="shared" si="27"/>
        <v>0.71470243902439035</v>
      </c>
      <c r="AB185" s="9">
        <f t="shared" si="28"/>
        <v>1.1219512195121952</v>
      </c>
      <c r="AC185" s="9">
        <f t="shared" si="29"/>
        <v>0.86585365853658536</v>
      </c>
      <c r="AD185" s="9">
        <f t="shared" si="30"/>
        <v>5.7839034205231385</v>
      </c>
      <c r="AE185" s="9">
        <f t="shared" si="31"/>
        <v>3.6779821787870075</v>
      </c>
      <c r="AF185" s="9">
        <f t="shared" si="32"/>
        <v>4.6342140928545312</v>
      </c>
      <c r="AG185" s="9">
        <f t="shared" si="24"/>
        <v>1.4882204769679848</v>
      </c>
      <c r="AH185" s="9">
        <f t="shared" si="33"/>
        <v>0.97176046087077561</v>
      </c>
      <c r="AI185" s="9">
        <f t="shared" si="25"/>
        <v>1.8281078430849964</v>
      </c>
      <c r="AJ185" s="9">
        <f>(4*PI()*(AI185^2))/(Y185+E185)</f>
        <v>0.8897119156308666</v>
      </c>
      <c r="AK185" s="12">
        <f t="shared" si="26"/>
        <v>0.96244131455399062</v>
      </c>
      <c r="AL185" s="12" t="s">
        <v>140</v>
      </c>
      <c r="AM185" s="12" t="s">
        <v>142</v>
      </c>
      <c r="AN185" s="16">
        <v>2.8281999999999998</v>
      </c>
      <c r="AO185" s="16">
        <v>0.44627</v>
      </c>
      <c r="AP185" s="16">
        <v>6788.9</v>
      </c>
      <c r="AQ185" s="16">
        <v>5968.3</v>
      </c>
      <c r="AR185" s="16">
        <v>1.1275999999999999</v>
      </c>
      <c r="AS185" s="16">
        <v>1.6451E-2</v>
      </c>
      <c r="AT185" s="16">
        <v>0.73397999999999997</v>
      </c>
      <c r="AU185" s="16">
        <v>1.4995000000000001</v>
      </c>
      <c r="AV185" s="16">
        <v>2.2542E-2</v>
      </c>
      <c r="AW185" s="16">
        <v>1.9584000000000001E-2</v>
      </c>
      <c r="AX185" s="16">
        <v>0.11541</v>
      </c>
      <c r="AY185" s="16">
        <v>-38.545999999999999</v>
      </c>
      <c r="AZ185" s="16">
        <v>-820.94</v>
      </c>
      <c r="BA185" s="16">
        <v>0.15042</v>
      </c>
      <c r="BB185" s="16">
        <v>38.409999999999997</v>
      </c>
      <c r="BC185" s="16" t="s">
        <v>162</v>
      </c>
      <c r="BD185" s="34" t="s">
        <v>163</v>
      </c>
      <c r="BE185" t="s">
        <v>167</v>
      </c>
    </row>
    <row r="186" spans="1:57" x14ac:dyDescent="0.25">
      <c r="A186" s="22" t="s">
        <v>255</v>
      </c>
      <c r="B186" s="16" t="s">
        <v>5</v>
      </c>
      <c r="C186" s="16" t="s">
        <v>6</v>
      </c>
      <c r="D186" s="16">
        <v>65</v>
      </c>
      <c r="E186" s="16">
        <v>6.7321999999999997</v>
      </c>
      <c r="F186" s="16">
        <v>9.5833999999999993</v>
      </c>
      <c r="G186" s="15">
        <v>3.61</v>
      </c>
      <c r="H186" s="15">
        <v>2.6</v>
      </c>
      <c r="I186" s="15">
        <v>2.67</v>
      </c>
      <c r="J186" s="15">
        <v>93.48</v>
      </c>
      <c r="K186" s="15">
        <v>38.75</v>
      </c>
      <c r="L186" s="15">
        <v>41.09</v>
      </c>
      <c r="M186" s="15">
        <v>3.2</v>
      </c>
      <c r="N186" s="15">
        <v>2</v>
      </c>
      <c r="O186" s="15">
        <f>2.67+1.66</f>
        <v>4.33</v>
      </c>
      <c r="P186" s="9">
        <v>0.91006200000000004</v>
      </c>
      <c r="Q186" s="9">
        <v>1.2405900000000001</v>
      </c>
      <c r="R186" s="9">
        <v>0.26</v>
      </c>
      <c r="S186" s="9">
        <v>8.01452E-2</v>
      </c>
      <c r="T186" s="9">
        <v>8.6485800000000002E-2</v>
      </c>
      <c r="U186" s="9">
        <v>3.1071200000000001E-3</v>
      </c>
      <c r="V186" s="9">
        <v>3.5037500000000001</v>
      </c>
      <c r="W186" s="9">
        <v>2.8242699999999998</v>
      </c>
      <c r="X186" s="9">
        <v>2.5702600000000002</v>
      </c>
      <c r="Y186" s="9">
        <v>27.089200000000002</v>
      </c>
      <c r="Z186" s="9">
        <v>16.3703</v>
      </c>
      <c r="AA186" s="9">
        <f t="shared" si="27"/>
        <v>1.0577790262172284</v>
      </c>
      <c r="AB186" s="9">
        <f t="shared" si="28"/>
        <v>1.3520599250936329</v>
      </c>
      <c r="AC186" s="9">
        <f t="shared" si="29"/>
        <v>0.97378277153558057</v>
      </c>
      <c r="AD186" s="9">
        <f t="shared" si="30"/>
        <v>4.0238257924601175</v>
      </c>
      <c r="AE186" s="9">
        <f t="shared" si="31"/>
        <v>2.4316419595377443</v>
      </c>
      <c r="AF186" s="9">
        <f t="shared" si="32"/>
        <v>4.2017004519102876</v>
      </c>
      <c r="AG186" s="9">
        <f t="shared" si="24"/>
        <v>1.4638735654989183</v>
      </c>
      <c r="AH186" s="9">
        <f t="shared" si="33"/>
        <v>0.9597625976492058</v>
      </c>
      <c r="AI186" s="9">
        <f t="shared" si="25"/>
        <v>1.5751527521078916</v>
      </c>
      <c r="AJ186" s="9">
        <f>(4*PI()*(AI186^2))/(Y186+E186)</f>
        <v>0.92185716582394861</v>
      </c>
      <c r="AK186" s="12">
        <f t="shared" si="26"/>
        <v>0.61662817551963045</v>
      </c>
      <c r="AL186" s="12" t="s">
        <v>144</v>
      </c>
      <c r="AM186" s="12" t="s">
        <v>142</v>
      </c>
      <c r="AN186" s="16">
        <v>2.4277000000000002</v>
      </c>
      <c r="AO186" s="16">
        <v>0.41616999999999998</v>
      </c>
      <c r="AP186" s="16">
        <v>4670.1000000000004</v>
      </c>
      <c r="AQ186" s="16">
        <v>3859.9</v>
      </c>
      <c r="AR186" s="16">
        <v>0.86748999999999998</v>
      </c>
      <c r="AS186" s="16">
        <v>3.9389E-2</v>
      </c>
      <c r="AT186" s="16">
        <v>0.69240999999999997</v>
      </c>
      <c r="AU186" s="16">
        <v>2.3374999999999999</v>
      </c>
      <c r="AV186" s="16">
        <v>6.3191999999999998E-2</v>
      </c>
      <c r="AW186" s="16">
        <v>2.0017E-2</v>
      </c>
      <c r="AX186" s="16">
        <v>0.12121999999999999</v>
      </c>
      <c r="AY186" s="16">
        <v>-5.7045000000000003</v>
      </c>
      <c r="AZ186" s="16">
        <v>-236.35</v>
      </c>
      <c r="BA186" s="16">
        <v>8.7712999999999999E-2</v>
      </c>
      <c r="BB186" s="16">
        <v>8</v>
      </c>
      <c r="BC186" s="16" t="s">
        <v>162</v>
      </c>
      <c r="BD186" s="34" t="s">
        <v>163</v>
      </c>
      <c r="BE186" t="s">
        <v>167</v>
      </c>
    </row>
    <row r="187" spans="1:57" x14ac:dyDescent="0.25">
      <c r="A187" s="15" t="s">
        <v>256</v>
      </c>
      <c r="B187" s="16" t="s">
        <v>13</v>
      </c>
      <c r="C187" s="16" t="s">
        <v>6</v>
      </c>
      <c r="D187" s="16">
        <v>69</v>
      </c>
      <c r="E187" s="16">
        <v>13.509</v>
      </c>
      <c r="F187" s="16">
        <v>13.446999999999999</v>
      </c>
      <c r="G187" s="15">
        <v>4.7699999999999996</v>
      </c>
      <c r="H187" s="15">
        <v>2.1</v>
      </c>
      <c r="I187" s="15">
        <v>2.2999999999999998</v>
      </c>
      <c r="J187" s="15">
        <v>82.88</v>
      </c>
      <c r="K187" s="15">
        <v>15.83</v>
      </c>
      <c r="L187" s="15">
        <v>59.53</v>
      </c>
      <c r="M187" s="15">
        <v>4.5999999999999996</v>
      </c>
      <c r="N187" s="15">
        <v>2</v>
      </c>
      <c r="O187" s="15">
        <f>1.44+2.03</f>
        <v>3.4699999999999998</v>
      </c>
      <c r="P187" s="9">
        <v>0.52831700000000004</v>
      </c>
      <c r="Q187" s="9">
        <v>1.11666</v>
      </c>
      <c r="R187" s="9">
        <v>0.47619</v>
      </c>
      <c r="S187" s="9">
        <v>3.6382600000000001E-2</v>
      </c>
      <c r="T187" s="9">
        <v>4.9160299999999997E-2</v>
      </c>
      <c r="U187" s="9">
        <v>2.3725199999999998E-2</v>
      </c>
      <c r="V187" s="9">
        <v>4.5651599999999997</v>
      </c>
      <c r="W187" s="9">
        <v>4.0882199999999997</v>
      </c>
      <c r="X187" s="9">
        <v>2.1598700000000002</v>
      </c>
      <c r="Y187" s="9">
        <v>29.542899999999999</v>
      </c>
      <c r="Z187" s="9">
        <v>19.798400000000001</v>
      </c>
      <c r="AA187" s="9">
        <f t="shared" si="27"/>
        <v>1.777486956521739</v>
      </c>
      <c r="AB187" s="9">
        <f t="shared" si="28"/>
        <v>2.0739130434782607</v>
      </c>
      <c r="AC187" s="9">
        <f t="shared" si="29"/>
        <v>0.91304347826086962</v>
      </c>
      <c r="AD187" s="9">
        <f t="shared" si="30"/>
        <v>2.1869050262787768</v>
      </c>
      <c r="AE187" s="9">
        <f t="shared" si="31"/>
        <v>1.4655711007476497</v>
      </c>
      <c r="AF187" s="9">
        <f t="shared" si="32"/>
        <v>4.03676122449074</v>
      </c>
      <c r="AG187" s="9">
        <f t="shared" si="24"/>
        <v>2.0736557700006113</v>
      </c>
      <c r="AH187" s="9">
        <f t="shared" si="33"/>
        <v>0.96892715596162804</v>
      </c>
      <c r="AI187" s="9">
        <f t="shared" si="25"/>
        <v>1.6782133119222205</v>
      </c>
      <c r="AJ187" s="9">
        <f>(4*PI()*(AI187^2))/(Y187+E187)</f>
        <v>0.82207580146065895</v>
      </c>
      <c r="AK187" s="12">
        <f t="shared" si="26"/>
        <v>0.66282420749279536</v>
      </c>
      <c r="AL187" s="12" t="s">
        <v>144</v>
      </c>
      <c r="AM187" s="12" t="s">
        <v>142</v>
      </c>
      <c r="AN187" s="16">
        <v>6.8714000000000004</v>
      </c>
      <c r="AO187" s="16">
        <v>1.0941000000000001</v>
      </c>
      <c r="AP187" s="16">
        <v>8585.2000000000007</v>
      </c>
      <c r="AQ187" s="16">
        <v>8674.6</v>
      </c>
      <c r="AR187" s="16">
        <v>3.3877000000000002</v>
      </c>
      <c r="AS187" s="16">
        <v>1.3644999999999999E-2</v>
      </c>
      <c r="AT187" s="16">
        <v>0.74802999999999997</v>
      </c>
      <c r="AU187" s="16">
        <v>0.70894999999999997</v>
      </c>
      <c r="AV187" s="16">
        <v>3.9508000000000001E-2</v>
      </c>
      <c r="AW187" s="16">
        <v>4.8843999999999997E-3</v>
      </c>
      <c r="AX187" s="16">
        <v>0.25631999999999999</v>
      </c>
      <c r="AY187" s="16">
        <v>1.7122999999999999</v>
      </c>
      <c r="AZ187" s="16">
        <v>-125.35</v>
      </c>
      <c r="BA187" s="16">
        <v>2.3658999999999999E-2</v>
      </c>
      <c r="BB187" s="16">
        <v>16.785</v>
      </c>
      <c r="BC187" s="16" t="s">
        <v>162</v>
      </c>
      <c r="BD187" s="34" t="s">
        <v>163</v>
      </c>
      <c r="BE187" t="s">
        <v>168</v>
      </c>
    </row>
    <row r="188" spans="1:57" x14ac:dyDescent="0.25">
      <c r="A188" s="15" t="s">
        <v>257</v>
      </c>
      <c r="B188" s="16" t="s">
        <v>178</v>
      </c>
      <c r="C188" s="16" t="s">
        <v>6</v>
      </c>
      <c r="D188" s="16">
        <v>73</v>
      </c>
      <c r="E188" s="16">
        <v>9.2202000000000002</v>
      </c>
      <c r="F188" s="16">
        <v>11.326000000000001</v>
      </c>
      <c r="G188" s="15">
        <v>4.92</v>
      </c>
      <c r="H188" s="15">
        <v>3.4</v>
      </c>
      <c r="I188" s="15">
        <v>3.74</v>
      </c>
      <c r="J188" s="15">
        <v>67.900000000000006</v>
      </c>
      <c r="K188" s="15">
        <v>31.53</v>
      </c>
      <c r="L188" s="15">
        <v>60.35</v>
      </c>
      <c r="M188" s="15">
        <v>4.5</v>
      </c>
      <c r="N188" s="15">
        <v>2</v>
      </c>
      <c r="O188" s="15">
        <f>1.19+3.78</f>
        <v>4.97</v>
      </c>
      <c r="P188" s="9">
        <v>1.02213</v>
      </c>
      <c r="Q188" s="9">
        <v>1.36957</v>
      </c>
      <c r="R188" s="9">
        <v>-4.5454599999999998E-2</v>
      </c>
      <c r="S188" s="9">
        <v>0.10356600000000001</v>
      </c>
      <c r="T188" s="9">
        <v>0.117095</v>
      </c>
      <c r="U188" s="9">
        <v>2.8127699999999999E-2</v>
      </c>
      <c r="V188" s="9">
        <v>4.4991199999999996</v>
      </c>
      <c r="W188" s="9">
        <v>3.28505</v>
      </c>
      <c r="X188" s="9">
        <v>3.3577599999999999</v>
      </c>
      <c r="Y188" s="9">
        <v>43.902700000000003</v>
      </c>
      <c r="Z188" s="9">
        <v>32.091999999999999</v>
      </c>
      <c r="AA188" s="9">
        <f t="shared" si="27"/>
        <v>0.87835561497326198</v>
      </c>
      <c r="AB188" s="9">
        <f t="shared" si="28"/>
        <v>1.3155080213903743</v>
      </c>
      <c r="AC188" s="9">
        <f t="shared" si="29"/>
        <v>0.90909090909090906</v>
      </c>
      <c r="AD188" s="9">
        <f t="shared" si="30"/>
        <v>4.7615778399600881</v>
      </c>
      <c r="AE188" s="9">
        <f t="shared" si="31"/>
        <v>3.4806186416780545</v>
      </c>
      <c r="AF188" s="9">
        <f t="shared" si="32"/>
        <v>4.3473710366561491</v>
      </c>
      <c r="AG188" s="9">
        <f t="shared" si="24"/>
        <v>1.7131493842020278</v>
      </c>
      <c r="AH188" s="9">
        <f t="shared" si="33"/>
        <v>0.95038275117622617</v>
      </c>
      <c r="AI188" s="9">
        <f t="shared" si="25"/>
        <v>1.9713756657423041</v>
      </c>
      <c r="AJ188" s="9">
        <f>(4*PI()*(AI188^2))/(Y188+E188)</f>
        <v>0.91932034533650164</v>
      </c>
      <c r="AK188" s="12">
        <f t="shared" si="26"/>
        <v>0.7525150905432596</v>
      </c>
      <c r="AL188" s="12" t="s">
        <v>140</v>
      </c>
      <c r="AM188" s="12" t="s">
        <v>142</v>
      </c>
      <c r="AN188" s="16">
        <v>0.67954999999999999</v>
      </c>
      <c r="AO188" s="16">
        <v>0.21365999999999999</v>
      </c>
      <c r="AP188" s="16">
        <v>2815</v>
      </c>
      <c r="AQ188" s="16">
        <v>2612.6999999999998</v>
      </c>
      <c r="AR188" s="16">
        <v>0.37846999999999997</v>
      </c>
      <c r="AS188" s="16">
        <v>1.6694000000000001E-2</v>
      </c>
      <c r="AT188" s="16">
        <v>0.72482999999999997</v>
      </c>
      <c r="AU188" s="16">
        <v>4.5247999999999999</v>
      </c>
      <c r="AV188" s="16">
        <v>0.25047000000000003</v>
      </c>
      <c r="AW188" s="16">
        <v>1.8453000000000001E-2</v>
      </c>
      <c r="AX188" s="16">
        <v>3.9010000000000003E-2</v>
      </c>
      <c r="AY188" s="16">
        <v>-73.373000000000005</v>
      </c>
      <c r="AZ188" s="16">
        <v>-94.769000000000005</v>
      </c>
      <c r="BA188" s="16">
        <v>0.46195999999999998</v>
      </c>
      <c r="BB188" s="16">
        <v>139.49</v>
      </c>
      <c r="BC188" s="16" t="s">
        <v>162</v>
      </c>
      <c r="BD188" s="34" t="s">
        <v>165</v>
      </c>
      <c r="BE188" t="s">
        <v>167</v>
      </c>
    </row>
    <row r="189" spans="1:57" x14ac:dyDescent="0.25">
      <c r="A189" s="15" t="s">
        <v>258</v>
      </c>
      <c r="B189" s="16" t="s">
        <v>40</v>
      </c>
      <c r="C189" s="16" t="s">
        <v>6</v>
      </c>
      <c r="D189" s="16">
        <v>64</v>
      </c>
      <c r="E189" s="16">
        <v>67.561000000000007</v>
      </c>
      <c r="F189" s="16">
        <v>30.704999999999998</v>
      </c>
      <c r="G189" s="15">
        <v>12.25</v>
      </c>
      <c r="H189" s="15">
        <v>7.65</v>
      </c>
      <c r="I189" s="15">
        <v>3.34</v>
      </c>
      <c r="J189" s="15">
        <v>68.7</v>
      </c>
      <c r="K189" s="15">
        <v>14.92</v>
      </c>
      <c r="L189" s="15">
        <v>62.19</v>
      </c>
      <c r="M189" s="15">
        <v>9.5</v>
      </c>
      <c r="N189" s="15">
        <v>2</v>
      </c>
      <c r="O189" s="15">
        <f>1.66+2.68</f>
        <v>4.34</v>
      </c>
      <c r="P189" s="9">
        <v>0.85731199999999996</v>
      </c>
      <c r="Q189" s="9">
        <v>1.3504</v>
      </c>
      <c r="R189" s="9">
        <v>0.29470200000000002</v>
      </c>
      <c r="S189" s="9">
        <v>6.8176600000000004E-2</v>
      </c>
      <c r="T189" s="9">
        <v>7.4083099999999999E-2</v>
      </c>
      <c r="U189" s="9">
        <v>1.1129500000000001E-2</v>
      </c>
      <c r="V189" s="9">
        <v>12.037699999999999</v>
      </c>
      <c r="W189" s="9">
        <v>8.9142100000000006</v>
      </c>
      <c r="X189" s="9">
        <v>7.6422499999999998</v>
      </c>
      <c r="Y189" s="9">
        <v>246.92599999999999</v>
      </c>
      <c r="Z189" s="9">
        <v>459.72300000000001</v>
      </c>
      <c r="AA189" s="9">
        <f t="shared" si="27"/>
        <v>2.6689251497005992</v>
      </c>
      <c r="AB189" s="9">
        <f t="shared" si="28"/>
        <v>3.6676646706586826</v>
      </c>
      <c r="AC189" s="9">
        <f t="shared" si="29"/>
        <v>2.2904191616766467</v>
      </c>
      <c r="AD189" s="9">
        <f t="shared" si="30"/>
        <v>3.6548600523970922</v>
      </c>
      <c r="AE189" s="9">
        <f t="shared" si="31"/>
        <v>6.8045618034072906</v>
      </c>
      <c r="AF189" s="9">
        <f t="shared" si="32"/>
        <v>4.1454275866135726</v>
      </c>
      <c r="AG189" s="9">
        <f t="shared" si="24"/>
        <v>4.637384415860204</v>
      </c>
      <c r="AH189" s="9">
        <f t="shared" si="33"/>
        <v>0.948951168392002</v>
      </c>
      <c r="AI189" s="9">
        <f t="shared" si="25"/>
        <v>4.7877986094678358</v>
      </c>
      <c r="AJ189" s="9">
        <f>(4*PI()*(AI189^2))/(Y189+E189)</f>
        <v>0.91596507545184414</v>
      </c>
      <c r="AK189" s="12">
        <f t="shared" si="26"/>
        <v>0.7695852534562212</v>
      </c>
      <c r="AL189" s="12" t="s">
        <v>144</v>
      </c>
      <c r="AM189" s="12" t="s">
        <v>142</v>
      </c>
      <c r="AN189" s="16">
        <v>2.3574999999999999</v>
      </c>
      <c r="AO189" s="16">
        <v>0.34079999999999999</v>
      </c>
      <c r="AP189" s="16">
        <v>2121.3000000000002</v>
      </c>
      <c r="AQ189" s="16">
        <v>1938.5</v>
      </c>
      <c r="AR189" s="16">
        <v>1.575</v>
      </c>
      <c r="AS189" s="16">
        <v>1.7417999999999999E-2</v>
      </c>
      <c r="AT189" s="16">
        <v>0.67728999999999995</v>
      </c>
      <c r="AU189" s="16">
        <v>1.2283999999999999</v>
      </c>
      <c r="AV189" s="16">
        <v>0.23824000000000001</v>
      </c>
      <c r="AW189" s="16">
        <v>2.8448000000000001E-2</v>
      </c>
      <c r="AX189" s="16">
        <v>0.11237999999999999</v>
      </c>
      <c r="AY189" s="16">
        <v>-129.12</v>
      </c>
      <c r="AZ189" s="16">
        <v>-779.86</v>
      </c>
      <c r="BA189" s="16">
        <v>0.37958999999999998</v>
      </c>
      <c r="BB189" s="16">
        <v>83.882999999999996</v>
      </c>
      <c r="BC189" s="16" t="s">
        <v>162</v>
      </c>
      <c r="BD189" s="34" t="s">
        <v>163</v>
      </c>
      <c r="BE189" t="s">
        <v>167</v>
      </c>
    </row>
    <row r="190" spans="1:57" x14ac:dyDescent="0.25">
      <c r="A190" s="15" t="s">
        <v>259</v>
      </c>
      <c r="B190" s="16" t="s">
        <v>40</v>
      </c>
      <c r="C190" s="16" t="s">
        <v>6</v>
      </c>
      <c r="D190" s="16">
        <v>63</v>
      </c>
      <c r="E190" s="16">
        <v>43.325000000000003</v>
      </c>
      <c r="F190" s="16">
        <v>23.600999999999999</v>
      </c>
      <c r="G190" s="15">
        <v>8.19</v>
      </c>
      <c r="H190" s="15">
        <v>5.6</v>
      </c>
      <c r="I190" s="15">
        <v>2.78</v>
      </c>
      <c r="J190" s="15">
        <v>77.239999999999995</v>
      </c>
      <c r="K190" s="15">
        <v>19.38</v>
      </c>
      <c r="L190" s="15">
        <v>87</v>
      </c>
      <c r="M190" s="15">
        <v>7.5</v>
      </c>
      <c r="N190" s="15">
        <v>2</v>
      </c>
      <c r="O190" s="15">
        <f>3.31+2.44</f>
        <v>5.75</v>
      </c>
      <c r="P190" s="9">
        <v>0.75932999999999995</v>
      </c>
      <c r="Q190" s="9">
        <v>1.08209</v>
      </c>
      <c r="R190" s="9">
        <v>0.27477499999999999</v>
      </c>
      <c r="S190" s="9">
        <v>3.4527799999999997E-2</v>
      </c>
      <c r="T190" s="9">
        <v>3.7963200000000002E-2</v>
      </c>
      <c r="U190" s="9">
        <v>3.71091E-3</v>
      </c>
      <c r="V190" s="9">
        <v>8.0076699999999992</v>
      </c>
      <c r="W190" s="9">
        <v>7.4001900000000003</v>
      </c>
      <c r="X190" s="9">
        <v>5.6191899999999997</v>
      </c>
      <c r="Y190" s="9">
        <v>127.34399999999999</v>
      </c>
      <c r="Z190" s="9">
        <v>180.321</v>
      </c>
      <c r="AA190" s="9">
        <f t="shared" si="27"/>
        <v>2.6619388489208635</v>
      </c>
      <c r="AB190" s="9">
        <f t="shared" si="28"/>
        <v>2.9460431654676258</v>
      </c>
      <c r="AC190" s="9">
        <f t="shared" si="29"/>
        <v>2.014388489208633</v>
      </c>
      <c r="AD190" s="9">
        <f t="shared" si="30"/>
        <v>2.9392729371032886</v>
      </c>
      <c r="AE190" s="9">
        <f t="shared" si="31"/>
        <v>4.1620542412002308</v>
      </c>
      <c r="AF190" s="9">
        <f t="shared" si="32"/>
        <v>3.9897677535675369</v>
      </c>
      <c r="AG190" s="9">
        <f t="shared" si="24"/>
        <v>3.7135933836262596</v>
      </c>
      <c r="AH190" s="9">
        <f t="shared" si="33"/>
        <v>0.98865282762763618</v>
      </c>
      <c r="AI190" s="9">
        <f t="shared" si="25"/>
        <v>3.5047138590547169</v>
      </c>
      <c r="AJ190" s="9">
        <f>(4*PI()*(AI190^2))/(Y190+E190)</f>
        <v>0.90439958021587852</v>
      </c>
      <c r="AK190" s="12">
        <f t="shared" si="26"/>
        <v>0.48347826086956519</v>
      </c>
      <c r="AL190" s="12" t="s">
        <v>144</v>
      </c>
      <c r="AM190" s="12" t="s">
        <v>142</v>
      </c>
      <c r="AN190" s="16">
        <v>2.3782999999999999</v>
      </c>
      <c r="AO190" s="16">
        <v>0.52193000000000001</v>
      </c>
      <c r="AP190" s="16">
        <v>1813.6</v>
      </c>
      <c r="AQ190" s="16">
        <v>1825.1</v>
      </c>
      <c r="AR190" s="16">
        <v>1.5687</v>
      </c>
      <c r="AS190" s="16">
        <v>1.8279E-2</v>
      </c>
      <c r="AT190" s="16">
        <v>0.72233999999999998</v>
      </c>
      <c r="AU190" s="16">
        <v>0.83608000000000005</v>
      </c>
      <c r="AV190" s="21">
        <v>5.2837000000000001E-4</v>
      </c>
      <c r="AW190" s="16">
        <v>2.913E-2</v>
      </c>
      <c r="AX190" s="16">
        <v>0.13399</v>
      </c>
      <c r="AY190" s="16">
        <v>-65.364999999999995</v>
      </c>
      <c r="AZ190" s="16">
        <v>-690.06</v>
      </c>
      <c r="BA190" s="16">
        <v>0.22769</v>
      </c>
      <c r="BB190" s="16">
        <v>17.800999999999998</v>
      </c>
      <c r="BC190" s="16" t="s">
        <v>162</v>
      </c>
      <c r="BD190" s="34" t="s">
        <v>165</v>
      </c>
      <c r="BE190" t="s">
        <v>167</v>
      </c>
    </row>
    <row r="191" spans="1:57" x14ac:dyDescent="0.25">
      <c r="A191" s="15" t="s">
        <v>260</v>
      </c>
      <c r="B191" s="16" t="s">
        <v>40</v>
      </c>
      <c r="C191" s="16" t="s">
        <v>6</v>
      </c>
      <c r="D191" s="16">
        <v>50</v>
      </c>
      <c r="E191" s="16">
        <v>22.341000000000001</v>
      </c>
      <c r="F191" s="16">
        <v>17.183</v>
      </c>
      <c r="G191" s="15">
        <v>6.5</v>
      </c>
      <c r="H191" s="15">
        <v>4.68</v>
      </c>
      <c r="I191" s="15">
        <v>2.42</v>
      </c>
      <c r="J191" s="15">
        <v>80.94</v>
      </c>
      <c r="K191" s="15">
        <v>4.3499999999999996</v>
      </c>
      <c r="L191" s="15">
        <v>79.849999999999994</v>
      </c>
      <c r="M191" s="15">
        <v>6.6</v>
      </c>
      <c r="N191" s="15">
        <v>2</v>
      </c>
      <c r="O191" s="15">
        <f>1.92+2.92</f>
        <v>4.84</v>
      </c>
      <c r="P191" s="9">
        <v>0.88928099999999999</v>
      </c>
      <c r="Q191" s="9">
        <v>1.2494700000000001</v>
      </c>
      <c r="R191" s="9">
        <v>0.22826099999999999</v>
      </c>
      <c r="S191" s="9">
        <v>6.49705E-2</v>
      </c>
      <c r="T191" s="9">
        <v>7.79281E-2</v>
      </c>
      <c r="U191" s="9">
        <v>2.0051200000000002E-2</v>
      </c>
      <c r="V191" s="9">
        <v>6.5402300000000002</v>
      </c>
      <c r="W191" s="9">
        <v>5.2344099999999996</v>
      </c>
      <c r="X191" s="9">
        <v>4.6548699999999998</v>
      </c>
      <c r="Y191" s="9">
        <v>80.218999999999994</v>
      </c>
      <c r="Z191" s="9">
        <v>84.596400000000003</v>
      </c>
      <c r="AA191" s="9">
        <f t="shared" si="27"/>
        <v>2.162979338842975</v>
      </c>
      <c r="AB191" s="9">
        <f t="shared" si="28"/>
        <v>2.6859504132231407</v>
      </c>
      <c r="AC191" s="9">
        <f t="shared" si="29"/>
        <v>1.9338842975206612</v>
      </c>
      <c r="AD191" s="9">
        <f t="shared" si="30"/>
        <v>3.5906629067633493</v>
      </c>
      <c r="AE191" s="9">
        <f t="shared" si="31"/>
        <v>3.7865986303209347</v>
      </c>
      <c r="AF191" s="9">
        <f t="shared" si="32"/>
        <v>4.1627083975664334</v>
      </c>
      <c r="AG191" s="9">
        <f t="shared" si="24"/>
        <v>2.6667135517771809</v>
      </c>
      <c r="AH191" s="9">
        <f t="shared" si="33"/>
        <v>0.97511816370733118</v>
      </c>
      <c r="AI191" s="9">
        <f t="shared" si="25"/>
        <v>2.7232515379766058</v>
      </c>
      <c r="AJ191" s="9">
        <f>(4*PI()*(AI191^2))/(Y191+E191)</f>
        <v>0.90867246276701741</v>
      </c>
      <c r="AK191" s="12">
        <f t="shared" si="26"/>
        <v>0.5</v>
      </c>
      <c r="AL191" s="12" t="s">
        <v>144</v>
      </c>
      <c r="AM191" s="12" t="s">
        <v>142</v>
      </c>
      <c r="AN191" s="16">
        <v>3.8035999999999999</v>
      </c>
      <c r="AO191" s="16">
        <v>0.53454000000000002</v>
      </c>
      <c r="AP191" s="16">
        <v>6701.8</v>
      </c>
      <c r="AQ191" s="16">
        <v>6526.2</v>
      </c>
      <c r="AR191" s="16">
        <v>1.9009</v>
      </c>
      <c r="AS191" s="16">
        <v>9.6559999999999997E-3</v>
      </c>
      <c r="AT191" s="16">
        <v>0.73819000000000001</v>
      </c>
      <c r="AU191" s="16">
        <v>0.85299999999999998</v>
      </c>
      <c r="AV191" s="16">
        <v>2.8368999999999998E-2</v>
      </c>
      <c r="AW191" s="16">
        <v>1.3524E-2</v>
      </c>
      <c r="AX191" s="16">
        <v>0.16125</v>
      </c>
      <c r="AY191" s="16">
        <v>-33.183999999999997</v>
      </c>
      <c r="AZ191" s="16">
        <v>-679.85</v>
      </c>
      <c r="BA191" s="16">
        <v>0.13875999999999999</v>
      </c>
      <c r="BB191" s="16">
        <v>55.183999999999997</v>
      </c>
      <c r="BC191" s="16" t="s">
        <v>162</v>
      </c>
      <c r="BD191" s="34" t="s">
        <v>163</v>
      </c>
      <c r="BE191" t="s">
        <v>167</v>
      </c>
    </row>
    <row r="192" spans="1:57" x14ac:dyDescent="0.25">
      <c r="A192" s="15" t="s">
        <v>261</v>
      </c>
      <c r="B192" s="16" t="s">
        <v>13</v>
      </c>
      <c r="C192" s="16" t="s">
        <v>6</v>
      </c>
      <c r="D192" s="16">
        <v>34</v>
      </c>
      <c r="E192" s="16">
        <v>7.0075000000000003</v>
      </c>
      <c r="F192" s="16">
        <v>10.013999999999999</v>
      </c>
      <c r="G192" s="15">
        <v>4.7</v>
      </c>
      <c r="H192" s="15">
        <v>2.6</v>
      </c>
      <c r="I192" s="15">
        <v>2.0299999999999998</v>
      </c>
      <c r="J192" s="15">
        <v>111.89</v>
      </c>
      <c r="K192" s="15">
        <v>21.31</v>
      </c>
      <c r="L192" s="15">
        <v>43.76</v>
      </c>
      <c r="M192" s="15">
        <v>3.25</v>
      </c>
      <c r="N192" s="15">
        <v>2</v>
      </c>
      <c r="O192" s="15">
        <f>1.55+1.91</f>
        <v>3.46</v>
      </c>
      <c r="P192" s="9">
        <v>0.90291699999999997</v>
      </c>
      <c r="Q192" s="9">
        <v>1.4997400000000001</v>
      </c>
      <c r="R192" s="9">
        <v>0.12</v>
      </c>
      <c r="S192" s="9">
        <v>0.1094</v>
      </c>
      <c r="T192" s="9">
        <v>0.123076</v>
      </c>
      <c r="U192" s="9">
        <v>1.71866E-2</v>
      </c>
      <c r="V192" s="9">
        <v>4.3045799999999996</v>
      </c>
      <c r="W192" s="9">
        <v>2.8702100000000002</v>
      </c>
      <c r="X192" s="9">
        <v>2.5915599999999999</v>
      </c>
      <c r="Y192" s="9">
        <v>32.068399999999997</v>
      </c>
      <c r="Z192" s="9">
        <v>19.831199999999999</v>
      </c>
      <c r="AA192" s="9">
        <f t="shared" si="27"/>
        <v>1.4138965517241382</v>
      </c>
      <c r="AB192" s="9">
        <f t="shared" si="28"/>
        <v>2.3152709359605916</v>
      </c>
      <c r="AC192" s="9">
        <f t="shared" si="29"/>
        <v>1.2807881773399017</v>
      </c>
      <c r="AD192" s="9">
        <f t="shared" si="30"/>
        <v>4.5762968248305382</v>
      </c>
      <c r="AE192" s="9">
        <f t="shared" si="31"/>
        <v>2.8299964323938633</v>
      </c>
      <c r="AF192" s="9">
        <f t="shared" si="32"/>
        <v>4.3770142690695826</v>
      </c>
      <c r="AG192" s="9">
        <f t="shared" si="24"/>
        <v>1.4935047798493695</v>
      </c>
      <c r="AH192" s="9">
        <f t="shared" si="33"/>
        <v>0.93708481016097878</v>
      </c>
      <c r="AI192" s="9">
        <f t="shared" si="25"/>
        <v>1.6791395656714088</v>
      </c>
      <c r="AJ192" s="9">
        <f>(4*PI()*(AI192^2))/(Y192+E192)</f>
        <v>0.90672265007995734</v>
      </c>
      <c r="AK192" s="12">
        <f t="shared" si="26"/>
        <v>0.58670520231213863</v>
      </c>
      <c r="AL192" s="12" t="s">
        <v>144</v>
      </c>
      <c r="AM192" s="12" t="s">
        <v>142</v>
      </c>
      <c r="AN192" s="16">
        <v>9.6158000000000001</v>
      </c>
      <c r="AO192" s="16">
        <v>0.83631</v>
      </c>
      <c r="AP192" s="16">
        <v>20697</v>
      </c>
      <c r="AQ192" s="16">
        <v>20692</v>
      </c>
      <c r="AR192" s="16">
        <v>4.6414999999999997</v>
      </c>
      <c r="AS192" s="16">
        <v>4.2173999999999996E-3</v>
      </c>
      <c r="AT192" s="16">
        <v>0.75712000000000002</v>
      </c>
      <c r="AU192" s="16">
        <v>0.36437000000000003</v>
      </c>
      <c r="AV192" s="16">
        <v>1.2644000000000001E-2</v>
      </c>
      <c r="AW192" s="16">
        <v>4.0819999999999997E-3</v>
      </c>
      <c r="AX192" s="16">
        <v>0.29620999999999997</v>
      </c>
      <c r="AY192" s="16">
        <v>3.7408999999999999</v>
      </c>
      <c r="AZ192" s="16">
        <v>852.07</v>
      </c>
      <c r="BA192" s="16">
        <v>3.3100999999999998E-2</v>
      </c>
      <c r="BB192" s="16">
        <v>11.696999999999999</v>
      </c>
      <c r="BC192" s="16" t="s">
        <v>162</v>
      </c>
      <c r="BD192" s="34" t="s">
        <v>163</v>
      </c>
      <c r="BE192" t="s">
        <v>167</v>
      </c>
    </row>
    <row r="193" spans="1:57" x14ac:dyDescent="0.25">
      <c r="A193" s="15" t="s">
        <v>262</v>
      </c>
      <c r="B193" s="16" t="s">
        <v>13</v>
      </c>
      <c r="C193" s="16" t="s">
        <v>6</v>
      </c>
      <c r="D193" s="16">
        <v>77</v>
      </c>
      <c r="E193" s="16">
        <v>8.3354999999999997</v>
      </c>
      <c r="F193" s="16">
        <v>10.449</v>
      </c>
      <c r="G193" s="15">
        <v>6.09</v>
      </c>
      <c r="H193" s="15">
        <v>4.5199999999999996</v>
      </c>
      <c r="I193" s="15">
        <v>1.95</v>
      </c>
      <c r="J193" s="15">
        <v>63.8</v>
      </c>
      <c r="K193" s="15">
        <v>7.87</v>
      </c>
      <c r="L193" s="15">
        <v>60.91</v>
      </c>
      <c r="M193" s="15">
        <v>6.1</v>
      </c>
      <c r="N193" s="15">
        <v>2</v>
      </c>
      <c r="O193" s="15">
        <f>1.88+2.07</f>
        <v>3.9499999999999997</v>
      </c>
      <c r="P193" s="9">
        <v>1.4083399999999999</v>
      </c>
      <c r="Q193" s="9">
        <v>1.8699699999999999</v>
      </c>
      <c r="R193" s="9">
        <v>-0.15168499999999999</v>
      </c>
      <c r="S193" s="9">
        <v>0.16186800000000001</v>
      </c>
      <c r="T193" s="9">
        <v>0.18166199999999999</v>
      </c>
      <c r="U193" s="9">
        <v>4.63393E-2</v>
      </c>
      <c r="V193" s="9">
        <v>5.9948100000000002</v>
      </c>
      <c r="W193" s="9">
        <v>3.2058300000000002</v>
      </c>
      <c r="X193" s="9">
        <v>4.5148999999999999</v>
      </c>
      <c r="Y193" s="9">
        <v>72.412700000000001</v>
      </c>
      <c r="Z193" s="9">
        <v>60.661200000000001</v>
      </c>
      <c r="AA193" s="9">
        <f t="shared" si="27"/>
        <v>1.6440153846153847</v>
      </c>
      <c r="AB193" s="9">
        <f t="shared" si="28"/>
        <v>3.1230769230769231</v>
      </c>
      <c r="AC193" s="9">
        <f t="shared" si="29"/>
        <v>2.3179487179487177</v>
      </c>
      <c r="AD193" s="9">
        <f t="shared" si="30"/>
        <v>8.6872653110191358</v>
      </c>
      <c r="AE193" s="9">
        <f t="shared" si="31"/>
        <v>7.2774518625157461</v>
      </c>
      <c r="AF193" s="9">
        <f t="shared" si="32"/>
        <v>4.6903733057565322</v>
      </c>
      <c r="AG193" s="9">
        <f t="shared" si="24"/>
        <v>1.6288867536710425</v>
      </c>
      <c r="AH193" s="9">
        <f t="shared" si="33"/>
        <v>0.97948103337404047</v>
      </c>
      <c r="AI193" s="9">
        <f t="shared" si="25"/>
        <v>2.4374785131159284</v>
      </c>
      <c r="AJ193" s="9">
        <f>(4*PI()*(AI193^2))/(Y193+E193)</f>
        <v>0.92461004213774756</v>
      </c>
      <c r="AK193" s="12">
        <f t="shared" si="26"/>
        <v>0.49367088607594939</v>
      </c>
      <c r="AL193" s="12" t="s">
        <v>140</v>
      </c>
      <c r="AM193" s="12" t="s">
        <v>142</v>
      </c>
      <c r="AN193" s="16">
        <v>9.4667999999999992</v>
      </c>
      <c r="AO193" s="16">
        <v>0.73519000000000001</v>
      </c>
      <c r="AP193" s="16">
        <v>24274</v>
      </c>
      <c r="AQ193" s="16">
        <v>21533</v>
      </c>
      <c r="AR193" s="16">
        <v>4.4767000000000001</v>
      </c>
      <c r="AS193" s="16">
        <v>9.7630000000000008E-3</v>
      </c>
      <c r="AT193" s="16">
        <v>0.75331000000000004</v>
      </c>
      <c r="AU193" s="16">
        <v>0.53276999999999997</v>
      </c>
      <c r="AV193" s="16">
        <v>3.2702000000000002E-2</v>
      </c>
      <c r="AW193" s="16">
        <v>1.0942E-2</v>
      </c>
      <c r="AX193" s="16">
        <v>0.26612999999999998</v>
      </c>
      <c r="AY193" s="16">
        <v>-1.0757000000000001</v>
      </c>
      <c r="AZ193" s="16">
        <v>-411.3</v>
      </c>
      <c r="BA193" s="16">
        <v>0.11632000000000001</v>
      </c>
      <c r="BB193" s="16">
        <v>62.728000000000002</v>
      </c>
      <c r="BC193" s="16" t="s">
        <v>162</v>
      </c>
      <c r="BD193" s="34" t="s">
        <v>165</v>
      </c>
      <c r="BE193" t="s">
        <v>167</v>
      </c>
    </row>
    <row r="194" spans="1:57" x14ac:dyDescent="0.25">
      <c r="A194" s="15" t="s">
        <v>263</v>
      </c>
      <c r="B194" s="16" t="s">
        <v>13</v>
      </c>
      <c r="C194" s="16" t="s">
        <v>14</v>
      </c>
      <c r="D194" s="16">
        <v>57</v>
      </c>
      <c r="E194" s="16">
        <v>17.684000000000001</v>
      </c>
      <c r="F194" s="16">
        <v>15.787000000000001</v>
      </c>
      <c r="G194" s="15">
        <v>6.97</v>
      </c>
      <c r="H194" s="15">
        <v>4</v>
      </c>
      <c r="I194" s="15">
        <v>2.19</v>
      </c>
      <c r="J194" s="15">
        <v>82.67</v>
      </c>
      <c r="K194" s="15">
        <v>29.55</v>
      </c>
      <c r="L194" s="15">
        <v>67.92</v>
      </c>
      <c r="M194" s="15">
        <v>4.0999999999999996</v>
      </c>
      <c r="N194" s="15">
        <v>2</v>
      </c>
      <c r="O194" s="15">
        <f>1.56+2.55</f>
        <v>4.1099999999999994</v>
      </c>
      <c r="P194" s="9">
        <v>0.88506600000000002</v>
      </c>
      <c r="Q194" s="9">
        <v>1.27521</v>
      </c>
      <c r="R194" s="9">
        <v>0.46202500000000002</v>
      </c>
      <c r="S194" s="9">
        <v>7.4060100000000004E-2</v>
      </c>
      <c r="T194" s="9">
        <v>0.109239</v>
      </c>
      <c r="U194" s="9">
        <v>6.5728900000000007E-2</v>
      </c>
      <c r="V194" s="9">
        <v>5.7661100000000003</v>
      </c>
      <c r="W194" s="9">
        <v>4.5216799999999999</v>
      </c>
      <c r="X194" s="9">
        <v>4.0019900000000002</v>
      </c>
      <c r="Y194" s="9">
        <v>52.063200000000002</v>
      </c>
      <c r="Z194" s="9">
        <v>41.997799999999998</v>
      </c>
      <c r="AA194" s="9">
        <f t="shared" si="27"/>
        <v>2.0646940639269404</v>
      </c>
      <c r="AB194" s="9">
        <f t="shared" si="28"/>
        <v>3.182648401826484</v>
      </c>
      <c r="AC194" s="9">
        <f t="shared" si="29"/>
        <v>1.8264840182648403</v>
      </c>
      <c r="AD194" s="9">
        <f t="shared" si="30"/>
        <v>2.9440850486315311</v>
      </c>
      <c r="AE194" s="9">
        <f t="shared" si="31"/>
        <v>2.3749038679031891</v>
      </c>
      <c r="AF194" s="9">
        <f t="shared" si="32"/>
        <v>4.30903310448684</v>
      </c>
      <c r="AG194" s="9">
        <f t="shared" ref="AG194:AG257" si="34">SQRT(E194/PI())</f>
        <v>2.372549689105405</v>
      </c>
      <c r="AH194" s="9">
        <f t="shared" si="33"/>
        <v>0.94426866074241933</v>
      </c>
      <c r="AI194" s="9">
        <f t="shared" ref="AI194:AI257" si="35">(3*Z194/(4*PI()))^(1/3)</f>
        <v>2.1563171842373063</v>
      </c>
      <c r="AJ194" s="9">
        <f>(4*PI()*(AI194^2))/(Y194+E194)</f>
        <v>0.83773830613550204</v>
      </c>
      <c r="AK194" s="12">
        <f t="shared" si="26"/>
        <v>0.53284671532846717</v>
      </c>
      <c r="AL194" s="12" t="s">
        <v>140</v>
      </c>
      <c r="AM194" s="12" t="s">
        <v>142</v>
      </c>
      <c r="AN194" s="16">
        <v>6.8917000000000002</v>
      </c>
      <c r="AO194" s="16">
        <v>0.83030999999999999</v>
      </c>
      <c r="AP194" s="16">
        <v>9120.6</v>
      </c>
      <c r="AQ194" s="16">
        <v>9200.1</v>
      </c>
      <c r="AR194" s="16">
        <v>3.3077999999999999</v>
      </c>
      <c r="AS194" s="16">
        <v>4.0634E-3</v>
      </c>
      <c r="AT194" s="16">
        <v>0.76171999999999995</v>
      </c>
      <c r="AU194" s="16">
        <v>0.42241000000000001</v>
      </c>
      <c r="AV194" s="16">
        <v>1.9678999999999999E-3</v>
      </c>
      <c r="AW194" s="16">
        <v>6.5523999999999999E-3</v>
      </c>
      <c r="AX194" s="16">
        <v>0.22534999999999999</v>
      </c>
      <c r="AY194" s="16">
        <v>-12.763</v>
      </c>
      <c r="AZ194" s="16">
        <v>-1176.2</v>
      </c>
      <c r="BA194" s="16">
        <v>6.6295000000000007E-2</v>
      </c>
      <c r="BB194" s="16">
        <v>39.957000000000001</v>
      </c>
      <c r="BC194" s="16" t="s">
        <v>162</v>
      </c>
      <c r="BD194" s="34" t="s">
        <v>165</v>
      </c>
      <c r="BE194" t="s">
        <v>167</v>
      </c>
    </row>
    <row r="195" spans="1:57" x14ac:dyDescent="0.25">
      <c r="A195" s="15" t="s">
        <v>264</v>
      </c>
      <c r="B195" s="16" t="s">
        <v>13</v>
      </c>
      <c r="C195" s="16" t="s">
        <v>6</v>
      </c>
      <c r="D195" s="16">
        <v>69</v>
      </c>
      <c r="E195" s="16">
        <v>10.61</v>
      </c>
      <c r="F195" s="16">
        <v>12.066000000000001</v>
      </c>
      <c r="G195" s="15">
        <v>4.28</v>
      </c>
      <c r="H195" s="15">
        <v>1.4</v>
      </c>
      <c r="I195" s="15">
        <v>2.5299999999999998</v>
      </c>
      <c r="J195" s="15">
        <v>73.84</v>
      </c>
      <c r="K195" s="15">
        <v>0</v>
      </c>
      <c r="L195" s="15">
        <v>73.84</v>
      </c>
      <c r="M195" s="15">
        <v>3.6</v>
      </c>
      <c r="N195" s="15">
        <v>2</v>
      </c>
      <c r="O195" s="15">
        <f>2.61+2.25</f>
        <v>4.8599999999999994</v>
      </c>
      <c r="P195" s="9">
        <v>0.39572800000000002</v>
      </c>
      <c r="Q195" s="9">
        <v>1.18506</v>
      </c>
      <c r="R195" s="9">
        <v>0.46296300000000001</v>
      </c>
      <c r="S195" s="9">
        <v>4.41152E-2</v>
      </c>
      <c r="T195" s="9">
        <v>4.68511E-2</v>
      </c>
      <c r="U195" s="9">
        <v>-7.4001199999999996E-3</v>
      </c>
      <c r="V195" s="9">
        <v>4.23468</v>
      </c>
      <c r="W195" s="9">
        <v>3.5733999999999999</v>
      </c>
      <c r="X195" s="9">
        <v>1.4140900000000001</v>
      </c>
      <c r="Y195" s="9">
        <v>16.596599999999999</v>
      </c>
      <c r="Z195" s="9">
        <v>8.3667899999999999</v>
      </c>
      <c r="AA195" s="9">
        <f t="shared" si="27"/>
        <v>1.412411067193676</v>
      </c>
      <c r="AB195" s="9">
        <f t="shared" si="28"/>
        <v>1.6916996047430832</v>
      </c>
      <c r="AC195" s="9">
        <f t="shared" si="29"/>
        <v>0.55335968379446643</v>
      </c>
      <c r="AD195" s="9">
        <f t="shared" si="30"/>
        <v>1.5642412818096136</v>
      </c>
      <c r="AE195" s="9">
        <f t="shared" si="31"/>
        <v>0.78857587181903865</v>
      </c>
      <c r="AF195" s="9">
        <f t="shared" si="32"/>
        <v>4.0269837885649649</v>
      </c>
      <c r="AG195" s="9">
        <f t="shared" si="34"/>
        <v>1.837734445563346</v>
      </c>
      <c r="AH195" s="9">
        <f t="shared" si="33"/>
        <v>0.95697215869894225</v>
      </c>
      <c r="AI195" s="9">
        <f t="shared" si="35"/>
        <v>1.2593798870716491</v>
      </c>
      <c r="AJ195" s="9">
        <f>(4*PI()*(AI195^2))/(Y195+E195)</f>
        <v>0.73256994795566854</v>
      </c>
      <c r="AK195" s="12">
        <f t="shared" ref="AK195:AK258" si="36">I195/O195</f>
        <v>0.52057613168724282</v>
      </c>
      <c r="AL195" s="12" t="s">
        <v>144</v>
      </c>
      <c r="AM195" s="12" t="s">
        <v>142</v>
      </c>
      <c r="AN195" s="16">
        <v>11.548999999999999</v>
      </c>
      <c r="AO195" s="16">
        <v>1.5983000000000001</v>
      </c>
      <c r="AP195" s="16">
        <v>17642</v>
      </c>
      <c r="AQ195" s="16">
        <v>17229</v>
      </c>
      <c r="AR195" s="16">
        <v>5.8413000000000004</v>
      </c>
      <c r="AS195" s="16">
        <v>1.0372999999999999E-3</v>
      </c>
      <c r="AT195" s="16">
        <v>0.78232000000000002</v>
      </c>
      <c r="AU195" s="16">
        <v>0.20219000000000001</v>
      </c>
      <c r="AV195" s="16">
        <v>0</v>
      </c>
      <c r="AW195" s="16">
        <v>1.3764000000000001E-3</v>
      </c>
      <c r="AX195" s="16">
        <v>0.33771000000000001</v>
      </c>
      <c r="AY195" s="16">
        <v>2.7967</v>
      </c>
      <c r="AZ195" s="16">
        <v>570.01</v>
      </c>
      <c r="BA195" s="16">
        <v>1.0775E-2</v>
      </c>
      <c r="BB195" s="16">
        <v>23.600999999999999</v>
      </c>
      <c r="BC195" s="16" t="s">
        <v>162</v>
      </c>
      <c r="BD195" s="34" t="s">
        <v>163</v>
      </c>
      <c r="BE195" t="s">
        <v>167</v>
      </c>
    </row>
    <row r="196" spans="1:57" x14ac:dyDescent="0.25">
      <c r="A196" s="15" t="s">
        <v>265</v>
      </c>
      <c r="B196" s="16" t="s">
        <v>13</v>
      </c>
      <c r="C196" s="16" t="s">
        <v>6</v>
      </c>
      <c r="D196" s="16">
        <v>54</v>
      </c>
      <c r="E196" s="16">
        <v>52.569000000000003</v>
      </c>
      <c r="F196" s="16">
        <v>27.103000000000002</v>
      </c>
      <c r="G196" s="15">
        <v>10.16</v>
      </c>
      <c r="H196" s="15">
        <v>3.9</v>
      </c>
      <c r="I196" s="15">
        <v>2.36</v>
      </c>
      <c r="J196" s="15">
        <v>118.79</v>
      </c>
      <c r="K196" s="15">
        <v>5.94</v>
      </c>
      <c r="L196" s="15">
        <v>53.26</v>
      </c>
      <c r="M196" s="15">
        <v>7.1</v>
      </c>
      <c r="N196" s="15">
        <v>2</v>
      </c>
      <c r="O196" s="15">
        <f>2.61+2.27</f>
        <v>4.88</v>
      </c>
      <c r="P196" s="9">
        <v>0.50471600000000005</v>
      </c>
      <c r="Q196" s="9">
        <v>1.3081199999999999</v>
      </c>
      <c r="R196" s="9">
        <v>0.42207800000000001</v>
      </c>
      <c r="S196" s="9">
        <v>4.7129600000000001E-2</v>
      </c>
      <c r="T196" s="9">
        <v>8.77222E-2</v>
      </c>
      <c r="U196" s="9">
        <v>8.7029999999999996E-2</v>
      </c>
      <c r="V196" s="9">
        <v>10.1999</v>
      </c>
      <c r="W196" s="9">
        <v>7.7973499999999998</v>
      </c>
      <c r="X196" s="9">
        <v>3.9354399999999998</v>
      </c>
      <c r="Y196" s="9">
        <v>110.499</v>
      </c>
      <c r="Z196" s="9">
        <v>134.59100000000001</v>
      </c>
      <c r="AA196" s="9">
        <f t="shared" si="27"/>
        <v>3.3039618644067796</v>
      </c>
      <c r="AB196" s="9">
        <f t="shared" si="28"/>
        <v>4.3050847457627119</v>
      </c>
      <c r="AC196" s="9">
        <f t="shared" si="29"/>
        <v>1.652542372881356</v>
      </c>
      <c r="AD196" s="9">
        <f t="shared" si="30"/>
        <v>2.1019802545226272</v>
      </c>
      <c r="AE196" s="9">
        <f t="shared" si="31"/>
        <v>2.5602731647929389</v>
      </c>
      <c r="AF196" s="9">
        <f t="shared" si="32"/>
        <v>4.2074051525182457</v>
      </c>
      <c r="AG196" s="9">
        <f t="shared" si="34"/>
        <v>4.0906273854747139</v>
      </c>
      <c r="AH196" s="9">
        <f t="shared" si="33"/>
        <v>0.94831457349965564</v>
      </c>
      <c r="AI196" s="9">
        <f t="shared" si="35"/>
        <v>3.179136218939234</v>
      </c>
      <c r="AJ196" s="9">
        <f>(4*PI()*(AI196^2))/(Y196+E196)</f>
        <v>0.77885998703328596</v>
      </c>
      <c r="AK196" s="12">
        <f t="shared" si="36"/>
        <v>0.48360655737704916</v>
      </c>
      <c r="AL196" s="12" t="s">
        <v>140</v>
      </c>
      <c r="AM196" s="12" t="s">
        <v>142</v>
      </c>
      <c r="AN196" s="16">
        <v>2.7206000000000001</v>
      </c>
      <c r="AO196" s="16">
        <v>0.59570999999999996</v>
      </c>
      <c r="AP196" s="16">
        <v>3070</v>
      </c>
      <c r="AQ196" s="16">
        <v>2853.8</v>
      </c>
      <c r="AR196" s="16">
        <v>1.7567999999999999</v>
      </c>
      <c r="AS196" s="16">
        <v>8.0403999999999996E-3</v>
      </c>
      <c r="AT196" s="16">
        <v>0.74792000000000003</v>
      </c>
      <c r="AU196" s="16">
        <v>1.2861</v>
      </c>
      <c r="AV196" s="16">
        <v>0.16275999999999999</v>
      </c>
      <c r="AW196" s="16">
        <v>8.3499999999999998E-3</v>
      </c>
      <c r="AX196" s="16">
        <v>0.15421000000000001</v>
      </c>
      <c r="AY196" s="16">
        <v>-26.123000000000001</v>
      </c>
      <c r="AZ196" s="16">
        <v>-458.38</v>
      </c>
      <c r="BA196" s="16">
        <v>0.11871</v>
      </c>
      <c r="BB196" s="16">
        <v>34.692999999999998</v>
      </c>
      <c r="BC196" s="16" t="s">
        <v>162</v>
      </c>
      <c r="BD196" s="34" t="s">
        <v>165</v>
      </c>
      <c r="BE196" t="s">
        <v>167</v>
      </c>
    </row>
    <row r="197" spans="1:57" x14ac:dyDescent="0.25">
      <c r="A197" s="15" t="s">
        <v>266</v>
      </c>
      <c r="B197" s="16" t="s">
        <v>178</v>
      </c>
      <c r="C197" s="16" t="s">
        <v>6</v>
      </c>
      <c r="D197" s="16">
        <v>81</v>
      </c>
      <c r="E197" s="16">
        <v>4.9977</v>
      </c>
      <c r="F197" s="16">
        <v>8.0793999999999997</v>
      </c>
      <c r="G197" s="15">
        <v>9.3800000000000008</v>
      </c>
      <c r="H197" s="15">
        <v>4.9000000000000004</v>
      </c>
      <c r="I197" s="15">
        <v>2.39</v>
      </c>
      <c r="J197" s="15">
        <v>97.72</v>
      </c>
      <c r="K197" s="15">
        <f>180-173.66</f>
        <v>6.3400000000000034</v>
      </c>
      <c r="L197" s="15">
        <v>87.68</v>
      </c>
      <c r="M197" s="15">
        <v>5.5</v>
      </c>
      <c r="N197" s="15">
        <v>2</v>
      </c>
      <c r="O197" s="15">
        <f>1.58+1.18</f>
        <v>2.76</v>
      </c>
      <c r="P197" s="9">
        <v>1.9710300000000001</v>
      </c>
      <c r="Q197" s="9">
        <v>3.6621199999999998</v>
      </c>
      <c r="R197" s="9">
        <v>6.25E-2</v>
      </c>
      <c r="S197" s="9">
        <v>0.24665300000000001</v>
      </c>
      <c r="T197" s="9">
        <v>0.361541</v>
      </c>
      <c r="U197" s="9">
        <v>0.26245200000000002</v>
      </c>
      <c r="V197" s="9">
        <v>9.0596800000000002</v>
      </c>
      <c r="W197" s="9">
        <v>2.4738899999999999</v>
      </c>
      <c r="X197" s="9">
        <v>4.8761200000000002</v>
      </c>
      <c r="Y197" s="9">
        <v>121.393</v>
      </c>
      <c r="Z197" s="9">
        <v>90.736000000000004</v>
      </c>
      <c r="AA197" s="9">
        <f t="shared" ref="AA197:AA260" si="37">W197/I197</f>
        <v>1.0351004184100419</v>
      </c>
      <c r="AB197" s="9">
        <f t="shared" ref="AB197:AB260" si="38">G197/I197</f>
        <v>3.9246861924686192</v>
      </c>
      <c r="AC197" s="9">
        <f t="shared" ref="AC197:AC260" si="39">H197/I197</f>
        <v>2.0502092050209204</v>
      </c>
      <c r="AD197" s="9">
        <f t="shared" ref="AD197:AD260" si="40">Y197/E197</f>
        <v>24.289773295716028</v>
      </c>
      <c r="AE197" s="9">
        <f t="shared" ref="AE197:AE260" si="41">Z197/E197</f>
        <v>18.155551553714709</v>
      </c>
      <c r="AF197" s="9">
        <f t="shared" ref="AF197:AF260" si="42">Y197/(Z197)^(2/3)</f>
        <v>6.0118373791931425</v>
      </c>
      <c r="AG197" s="9">
        <f t="shared" si="34"/>
        <v>1.2612760673939432</v>
      </c>
      <c r="AH197" s="9">
        <f t="shared" si="33"/>
        <v>0.98086878418531998</v>
      </c>
      <c r="AI197" s="9">
        <f t="shared" si="35"/>
        <v>2.7875992577772641</v>
      </c>
      <c r="AJ197" s="9">
        <f>(4*PI()*(AI197^2))/(Y197+E197)</f>
        <v>0.77260128352893587</v>
      </c>
      <c r="AK197" s="12">
        <f t="shared" si="36"/>
        <v>0.86594202898550732</v>
      </c>
      <c r="AL197" s="12" t="s">
        <v>140</v>
      </c>
      <c r="AM197" s="12" t="s">
        <v>142</v>
      </c>
      <c r="AN197" s="16">
        <v>0.95226999999999995</v>
      </c>
      <c r="AO197" s="16">
        <v>0.10161000000000001</v>
      </c>
      <c r="AP197" s="16">
        <v>3074.9</v>
      </c>
      <c r="AQ197" s="16">
        <v>2579.1999999999998</v>
      </c>
      <c r="AR197" s="16">
        <v>0.48309000000000002</v>
      </c>
      <c r="AS197" s="16">
        <v>2.4018000000000001E-2</v>
      </c>
      <c r="AT197" s="16">
        <v>0.70074000000000003</v>
      </c>
      <c r="AU197" s="16">
        <v>83.456999999999994</v>
      </c>
      <c r="AV197" s="16">
        <v>0.74772000000000005</v>
      </c>
      <c r="AW197" s="16">
        <v>1.4154999999999999E-2</v>
      </c>
      <c r="AX197" s="16">
        <v>4.0541000000000001E-2</v>
      </c>
      <c r="AY197" s="16">
        <v>-6.3274999999999997</v>
      </c>
      <c r="AZ197" s="16">
        <v>-320.27</v>
      </c>
      <c r="BA197" s="16">
        <v>0.27421000000000001</v>
      </c>
      <c r="BB197" s="16">
        <v>4.3952999999999998</v>
      </c>
      <c r="BC197" s="16" t="s">
        <v>162</v>
      </c>
      <c r="BD197" s="34" t="s">
        <v>165</v>
      </c>
      <c r="BE197" t="s">
        <v>167</v>
      </c>
    </row>
    <row r="198" spans="1:57" x14ac:dyDescent="0.25">
      <c r="A198" s="15" t="s">
        <v>267</v>
      </c>
      <c r="B198" s="16" t="s">
        <v>40</v>
      </c>
      <c r="C198" s="16" t="s">
        <v>6</v>
      </c>
      <c r="D198" s="16">
        <v>67</v>
      </c>
      <c r="E198" s="16">
        <v>7.5839999999999996</v>
      </c>
      <c r="F198" s="16">
        <v>9.9688999999999997</v>
      </c>
      <c r="G198" s="15">
        <v>4.63</v>
      </c>
      <c r="H198" s="15">
        <v>2.95</v>
      </c>
      <c r="I198" s="15">
        <v>2.79</v>
      </c>
      <c r="J198" s="15">
        <v>51.11</v>
      </c>
      <c r="K198" s="15">
        <v>30.92</v>
      </c>
      <c r="L198" s="15">
        <v>75.05</v>
      </c>
      <c r="M198" s="15">
        <v>4.5</v>
      </c>
      <c r="N198" s="15">
        <v>2</v>
      </c>
      <c r="O198" s="15">
        <f>2.12+2.23</f>
        <v>4.3499999999999996</v>
      </c>
      <c r="P198" s="9">
        <v>0.97761699999999996</v>
      </c>
      <c r="Q198" s="9">
        <v>1.47065</v>
      </c>
      <c r="R198" s="9">
        <v>-1.72414E-2</v>
      </c>
      <c r="S198" s="9">
        <v>0.10481</v>
      </c>
      <c r="T198" s="9">
        <v>0.110454</v>
      </c>
      <c r="U198" s="9">
        <v>2.97431E-3</v>
      </c>
      <c r="V198" s="9">
        <v>4.4736900000000004</v>
      </c>
      <c r="W198" s="9">
        <v>3.0419800000000001</v>
      </c>
      <c r="X198" s="9">
        <v>2.9738899999999999</v>
      </c>
      <c r="Y198" s="9">
        <v>38.235999999999997</v>
      </c>
      <c r="Z198" s="9">
        <v>26.378499999999999</v>
      </c>
      <c r="AA198" s="9">
        <f t="shared" si="37"/>
        <v>1.0903154121863801</v>
      </c>
      <c r="AB198" s="9">
        <f t="shared" si="38"/>
        <v>1.6594982078853047</v>
      </c>
      <c r="AC198" s="9">
        <f t="shared" si="39"/>
        <v>1.0573476702508962</v>
      </c>
      <c r="AD198" s="9">
        <f t="shared" si="40"/>
        <v>5.041666666666667</v>
      </c>
      <c r="AE198" s="9">
        <f t="shared" si="41"/>
        <v>3.4781777426160336</v>
      </c>
      <c r="AF198" s="9">
        <f t="shared" si="42"/>
        <v>4.3149164310110439</v>
      </c>
      <c r="AG198" s="9">
        <f t="shared" si="34"/>
        <v>1.5537252578296681</v>
      </c>
      <c r="AH198" s="9">
        <f t="shared" si="33"/>
        <v>0.97927993172658823</v>
      </c>
      <c r="AI198" s="9">
        <f t="shared" si="35"/>
        <v>1.8466609357545694</v>
      </c>
      <c r="AJ198" s="9">
        <f>(4*PI()*(AI198^2))/(Y198+E198)</f>
        <v>0.93525298635748466</v>
      </c>
      <c r="AK198" s="12">
        <f t="shared" si="36"/>
        <v>0.64137931034482765</v>
      </c>
      <c r="AL198" s="12" t="s">
        <v>144</v>
      </c>
      <c r="AM198" s="12" t="s">
        <v>142</v>
      </c>
      <c r="AN198" s="16">
        <v>2.7124999999999999</v>
      </c>
      <c r="AO198" s="16">
        <v>0.58184999999999998</v>
      </c>
      <c r="AP198" s="16">
        <v>6675.2</v>
      </c>
      <c r="AQ198" s="16">
        <v>5820.5</v>
      </c>
      <c r="AR198" s="16">
        <v>1.6059000000000001</v>
      </c>
      <c r="AS198" s="16">
        <v>1.1187000000000001E-2</v>
      </c>
      <c r="AT198" s="16">
        <v>0.68440000000000001</v>
      </c>
      <c r="AU198" s="16">
        <v>1.0026999999999999</v>
      </c>
      <c r="AV198" s="16">
        <v>2.0830000000000001E-2</v>
      </c>
      <c r="AW198" s="16">
        <v>1.2406E-2</v>
      </c>
      <c r="AX198" s="16">
        <v>0.12823999999999999</v>
      </c>
      <c r="AY198" s="16">
        <v>-4.8296000000000001</v>
      </c>
      <c r="AZ198" s="16">
        <v>-489.56</v>
      </c>
      <c r="BA198" s="16">
        <v>8.2507999999999998E-2</v>
      </c>
      <c r="BB198" s="16">
        <v>8.4163999999999994</v>
      </c>
      <c r="BC198" s="16" t="s">
        <v>162</v>
      </c>
      <c r="BD198" s="34" t="s">
        <v>165</v>
      </c>
      <c r="BE198" t="s">
        <v>167</v>
      </c>
    </row>
    <row r="199" spans="1:57" x14ac:dyDescent="0.25">
      <c r="A199" s="15" t="s">
        <v>268</v>
      </c>
      <c r="B199" s="16" t="s">
        <v>178</v>
      </c>
      <c r="C199" s="16" t="s">
        <v>6</v>
      </c>
      <c r="D199" s="16">
        <v>67</v>
      </c>
      <c r="E199" s="16">
        <v>6.5640999999999998</v>
      </c>
      <c r="F199" s="16">
        <v>9.4481000000000002</v>
      </c>
      <c r="G199" s="15">
        <v>4.26</v>
      </c>
      <c r="H199" s="15">
        <v>3.5</v>
      </c>
      <c r="I199" s="15">
        <v>2.35</v>
      </c>
      <c r="J199" s="15">
        <v>36.43</v>
      </c>
      <c r="K199" s="15">
        <v>46.06</v>
      </c>
      <c r="L199" s="15">
        <v>77.34</v>
      </c>
      <c r="M199" s="15">
        <v>3.6</v>
      </c>
      <c r="N199" s="15">
        <v>2</v>
      </c>
      <c r="O199" s="15">
        <f>1.75+1.13</f>
        <v>2.88</v>
      </c>
      <c r="P199" s="9">
        <v>1.2315</v>
      </c>
      <c r="Q199" s="9">
        <v>1.24756</v>
      </c>
      <c r="R199" s="9">
        <v>0.147059</v>
      </c>
      <c r="S199" s="9">
        <v>0.127057</v>
      </c>
      <c r="T199" s="9">
        <v>0.146456</v>
      </c>
      <c r="U199" s="9">
        <v>5.01208E-2</v>
      </c>
      <c r="V199" s="9">
        <v>3.5373899999999998</v>
      </c>
      <c r="W199" s="9">
        <v>2.8354499999999998</v>
      </c>
      <c r="X199" s="9">
        <v>3.49186</v>
      </c>
      <c r="Y199" s="9">
        <v>33.387799999999999</v>
      </c>
      <c r="Z199" s="9">
        <v>20.230699999999999</v>
      </c>
      <c r="AA199" s="9">
        <f t="shared" si="37"/>
        <v>1.2065744680851063</v>
      </c>
      <c r="AB199" s="9">
        <f t="shared" si="38"/>
        <v>1.8127659574468082</v>
      </c>
      <c r="AC199" s="9">
        <f t="shared" si="39"/>
        <v>1.4893617021276595</v>
      </c>
      <c r="AD199" s="9">
        <f t="shared" si="40"/>
        <v>5.0864246431346265</v>
      </c>
      <c r="AE199" s="9">
        <f t="shared" si="41"/>
        <v>3.0820219070398074</v>
      </c>
      <c r="AF199" s="9">
        <f t="shared" si="42"/>
        <v>4.4969065573631095</v>
      </c>
      <c r="AG199" s="9">
        <f t="shared" si="34"/>
        <v>1.4454819002322445</v>
      </c>
      <c r="AH199" s="9">
        <f t="shared" si="33"/>
        <v>0.96127587952427129</v>
      </c>
      <c r="AI199" s="9">
        <f t="shared" si="35"/>
        <v>1.6903401228083741</v>
      </c>
      <c r="AJ199" s="9">
        <f>(4*PI()*(AI199^2))/(Y199+E199)</f>
        <v>0.89871217776143419</v>
      </c>
      <c r="AK199" s="12">
        <f t="shared" si="36"/>
        <v>0.81597222222222232</v>
      </c>
      <c r="AL199" s="12" t="s">
        <v>144</v>
      </c>
      <c r="AM199" s="12" t="s">
        <v>142</v>
      </c>
      <c r="AN199" s="16">
        <v>2.6846000000000001</v>
      </c>
      <c r="AO199" s="16">
        <v>0.37070999999999998</v>
      </c>
      <c r="AP199" s="16">
        <v>7366.2</v>
      </c>
      <c r="AQ199" s="16">
        <v>6914.6</v>
      </c>
      <c r="AR199" s="16">
        <v>1.212</v>
      </c>
      <c r="AS199" s="16">
        <v>1.2947E-2</v>
      </c>
      <c r="AT199" s="16">
        <v>0.76956999999999998</v>
      </c>
      <c r="AU199" s="16">
        <v>1.625</v>
      </c>
      <c r="AV199" s="16">
        <v>7.3564000000000004E-2</v>
      </c>
      <c r="AW199" s="16">
        <v>1.4708000000000001E-2</v>
      </c>
      <c r="AX199" s="16">
        <v>0.10642</v>
      </c>
      <c r="AY199" s="16">
        <v>-29.571999999999999</v>
      </c>
      <c r="AZ199" s="16">
        <v>-871.73</v>
      </c>
      <c r="BA199" s="16">
        <v>0.10945000000000001</v>
      </c>
      <c r="BB199" s="16">
        <v>56.261000000000003</v>
      </c>
      <c r="BC199" s="16" t="s">
        <v>162</v>
      </c>
      <c r="BD199" s="34" t="s">
        <v>165</v>
      </c>
      <c r="BE199" t="s">
        <v>167</v>
      </c>
    </row>
    <row r="200" spans="1:57" x14ac:dyDescent="0.25">
      <c r="A200" s="15" t="s">
        <v>269</v>
      </c>
      <c r="B200" s="16" t="s">
        <v>13</v>
      </c>
      <c r="C200" s="16" t="s">
        <v>6</v>
      </c>
      <c r="D200" s="16">
        <v>75</v>
      </c>
      <c r="E200" s="16">
        <v>32.255000000000003</v>
      </c>
      <c r="F200" s="16">
        <v>21.463999999999999</v>
      </c>
      <c r="G200" s="15">
        <v>8.6199999999999992</v>
      </c>
      <c r="H200" s="15">
        <v>4.0999999999999996</v>
      </c>
      <c r="I200" s="15">
        <v>2.54</v>
      </c>
      <c r="J200" s="15">
        <v>84.28</v>
      </c>
      <c r="K200" s="15">
        <v>12.75</v>
      </c>
      <c r="L200" s="15">
        <v>78.83</v>
      </c>
      <c r="M200" s="15">
        <v>8.3000000000000007</v>
      </c>
      <c r="N200" s="15">
        <v>2</v>
      </c>
      <c r="O200" s="15">
        <f>2.11+1.55</f>
        <v>3.66</v>
      </c>
      <c r="P200" s="9">
        <v>0.67835599999999996</v>
      </c>
      <c r="Q200" s="9">
        <v>1.3794</v>
      </c>
      <c r="R200" s="9">
        <v>0.4</v>
      </c>
      <c r="S200" s="9">
        <v>5.3182899999999998E-2</v>
      </c>
      <c r="T200" s="9">
        <v>6.0344000000000002E-2</v>
      </c>
      <c r="U200" s="9">
        <v>1.6133399999999999E-2</v>
      </c>
      <c r="V200" s="9">
        <v>8.3218300000000003</v>
      </c>
      <c r="W200" s="9">
        <v>6.03294</v>
      </c>
      <c r="X200" s="9">
        <v>4.0924800000000001</v>
      </c>
      <c r="Y200" s="9">
        <v>84.549899999999994</v>
      </c>
      <c r="Z200" s="9">
        <v>94.169899999999998</v>
      </c>
      <c r="AA200" s="9">
        <f t="shared" si="37"/>
        <v>2.3751732283464566</v>
      </c>
      <c r="AB200" s="9">
        <f t="shared" si="38"/>
        <v>3.3937007874015745</v>
      </c>
      <c r="AC200" s="9">
        <f t="shared" si="39"/>
        <v>1.6141732283464565</v>
      </c>
      <c r="AD200" s="9">
        <f t="shared" si="40"/>
        <v>2.6212959231126951</v>
      </c>
      <c r="AE200" s="9">
        <f t="shared" si="41"/>
        <v>2.9195442567043868</v>
      </c>
      <c r="AF200" s="9">
        <f t="shared" si="42"/>
        <v>4.0848084148272426</v>
      </c>
      <c r="AG200" s="9">
        <f t="shared" si="34"/>
        <v>3.2042292956119995</v>
      </c>
      <c r="AH200" s="9">
        <f t="shared" si="33"/>
        <v>0.93797830930971449</v>
      </c>
      <c r="AI200" s="9">
        <f t="shared" si="35"/>
        <v>2.8223302676552136</v>
      </c>
      <c r="AJ200" s="9">
        <f>(4*PI()*(AI200^2))/(Y200+E200)</f>
        <v>0.85696773055133235</v>
      </c>
      <c r="AK200" s="12">
        <f t="shared" si="36"/>
        <v>0.69398907103825136</v>
      </c>
      <c r="AL200" s="12" t="s">
        <v>144</v>
      </c>
      <c r="AM200" s="12" t="s">
        <v>142</v>
      </c>
      <c r="AN200" s="16">
        <v>7.2797000000000001</v>
      </c>
      <c r="AO200" s="16">
        <v>0.74051999999999996</v>
      </c>
      <c r="AP200" s="16">
        <v>7521.2</v>
      </c>
      <c r="AQ200" s="16">
        <v>7628.2</v>
      </c>
      <c r="AR200" s="16">
        <v>3.6473</v>
      </c>
      <c r="AS200" s="16">
        <v>7.1294000000000001E-3</v>
      </c>
      <c r="AT200" s="16">
        <v>0.77622999999999998</v>
      </c>
      <c r="AU200" s="16">
        <v>0.46778999999999998</v>
      </c>
      <c r="AV200" s="16">
        <v>2.3906E-2</v>
      </c>
      <c r="AW200" s="16">
        <v>6.2781E-3</v>
      </c>
      <c r="AX200" s="16">
        <v>0.26821</v>
      </c>
      <c r="AY200" s="16">
        <v>-11.071</v>
      </c>
      <c r="AZ200" s="16">
        <v>-1846</v>
      </c>
      <c r="BA200" s="16">
        <v>5.7805000000000002E-2</v>
      </c>
      <c r="BB200" s="16">
        <v>7.4583000000000004</v>
      </c>
      <c r="BC200" s="16" t="s">
        <v>162</v>
      </c>
      <c r="BD200" s="34" t="s">
        <v>163</v>
      </c>
      <c r="BE200" t="s">
        <v>167</v>
      </c>
    </row>
    <row r="201" spans="1:57" x14ac:dyDescent="0.25">
      <c r="A201" s="15" t="s">
        <v>270</v>
      </c>
      <c r="B201" s="16" t="s">
        <v>5</v>
      </c>
      <c r="C201" s="16" t="s">
        <v>6</v>
      </c>
      <c r="D201" s="16">
        <v>50</v>
      </c>
      <c r="E201" s="16">
        <v>4.3689999999999998</v>
      </c>
      <c r="F201" s="16">
        <v>7.6201999999999996</v>
      </c>
      <c r="G201" s="15">
        <v>2.92</v>
      </c>
      <c r="H201" s="15">
        <v>2.15</v>
      </c>
      <c r="I201" s="15">
        <v>3.17</v>
      </c>
      <c r="J201" s="15">
        <v>101.15</v>
      </c>
      <c r="K201" s="15">
        <v>32.31</v>
      </c>
      <c r="L201" s="15">
        <v>33.64</v>
      </c>
      <c r="M201" s="15">
        <v>2.8</v>
      </c>
      <c r="N201" s="15">
        <v>2</v>
      </c>
      <c r="O201" s="15">
        <f>2.78+0.86</f>
        <v>3.6399999999999997</v>
      </c>
      <c r="P201" s="9">
        <v>0.95008300000000001</v>
      </c>
      <c r="Q201" s="9">
        <v>1.2228699999999999</v>
      </c>
      <c r="R201" s="9">
        <v>0.33333299999999999</v>
      </c>
      <c r="S201" s="9">
        <v>7.0945099999999997E-2</v>
      </c>
      <c r="T201" s="9">
        <v>7.7819200000000005E-2</v>
      </c>
      <c r="U201" s="9">
        <v>-6.2222299999999996E-3</v>
      </c>
      <c r="V201" s="9">
        <v>2.7933300000000001</v>
      </c>
      <c r="W201" s="9">
        <v>2.2842500000000001</v>
      </c>
      <c r="X201" s="9">
        <v>2.17022</v>
      </c>
      <c r="Y201" s="9">
        <v>16.655799999999999</v>
      </c>
      <c r="Z201" s="9">
        <v>8.0049700000000001</v>
      </c>
      <c r="AA201" s="9">
        <f t="shared" si="37"/>
        <v>0.72058359621451107</v>
      </c>
      <c r="AB201" s="9">
        <f t="shared" si="38"/>
        <v>0.92113564668769721</v>
      </c>
      <c r="AC201" s="9">
        <f t="shared" si="39"/>
        <v>0.67823343848580442</v>
      </c>
      <c r="AD201" s="9">
        <f t="shared" si="40"/>
        <v>3.8122682536049441</v>
      </c>
      <c r="AE201" s="9">
        <f t="shared" si="41"/>
        <v>1.8322201876859694</v>
      </c>
      <c r="AF201" s="9">
        <f t="shared" si="42"/>
        <v>4.162226323039472</v>
      </c>
      <c r="AG201" s="9">
        <f t="shared" si="34"/>
        <v>1.1792776995843606</v>
      </c>
      <c r="AH201" s="9">
        <f t="shared" si="33"/>
        <v>0.97236559606217643</v>
      </c>
      <c r="AI201" s="9">
        <f t="shared" si="35"/>
        <v>1.2409578571065274</v>
      </c>
      <c r="AJ201" s="9">
        <f>(4*PI()*(AI201^2))/(Y201+E201)</f>
        <v>0.92043273747686738</v>
      </c>
      <c r="AK201" s="12">
        <f t="shared" si="36"/>
        <v>0.87087912087912089</v>
      </c>
      <c r="AL201" s="12" t="s">
        <v>144</v>
      </c>
      <c r="AM201" s="12" t="s">
        <v>142</v>
      </c>
      <c r="AN201" s="16">
        <v>10.073</v>
      </c>
      <c r="AO201" s="16">
        <v>0.97126000000000001</v>
      </c>
      <c r="AP201" s="16">
        <v>23448</v>
      </c>
      <c r="AQ201" s="16">
        <v>21587</v>
      </c>
      <c r="AR201" s="16">
        <v>4.2691999999999997</v>
      </c>
      <c r="AS201" s="16">
        <v>6.5659999999999998E-3</v>
      </c>
      <c r="AT201" s="16">
        <v>0.74738000000000004</v>
      </c>
      <c r="AU201" s="16">
        <v>0.32473000000000002</v>
      </c>
      <c r="AV201" s="21">
        <v>7.1232000000000001E-4</v>
      </c>
      <c r="AW201" s="16">
        <v>4.7594999999999998E-3</v>
      </c>
      <c r="AX201" s="16">
        <v>0.29137999999999997</v>
      </c>
      <c r="AY201" s="16">
        <v>-2.0819999999999999</v>
      </c>
      <c r="AZ201" s="16">
        <v>-2421.1</v>
      </c>
      <c r="BA201" s="16">
        <v>2.6286E-2</v>
      </c>
      <c r="BB201" s="16">
        <v>12.696999999999999</v>
      </c>
      <c r="BC201" s="16" t="s">
        <v>162</v>
      </c>
      <c r="BD201" s="34" t="s">
        <v>163</v>
      </c>
      <c r="BE201" t="s">
        <v>167</v>
      </c>
    </row>
    <row r="202" spans="1:57" x14ac:dyDescent="0.25">
      <c r="A202" s="15" t="s">
        <v>271</v>
      </c>
      <c r="B202" s="16" t="s">
        <v>13</v>
      </c>
      <c r="C202" s="16" t="s">
        <v>6</v>
      </c>
      <c r="D202" s="16">
        <v>52</v>
      </c>
      <c r="E202" s="16">
        <v>19.957999999999998</v>
      </c>
      <c r="F202" s="16">
        <v>16.425000000000001</v>
      </c>
      <c r="G202" s="15">
        <v>9.6</v>
      </c>
      <c r="H202" s="15">
        <v>5.8</v>
      </c>
      <c r="I202" s="15">
        <v>2.58</v>
      </c>
      <c r="J202" s="15">
        <v>29.05</v>
      </c>
      <c r="K202" s="15">
        <v>29.57</v>
      </c>
      <c r="L202" s="15">
        <v>40.14</v>
      </c>
      <c r="M202" s="15">
        <v>9.4</v>
      </c>
      <c r="N202" s="15">
        <v>2</v>
      </c>
      <c r="O202" s="15">
        <f>2.47+2.4</f>
        <v>4.87</v>
      </c>
      <c r="P202" s="9">
        <v>1.1873199999999999</v>
      </c>
      <c r="Q202" s="9">
        <v>1.74749</v>
      </c>
      <c r="R202" s="9">
        <v>5.6521799999999997E-2</v>
      </c>
      <c r="S202" s="9">
        <v>0.187003</v>
      </c>
      <c r="T202" s="9">
        <v>0.26768999999999998</v>
      </c>
      <c r="U202" s="9">
        <v>0.14558199999999999</v>
      </c>
      <c r="V202" s="9">
        <v>8.5623000000000005</v>
      </c>
      <c r="W202" s="9">
        <v>4.8997700000000002</v>
      </c>
      <c r="X202" s="9">
        <v>5.8176100000000002</v>
      </c>
      <c r="Y202" s="9">
        <v>153.23699999999999</v>
      </c>
      <c r="Z202" s="9">
        <v>158.08000000000001</v>
      </c>
      <c r="AA202" s="9">
        <f t="shared" si="37"/>
        <v>1.8991356589147288</v>
      </c>
      <c r="AB202" s="9">
        <f t="shared" si="38"/>
        <v>3.7209302325581395</v>
      </c>
      <c r="AC202" s="9">
        <f t="shared" si="39"/>
        <v>2.248062015503876</v>
      </c>
      <c r="AD202" s="9">
        <f t="shared" si="40"/>
        <v>7.6779737448642154</v>
      </c>
      <c r="AE202" s="9">
        <f t="shared" si="41"/>
        <v>7.9206333299929863</v>
      </c>
      <c r="AF202" s="9">
        <f t="shared" si="42"/>
        <v>5.2413805105198348</v>
      </c>
      <c r="AG202" s="9">
        <f t="shared" si="34"/>
        <v>2.5204818405328959</v>
      </c>
      <c r="AH202" s="9">
        <f t="shared" si="33"/>
        <v>0.96417987625261803</v>
      </c>
      <c r="AI202" s="9">
        <f t="shared" si="35"/>
        <v>3.3542552328946451</v>
      </c>
      <c r="AJ202" s="9">
        <f>(4*PI()*(AI202^2))/(Y202+E202)</f>
        <v>0.81633182103499902</v>
      </c>
      <c r="AK202" s="12">
        <f t="shared" si="36"/>
        <v>0.52977412731006157</v>
      </c>
      <c r="AL202" s="12" t="s">
        <v>140</v>
      </c>
      <c r="AM202" s="12" t="s">
        <v>142</v>
      </c>
      <c r="AN202" s="16">
        <v>2.9352</v>
      </c>
      <c r="AO202" s="16">
        <v>0.42595</v>
      </c>
      <c r="AP202" s="16">
        <v>6896.6</v>
      </c>
      <c r="AQ202" s="16">
        <v>6133.2</v>
      </c>
      <c r="AR202" s="16">
        <v>1.6457999999999999</v>
      </c>
      <c r="AS202" s="16">
        <v>1.4791E-2</v>
      </c>
      <c r="AT202" s="16">
        <v>0.72238000000000002</v>
      </c>
      <c r="AU202" s="16">
        <v>1.9023000000000001</v>
      </c>
      <c r="AV202" s="16">
        <v>0.17898</v>
      </c>
      <c r="AW202" s="16">
        <v>1.2004000000000001E-2</v>
      </c>
      <c r="AX202" s="16">
        <v>0.16339000000000001</v>
      </c>
      <c r="AY202" s="16">
        <v>15.632</v>
      </c>
      <c r="AZ202" s="16">
        <v>1388.6</v>
      </c>
      <c r="BA202" s="16">
        <v>9.0204999999999994E-2</v>
      </c>
      <c r="BB202" s="16">
        <v>7.1715</v>
      </c>
      <c r="BC202" s="16" t="s">
        <v>162</v>
      </c>
      <c r="BD202" s="34" t="s">
        <v>165</v>
      </c>
      <c r="BE202" t="s">
        <v>168</v>
      </c>
    </row>
    <row r="203" spans="1:57" x14ac:dyDescent="0.25">
      <c r="A203" s="15" t="s">
        <v>272</v>
      </c>
      <c r="B203" s="16" t="s">
        <v>13</v>
      </c>
      <c r="C203" s="16" t="s">
        <v>14</v>
      </c>
      <c r="D203" s="16">
        <v>52</v>
      </c>
      <c r="E203" s="16">
        <v>7.4638999999999998</v>
      </c>
      <c r="F203" s="16">
        <v>9.8709000000000007</v>
      </c>
      <c r="G203" s="15">
        <v>6.3</v>
      </c>
      <c r="H203" s="15">
        <v>4.0199999999999996</v>
      </c>
      <c r="I203" s="15">
        <v>2.0499999999999998</v>
      </c>
      <c r="J203" s="15">
        <v>32.67</v>
      </c>
      <c r="K203" s="15">
        <v>32.42</v>
      </c>
      <c r="L203" s="15">
        <v>60.07</v>
      </c>
      <c r="M203" s="15">
        <v>5.4</v>
      </c>
      <c r="N203" s="15">
        <v>2</v>
      </c>
      <c r="O203" s="15">
        <f>2.36+0.68</f>
        <v>3.04</v>
      </c>
      <c r="P203" s="9">
        <v>1.3295399999999999</v>
      </c>
      <c r="Q203" s="9">
        <v>1.5924400000000001</v>
      </c>
      <c r="R203" s="9">
        <v>9.4936699999999999E-2</v>
      </c>
      <c r="S203" s="9">
        <v>0.16884399999999999</v>
      </c>
      <c r="T203" s="9">
        <v>0.17367199999999999</v>
      </c>
      <c r="U203" s="9">
        <v>8.5304700000000001E-3</v>
      </c>
      <c r="V203" s="9">
        <v>4.84396</v>
      </c>
      <c r="W203" s="9">
        <v>3.0418500000000002</v>
      </c>
      <c r="X203" s="9">
        <v>4.0442600000000004</v>
      </c>
      <c r="Y203" s="9">
        <v>55.335599999999999</v>
      </c>
      <c r="Z203" s="9">
        <v>41.117400000000004</v>
      </c>
      <c r="AA203" s="9">
        <f t="shared" si="37"/>
        <v>1.4838292682926832</v>
      </c>
      <c r="AB203" s="9">
        <f t="shared" si="38"/>
        <v>3.0731707317073171</v>
      </c>
      <c r="AC203" s="9">
        <f t="shared" si="39"/>
        <v>1.9609756097560975</v>
      </c>
      <c r="AD203" s="9">
        <f t="shared" si="40"/>
        <v>7.4137649218237121</v>
      </c>
      <c r="AE203" s="9">
        <f t="shared" si="41"/>
        <v>5.5088358632886303</v>
      </c>
      <c r="AF203" s="9">
        <f t="shared" si="42"/>
        <v>4.6450193420764725</v>
      </c>
      <c r="AG203" s="9">
        <f t="shared" si="34"/>
        <v>1.5413737896717963</v>
      </c>
      <c r="AH203" s="9">
        <f t="shared" si="33"/>
        <v>0.98114023525084315</v>
      </c>
      <c r="AI203" s="9">
        <f t="shared" si="35"/>
        <v>2.1411430253269859</v>
      </c>
      <c r="AJ203" s="9">
        <f>(4*PI()*(AI203^2))/(Y203+E203)</f>
        <v>0.91737105921954332</v>
      </c>
      <c r="AK203" s="12">
        <f t="shared" si="36"/>
        <v>0.67434210526315785</v>
      </c>
      <c r="AL203" s="12" t="s">
        <v>144</v>
      </c>
      <c r="AM203" s="12" t="s">
        <v>142</v>
      </c>
      <c r="AN203" s="16">
        <v>2.8828999999999998</v>
      </c>
      <c r="AO203" s="16">
        <v>0.29353000000000001</v>
      </c>
      <c r="AP203" s="16">
        <v>6754.6</v>
      </c>
      <c r="AQ203" s="16">
        <v>5340.6</v>
      </c>
      <c r="AR203" s="16">
        <v>1.3879999999999999</v>
      </c>
      <c r="AS203" s="16">
        <v>1.2531E-2</v>
      </c>
      <c r="AT203" s="16">
        <v>0.74322999999999995</v>
      </c>
      <c r="AU203" s="16">
        <v>1.3602000000000001</v>
      </c>
      <c r="AV203" s="16">
        <v>0.22635</v>
      </c>
      <c r="AW203" s="16">
        <v>1.1891000000000001E-2</v>
      </c>
      <c r="AX203" s="16">
        <v>0.12262000000000001</v>
      </c>
      <c r="AY203" s="16">
        <v>-53.116</v>
      </c>
      <c r="AZ203" s="16">
        <v>-926.07</v>
      </c>
      <c r="BA203" s="16">
        <v>0.23721999999999999</v>
      </c>
      <c r="BB203" s="16">
        <v>16.448</v>
      </c>
      <c r="BC203" s="16" t="s">
        <v>162</v>
      </c>
      <c r="BD203" s="34" t="s">
        <v>163</v>
      </c>
      <c r="BE203" t="s">
        <v>168</v>
      </c>
    </row>
    <row r="204" spans="1:57" x14ac:dyDescent="0.25">
      <c r="A204" s="15" t="s">
        <v>273</v>
      </c>
      <c r="B204" s="16" t="s">
        <v>5</v>
      </c>
      <c r="C204" s="16" t="s">
        <v>6</v>
      </c>
      <c r="D204" s="16">
        <v>50</v>
      </c>
      <c r="E204" s="16">
        <v>23.751999999999999</v>
      </c>
      <c r="F204" s="16">
        <v>19.184999999999999</v>
      </c>
      <c r="G204" s="15">
        <v>18.45</v>
      </c>
      <c r="H204" s="15">
        <v>11.1</v>
      </c>
      <c r="I204" s="15">
        <v>3.02</v>
      </c>
      <c r="J204" s="15">
        <v>78.459999999999994</v>
      </c>
      <c r="K204" s="15">
        <v>31.86</v>
      </c>
      <c r="L204" s="15">
        <v>83.24</v>
      </c>
      <c r="M204" s="15">
        <v>7.5</v>
      </c>
      <c r="N204" s="15">
        <v>2</v>
      </c>
      <c r="O204" s="15">
        <f>2.29+1.14</f>
        <v>3.4299999999999997</v>
      </c>
      <c r="P204" s="9">
        <v>2.2957000000000001</v>
      </c>
      <c r="Q204" s="9">
        <v>3.3896700000000002</v>
      </c>
      <c r="R204" s="9">
        <v>9.5454499999999998E-2</v>
      </c>
      <c r="S204" s="9">
        <v>0.25639600000000001</v>
      </c>
      <c r="T204" s="9">
        <v>0.31035200000000002</v>
      </c>
      <c r="U204" s="9">
        <v>0.15540899999999999</v>
      </c>
      <c r="V204" s="9">
        <v>16.348600000000001</v>
      </c>
      <c r="W204" s="9">
        <v>4.8230599999999999</v>
      </c>
      <c r="X204" s="9">
        <v>11.0723</v>
      </c>
      <c r="Y204" s="9">
        <v>446.714</v>
      </c>
      <c r="Z204" s="9">
        <v>719.07500000000005</v>
      </c>
      <c r="AA204" s="9">
        <f t="shared" si="37"/>
        <v>1.5970397350993377</v>
      </c>
      <c r="AB204" s="9">
        <f t="shared" si="38"/>
        <v>6.1092715231788075</v>
      </c>
      <c r="AC204" s="9">
        <f t="shared" si="39"/>
        <v>3.6754966887417218</v>
      </c>
      <c r="AD204" s="9">
        <f t="shared" si="40"/>
        <v>18.807426743011117</v>
      </c>
      <c r="AE204" s="9">
        <f t="shared" si="41"/>
        <v>30.274292691141802</v>
      </c>
      <c r="AF204" s="9">
        <f t="shared" si="42"/>
        <v>5.5656185370102946</v>
      </c>
      <c r="AG204" s="9">
        <f t="shared" si="34"/>
        <v>2.7496356879843913</v>
      </c>
      <c r="AH204" s="9">
        <f t="shared" si="33"/>
        <v>0.90051970575137663</v>
      </c>
      <c r="AI204" s="9">
        <f t="shared" si="35"/>
        <v>5.5577011943208285</v>
      </c>
      <c r="AJ204" s="9">
        <f>(4*PI()*(AI204^2))/(Y204+E204)</f>
        <v>0.82503430732158001</v>
      </c>
      <c r="AK204" s="12">
        <f t="shared" si="36"/>
        <v>0.88046647230320707</v>
      </c>
      <c r="AL204" s="12" t="s">
        <v>140</v>
      </c>
      <c r="AM204" s="12" t="s">
        <v>142</v>
      </c>
      <c r="AN204" s="16">
        <v>1.2647999999999999</v>
      </c>
      <c r="AO204" s="16">
        <v>0.1048</v>
      </c>
      <c r="AP204" s="16">
        <v>2329.4</v>
      </c>
      <c r="AQ204" s="16">
        <v>2085.5</v>
      </c>
      <c r="AR204" s="16">
        <v>0.80510000000000004</v>
      </c>
      <c r="AS204" s="16">
        <v>2.8032999999999999E-2</v>
      </c>
      <c r="AT204" s="16">
        <v>0.71243000000000001</v>
      </c>
      <c r="AU204" s="16">
        <v>7.5228999999999999</v>
      </c>
      <c r="AV204" s="16">
        <v>0.73860000000000003</v>
      </c>
      <c r="AW204" s="16">
        <v>2.6838000000000001E-2</v>
      </c>
      <c r="AX204" s="16">
        <v>5.9864000000000001E-2</v>
      </c>
      <c r="AY204" s="16">
        <v>-118.54</v>
      </c>
      <c r="AZ204" s="16">
        <v>-393.83</v>
      </c>
      <c r="BA204" s="16">
        <v>1.3893</v>
      </c>
      <c r="BB204" s="16">
        <v>23.010999999999999</v>
      </c>
      <c r="BC204" s="16" t="s">
        <v>164</v>
      </c>
      <c r="BD204" s="34" t="s">
        <v>165</v>
      </c>
      <c r="BE204" t="s">
        <v>168</v>
      </c>
    </row>
    <row r="205" spans="1:57" x14ac:dyDescent="0.25">
      <c r="A205" s="15" t="s">
        <v>274</v>
      </c>
      <c r="B205" s="18" t="s">
        <v>5</v>
      </c>
      <c r="C205" s="18" t="s">
        <v>6</v>
      </c>
      <c r="D205" s="18">
        <v>67</v>
      </c>
      <c r="E205" s="18">
        <v>7.9630999999999998</v>
      </c>
      <c r="F205" s="18">
        <v>10.558999999999999</v>
      </c>
      <c r="G205" s="15">
        <v>7.03</v>
      </c>
      <c r="H205" s="15">
        <v>4.8499999999999996</v>
      </c>
      <c r="I205" s="15">
        <v>3.19</v>
      </c>
      <c r="J205" s="15">
        <v>127.34</v>
      </c>
      <c r="K205" s="15">
        <f>180-170.96</f>
        <v>9.039999999999992</v>
      </c>
      <c r="L205" s="15">
        <v>27.16</v>
      </c>
      <c r="M205" s="15">
        <v>6.1</v>
      </c>
      <c r="N205" s="15">
        <v>1</v>
      </c>
      <c r="O205" s="15">
        <v>3.98</v>
      </c>
      <c r="P205" s="9">
        <v>1.58632</v>
      </c>
      <c r="Q205" s="9">
        <v>2.2613799999999999</v>
      </c>
      <c r="R205" s="9">
        <v>0.114583</v>
      </c>
      <c r="S205" s="9">
        <v>0.186724</v>
      </c>
      <c r="T205" s="9">
        <v>0.21240800000000001</v>
      </c>
      <c r="U205" s="9">
        <v>5.3220900000000002E-2</v>
      </c>
      <c r="V205" s="9">
        <v>6.9168399999999997</v>
      </c>
      <c r="W205" s="9">
        <v>3.0586799999999998</v>
      </c>
      <c r="X205" s="9">
        <v>4.8520399999999997</v>
      </c>
      <c r="Y205" s="9">
        <v>96.501000000000005</v>
      </c>
      <c r="Z205" s="9">
        <v>88.112700000000004</v>
      </c>
      <c r="AA205" s="9">
        <f t="shared" si="37"/>
        <v>0.95883385579937297</v>
      </c>
      <c r="AB205" s="9">
        <f t="shared" si="38"/>
        <v>2.2037617554858935</v>
      </c>
      <c r="AC205" s="9">
        <f t="shared" si="39"/>
        <v>1.5203761755485892</v>
      </c>
      <c r="AD205" s="9">
        <f t="shared" si="40"/>
        <v>12.118521681254789</v>
      </c>
      <c r="AE205" s="9">
        <f t="shared" si="41"/>
        <v>11.065125390865367</v>
      </c>
      <c r="AF205" s="9">
        <f t="shared" si="42"/>
        <v>4.8734832103753538</v>
      </c>
      <c r="AG205" s="9">
        <f t="shared" si="34"/>
        <v>1.5920846254738292</v>
      </c>
      <c r="AH205" s="9">
        <f t="shared" si="33"/>
        <v>0.94737785079682535</v>
      </c>
      <c r="AI205" s="9">
        <f t="shared" si="35"/>
        <v>2.7604717053842633</v>
      </c>
      <c r="AJ205" s="9">
        <f>(4*PI()*(AI205^2))/(Y205+E205)</f>
        <v>0.91666235650587558</v>
      </c>
      <c r="AK205" s="12">
        <f t="shared" si="36"/>
        <v>0.80150753768844218</v>
      </c>
      <c r="AL205" s="12" t="s">
        <v>144</v>
      </c>
      <c r="AM205" s="12" t="s">
        <v>143</v>
      </c>
      <c r="AN205" s="18">
        <v>2.3919999999999999</v>
      </c>
      <c r="AO205" s="18">
        <v>0.31745000000000001</v>
      </c>
      <c r="AP205" s="18">
        <v>8622.2999999999993</v>
      </c>
      <c r="AQ205" s="18">
        <v>7751</v>
      </c>
      <c r="AR205" s="18">
        <v>1.3735999999999999</v>
      </c>
      <c r="AS205" s="18">
        <v>1.7597999999999999E-2</v>
      </c>
      <c r="AT205" s="18">
        <v>0.72724999999999995</v>
      </c>
      <c r="AU205" s="18">
        <v>1.86</v>
      </c>
      <c r="AV205" s="18">
        <v>0.22871</v>
      </c>
      <c r="AW205" s="18">
        <v>1.1611E-2</v>
      </c>
      <c r="AX205" s="18">
        <v>0.10965999999999999</v>
      </c>
      <c r="AY205" s="18">
        <v>1.6337999999999999</v>
      </c>
      <c r="AZ205" s="18">
        <v>96.766999999999996</v>
      </c>
      <c r="BA205" s="18">
        <v>0.1389</v>
      </c>
      <c r="BB205" s="18">
        <v>10.999000000000001</v>
      </c>
      <c r="BC205" s="18" t="s">
        <v>162</v>
      </c>
      <c r="BD205" s="35" t="s">
        <v>165</v>
      </c>
      <c r="BE205" t="s">
        <v>167</v>
      </c>
    </row>
    <row r="206" spans="1:57" x14ac:dyDescent="0.25">
      <c r="A206" s="15" t="s">
        <v>275</v>
      </c>
      <c r="B206" s="16" t="s">
        <v>13</v>
      </c>
      <c r="C206" s="16" t="s">
        <v>6</v>
      </c>
      <c r="D206" s="16">
        <v>49</v>
      </c>
      <c r="E206" s="16">
        <v>7.4330999999999996</v>
      </c>
      <c r="F206" s="16">
        <v>9.9494000000000007</v>
      </c>
      <c r="G206" s="15">
        <v>5.39</v>
      </c>
      <c r="H206" s="15">
        <v>4.55</v>
      </c>
      <c r="I206" s="15">
        <v>1.93</v>
      </c>
      <c r="J206" s="15">
        <v>33.729999999999997</v>
      </c>
      <c r="K206" s="15">
        <v>51.14</v>
      </c>
      <c r="L206" s="15">
        <v>78.47</v>
      </c>
      <c r="M206" s="15">
        <v>3.55</v>
      </c>
      <c r="N206" s="15">
        <v>2</v>
      </c>
      <c r="O206" s="15">
        <f>1.53+1.45</f>
        <v>2.98</v>
      </c>
      <c r="P206" s="9">
        <v>1.56551</v>
      </c>
      <c r="Q206" s="9">
        <v>1.37294</v>
      </c>
      <c r="R206" s="9">
        <v>0.12921299999999999</v>
      </c>
      <c r="S206" s="9">
        <v>0.153091</v>
      </c>
      <c r="T206" s="9">
        <v>0.170294</v>
      </c>
      <c r="U206" s="9">
        <v>4.0557099999999999E-2</v>
      </c>
      <c r="V206" s="9">
        <v>3.9881500000000001</v>
      </c>
      <c r="W206" s="9">
        <v>2.90483</v>
      </c>
      <c r="X206" s="9">
        <v>4.5475199999999996</v>
      </c>
      <c r="Y206" s="9">
        <v>49.796199999999999</v>
      </c>
      <c r="Z206" s="9">
        <v>35.315800000000003</v>
      </c>
      <c r="AA206" s="9">
        <f t="shared" si="37"/>
        <v>1.5050932642487047</v>
      </c>
      <c r="AB206" s="9">
        <f t="shared" si="38"/>
        <v>2.792746113989637</v>
      </c>
      <c r="AC206" s="9">
        <f t="shared" si="39"/>
        <v>2.3575129533678756</v>
      </c>
      <c r="AD206" s="9">
        <f t="shared" si="40"/>
        <v>6.6992506491235151</v>
      </c>
      <c r="AE206" s="9">
        <f t="shared" si="41"/>
        <v>4.7511536236563483</v>
      </c>
      <c r="AF206" s="9">
        <f t="shared" si="42"/>
        <v>4.6261193901684559</v>
      </c>
      <c r="AG206" s="9">
        <f t="shared" si="34"/>
        <v>1.5381902401825123</v>
      </c>
      <c r="AH206" s="9">
        <f t="shared" si="33"/>
        <v>0.97138865828711274</v>
      </c>
      <c r="AI206" s="9">
        <f t="shared" si="35"/>
        <v>2.0352924104052268</v>
      </c>
      <c r="AJ206" s="9">
        <f>(4*PI()*(AI206^2))/(Y206+E206)</f>
        <v>0.90958870001281722</v>
      </c>
      <c r="AK206" s="12">
        <f t="shared" si="36"/>
        <v>0.6476510067114094</v>
      </c>
      <c r="AL206" s="12" t="s">
        <v>144</v>
      </c>
      <c r="AM206" s="12" t="s">
        <v>142</v>
      </c>
      <c r="AN206" s="16">
        <v>3.1663999999999999</v>
      </c>
      <c r="AO206" s="16">
        <v>0.36229</v>
      </c>
      <c r="AP206" s="16">
        <v>7781</v>
      </c>
      <c r="AQ206" s="16">
        <v>7679.5</v>
      </c>
      <c r="AR206" s="16">
        <v>1.4705999999999999</v>
      </c>
      <c r="AS206" s="16">
        <v>1.5422E-2</v>
      </c>
      <c r="AT206" s="16">
        <v>0.71067999999999998</v>
      </c>
      <c r="AU206" s="16">
        <v>1.1043000000000001</v>
      </c>
      <c r="AV206" s="16">
        <v>6.9197999999999996E-2</v>
      </c>
      <c r="AW206" s="16">
        <v>1.5798E-2</v>
      </c>
      <c r="AX206" s="16">
        <v>0.13547000000000001</v>
      </c>
      <c r="AY206" s="16">
        <v>-29.486999999999998</v>
      </c>
      <c r="AZ206" s="16">
        <v>-678.92</v>
      </c>
      <c r="BA206" s="16">
        <v>0.17050999999999999</v>
      </c>
      <c r="BB206" s="16">
        <v>38.718000000000004</v>
      </c>
      <c r="BC206" s="16" t="s">
        <v>162</v>
      </c>
      <c r="BD206" s="34" t="s">
        <v>163</v>
      </c>
      <c r="BE206" t="s">
        <v>168</v>
      </c>
    </row>
    <row r="207" spans="1:57" x14ac:dyDescent="0.25">
      <c r="A207" s="15" t="s">
        <v>276</v>
      </c>
      <c r="B207" s="16" t="s">
        <v>5</v>
      </c>
      <c r="C207" s="16" t="s">
        <v>6</v>
      </c>
      <c r="D207" s="16">
        <v>70</v>
      </c>
      <c r="E207" s="16">
        <v>33.701000000000001</v>
      </c>
      <c r="F207" s="16">
        <v>21.678999999999998</v>
      </c>
      <c r="G207" s="15">
        <v>16.03</v>
      </c>
      <c r="H207" s="15">
        <v>14.08</v>
      </c>
      <c r="I207" s="15">
        <v>3.21</v>
      </c>
      <c r="J207" s="15">
        <v>55.7</v>
      </c>
      <c r="K207" s="15">
        <v>34.799999999999997</v>
      </c>
      <c r="L207" s="15">
        <v>80.8</v>
      </c>
      <c r="M207" s="15">
        <v>12.8</v>
      </c>
      <c r="N207" s="15">
        <v>2</v>
      </c>
      <c r="O207" s="15">
        <f>2.13+2.08</f>
        <v>4.21</v>
      </c>
      <c r="P207" s="9">
        <v>2.50285</v>
      </c>
      <c r="Q207" s="9">
        <v>2.43635</v>
      </c>
      <c r="R207" s="9">
        <v>-3.3807799999999999E-2</v>
      </c>
      <c r="S207" s="9">
        <v>0.19685</v>
      </c>
      <c r="T207" s="9">
        <v>0.21226700000000001</v>
      </c>
      <c r="U207" s="9">
        <v>4.7300399999999999E-2</v>
      </c>
      <c r="V207" s="9">
        <v>13.741</v>
      </c>
      <c r="W207" s="9">
        <v>5.6400100000000002</v>
      </c>
      <c r="X207" s="9">
        <v>14.116099999999999</v>
      </c>
      <c r="Y207" s="9">
        <v>557.98500000000001</v>
      </c>
      <c r="Z207" s="9">
        <v>1225.44</v>
      </c>
      <c r="AA207" s="9">
        <f t="shared" si="37"/>
        <v>1.7570124610591902</v>
      </c>
      <c r="AB207" s="9">
        <f t="shared" si="38"/>
        <v>4.9937694704049846</v>
      </c>
      <c r="AC207" s="9">
        <f t="shared" si="39"/>
        <v>4.3862928348909662</v>
      </c>
      <c r="AD207" s="9">
        <f t="shared" si="40"/>
        <v>16.556927094151508</v>
      </c>
      <c r="AE207" s="9">
        <f t="shared" si="41"/>
        <v>36.362125752945019</v>
      </c>
      <c r="AF207" s="9">
        <f t="shared" si="42"/>
        <v>4.8726044340245984</v>
      </c>
      <c r="AG207" s="9">
        <f t="shared" si="34"/>
        <v>3.2752650998476338</v>
      </c>
      <c r="AH207" s="9">
        <f t="shared" si="33"/>
        <v>0.94926415205870818</v>
      </c>
      <c r="AI207" s="9">
        <f t="shared" si="35"/>
        <v>6.6384672076582572</v>
      </c>
      <c r="AJ207" s="9">
        <f>(4*PI()*(AI207^2))/(Y207+E207)</f>
        <v>0.93595334151618303</v>
      </c>
      <c r="AK207" s="12">
        <f t="shared" si="36"/>
        <v>0.76247030878859856</v>
      </c>
      <c r="AL207" s="12" t="s">
        <v>144</v>
      </c>
      <c r="AM207" s="12" t="s">
        <v>142</v>
      </c>
      <c r="AN207" s="16">
        <v>1.4403999999999999</v>
      </c>
      <c r="AO207" s="16">
        <v>0.13532</v>
      </c>
      <c r="AP207" s="16">
        <v>2310.8000000000002</v>
      </c>
      <c r="AQ207" s="16">
        <v>1962.3</v>
      </c>
      <c r="AR207" s="16">
        <v>1.1076999999999999</v>
      </c>
      <c r="AS207" s="16">
        <v>3.1304999999999999E-2</v>
      </c>
      <c r="AT207" s="16">
        <v>0.65424000000000004</v>
      </c>
      <c r="AU207" s="16">
        <v>2.6084999999999998</v>
      </c>
      <c r="AV207" s="16">
        <v>0.73106000000000004</v>
      </c>
      <c r="AW207" s="16">
        <v>3.1697999999999997E-2</v>
      </c>
      <c r="AX207" s="16">
        <v>8.5117999999999999E-2</v>
      </c>
      <c r="AY207" s="16">
        <v>-38.744999999999997</v>
      </c>
      <c r="AZ207" s="16">
        <v>-301.02999999999997</v>
      </c>
      <c r="BA207" s="16">
        <v>1.0379</v>
      </c>
      <c r="BB207" s="16">
        <v>31.510999999999999</v>
      </c>
      <c r="BC207" s="16" t="s">
        <v>164</v>
      </c>
      <c r="BD207" s="34" t="s">
        <v>165</v>
      </c>
      <c r="BE207" t="s">
        <v>168</v>
      </c>
    </row>
    <row r="208" spans="1:57" x14ac:dyDescent="0.25">
      <c r="A208" s="15" t="s">
        <v>277</v>
      </c>
      <c r="B208" s="16" t="s">
        <v>26</v>
      </c>
      <c r="C208" s="16" t="s">
        <v>6</v>
      </c>
      <c r="D208" s="16">
        <v>64</v>
      </c>
      <c r="E208" s="16">
        <v>12.382</v>
      </c>
      <c r="F208" s="16">
        <v>12.692</v>
      </c>
      <c r="G208" s="15">
        <v>6.11</v>
      </c>
      <c r="H208" s="15">
        <v>4.45</v>
      </c>
      <c r="I208" s="15">
        <v>2.27</v>
      </c>
      <c r="J208" s="15">
        <v>64.930000000000007</v>
      </c>
      <c r="K208" s="15">
        <v>29.32</v>
      </c>
      <c r="L208" s="15">
        <v>87.36</v>
      </c>
      <c r="M208" s="15">
        <v>5.45</v>
      </c>
      <c r="N208" s="15">
        <v>2</v>
      </c>
      <c r="O208" s="15">
        <f>2.12+1.74</f>
        <v>3.8600000000000003</v>
      </c>
      <c r="P208" s="9">
        <v>1.1373800000000001</v>
      </c>
      <c r="Q208" s="9">
        <v>1.4244600000000001</v>
      </c>
      <c r="R208" s="9">
        <v>-1.13636E-2</v>
      </c>
      <c r="S208" s="9">
        <v>0.12023499999999999</v>
      </c>
      <c r="T208" s="9">
        <v>0.12559799999999999</v>
      </c>
      <c r="U208" s="9">
        <v>9.8888299999999995E-3</v>
      </c>
      <c r="V208" s="9">
        <v>5.5851600000000001</v>
      </c>
      <c r="W208" s="9">
        <v>3.9209000000000001</v>
      </c>
      <c r="X208" s="9">
        <v>4.4595599999999997</v>
      </c>
      <c r="Y208" s="9">
        <v>70.242699999999999</v>
      </c>
      <c r="Z208" s="9">
        <v>64.011399999999995</v>
      </c>
      <c r="AA208" s="9">
        <f t="shared" si="37"/>
        <v>1.7272687224669603</v>
      </c>
      <c r="AB208" s="9">
        <f t="shared" si="38"/>
        <v>2.6916299559471368</v>
      </c>
      <c r="AC208" s="9">
        <f t="shared" si="39"/>
        <v>1.9603524229074891</v>
      </c>
      <c r="AD208" s="9">
        <f t="shared" si="40"/>
        <v>5.6729688257147473</v>
      </c>
      <c r="AE208" s="9">
        <f t="shared" si="41"/>
        <v>5.1697141011145211</v>
      </c>
      <c r="AF208" s="9">
        <f t="shared" si="42"/>
        <v>4.3896474948339854</v>
      </c>
      <c r="AG208" s="9">
        <f t="shared" si="34"/>
        <v>1.9852740392015649</v>
      </c>
      <c r="AH208" s="9">
        <f t="shared" si="33"/>
        <v>0.9828115879165098</v>
      </c>
      <c r="AI208" s="9">
        <f t="shared" si="35"/>
        <v>2.4815492880921428</v>
      </c>
      <c r="AJ208" s="9">
        <f>(4*PI()*(AI208^2))/(Y208+E208)</f>
        <v>0.93658194068082234</v>
      </c>
      <c r="AK208" s="12">
        <f t="shared" si="36"/>
        <v>0.58808290155440412</v>
      </c>
      <c r="AL208" s="12" t="s">
        <v>144</v>
      </c>
      <c r="AM208" s="12" t="s">
        <v>142</v>
      </c>
      <c r="AN208" s="16">
        <v>7.4054000000000002</v>
      </c>
      <c r="AO208" s="16">
        <v>0.64768999999999999</v>
      </c>
      <c r="AP208" s="16">
        <v>13230</v>
      </c>
      <c r="AQ208" s="16">
        <v>11743</v>
      </c>
      <c r="AR208" s="16">
        <v>3.7277</v>
      </c>
      <c r="AS208" s="16">
        <v>8.2474999999999996E-3</v>
      </c>
      <c r="AT208" s="16">
        <v>0.71908000000000005</v>
      </c>
      <c r="AU208" s="16">
        <v>0.40844999999999998</v>
      </c>
      <c r="AV208" s="16">
        <v>8.5319000000000002E-3</v>
      </c>
      <c r="AW208" s="16">
        <v>9.9258000000000002E-3</v>
      </c>
      <c r="AX208" s="16">
        <v>0.249</v>
      </c>
      <c r="AY208" s="16">
        <v>-7.3212000000000002</v>
      </c>
      <c r="AZ208" s="16">
        <v>-1002</v>
      </c>
      <c r="BA208" s="16">
        <v>9.0825000000000003E-2</v>
      </c>
      <c r="BB208" s="16">
        <v>50.073</v>
      </c>
      <c r="BC208" s="16" t="s">
        <v>162</v>
      </c>
      <c r="BD208" s="34" t="s">
        <v>163</v>
      </c>
      <c r="BE208" t="s">
        <v>167</v>
      </c>
    </row>
    <row r="209" spans="1:57" x14ac:dyDescent="0.25">
      <c r="A209" s="15" t="s">
        <v>278</v>
      </c>
      <c r="B209" s="16" t="s">
        <v>26</v>
      </c>
      <c r="C209" s="16" t="s">
        <v>6</v>
      </c>
      <c r="D209" s="16">
        <v>66</v>
      </c>
      <c r="E209" s="16">
        <v>12.316000000000001</v>
      </c>
      <c r="F209" s="16">
        <v>12.692</v>
      </c>
      <c r="G209" s="15">
        <v>4.26</v>
      </c>
      <c r="H209" s="15">
        <v>5.8</v>
      </c>
      <c r="I209" s="15">
        <v>3.01</v>
      </c>
      <c r="J209" s="15">
        <v>65.099999999999994</v>
      </c>
      <c r="K209" s="15">
        <v>24.71</v>
      </c>
      <c r="L209" s="15">
        <v>82.87</v>
      </c>
      <c r="M209" s="15">
        <v>4.3499999999999996</v>
      </c>
      <c r="N209" s="15">
        <v>2</v>
      </c>
      <c r="O209" s="15">
        <f>2.52+2.09</f>
        <v>4.6099999999999994</v>
      </c>
      <c r="P209" s="9">
        <v>0.71809900000000004</v>
      </c>
      <c r="Q209" s="9">
        <v>1.10572</v>
      </c>
      <c r="R209" s="9">
        <v>0.48181800000000002</v>
      </c>
      <c r="S209" s="9">
        <v>3.7442099999999999E-2</v>
      </c>
      <c r="T209" s="9">
        <v>4.5860199999999997E-2</v>
      </c>
      <c r="U209" s="9">
        <v>1.30498E-2</v>
      </c>
      <c r="V209" s="9">
        <v>4.3126699999999998</v>
      </c>
      <c r="W209" s="9">
        <v>3.9003399999999999</v>
      </c>
      <c r="X209" s="9">
        <v>2.8008299999999999</v>
      </c>
      <c r="Y209" s="9">
        <v>34.188600000000001</v>
      </c>
      <c r="Z209" s="9">
        <v>24.7759</v>
      </c>
      <c r="AA209" s="9">
        <f t="shared" si="37"/>
        <v>1.2957940199335549</v>
      </c>
      <c r="AB209" s="9">
        <f t="shared" si="38"/>
        <v>1.415282392026578</v>
      </c>
      <c r="AC209" s="9">
        <f t="shared" si="39"/>
        <v>1.9269102990033224</v>
      </c>
      <c r="AD209" s="9">
        <f t="shared" si="40"/>
        <v>2.7759499837609614</v>
      </c>
      <c r="AE209" s="9">
        <f t="shared" si="41"/>
        <v>2.0116839883078921</v>
      </c>
      <c r="AF209" s="9">
        <f t="shared" si="42"/>
        <v>4.0227992219100281</v>
      </c>
      <c r="AG209" s="9">
        <f t="shared" si="34"/>
        <v>1.9799758983986564</v>
      </c>
      <c r="AH209" s="9">
        <f t="shared" si="33"/>
        <v>0.98018873884243141</v>
      </c>
      <c r="AI209" s="9">
        <f t="shared" si="35"/>
        <v>1.8084795827334927</v>
      </c>
      <c r="AJ209" s="9">
        <f>(4*PI()*(AI209^2))/(Y209+E209)</f>
        <v>0.88377389849082078</v>
      </c>
      <c r="AK209" s="12">
        <f t="shared" si="36"/>
        <v>0.65292841648590028</v>
      </c>
      <c r="AL209" s="12" t="s">
        <v>144</v>
      </c>
      <c r="AM209" s="12" t="s">
        <v>142</v>
      </c>
      <c r="AN209" s="16">
        <v>6.9821999999999997</v>
      </c>
      <c r="AO209" s="16">
        <v>0.84111999999999998</v>
      </c>
      <c r="AP209" s="16">
        <v>8307.2000000000007</v>
      </c>
      <c r="AQ209" s="16">
        <v>8539.1</v>
      </c>
      <c r="AR209" s="16">
        <v>3.3372999999999999</v>
      </c>
      <c r="AS209" s="16">
        <v>2.8888999999999998E-3</v>
      </c>
      <c r="AT209" s="16">
        <v>0.76573000000000002</v>
      </c>
      <c r="AU209" s="16">
        <v>0.36252000000000001</v>
      </c>
      <c r="AV209" s="21">
        <v>9.8685000000000005E-4</v>
      </c>
      <c r="AW209" s="16">
        <v>6.2478000000000004E-3</v>
      </c>
      <c r="AX209" s="16">
        <v>0.22950999999999999</v>
      </c>
      <c r="AY209" s="16">
        <v>-1.9708000000000001</v>
      </c>
      <c r="AZ209" s="16">
        <v>-598.9</v>
      </c>
      <c r="BA209" s="16">
        <v>4.1215000000000002E-2</v>
      </c>
      <c r="BB209" s="16">
        <v>37.579000000000001</v>
      </c>
      <c r="BC209" s="16" t="s">
        <v>162</v>
      </c>
      <c r="BD209" s="34" t="s">
        <v>163</v>
      </c>
      <c r="BE209" t="s">
        <v>167</v>
      </c>
    </row>
    <row r="210" spans="1:57" x14ac:dyDescent="0.25">
      <c r="A210" s="15" t="s">
        <v>279</v>
      </c>
      <c r="B210" s="16" t="s">
        <v>13</v>
      </c>
      <c r="C210" s="16" t="s">
        <v>6</v>
      </c>
      <c r="D210" s="16">
        <v>75</v>
      </c>
      <c r="E210" s="16">
        <v>5.1883999999999997</v>
      </c>
      <c r="F210" s="16">
        <v>8.4566999999999997</v>
      </c>
      <c r="G210" s="15">
        <v>7.42</v>
      </c>
      <c r="H210" s="15">
        <v>6.9</v>
      </c>
      <c r="I210" s="15">
        <v>1.67</v>
      </c>
      <c r="J210" s="15">
        <v>10.66</v>
      </c>
      <c r="K210" s="15">
        <v>66.67</v>
      </c>
      <c r="L210" s="15">
        <v>77.12</v>
      </c>
      <c r="M210" s="15">
        <v>4</v>
      </c>
      <c r="N210" s="15">
        <v>2</v>
      </c>
      <c r="O210" s="15">
        <f>1.32+1.69</f>
        <v>3.01</v>
      </c>
      <c r="P210" s="9">
        <v>2.8995199999999999</v>
      </c>
      <c r="Q210" s="9">
        <v>1.67625</v>
      </c>
      <c r="R210" s="9">
        <v>0.17647099999999999</v>
      </c>
      <c r="S210" s="9">
        <v>0.24371999999999999</v>
      </c>
      <c r="T210" s="9">
        <v>0.25756600000000002</v>
      </c>
      <c r="U210" s="9">
        <v>6.30222E-2</v>
      </c>
      <c r="V210" s="9">
        <v>3.9833799999999999</v>
      </c>
      <c r="W210" s="9">
        <v>2.3763700000000001</v>
      </c>
      <c r="X210" s="9">
        <v>6.8903299999999996</v>
      </c>
      <c r="Y210" s="9">
        <v>65.503699999999995</v>
      </c>
      <c r="Z210" s="9">
        <v>45.099699999999999</v>
      </c>
      <c r="AA210" s="9">
        <f t="shared" si="37"/>
        <v>1.4229760479041917</v>
      </c>
      <c r="AB210" s="9">
        <f t="shared" si="38"/>
        <v>4.4431137724550895</v>
      </c>
      <c r="AC210" s="9">
        <f t="shared" si="39"/>
        <v>4.1317365269461082</v>
      </c>
      <c r="AD210" s="9">
        <f t="shared" si="40"/>
        <v>12.625028910646828</v>
      </c>
      <c r="AE210" s="9">
        <f t="shared" si="41"/>
        <v>8.6924099915195434</v>
      </c>
      <c r="AF210" s="9">
        <f t="shared" si="42"/>
        <v>5.1699149266638305</v>
      </c>
      <c r="AG210" s="9">
        <f t="shared" si="34"/>
        <v>1.2851143970386369</v>
      </c>
      <c r="AH210" s="9">
        <f t="shared" si="33"/>
        <v>0.95481829762414627</v>
      </c>
      <c r="AI210" s="9">
        <f t="shared" si="35"/>
        <v>2.2081488617951281</v>
      </c>
      <c r="AJ210" s="9">
        <f>(4*PI()*(AI210^2))/(Y210+E210)</f>
        <v>0.86675364498576812</v>
      </c>
      <c r="AK210" s="12">
        <f t="shared" si="36"/>
        <v>0.55481727574750828</v>
      </c>
      <c r="AL210" s="12" t="s">
        <v>140</v>
      </c>
      <c r="AM210" s="12" t="s">
        <v>142</v>
      </c>
      <c r="AN210" s="16">
        <v>4.7164999999999999</v>
      </c>
      <c r="AO210" s="16">
        <v>0.32580999999999999</v>
      </c>
      <c r="AP210" s="16">
        <v>10615</v>
      </c>
      <c r="AQ210" s="16">
        <v>9193.5</v>
      </c>
      <c r="AR210" s="16">
        <v>1.8568</v>
      </c>
      <c r="AS210" s="16">
        <v>3.8831999999999998E-2</v>
      </c>
      <c r="AT210" s="16">
        <v>0.67403999999999997</v>
      </c>
      <c r="AU210" s="16">
        <v>4.4538000000000002</v>
      </c>
      <c r="AV210" s="16">
        <v>0.31719000000000003</v>
      </c>
      <c r="AW210" s="16">
        <v>3.2728E-2</v>
      </c>
      <c r="AX210" s="16">
        <v>0.15867000000000001</v>
      </c>
      <c r="AY210" s="16">
        <v>2.0699000000000001</v>
      </c>
      <c r="AZ210" s="16">
        <v>26.998000000000001</v>
      </c>
      <c r="BA210" s="16">
        <v>7.0313000000000001E-2</v>
      </c>
      <c r="BB210" s="16">
        <v>11.554</v>
      </c>
      <c r="BC210" s="16" t="s">
        <v>162</v>
      </c>
      <c r="BD210" s="34" t="s">
        <v>163</v>
      </c>
      <c r="BE210" t="s">
        <v>168</v>
      </c>
    </row>
    <row r="211" spans="1:57" x14ac:dyDescent="0.25">
      <c r="A211" s="15" t="s">
        <v>280</v>
      </c>
      <c r="B211" s="16" t="s">
        <v>26</v>
      </c>
      <c r="C211" s="16" t="s">
        <v>6</v>
      </c>
      <c r="D211" s="16">
        <v>54</v>
      </c>
      <c r="E211" s="16">
        <v>27.561</v>
      </c>
      <c r="F211" s="16">
        <v>20.952999999999999</v>
      </c>
      <c r="G211" s="15">
        <v>10.9</v>
      </c>
      <c r="H211" s="15">
        <v>6.4</v>
      </c>
      <c r="I211" s="15">
        <v>1.78</v>
      </c>
      <c r="J211" s="15">
        <v>50.43</v>
      </c>
      <c r="K211" s="15">
        <v>28.01</v>
      </c>
      <c r="L211" s="15">
        <v>80.319999999999993</v>
      </c>
      <c r="M211" s="15">
        <v>7.2</v>
      </c>
      <c r="N211" s="15">
        <v>2</v>
      </c>
      <c r="O211" s="15">
        <f>1.91+1.24</f>
        <v>3.15</v>
      </c>
      <c r="P211" s="9">
        <v>1.1854899999999999</v>
      </c>
      <c r="Q211" s="9">
        <v>1.9119900000000001</v>
      </c>
      <c r="R211" s="9">
        <v>0.27777800000000002</v>
      </c>
      <c r="S211" s="9">
        <v>0.182116</v>
      </c>
      <c r="T211" s="9">
        <v>0.24061299999999999</v>
      </c>
      <c r="U211" s="9">
        <v>0.15862999999999999</v>
      </c>
      <c r="V211" s="9">
        <v>10.2525</v>
      </c>
      <c r="W211" s="9">
        <v>5.3622199999999998</v>
      </c>
      <c r="X211" s="9">
        <v>6.3568699999999998</v>
      </c>
      <c r="Y211" s="9">
        <v>146.82900000000001</v>
      </c>
      <c r="Z211" s="9">
        <v>156.56800000000001</v>
      </c>
      <c r="AA211" s="9">
        <f t="shared" si="37"/>
        <v>3.0124831460674155</v>
      </c>
      <c r="AB211" s="9">
        <f t="shared" si="38"/>
        <v>6.1235955056179776</v>
      </c>
      <c r="AC211" s="9">
        <f t="shared" si="39"/>
        <v>3.5955056179775284</v>
      </c>
      <c r="AD211" s="9">
        <f t="shared" si="40"/>
        <v>5.3274191792750631</v>
      </c>
      <c r="AE211" s="9">
        <f t="shared" si="41"/>
        <v>5.6807808134683073</v>
      </c>
      <c r="AF211" s="9">
        <f t="shared" si="42"/>
        <v>5.0544802629267513</v>
      </c>
      <c r="AG211" s="9">
        <f t="shared" si="34"/>
        <v>2.9619147140171771</v>
      </c>
      <c r="AH211" s="9">
        <f t="shared" si="33"/>
        <v>0.88819066540503766</v>
      </c>
      <c r="AI211" s="9">
        <f t="shared" si="35"/>
        <v>3.343526719760348</v>
      </c>
      <c r="AJ211" s="9">
        <f>(4*PI()*(AI211^2))/(Y211+E211)</f>
        <v>0.80555998058524414</v>
      </c>
      <c r="AK211" s="12">
        <f t="shared" si="36"/>
        <v>0.56507936507936507</v>
      </c>
      <c r="AL211" s="12" t="s">
        <v>140</v>
      </c>
      <c r="AM211" s="12" t="s">
        <v>142</v>
      </c>
      <c r="AN211" s="16">
        <v>5.8693</v>
      </c>
      <c r="AO211" s="16">
        <v>0.39446999999999999</v>
      </c>
      <c r="AP211" s="16">
        <v>9219</v>
      </c>
      <c r="AQ211" s="16">
        <v>8016.4</v>
      </c>
      <c r="AR211" s="16">
        <v>2.996</v>
      </c>
      <c r="AS211" s="16">
        <v>1.0422000000000001E-2</v>
      </c>
      <c r="AT211" s="16">
        <v>0.72599999999999998</v>
      </c>
      <c r="AU211" s="16">
        <v>0.89766000000000001</v>
      </c>
      <c r="AV211" s="16">
        <v>0.28782000000000002</v>
      </c>
      <c r="AW211" s="16">
        <v>1.0703000000000001E-2</v>
      </c>
      <c r="AX211" s="16">
        <v>0.18393000000000001</v>
      </c>
      <c r="AY211" s="16">
        <v>-135.93</v>
      </c>
      <c r="AZ211" s="16">
        <v>-2462.1</v>
      </c>
      <c r="BA211" s="16">
        <v>0.23554</v>
      </c>
      <c r="BB211" s="16">
        <v>118.05</v>
      </c>
      <c r="BC211" s="16" t="s">
        <v>162</v>
      </c>
      <c r="BD211" s="34" t="s">
        <v>165</v>
      </c>
      <c r="BE211" t="s">
        <v>168</v>
      </c>
    </row>
    <row r="212" spans="1:57" x14ac:dyDescent="0.25">
      <c r="A212" s="15" t="s">
        <v>281</v>
      </c>
      <c r="B212" s="16" t="s">
        <v>26</v>
      </c>
      <c r="C212" s="16" t="s">
        <v>6</v>
      </c>
      <c r="D212" s="16">
        <v>55</v>
      </c>
      <c r="E212" s="16">
        <v>23.489000000000001</v>
      </c>
      <c r="F212" s="16">
        <v>17.701000000000001</v>
      </c>
      <c r="G212" s="15">
        <v>7.17</v>
      </c>
      <c r="H212" s="15">
        <v>5.2</v>
      </c>
      <c r="I212" s="15">
        <v>2.12</v>
      </c>
      <c r="J212" s="15">
        <v>31.42</v>
      </c>
      <c r="K212" s="15">
        <v>45.02</v>
      </c>
      <c r="L212" s="15">
        <v>68.66</v>
      </c>
      <c r="M212" s="15">
        <v>5.9</v>
      </c>
      <c r="N212" s="15">
        <v>2</v>
      </c>
      <c r="O212" s="15">
        <f>2.29+1.7</f>
        <v>3.99</v>
      </c>
      <c r="P212" s="9">
        <v>0.96639699999999995</v>
      </c>
      <c r="Q212" s="9">
        <v>1.19251</v>
      </c>
      <c r="R212" s="9">
        <v>0.25490200000000002</v>
      </c>
      <c r="S212" s="9">
        <v>8.3055400000000001E-2</v>
      </c>
      <c r="T212" s="9">
        <v>9.0959200000000004E-2</v>
      </c>
      <c r="U212" s="9">
        <v>2.2268400000000001E-2</v>
      </c>
      <c r="V212" s="9">
        <v>6.4006600000000002</v>
      </c>
      <c r="W212" s="9">
        <v>5.3673999999999999</v>
      </c>
      <c r="X212" s="9">
        <v>5.1870399999999997</v>
      </c>
      <c r="Y212" s="9">
        <v>83.500900000000001</v>
      </c>
      <c r="Z212" s="9">
        <v>87.942800000000005</v>
      </c>
      <c r="AA212" s="9">
        <f t="shared" si="37"/>
        <v>2.5317924528301887</v>
      </c>
      <c r="AB212" s="9">
        <f t="shared" si="38"/>
        <v>3.382075471698113</v>
      </c>
      <c r="AC212" s="9">
        <f t="shared" si="39"/>
        <v>2.4528301886792452</v>
      </c>
      <c r="AD212" s="9">
        <f t="shared" si="40"/>
        <v>3.5548937800672653</v>
      </c>
      <c r="AE212" s="9">
        <f t="shared" si="41"/>
        <v>3.7439993188300908</v>
      </c>
      <c r="AF212" s="9">
        <f t="shared" si="42"/>
        <v>4.222383059978414</v>
      </c>
      <c r="AG212" s="9">
        <f t="shared" si="34"/>
        <v>2.7343702961689478</v>
      </c>
      <c r="AH212" s="9">
        <f t="shared" si="33"/>
        <v>0.97059800402672303</v>
      </c>
      <c r="AI212" s="9">
        <f t="shared" si="35"/>
        <v>2.7586963051955951</v>
      </c>
      <c r="AJ212" s="9">
        <f>(4*PI()*(AI212^2))/(Y212+E212)</f>
        <v>0.89387104370895309</v>
      </c>
      <c r="AK212" s="12">
        <f t="shared" si="36"/>
        <v>0.53132832080200498</v>
      </c>
      <c r="AL212" s="12" t="s">
        <v>140</v>
      </c>
      <c r="AM212" s="12" t="s">
        <v>142</v>
      </c>
      <c r="AN212" s="16">
        <v>7.8432000000000004</v>
      </c>
      <c r="AO212" s="16">
        <v>0.75214999999999999</v>
      </c>
      <c r="AP212" s="16">
        <v>18417</v>
      </c>
      <c r="AQ212" s="16">
        <v>15802</v>
      </c>
      <c r="AR212" s="16">
        <v>3.9765000000000001</v>
      </c>
      <c r="AS212" s="16">
        <v>1.1398999999999999E-2</v>
      </c>
      <c r="AT212" s="16">
        <v>0.72414000000000001</v>
      </c>
      <c r="AU212" s="16">
        <v>0.48163</v>
      </c>
      <c r="AV212" s="16">
        <v>1.7537000000000001E-2</v>
      </c>
      <c r="AW212" s="16">
        <v>9.7289999999999998E-3</v>
      </c>
      <c r="AX212" s="16">
        <v>0.28558</v>
      </c>
      <c r="AY212" s="16">
        <v>-3.3782999999999999</v>
      </c>
      <c r="AZ212" s="16">
        <v>-869.86</v>
      </c>
      <c r="BA212" s="16">
        <v>6.0482000000000001E-2</v>
      </c>
      <c r="BB212" s="16">
        <v>48.357999999999997</v>
      </c>
      <c r="BC212" s="16" t="s">
        <v>162</v>
      </c>
      <c r="BD212" s="34" t="s">
        <v>163</v>
      </c>
      <c r="BE212" t="s">
        <v>167</v>
      </c>
    </row>
    <row r="213" spans="1:57" x14ac:dyDescent="0.25">
      <c r="A213" s="15" t="s">
        <v>282</v>
      </c>
      <c r="B213" s="16" t="s">
        <v>13</v>
      </c>
      <c r="C213" s="16" t="s">
        <v>6</v>
      </c>
      <c r="D213" s="16">
        <v>82</v>
      </c>
      <c r="E213" s="16">
        <v>10.210000000000001</v>
      </c>
      <c r="F213" s="16">
        <v>11.629</v>
      </c>
      <c r="G213" s="15">
        <v>6.53</v>
      </c>
      <c r="H213" s="15">
        <v>4.2</v>
      </c>
      <c r="I213" s="15">
        <v>2.1</v>
      </c>
      <c r="J213" s="15">
        <v>48.22</v>
      </c>
      <c r="K213" s="15">
        <v>38.299999999999997</v>
      </c>
      <c r="L213" s="15">
        <v>79.33</v>
      </c>
      <c r="M213" s="15">
        <v>5.3</v>
      </c>
      <c r="N213" s="15">
        <v>2</v>
      </c>
      <c r="O213" s="15">
        <f>1.27+1.38</f>
        <v>2.65</v>
      </c>
      <c r="P213" s="9">
        <v>1.18981</v>
      </c>
      <c r="Q213" s="9">
        <v>1.24536</v>
      </c>
      <c r="R213" s="9">
        <v>0.16265099999999999</v>
      </c>
      <c r="S213" s="9">
        <v>0.16358400000000001</v>
      </c>
      <c r="T213" s="9">
        <v>0.190193</v>
      </c>
      <c r="U213" s="9">
        <v>0.10893</v>
      </c>
      <c r="V213" s="9">
        <v>4.4333600000000004</v>
      </c>
      <c r="W213" s="9">
        <v>3.5598999999999998</v>
      </c>
      <c r="X213" s="9">
        <v>4.2355900000000002</v>
      </c>
      <c r="Y213" s="9">
        <v>43.029800000000002</v>
      </c>
      <c r="Z213" s="9">
        <v>27.3536</v>
      </c>
      <c r="AA213" s="9">
        <f t="shared" si="37"/>
        <v>1.6951904761904761</v>
      </c>
      <c r="AB213" s="9">
        <f t="shared" si="38"/>
        <v>3.1095238095238096</v>
      </c>
      <c r="AC213" s="9">
        <f t="shared" si="39"/>
        <v>2</v>
      </c>
      <c r="AD213" s="9">
        <f t="shared" si="40"/>
        <v>4.2144760039177278</v>
      </c>
      <c r="AE213" s="9">
        <f t="shared" si="41"/>
        <v>2.6790989226248771</v>
      </c>
      <c r="AF213" s="9">
        <f t="shared" si="42"/>
        <v>4.7397961766606782</v>
      </c>
      <c r="AG213" s="9">
        <f t="shared" si="34"/>
        <v>1.802760088846129</v>
      </c>
      <c r="AH213" s="9">
        <f t="shared" si="33"/>
        <v>0.97403695095087828</v>
      </c>
      <c r="AI213" s="9">
        <f t="shared" si="35"/>
        <v>1.869140556291053</v>
      </c>
      <c r="AJ213" s="9">
        <f>(4*PI()*(AI213^2))/(Y213+E213)</f>
        <v>0.82462665813299607</v>
      </c>
      <c r="AK213" s="12">
        <f t="shared" si="36"/>
        <v>0.79245283018867929</v>
      </c>
      <c r="AL213" s="12" t="s">
        <v>140</v>
      </c>
      <c r="AM213" s="12" t="s">
        <v>142</v>
      </c>
      <c r="AN213" s="16">
        <v>7.7369000000000003</v>
      </c>
      <c r="AO213" s="16">
        <v>0.71194999999999997</v>
      </c>
      <c r="AP213" s="16">
        <v>13487</v>
      </c>
      <c r="AQ213" s="16">
        <v>13731</v>
      </c>
      <c r="AR213" s="16">
        <v>3.8001</v>
      </c>
      <c r="AS213" s="16">
        <v>9.7595000000000008E-3</v>
      </c>
      <c r="AT213" s="16">
        <v>0.75956000000000001</v>
      </c>
      <c r="AU213" s="16">
        <v>1.1317999999999999</v>
      </c>
      <c r="AV213" s="16">
        <v>5.9580000000000001E-2</v>
      </c>
      <c r="AW213" s="16">
        <v>4.2015000000000004E-3</v>
      </c>
      <c r="AX213" s="16">
        <v>0.29514000000000001</v>
      </c>
      <c r="AY213" s="16">
        <v>-0.76114000000000004</v>
      </c>
      <c r="AZ213" s="16">
        <v>-2128.3000000000002</v>
      </c>
      <c r="BA213" s="16">
        <v>2.9495E-2</v>
      </c>
      <c r="BB213" s="16">
        <v>6.8676000000000004</v>
      </c>
      <c r="BC213" s="16" t="s">
        <v>162</v>
      </c>
      <c r="BD213" s="34" t="s">
        <v>165</v>
      </c>
      <c r="BE213" t="s">
        <v>168</v>
      </c>
    </row>
    <row r="214" spans="1:57" x14ac:dyDescent="0.25">
      <c r="A214" s="15" t="s">
        <v>283</v>
      </c>
      <c r="B214" s="18" t="s">
        <v>13</v>
      </c>
      <c r="C214" s="18" t="s">
        <v>14</v>
      </c>
      <c r="D214" s="18">
        <v>59</v>
      </c>
      <c r="E214" s="18">
        <v>13.907999999999999</v>
      </c>
      <c r="F214" s="18">
        <v>14.314</v>
      </c>
      <c r="G214" s="15">
        <v>8.43</v>
      </c>
      <c r="H214" s="15">
        <v>6.75</v>
      </c>
      <c r="I214" s="15">
        <v>2.1</v>
      </c>
      <c r="J214" s="15">
        <v>27.58</v>
      </c>
      <c r="K214" s="15">
        <v>49.96</v>
      </c>
      <c r="L214" s="15">
        <v>60.88</v>
      </c>
      <c r="M214" s="15">
        <v>5.7</v>
      </c>
      <c r="N214" s="15">
        <v>2</v>
      </c>
      <c r="O214" s="15">
        <f>1.89+1.83</f>
        <v>3.7199999999999998</v>
      </c>
      <c r="P214" s="9">
        <v>1.6808000000000001</v>
      </c>
      <c r="Q214" s="9">
        <v>1.4578899999999999</v>
      </c>
      <c r="R214" s="9">
        <v>0.291045</v>
      </c>
      <c r="S214" s="9">
        <v>0.18809600000000001</v>
      </c>
      <c r="T214" s="9">
        <v>0.24057600000000001</v>
      </c>
      <c r="U214" s="9">
        <v>0.13319700000000001</v>
      </c>
      <c r="V214" s="9">
        <v>5.8935000000000004</v>
      </c>
      <c r="W214" s="9">
        <v>4.0424899999999999</v>
      </c>
      <c r="X214" s="9">
        <v>6.7946200000000001</v>
      </c>
      <c r="Y214" s="9">
        <v>111.836</v>
      </c>
      <c r="Z214" s="9">
        <v>104.084</v>
      </c>
      <c r="AA214" s="9">
        <f t="shared" si="37"/>
        <v>1.924995238095238</v>
      </c>
      <c r="AB214" s="9">
        <f t="shared" si="38"/>
        <v>4.0142857142857142</v>
      </c>
      <c r="AC214" s="9">
        <f t="shared" si="39"/>
        <v>3.214285714285714</v>
      </c>
      <c r="AD214" s="9">
        <f t="shared" si="40"/>
        <v>8.0411274086856483</v>
      </c>
      <c r="AE214" s="9">
        <f t="shared" si="41"/>
        <v>7.4837503595053212</v>
      </c>
      <c r="AF214" s="9">
        <f t="shared" si="42"/>
        <v>5.0542762585499501</v>
      </c>
      <c r="AG214" s="9">
        <f t="shared" si="34"/>
        <v>2.1040565337091492</v>
      </c>
      <c r="AH214" s="9">
        <f t="shared" si="33"/>
        <v>0.92358370113710608</v>
      </c>
      <c r="AI214" s="9">
        <f t="shared" si="35"/>
        <v>2.918088472025806</v>
      </c>
      <c r="AJ214" s="9">
        <f>(4*PI()*(AI214^2))/(Y214+E214)</f>
        <v>0.85098029221497418</v>
      </c>
      <c r="AK214" s="12">
        <f t="shared" si="36"/>
        <v>0.56451612903225812</v>
      </c>
      <c r="AL214" s="12" t="s">
        <v>140</v>
      </c>
      <c r="AM214" s="12" t="s">
        <v>142</v>
      </c>
      <c r="AN214" s="18">
        <v>5.1475</v>
      </c>
      <c r="AO214" s="18">
        <v>0.60282000000000002</v>
      </c>
      <c r="AP214" s="18">
        <v>9480.5</v>
      </c>
      <c r="AQ214" s="18">
        <v>8635</v>
      </c>
      <c r="AR214" s="18">
        <v>2.7212000000000001</v>
      </c>
      <c r="AS214" s="18">
        <v>1.1395000000000001E-2</v>
      </c>
      <c r="AT214" s="18">
        <v>0.74482000000000004</v>
      </c>
      <c r="AU214" s="18">
        <v>0.75363000000000002</v>
      </c>
      <c r="AV214" s="18">
        <v>3.0044000000000001E-2</v>
      </c>
      <c r="AW214" s="18">
        <v>8.2029000000000008E-3</v>
      </c>
      <c r="AX214" s="18">
        <v>0.23769000000000001</v>
      </c>
      <c r="AY214" s="18">
        <v>-2.8115999999999999</v>
      </c>
      <c r="AZ214" s="18">
        <v>-1070.3</v>
      </c>
      <c r="BA214" s="18">
        <v>0.10061</v>
      </c>
      <c r="BB214" s="18">
        <v>9.0618999999999996</v>
      </c>
      <c r="BC214" s="18" t="s">
        <v>162</v>
      </c>
      <c r="BD214" s="35" t="s">
        <v>165</v>
      </c>
      <c r="BE214" t="s">
        <v>167</v>
      </c>
    </row>
    <row r="215" spans="1:57" x14ac:dyDescent="0.25">
      <c r="A215" s="15" t="s">
        <v>284</v>
      </c>
      <c r="B215" s="18" t="s">
        <v>5</v>
      </c>
      <c r="C215" s="18" t="s">
        <v>6</v>
      </c>
      <c r="D215" s="18">
        <v>45</v>
      </c>
      <c r="E215" s="18">
        <v>10.57</v>
      </c>
      <c r="F215" s="18">
        <v>12.224</v>
      </c>
      <c r="G215" s="15">
        <v>4.8499999999999996</v>
      </c>
      <c r="H215" s="15">
        <v>3.7</v>
      </c>
      <c r="I215" s="15">
        <v>3.48</v>
      </c>
      <c r="J215" s="15">
        <v>42.35</v>
      </c>
      <c r="K215" s="15">
        <v>47.05</v>
      </c>
      <c r="L215" s="15">
        <v>84</v>
      </c>
      <c r="M215" s="15">
        <v>4.3499999999999996</v>
      </c>
      <c r="N215" s="15">
        <v>2</v>
      </c>
      <c r="O215" s="15">
        <f>1.03+3.48</f>
        <v>4.51</v>
      </c>
      <c r="P215" s="9">
        <v>1.0344599999999999</v>
      </c>
      <c r="Q215" s="9">
        <v>1.1807300000000001</v>
      </c>
      <c r="R215" s="9">
        <v>0.48611100000000002</v>
      </c>
      <c r="S215" s="9">
        <v>0.10534300000000001</v>
      </c>
      <c r="T215" s="9">
        <v>0.151284</v>
      </c>
      <c r="U215" s="9">
        <v>0.12432600000000001</v>
      </c>
      <c r="V215" s="9">
        <v>4.2213900000000004</v>
      </c>
      <c r="W215" s="9">
        <v>3.57525</v>
      </c>
      <c r="X215" s="9">
        <v>3.6984599999999999</v>
      </c>
      <c r="Y215" s="9">
        <v>32.990299999999998</v>
      </c>
      <c r="Z215" s="9">
        <v>19.702100000000002</v>
      </c>
      <c r="AA215" s="9">
        <f t="shared" si="37"/>
        <v>1.0273706896551724</v>
      </c>
      <c r="AB215" s="9">
        <f t="shared" si="38"/>
        <v>1.3936781609195401</v>
      </c>
      <c r="AC215" s="9">
        <f t="shared" si="39"/>
        <v>1.0632183908045978</v>
      </c>
      <c r="AD215" s="9">
        <f t="shared" si="40"/>
        <v>3.121125827814569</v>
      </c>
      <c r="AE215" s="9">
        <f t="shared" si="41"/>
        <v>1.8639640491958374</v>
      </c>
      <c r="AF215" s="9">
        <f t="shared" si="42"/>
        <v>4.5224931614346877</v>
      </c>
      <c r="AG215" s="9">
        <f t="shared" si="34"/>
        <v>1.834267018992237</v>
      </c>
      <c r="AH215" s="9">
        <f t="shared" si="33"/>
        <v>0.94282064652946018</v>
      </c>
      <c r="AI215" s="9">
        <f t="shared" si="35"/>
        <v>1.6754879287141691</v>
      </c>
      <c r="AJ215" s="9">
        <f>(4*PI()*(AI215^2))/(Y215+E215)</f>
        <v>0.80984444662638599</v>
      </c>
      <c r="AK215" s="12">
        <f t="shared" si="36"/>
        <v>0.77161862527716185</v>
      </c>
      <c r="AL215" s="12" t="s">
        <v>140</v>
      </c>
      <c r="AM215" s="12" t="s">
        <v>142</v>
      </c>
      <c r="AN215" s="18">
        <v>5.9321999999999999</v>
      </c>
      <c r="AO215" s="18">
        <v>0.68496000000000001</v>
      </c>
      <c r="AP215" s="18">
        <v>13935</v>
      </c>
      <c r="AQ215" s="18">
        <v>11929</v>
      </c>
      <c r="AR215" s="18">
        <v>3.0286</v>
      </c>
      <c r="AS215" s="18">
        <v>8.4802000000000002E-3</v>
      </c>
      <c r="AT215" s="18">
        <v>0.72070000000000001</v>
      </c>
      <c r="AU215" s="18">
        <v>0.76285999999999998</v>
      </c>
      <c r="AV215" s="18">
        <v>9.221E-2</v>
      </c>
      <c r="AW215" s="18">
        <v>5.2329000000000004E-3</v>
      </c>
      <c r="AX215" s="18">
        <v>0.18598999999999999</v>
      </c>
      <c r="AY215" s="18">
        <v>-29.154</v>
      </c>
      <c r="AZ215" s="18">
        <v>-2513.9</v>
      </c>
      <c r="BA215" s="18">
        <v>6.4769999999999994E-2</v>
      </c>
      <c r="BB215" s="18">
        <v>35.972000000000001</v>
      </c>
      <c r="BC215" s="18" t="s">
        <v>162</v>
      </c>
      <c r="BD215" s="35" t="s">
        <v>165</v>
      </c>
      <c r="BE215" t="s">
        <v>168</v>
      </c>
    </row>
    <row r="216" spans="1:57" x14ac:dyDescent="0.25">
      <c r="A216" s="15" t="s">
        <v>285</v>
      </c>
      <c r="B216" s="18" t="s">
        <v>13</v>
      </c>
      <c r="C216" s="18" t="s">
        <v>6</v>
      </c>
      <c r="D216" s="18">
        <v>55</v>
      </c>
      <c r="E216" s="18">
        <v>21.986000000000001</v>
      </c>
      <c r="F216" s="18">
        <v>18.584</v>
      </c>
      <c r="G216" s="15">
        <v>9.7899999999999991</v>
      </c>
      <c r="H216" s="15">
        <v>5.4</v>
      </c>
      <c r="I216" s="15">
        <v>1.65</v>
      </c>
      <c r="J216" s="15">
        <f>180-41.58</f>
        <v>138.42000000000002</v>
      </c>
      <c r="K216" s="15">
        <v>10.95</v>
      </c>
      <c r="L216" s="15">
        <v>55.94</v>
      </c>
      <c r="M216" s="15">
        <v>8.75</v>
      </c>
      <c r="N216" s="15">
        <v>2</v>
      </c>
      <c r="O216" s="15">
        <f>1.67+1.68</f>
        <v>3.3499999999999996</v>
      </c>
      <c r="P216" s="9">
        <v>1.12429</v>
      </c>
      <c r="Q216" s="9">
        <v>1.9761</v>
      </c>
      <c r="R216" s="9">
        <v>0.15420600000000001</v>
      </c>
      <c r="S216" s="9">
        <v>0.15973499999999999</v>
      </c>
      <c r="T216" s="9">
        <v>0.19739000000000001</v>
      </c>
      <c r="U216" s="9">
        <v>9.1632099999999994E-2</v>
      </c>
      <c r="V216" s="9">
        <v>9.5408500000000007</v>
      </c>
      <c r="W216" s="9">
        <v>4.8281200000000002</v>
      </c>
      <c r="X216" s="9">
        <v>5.42821</v>
      </c>
      <c r="Y216" s="9">
        <v>128.96299999999999</v>
      </c>
      <c r="Z216" s="9">
        <v>140.03700000000001</v>
      </c>
      <c r="AA216" s="9">
        <f t="shared" si="37"/>
        <v>2.9261333333333335</v>
      </c>
      <c r="AB216" s="9">
        <f t="shared" si="38"/>
        <v>5.9333333333333336</v>
      </c>
      <c r="AC216" s="9">
        <f t="shared" si="39"/>
        <v>3.2727272727272729</v>
      </c>
      <c r="AD216" s="9">
        <f t="shared" si="40"/>
        <v>5.8656872555262431</v>
      </c>
      <c r="AE216" s="9">
        <f t="shared" si="41"/>
        <v>6.3693714181752021</v>
      </c>
      <c r="AF216" s="9">
        <f t="shared" si="42"/>
        <v>4.7822975622324977</v>
      </c>
      <c r="AG216" s="9">
        <f t="shared" si="34"/>
        <v>2.6454415808399214</v>
      </c>
      <c r="AH216" s="9">
        <f t="shared" si="33"/>
        <v>0.89441453248683445</v>
      </c>
      <c r="AI216" s="9">
        <f t="shared" si="35"/>
        <v>3.2214500094895731</v>
      </c>
      <c r="AJ216" s="9">
        <f>(4*PI()*(AI216^2))/(Y216+E216)</f>
        <v>0.86393768117592906</v>
      </c>
      <c r="AK216" s="12">
        <f t="shared" si="36"/>
        <v>0.49253731343283585</v>
      </c>
      <c r="AL216" s="12" t="s">
        <v>140</v>
      </c>
      <c r="AM216" s="12" t="s">
        <v>142</v>
      </c>
      <c r="AN216" s="18">
        <v>8.8676999999999992</v>
      </c>
      <c r="AO216" s="18">
        <v>0.72697000000000001</v>
      </c>
      <c r="AP216" s="18">
        <v>16318</v>
      </c>
      <c r="AQ216" s="18">
        <v>15682</v>
      </c>
      <c r="AR216" s="18">
        <v>4.4241999999999999</v>
      </c>
      <c r="AS216" s="18">
        <v>4.8096E-2</v>
      </c>
      <c r="AT216" s="18">
        <v>0.67225000000000001</v>
      </c>
      <c r="AU216" s="18">
        <v>0.64731000000000005</v>
      </c>
      <c r="AV216" s="18">
        <v>0.19799</v>
      </c>
      <c r="AW216" s="18">
        <v>4.3801E-2</v>
      </c>
      <c r="AX216" s="18">
        <v>0.28915999999999997</v>
      </c>
      <c r="AY216" s="18">
        <v>-14.997999999999999</v>
      </c>
      <c r="AZ216" s="18">
        <v>-2394.4</v>
      </c>
      <c r="BA216" s="18">
        <v>0.11114</v>
      </c>
      <c r="BB216" s="18">
        <v>22.53</v>
      </c>
      <c r="BC216" s="18" t="s">
        <v>164</v>
      </c>
      <c r="BD216" s="35" t="s">
        <v>165</v>
      </c>
      <c r="BE216" t="s">
        <v>167</v>
      </c>
    </row>
    <row r="217" spans="1:57" x14ac:dyDescent="0.25">
      <c r="A217" s="15" t="s">
        <v>286</v>
      </c>
      <c r="B217" s="18" t="s">
        <v>26</v>
      </c>
      <c r="C217" s="18" t="s">
        <v>6</v>
      </c>
      <c r="D217" s="18">
        <v>71</v>
      </c>
      <c r="E217" s="18">
        <v>15.731</v>
      </c>
      <c r="F217" s="18">
        <v>14.824999999999999</v>
      </c>
      <c r="G217" s="15">
        <v>10.06</v>
      </c>
      <c r="H217" s="15">
        <v>5.3</v>
      </c>
      <c r="I217" s="15">
        <v>2.4300000000000002</v>
      </c>
      <c r="J217" s="15">
        <v>34.479999999999997</v>
      </c>
      <c r="K217" s="15">
        <v>18.71</v>
      </c>
      <c r="L217" s="15">
        <v>51.25</v>
      </c>
      <c r="M217" s="15">
        <v>5.45</v>
      </c>
      <c r="N217" s="15">
        <v>2</v>
      </c>
      <c r="O217" s="15">
        <f>2.19+1.58</f>
        <v>3.77</v>
      </c>
      <c r="P217" s="9">
        <v>1.2441800000000001</v>
      </c>
      <c r="Q217" s="9">
        <v>2.10283</v>
      </c>
      <c r="R217" s="9">
        <v>0.16666700000000001</v>
      </c>
      <c r="S217" s="9">
        <v>0.21199599999999999</v>
      </c>
      <c r="T217" s="9">
        <v>0.25448300000000001</v>
      </c>
      <c r="U217" s="9">
        <v>0.13298299999999999</v>
      </c>
      <c r="V217" s="9">
        <v>8.9812100000000008</v>
      </c>
      <c r="W217" s="9">
        <v>4.2710100000000004</v>
      </c>
      <c r="X217" s="9">
        <v>5.3138800000000002</v>
      </c>
      <c r="Y217" s="9">
        <v>119.148</v>
      </c>
      <c r="Z217" s="9">
        <v>111.328</v>
      </c>
      <c r="AA217" s="9">
        <f t="shared" si="37"/>
        <v>1.7576172839506174</v>
      </c>
      <c r="AB217" s="9">
        <f t="shared" si="38"/>
        <v>4.1399176954732511</v>
      </c>
      <c r="AC217" s="9">
        <f t="shared" si="39"/>
        <v>2.1810699588477362</v>
      </c>
      <c r="AD217" s="9">
        <f t="shared" si="40"/>
        <v>7.5740893776619416</v>
      </c>
      <c r="AE217" s="9">
        <f t="shared" si="41"/>
        <v>7.0769817557688643</v>
      </c>
      <c r="AF217" s="9">
        <f t="shared" si="42"/>
        <v>5.1485367694059523</v>
      </c>
      <c r="AG217" s="9">
        <f t="shared" si="34"/>
        <v>2.2377070450702905</v>
      </c>
      <c r="AH217" s="9">
        <f t="shared" si="33"/>
        <v>0.94839312157557487</v>
      </c>
      <c r="AI217" s="9">
        <f t="shared" si="35"/>
        <v>2.9842733405962254</v>
      </c>
      <c r="AJ217" s="9">
        <f>(4*PI()*(AI217^2))/(Y217+E217)</f>
        <v>0.82974133377820058</v>
      </c>
      <c r="AK217" s="12">
        <f t="shared" si="36"/>
        <v>0.64456233421750664</v>
      </c>
      <c r="AL217" s="12" t="s">
        <v>140</v>
      </c>
      <c r="AM217" s="12" t="s">
        <v>142</v>
      </c>
      <c r="AN217" s="18">
        <v>4.5590000000000002</v>
      </c>
      <c r="AO217" s="18">
        <v>0.42960999999999999</v>
      </c>
      <c r="AP217" s="18">
        <v>6468.5</v>
      </c>
      <c r="AQ217" s="18">
        <v>6082.5</v>
      </c>
      <c r="AR217" s="18">
        <v>2.4304999999999999</v>
      </c>
      <c r="AS217" s="18">
        <v>6.1330000000000004E-3</v>
      </c>
      <c r="AT217" s="18">
        <v>0.73595999999999995</v>
      </c>
      <c r="AU217" s="18">
        <v>0.70442000000000005</v>
      </c>
      <c r="AV217" s="18">
        <v>0.14616000000000001</v>
      </c>
      <c r="AW217" s="18">
        <v>4.8449000000000001E-3</v>
      </c>
      <c r="AX217" s="18">
        <v>0.19763</v>
      </c>
      <c r="AY217" s="18">
        <v>-19.393999999999998</v>
      </c>
      <c r="AZ217" s="18">
        <v>-1064.0999999999999</v>
      </c>
      <c r="BA217" s="18">
        <v>0.1744</v>
      </c>
      <c r="BB217" s="18">
        <v>23.302</v>
      </c>
      <c r="BC217" s="18" t="s">
        <v>162</v>
      </c>
      <c r="BD217" s="35" t="s">
        <v>165</v>
      </c>
      <c r="BE217" t="s">
        <v>167</v>
      </c>
    </row>
    <row r="218" spans="1:57" x14ac:dyDescent="0.25">
      <c r="A218" s="15" t="s">
        <v>287</v>
      </c>
      <c r="B218" s="18" t="s">
        <v>26</v>
      </c>
      <c r="C218" s="18" t="s">
        <v>6</v>
      </c>
      <c r="D218" s="18">
        <v>57</v>
      </c>
      <c r="E218" s="18">
        <v>20.062000000000001</v>
      </c>
      <c r="F218" s="18">
        <v>16.942</v>
      </c>
      <c r="G218" s="15">
        <v>6.81</v>
      </c>
      <c r="H218" s="15">
        <v>4.05</v>
      </c>
      <c r="I218" s="15">
        <v>2.29</v>
      </c>
      <c r="J218" s="15">
        <v>71.52</v>
      </c>
      <c r="K218" s="15">
        <v>27.92</v>
      </c>
      <c r="L218" s="15">
        <v>79.33</v>
      </c>
      <c r="M218" s="15">
        <v>6.4</v>
      </c>
      <c r="N218" s="15">
        <v>2</v>
      </c>
      <c r="O218" s="15">
        <f>1.94+2.5</f>
        <v>4.4399999999999995</v>
      </c>
      <c r="P218" s="9">
        <v>0.82511699999999999</v>
      </c>
      <c r="Q218" s="9">
        <v>1.23834</v>
      </c>
      <c r="R218" s="9">
        <v>0.487342</v>
      </c>
      <c r="S218" s="9">
        <v>7.7708899999999997E-2</v>
      </c>
      <c r="T218" s="9">
        <v>0.102949</v>
      </c>
      <c r="U218" s="9">
        <v>6.1203E-2</v>
      </c>
      <c r="V218" s="9">
        <v>6.0640099999999997</v>
      </c>
      <c r="W218" s="9">
        <v>4.89689</v>
      </c>
      <c r="X218" s="9">
        <v>4.0405100000000003</v>
      </c>
      <c r="Y218" s="9">
        <v>68.708699999999993</v>
      </c>
      <c r="Z218" s="9">
        <v>64.3476</v>
      </c>
      <c r="AA218" s="9">
        <f t="shared" si="37"/>
        <v>2.1383799126637553</v>
      </c>
      <c r="AB218" s="9">
        <f t="shared" si="38"/>
        <v>2.9737991266375543</v>
      </c>
      <c r="AC218" s="9">
        <f t="shared" si="39"/>
        <v>1.7685589519650653</v>
      </c>
      <c r="AD218" s="9">
        <f t="shared" si="40"/>
        <v>3.4248180640015944</v>
      </c>
      <c r="AE218" s="9">
        <f t="shared" si="41"/>
        <v>3.2074369454690457</v>
      </c>
      <c r="AF218" s="9">
        <f t="shared" si="42"/>
        <v>4.2788148650433051</v>
      </c>
      <c r="AG218" s="9">
        <f t="shared" si="34"/>
        <v>2.5270403512051818</v>
      </c>
      <c r="AH218" s="9">
        <f t="shared" si="33"/>
        <v>0.93718939944176238</v>
      </c>
      <c r="AI218" s="9">
        <f t="shared" si="35"/>
        <v>2.4858862264568988</v>
      </c>
      <c r="AJ218" s="9">
        <f>(4*PI()*(AI218^2))/(Y218+E218)</f>
        <v>0.87478779594703127</v>
      </c>
      <c r="AK218" s="12">
        <f t="shared" si="36"/>
        <v>0.51576576576576583</v>
      </c>
      <c r="AL218" s="12" t="s">
        <v>144</v>
      </c>
      <c r="AM218" s="12" t="s">
        <v>142</v>
      </c>
      <c r="AN218" s="18">
        <v>8.8421000000000003</v>
      </c>
      <c r="AO218" s="18">
        <v>1.0519000000000001</v>
      </c>
      <c r="AP218" s="18">
        <v>8922.7999999999993</v>
      </c>
      <c r="AQ218" s="18">
        <v>9460.2000000000007</v>
      </c>
      <c r="AR218" s="18">
        <v>4.6372999999999998</v>
      </c>
      <c r="AS218" s="18">
        <v>2.2896E-2</v>
      </c>
      <c r="AT218" s="18">
        <v>0.66861999999999999</v>
      </c>
      <c r="AU218" s="18">
        <v>0.39965000000000001</v>
      </c>
      <c r="AV218" s="18">
        <v>2.7659E-3</v>
      </c>
      <c r="AW218" s="18">
        <v>1.8363999999999998E-2</v>
      </c>
      <c r="AX218" s="18">
        <v>0.29732999999999998</v>
      </c>
      <c r="AY218" s="18">
        <v>-8.3094000000000001</v>
      </c>
      <c r="AZ218" s="18">
        <v>-2016.9</v>
      </c>
      <c r="BA218" s="18">
        <v>6.0342E-2</v>
      </c>
      <c r="BB218" s="18">
        <v>3.0613000000000001</v>
      </c>
      <c r="BC218" s="18" t="s">
        <v>164</v>
      </c>
      <c r="BD218" s="35" t="s">
        <v>165</v>
      </c>
      <c r="BE218" t="s">
        <v>167</v>
      </c>
    </row>
    <row r="219" spans="1:57" x14ac:dyDescent="0.25">
      <c r="A219" s="15" t="s">
        <v>288</v>
      </c>
      <c r="B219" s="18" t="s">
        <v>5</v>
      </c>
      <c r="C219" s="18" t="s">
        <v>6</v>
      </c>
      <c r="D219" s="18">
        <v>24</v>
      </c>
      <c r="E219" s="18">
        <v>4.7297000000000002</v>
      </c>
      <c r="F219" s="18">
        <v>7.9848999999999997</v>
      </c>
      <c r="G219" s="15">
        <v>7.33</v>
      </c>
      <c r="H219" s="15">
        <v>6.45</v>
      </c>
      <c r="I219" s="15">
        <v>3.56</v>
      </c>
      <c r="J219" s="15">
        <v>20.29</v>
      </c>
      <c r="K219" s="15">
        <v>58.1</v>
      </c>
      <c r="L219" s="15">
        <v>79.27</v>
      </c>
      <c r="M219" s="15">
        <v>4.4000000000000004</v>
      </c>
      <c r="N219" s="15">
        <v>2</v>
      </c>
      <c r="O219" s="15">
        <f>2.3+2.55</f>
        <v>4.8499999999999996</v>
      </c>
      <c r="P219" s="9">
        <v>2.6973400000000001</v>
      </c>
      <c r="Q219" s="9">
        <v>1.80528</v>
      </c>
      <c r="R219" s="9">
        <v>0.17968700000000001</v>
      </c>
      <c r="S219" s="9">
        <v>0.244033</v>
      </c>
      <c r="T219" s="9">
        <v>0.28082699999999999</v>
      </c>
      <c r="U219" s="9">
        <v>0.13081200000000001</v>
      </c>
      <c r="V219" s="9">
        <v>4.3330200000000003</v>
      </c>
      <c r="W219" s="9">
        <v>2.4001899999999998</v>
      </c>
      <c r="X219" s="9">
        <v>6.4741200000000001</v>
      </c>
      <c r="Y219" s="9">
        <v>70.547200000000004</v>
      </c>
      <c r="Z219" s="9">
        <v>48.057200000000002</v>
      </c>
      <c r="AA219" s="9">
        <f t="shared" si="37"/>
        <v>0.67421067415730329</v>
      </c>
      <c r="AB219" s="9">
        <f t="shared" si="38"/>
        <v>2.058988764044944</v>
      </c>
      <c r="AC219" s="9">
        <f t="shared" si="39"/>
        <v>1.8117977528089888</v>
      </c>
      <c r="AD219" s="9">
        <f t="shared" si="40"/>
        <v>14.915787470664101</v>
      </c>
      <c r="AE219" s="9">
        <f t="shared" si="41"/>
        <v>10.160729010296636</v>
      </c>
      <c r="AF219" s="9">
        <f t="shared" si="42"/>
        <v>5.3371262033574824</v>
      </c>
      <c r="AG219" s="9">
        <f t="shared" si="34"/>
        <v>1.226992367002939</v>
      </c>
      <c r="AH219" s="9">
        <f t="shared" si="33"/>
        <v>0.96549993266971024</v>
      </c>
      <c r="AI219" s="9">
        <f t="shared" si="35"/>
        <v>2.2553984868933075</v>
      </c>
      <c r="AJ219" s="9">
        <f>(4*PI()*(AI219^2))/(Y219+E219)</f>
        <v>0.84917012665235247</v>
      </c>
      <c r="AK219" s="12">
        <f t="shared" si="36"/>
        <v>0.73402061855670109</v>
      </c>
      <c r="AL219" s="12" t="s">
        <v>140</v>
      </c>
      <c r="AM219" s="12" t="s">
        <v>142</v>
      </c>
      <c r="AN219" s="18">
        <v>5.6866000000000003</v>
      </c>
      <c r="AO219" s="18">
        <v>0.70143</v>
      </c>
      <c r="AP219" s="18">
        <v>13123</v>
      </c>
      <c r="AQ219" s="18">
        <v>12434</v>
      </c>
      <c r="AR219" s="18">
        <v>2.8271999999999999</v>
      </c>
      <c r="AS219" s="18">
        <v>8.0052999999999999E-3</v>
      </c>
      <c r="AT219" s="18">
        <v>0.77381</v>
      </c>
      <c r="AU219" s="18">
        <v>0.89609000000000005</v>
      </c>
      <c r="AV219" s="18">
        <v>7.4331999999999995E-2</v>
      </c>
      <c r="AW219" s="18">
        <v>8.3228E-3</v>
      </c>
      <c r="AX219" s="18">
        <v>0.18625</v>
      </c>
      <c r="AY219" s="18">
        <v>1.226</v>
      </c>
      <c r="AZ219" s="18">
        <v>-772.4</v>
      </c>
      <c r="BA219" s="18">
        <v>7.4040999999999996E-2</v>
      </c>
      <c r="BB219" s="18">
        <v>6.9583000000000004</v>
      </c>
      <c r="BC219" s="18" t="s">
        <v>162</v>
      </c>
      <c r="BD219" s="35" t="s">
        <v>165</v>
      </c>
      <c r="BE219" t="s">
        <v>167</v>
      </c>
    </row>
    <row r="220" spans="1:57" x14ac:dyDescent="0.25">
      <c r="A220" s="15" t="s">
        <v>289</v>
      </c>
      <c r="B220" s="18" t="s">
        <v>5</v>
      </c>
      <c r="C220" s="18" t="s">
        <v>6</v>
      </c>
      <c r="D220" s="18">
        <v>36</v>
      </c>
      <c r="E220" s="18">
        <v>5.2834000000000003</v>
      </c>
      <c r="F220" s="18">
        <v>8.5568000000000008</v>
      </c>
      <c r="G220" s="15">
        <v>4</v>
      </c>
      <c r="H220" s="15">
        <v>1.95</v>
      </c>
      <c r="I220" s="15">
        <v>2.6</v>
      </c>
      <c r="J220" s="15">
        <v>70.62</v>
      </c>
      <c r="K220" s="15">
        <v>26.48</v>
      </c>
      <c r="L220" s="15">
        <v>17.02</v>
      </c>
      <c r="M220" s="15">
        <v>3.5</v>
      </c>
      <c r="N220" s="15">
        <v>2</v>
      </c>
      <c r="O220" s="15">
        <f>2.91+0.77</f>
        <v>3.68</v>
      </c>
      <c r="P220" s="9">
        <v>0.78514399999999995</v>
      </c>
      <c r="Q220" s="9">
        <v>1.2707599999999999</v>
      </c>
      <c r="R220" s="9">
        <v>-2.63158E-2</v>
      </c>
      <c r="S220" s="9">
        <v>0.107959</v>
      </c>
      <c r="T220" s="9">
        <v>0.128277</v>
      </c>
      <c r="U220" s="9">
        <v>3.72474E-2</v>
      </c>
      <c r="V220" s="9">
        <v>3.18702</v>
      </c>
      <c r="W220" s="9">
        <v>2.5079600000000002</v>
      </c>
      <c r="X220" s="9">
        <v>1.9691099999999999</v>
      </c>
      <c r="Y220" s="9">
        <v>16.122399999999999</v>
      </c>
      <c r="Z220" s="9">
        <v>7.0065099999999996</v>
      </c>
      <c r="AA220" s="9">
        <f t="shared" si="37"/>
        <v>0.96460000000000001</v>
      </c>
      <c r="AB220" s="9">
        <f t="shared" si="38"/>
        <v>1.5384615384615383</v>
      </c>
      <c r="AC220" s="9">
        <f t="shared" si="39"/>
        <v>0.75</v>
      </c>
      <c r="AD220" s="9">
        <f t="shared" si="40"/>
        <v>3.0515198546390576</v>
      </c>
      <c r="AE220" s="9">
        <f t="shared" si="41"/>
        <v>1.3261365787182495</v>
      </c>
      <c r="AF220" s="9">
        <f t="shared" si="42"/>
        <v>4.4031335803079088</v>
      </c>
      <c r="AG220" s="9">
        <f t="shared" si="34"/>
        <v>1.296826300112486</v>
      </c>
      <c r="AH220" s="9">
        <f t="shared" si="33"/>
        <v>0.95224849883494245</v>
      </c>
      <c r="AI220" s="9">
        <f t="shared" si="35"/>
        <v>1.1870555575252784</v>
      </c>
      <c r="AJ220" s="9">
        <f>(4*PI()*(AI220^2))/(Y220+E220)</f>
        <v>0.82721898272199357</v>
      </c>
      <c r="AK220" s="12">
        <f t="shared" si="36"/>
        <v>0.70652173913043481</v>
      </c>
      <c r="AL220" s="12" t="s">
        <v>140</v>
      </c>
      <c r="AM220" s="12" t="s">
        <v>142</v>
      </c>
      <c r="AN220" s="18">
        <v>13.363</v>
      </c>
      <c r="AO220" s="18">
        <v>0.94893000000000005</v>
      </c>
      <c r="AP220" s="18">
        <v>25822</v>
      </c>
      <c r="AQ220" s="18">
        <v>25468</v>
      </c>
      <c r="AR220" s="18">
        <v>6.0423999999999998</v>
      </c>
      <c r="AS220" s="18">
        <v>2.6562999999999999E-3</v>
      </c>
      <c r="AT220" s="18">
        <v>0.75205</v>
      </c>
      <c r="AU220" s="18">
        <v>0.28042</v>
      </c>
      <c r="AV220" s="18">
        <v>1.6083E-3</v>
      </c>
      <c r="AW220" s="18">
        <v>2.4540999999999999E-3</v>
      </c>
      <c r="AX220" s="18">
        <v>0.34506999999999999</v>
      </c>
      <c r="AY220" s="18">
        <v>0.33293</v>
      </c>
      <c r="AZ220" s="18">
        <v>-2264.3000000000002</v>
      </c>
      <c r="BA220" s="18">
        <v>1.6233000000000001E-2</v>
      </c>
      <c r="BB220" s="18">
        <v>13.025</v>
      </c>
      <c r="BC220" s="18" t="s">
        <v>164</v>
      </c>
      <c r="BD220" s="35" t="s">
        <v>165</v>
      </c>
      <c r="BE220" t="s">
        <v>167</v>
      </c>
    </row>
    <row r="221" spans="1:57" x14ac:dyDescent="0.25">
      <c r="A221" s="15" t="s">
        <v>290</v>
      </c>
      <c r="B221" s="18" t="s">
        <v>13</v>
      </c>
      <c r="C221" s="18" t="s">
        <v>6</v>
      </c>
      <c r="D221" s="18">
        <v>65</v>
      </c>
      <c r="E221" s="18">
        <v>11.02</v>
      </c>
      <c r="F221" s="18">
        <v>11.957000000000001</v>
      </c>
      <c r="G221" s="15">
        <v>5.54</v>
      </c>
      <c r="H221" s="15">
        <v>4.4000000000000004</v>
      </c>
      <c r="I221" s="15">
        <v>2.0499999999999998</v>
      </c>
      <c r="J221" s="15">
        <v>18.52</v>
      </c>
      <c r="K221" s="15">
        <v>46.91</v>
      </c>
      <c r="L221" s="15">
        <v>48.4</v>
      </c>
      <c r="M221" s="15">
        <v>4.9000000000000004</v>
      </c>
      <c r="N221" s="15">
        <v>3</v>
      </c>
      <c r="O221" s="15">
        <f>1.79+1.73+0.8</f>
        <v>4.32</v>
      </c>
      <c r="P221" s="9">
        <v>1.1788799999999999</v>
      </c>
      <c r="Q221" s="9">
        <v>1.28169</v>
      </c>
      <c r="R221" s="9">
        <v>-4.65116E-2</v>
      </c>
      <c r="S221" s="9">
        <v>0.117356</v>
      </c>
      <c r="T221" s="9">
        <v>0.14169100000000001</v>
      </c>
      <c r="U221" s="9">
        <v>6.0348899999999997E-2</v>
      </c>
      <c r="V221" s="9">
        <v>4.7582399999999998</v>
      </c>
      <c r="W221" s="9">
        <v>3.7124600000000001</v>
      </c>
      <c r="X221" s="9">
        <v>4.3765499999999999</v>
      </c>
      <c r="Y221" s="9">
        <v>56.452199999999998</v>
      </c>
      <c r="Z221" s="9">
        <v>44.851399999999998</v>
      </c>
      <c r="AA221" s="9">
        <f t="shared" si="37"/>
        <v>1.8109560975609758</v>
      </c>
      <c r="AB221" s="9">
        <f t="shared" si="38"/>
        <v>2.7024390243902441</v>
      </c>
      <c r="AC221" s="9">
        <f t="shared" si="39"/>
        <v>2.1463414634146347</v>
      </c>
      <c r="AD221" s="9">
        <f t="shared" si="40"/>
        <v>5.1227041742286747</v>
      </c>
      <c r="AE221" s="9">
        <f t="shared" si="41"/>
        <v>4.07</v>
      </c>
      <c r="AF221" s="9">
        <f t="shared" si="42"/>
        <v>4.4719492776980463</v>
      </c>
      <c r="AG221" s="9">
        <f t="shared" si="34"/>
        <v>1.8729054823309619</v>
      </c>
      <c r="AH221" s="9">
        <f t="shared" si="33"/>
        <v>0.98417765395316503</v>
      </c>
      <c r="AI221" s="9">
        <f t="shared" si="35"/>
        <v>2.2040890220969422</v>
      </c>
      <c r="AJ221" s="9">
        <f>(4*PI()*(AI221^2))/(Y221+E221)</f>
        <v>0.9047805499127537</v>
      </c>
      <c r="AK221" s="12">
        <f t="shared" si="36"/>
        <v>0.47453703703703698</v>
      </c>
      <c r="AL221" s="12" t="s">
        <v>144</v>
      </c>
      <c r="AM221" s="12" t="s">
        <v>142</v>
      </c>
      <c r="AN221" s="18">
        <v>2.3401000000000001</v>
      </c>
      <c r="AO221" s="18">
        <v>0.28844999999999998</v>
      </c>
      <c r="AP221" s="18">
        <v>4400.6000000000004</v>
      </c>
      <c r="AQ221" s="18">
        <v>3971.7</v>
      </c>
      <c r="AR221" s="18">
        <v>1.2524999999999999</v>
      </c>
      <c r="AS221" s="18">
        <v>1.1916E-2</v>
      </c>
      <c r="AT221" s="18">
        <v>0.71503000000000005</v>
      </c>
      <c r="AU221" s="18">
        <v>1.4259999999999999</v>
      </c>
      <c r="AV221" s="18">
        <v>0.17343</v>
      </c>
      <c r="AW221" s="18">
        <v>8.0987999999999997E-3</v>
      </c>
      <c r="AX221" s="18">
        <v>0.10999</v>
      </c>
      <c r="AY221" s="18">
        <v>-7.0907</v>
      </c>
      <c r="AZ221" s="18">
        <v>-341.77</v>
      </c>
      <c r="BA221" s="18">
        <v>0.12336999999999999</v>
      </c>
      <c r="BB221" s="18">
        <v>18.597999999999999</v>
      </c>
      <c r="BC221" s="18" t="s">
        <v>162</v>
      </c>
      <c r="BD221" s="35" t="s">
        <v>163</v>
      </c>
      <c r="BE221" t="s">
        <v>168</v>
      </c>
    </row>
    <row r="222" spans="1:57" x14ac:dyDescent="0.25">
      <c r="A222" s="15" t="s">
        <v>291</v>
      </c>
      <c r="B222" s="18" t="s">
        <v>26</v>
      </c>
      <c r="C222" s="18" t="s">
        <v>6</v>
      </c>
      <c r="D222" s="18">
        <v>53</v>
      </c>
      <c r="E222" s="18">
        <v>10.598000000000001</v>
      </c>
      <c r="F222" s="18">
        <v>12.074999999999999</v>
      </c>
      <c r="G222" s="15">
        <v>6.29</v>
      </c>
      <c r="H222" s="15">
        <v>5.2</v>
      </c>
      <c r="I222" s="15">
        <v>2.41</v>
      </c>
      <c r="J222" s="15">
        <v>42.82</v>
      </c>
      <c r="K222" s="15">
        <v>29.33</v>
      </c>
      <c r="L222" s="15">
        <v>75.41</v>
      </c>
      <c r="M222" s="15">
        <v>4.5999999999999996</v>
      </c>
      <c r="N222" s="15">
        <v>2</v>
      </c>
      <c r="O222" s="15">
        <f>1.02+1.75</f>
        <v>2.77</v>
      </c>
      <c r="P222" s="9">
        <v>1.4658500000000001</v>
      </c>
      <c r="Q222" s="9">
        <v>1.7728900000000001</v>
      </c>
      <c r="R222" s="9">
        <v>-4.8543800000000002E-3</v>
      </c>
      <c r="S222" s="9">
        <v>0.14971499999999999</v>
      </c>
      <c r="T222" s="9">
        <v>0.15599199999999999</v>
      </c>
      <c r="U222" s="9">
        <v>1.0812199999999999E-2</v>
      </c>
      <c r="V222" s="9">
        <v>6.3338099999999997</v>
      </c>
      <c r="W222" s="9">
        <v>3.5725899999999999</v>
      </c>
      <c r="X222" s="9">
        <v>5.2368699999999997</v>
      </c>
      <c r="Y222" s="9">
        <v>87.410799999999995</v>
      </c>
      <c r="Z222" s="9">
        <v>84.2667</v>
      </c>
      <c r="AA222" s="9">
        <f t="shared" si="37"/>
        <v>1.482402489626556</v>
      </c>
      <c r="AB222" s="9">
        <f t="shared" si="38"/>
        <v>2.6099585062240664</v>
      </c>
      <c r="AC222" s="9">
        <f t="shared" si="39"/>
        <v>2.1576763485477177</v>
      </c>
      <c r="AD222" s="9">
        <f t="shared" si="40"/>
        <v>8.2478580864314015</v>
      </c>
      <c r="AE222" s="9">
        <f t="shared" si="41"/>
        <v>7.9511889035667105</v>
      </c>
      <c r="AF222" s="9">
        <f t="shared" si="42"/>
        <v>4.5477275351337454</v>
      </c>
      <c r="AG222" s="9">
        <f t="shared" si="34"/>
        <v>1.8366949049245533</v>
      </c>
      <c r="AH222" s="9">
        <f t="shared" si="33"/>
        <v>0.95571796607814175</v>
      </c>
      <c r="AI222" s="9">
        <f t="shared" si="35"/>
        <v>2.7197091296409091</v>
      </c>
      <c r="AJ222" s="9">
        <f>(4*PI()*(AI222^2))/(Y222+E222)</f>
        <v>0.94839599313033018</v>
      </c>
      <c r="AK222" s="12">
        <f t="shared" si="36"/>
        <v>0.87003610108303253</v>
      </c>
      <c r="AL222" s="12" t="s">
        <v>144</v>
      </c>
      <c r="AM222" s="12" t="s">
        <v>142</v>
      </c>
      <c r="AN222" s="18">
        <v>2.0552999999999999</v>
      </c>
      <c r="AO222" s="18">
        <v>0.22523000000000001</v>
      </c>
      <c r="AP222" s="18">
        <v>4327.2</v>
      </c>
      <c r="AQ222" s="18">
        <v>4112</v>
      </c>
      <c r="AR222" s="18">
        <v>1.2824</v>
      </c>
      <c r="AS222" s="18">
        <v>1.247E-2</v>
      </c>
      <c r="AT222" s="18">
        <v>0.75329999999999997</v>
      </c>
      <c r="AU222" s="18">
        <v>1.2957000000000001</v>
      </c>
      <c r="AV222" s="18">
        <v>0.42320000000000002</v>
      </c>
      <c r="AW222" s="18">
        <v>1.6066E-2</v>
      </c>
      <c r="AX222" s="18">
        <v>9.5380999999999994E-2</v>
      </c>
      <c r="AY222" s="18">
        <v>-17.381</v>
      </c>
      <c r="AZ222" s="18">
        <v>-545.82000000000005</v>
      </c>
      <c r="BA222" s="18">
        <v>0.19284999999999999</v>
      </c>
      <c r="BB222" s="18">
        <v>25.332999999999998</v>
      </c>
      <c r="BC222" s="18" t="s">
        <v>162</v>
      </c>
      <c r="BD222" s="35" t="s">
        <v>165</v>
      </c>
      <c r="BE222" t="s">
        <v>167</v>
      </c>
    </row>
    <row r="223" spans="1:57" x14ac:dyDescent="0.25">
      <c r="A223" s="15" t="s">
        <v>292</v>
      </c>
      <c r="B223" s="18" t="s">
        <v>13</v>
      </c>
      <c r="C223" s="18" t="s">
        <v>14</v>
      </c>
      <c r="D223" s="18">
        <v>31</v>
      </c>
      <c r="E223" s="18">
        <v>5.4966999999999997</v>
      </c>
      <c r="F223" s="18">
        <v>8.5066000000000006</v>
      </c>
      <c r="G223" s="15">
        <v>6.15</v>
      </c>
      <c r="H223" s="15">
        <v>5.9</v>
      </c>
      <c r="I223" s="15">
        <v>1.89</v>
      </c>
      <c r="J223" s="15">
        <v>72.510000000000005</v>
      </c>
      <c r="K223" s="15">
        <v>67.33</v>
      </c>
      <c r="L223" s="15">
        <v>46.58</v>
      </c>
      <c r="M223" s="15">
        <v>4.5999999999999996</v>
      </c>
      <c r="N223" s="15">
        <v>2</v>
      </c>
      <c r="O223" s="15">
        <f>1.2+2.3</f>
        <v>3.5</v>
      </c>
      <c r="P223" s="9">
        <v>2.2857400000000001</v>
      </c>
      <c r="Q223" s="9">
        <v>1.83199</v>
      </c>
      <c r="R223" s="9">
        <v>2.5862099999999999E-2</v>
      </c>
      <c r="S223" s="9">
        <v>0.19467200000000001</v>
      </c>
      <c r="T223" s="9">
        <v>0.20719000000000001</v>
      </c>
      <c r="U223" s="9">
        <v>3.9849999999999997E-2</v>
      </c>
      <c r="V223" s="9">
        <v>4.72234</v>
      </c>
      <c r="W223" s="9">
        <v>2.5777100000000002</v>
      </c>
      <c r="X223" s="9">
        <v>5.8919699999999997</v>
      </c>
      <c r="Y223" s="9">
        <v>70.318899999999999</v>
      </c>
      <c r="Z223" s="9">
        <v>55.354199999999999</v>
      </c>
      <c r="AA223" s="9">
        <f t="shared" si="37"/>
        <v>1.3638677248677251</v>
      </c>
      <c r="AB223" s="9">
        <f t="shared" si="38"/>
        <v>3.2539682539682544</v>
      </c>
      <c r="AC223" s="9">
        <f t="shared" si="39"/>
        <v>3.1216931216931219</v>
      </c>
      <c r="AD223" s="9">
        <f t="shared" si="40"/>
        <v>12.792930303636728</v>
      </c>
      <c r="AE223" s="9">
        <f t="shared" si="41"/>
        <v>10.070442265359215</v>
      </c>
      <c r="AF223" s="9">
        <f t="shared" si="42"/>
        <v>4.8414079916501027</v>
      </c>
      <c r="AG223" s="9">
        <f t="shared" si="34"/>
        <v>1.322744854983924</v>
      </c>
      <c r="AH223" s="9">
        <f t="shared" si="33"/>
        <v>0.97701208919925508</v>
      </c>
      <c r="AI223" s="9">
        <f t="shared" si="35"/>
        <v>2.3642169306729417</v>
      </c>
      <c r="AJ223" s="9">
        <f>(4*PI()*(AI223^2))/(Y223+E223)</f>
        <v>0.92645842253964905</v>
      </c>
      <c r="AK223" s="12">
        <f t="shared" si="36"/>
        <v>0.53999999999999992</v>
      </c>
      <c r="AL223" s="12" t="s">
        <v>144</v>
      </c>
      <c r="AM223" s="12" t="s">
        <v>142</v>
      </c>
      <c r="AN223" s="18">
        <v>0.87500999999999995</v>
      </c>
      <c r="AO223" s="18">
        <v>0.14308000000000001</v>
      </c>
      <c r="AP223" s="18">
        <v>2571.6</v>
      </c>
      <c r="AQ223" s="18">
        <v>2240.1999999999998</v>
      </c>
      <c r="AR223" s="18">
        <v>0.4708</v>
      </c>
      <c r="AS223" s="18">
        <v>4.4228999999999997E-2</v>
      </c>
      <c r="AT223" s="18">
        <v>0.61699999999999999</v>
      </c>
      <c r="AU223" s="18">
        <v>5.1955</v>
      </c>
      <c r="AV223" s="18">
        <v>0.70557000000000003</v>
      </c>
      <c r="AW223" s="18">
        <v>3.2981000000000003E-2</v>
      </c>
      <c r="AX223" s="18">
        <v>4.5158999999999998E-2</v>
      </c>
      <c r="AY223" s="18">
        <v>18.061</v>
      </c>
      <c r="AZ223" s="18">
        <v>336.32</v>
      </c>
      <c r="BA223" s="18">
        <v>0.17296</v>
      </c>
      <c r="BB223" s="18">
        <v>7.4512</v>
      </c>
      <c r="BC223" s="18" t="s">
        <v>164</v>
      </c>
      <c r="BD223" s="35" t="s">
        <v>165</v>
      </c>
      <c r="BE223" t="s">
        <v>168</v>
      </c>
    </row>
    <row r="224" spans="1:57" x14ac:dyDescent="0.25">
      <c r="A224" s="15" t="s">
        <v>293</v>
      </c>
      <c r="B224" s="18" t="s">
        <v>13</v>
      </c>
      <c r="C224" s="18" t="s">
        <v>14</v>
      </c>
      <c r="D224" s="18">
        <v>31</v>
      </c>
      <c r="E224" s="18">
        <v>6.5217000000000001</v>
      </c>
      <c r="F224" s="18">
        <v>9.4268000000000001</v>
      </c>
      <c r="G224" s="15">
        <v>4.99</v>
      </c>
      <c r="H224" s="15">
        <v>3.8</v>
      </c>
      <c r="I224" s="15">
        <v>1.89</v>
      </c>
      <c r="J224" s="15">
        <v>64.03</v>
      </c>
      <c r="K224" s="15">
        <v>40.17</v>
      </c>
      <c r="L224" s="15">
        <v>32.94</v>
      </c>
      <c r="M224" s="15">
        <v>4.7</v>
      </c>
      <c r="N224" s="15">
        <v>2</v>
      </c>
      <c r="O224" s="15">
        <f>1.2+2.3</f>
        <v>3.5</v>
      </c>
      <c r="P224" s="9">
        <v>1.3957900000000001</v>
      </c>
      <c r="Q224" s="9">
        <v>1.63106</v>
      </c>
      <c r="R224" s="9">
        <v>8.6666699999999999E-2</v>
      </c>
      <c r="S224" s="9">
        <v>0.14116799999999999</v>
      </c>
      <c r="T224" s="9">
        <v>0.14981</v>
      </c>
      <c r="U224" s="9">
        <v>1.2828900000000001E-2</v>
      </c>
      <c r="V224" s="9">
        <v>4.4758100000000001</v>
      </c>
      <c r="W224" s="9">
        <v>2.7441200000000001</v>
      </c>
      <c r="X224" s="9">
        <v>3.8302200000000002</v>
      </c>
      <c r="Y224" s="9">
        <v>48.309399999999997</v>
      </c>
      <c r="Z224" s="9">
        <v>35.003300000000003</v>
      </c>
      <c r="AA224" s="9">
        <f t="shared" si="37"/>
        <v>1.451915343915344</v>
      </c>
      <c r="AB224" s="9">
        <f t="shared" si="38"/>
        <v>2.6402116402116405</v>
      </c>
      <c r="AC224" s="9">
        <f t="shared" si="39"/>
        <v>2.0105820105820107</v>
      </c>
      <c r="AD224" s="9">
        <f t="shared" si="40"/>
        <v>7.4074857782480024</v>
      </c>
      <c r="AE224" s="9">
        <f t="shared" si="41"/>
        <v>5.3672048698958861</v>
      </c>
      <c r="AF224" s="9">
        <f t="shared" si="42"/>
        <v>4.5146662484500002</v>
      </c>
      <c r="AG224" s="9">
        <f t="shared" si="34"/>
        <v>1.4408058803061667</v>
      </c>
      <c r="AH224" s="9">
        <f t="shared" si="33"/>
        <v>0.96033121925124709</v>
      </c>
      <c r="AI224" s="9">
        <f t="shared" si="35"/>
        <v>2.0292713643814522</v>
      </c>
      <c r="AJ224" s="9">
        <f>(4*PI()*(AI224^2))/(Y224+E224)</f>
        <v>0.94376346155935831</v>
      </c>
      <c r="AK224" s="12">
        <f t="shared" si="36"/>
        <v>0.53999999999999992</v>
      </c>
      <c r="AL224" s="12" t="s">
        <v>144</v>
      </c>
      <c r="AM224" s="12" t="s">
        <v>142</v>
      </c>
      <c r="AN224" s="18">
        <v>4.2260999999999997</v>
      </c>
      <c r="AO224" s="18">
        <v>0.79583000000000004</v>
      </c>
      <c r="AP224" s="18">
        <v>8860.4</v>
      </c>
      <c r="AQ224" s="18">
        <v>7927.7</v>
      </c>
      <c r="AR224" s="18">
        <v>2.0303</v>
      </c>
      <c r="AS224" s="18">
        <v>1.2200000000000001E-2</v>
      </c>
      <c r="AT224" s="18">
        <v>0.74729000000000001</v>
      </c>
      <c r="AU224" s="18">
        <v>0.94650000000000001</v>
      </c>
      <c r="AV224" s="18">
        <v>1.6476999999999999E-2</v>
      </c>
      <c r="AW224" s="18">
        <v>1.1183999999999999E-2</v>
      </c>
      <c r="AX224" s="18">
        <v>0.13714000000000001</v>
      </c>
      <c r="AY224" s="18">
        <v>13.417999999999999</v>
      </c>
      <c r="AZ224" s="18">
        <v>675.32</v>
      </c>
      <c r="BA224" s="18">
        <v>7.9953999999999997E-2</v>
      </c>
      <c r="BB224" s="18">
        <v>26.137</v>
      </c>
      <c r="BC224" s="18" t="s">
        <v>162</v>
      </c>
      <c r="BD224" s="35" t="s">
        <v>165</v>
      </c>
      <c r="BE224" t="s">
        <v>167</v>
      </c>
    </row>
    <row r="225" spans="1:57" x14ac:dyDescent="0.25">
      <c r="A225" s="15" t="s">
        <v>294</v>
      </c>
      <c r="B225" s="18" t="s">
        <v>5</v>
      </c>
      <c r="C225" s="18" t="s">
        <v>6</v>
      </c>
      <c r="D225" s="20">
        <v>48</v>
      </c>
      <c r="E225" s="20">
        <v>13.382999999999999</v>
      </c>
      <c r="F225" s="20">
        <v>13.234</v>
      </c>
      <c r="G225" s="15">
        <v>9.09</v>
      </c>
      <c r="H225" s="15">
        <v>8.5</v>
      </c>
      <c r="I225" s="15">
        <v>2.41</v>
      </c>
      <c r="J225" s="15">
        <v>85</v>
      </c>
      <c r="K225" s="15">
        <v>65.33</v>
      </c>
      <c r="L225" s="15">
        <v>32.229999999999997</v>
      </c>
      <c r="M225" s="15">
        <v>7</v>
      </c>
      <c r="N225" s="15">
        <v>1</v>
      </c>
      <c r="O225" s="15">
        <v>2.59</v>
      </c>
      <c r="P225" s="9">
        <v>2.06134</v>
      </c>
      <c r="Q225" s="9">
        <v>1.56934</v>
      </c>
      <c r="R225" s="9">
        <v>0.16867499999999999</v>
      </c>
      <c r="S225" s="9">
        <v>0.209342</v>
      </c>
      <c r="T225" s="9">
        <v>0.253909</v>
      </c>
      <c r="U225" s="9">
        <v>0.159667</v>
      </c>
      <c r="V225" s="9">
        <v>6.3691500000000003</v>
      </c>
      <c r="W225" s="9">
        <v>4.0585000000000004</v>
      </c>
      <c r="X225" s="9">
        <v>8.3659499999999998</v>
      </c>
      <c r="Y225" s="9">
        <v>131.01400000000001</v>
      </c>
      <c r="Z225" s="9">
        <v>128.51499999999999</v>
      </c>
      <c r="AA225" s="9">
        <f t="shared" si="37"/>
        <v>1.6840248962655602</v>
      </c>
      <c r="AB225" s="9">
        <f t="shared" si="38"/>
        <v>3.7717842323651452</v>
      </c>
      <c r="AC225" s="9">
        <f t="shared" si="39"/>
        <v>3.5269709543568464</v>
      </c>
      <c r="AD225" s="9">
        <f t="shared" si="40"/>
        <v>9.7895838003437206</v>
      </c>
      <c r="AE225" s="9">
        <f t="shared" si="41"/>
        <v>9.6028543674811324</v>
      </c>
      <c r="AF225" s="9">
        <f t="shared" si="42"/>
        <v>5.1445630317917663</v>
      </c>
      <c r="AG225" s="9">
        <f t="shared" si="34"/>
        <v>2.0639625013060847</v>
      </c>
      <c r="AH225" s="9">
        <f t="shared" si="33"/>
        <v>0.97991981734743983</v>
      </c>
      <c r="AI225" s="9">
        <f t="shared" si="35"/>
        <v>3.1305578752669301</v>
      </c>
      <c r="AJ225" s="9">
        <f>(4*PI()*(AI225^2))/(Y225+E225)</f>
        <v>0.852894213234766</v>
      </c>
      <c r="AK225" s="12">
        <f t="shared" si="36"/>
        <v>0.93050193050193064</v>
      </c>
      <c r="AL225" s="12" t="s">
        <v>140</v>
      </c>
      <c r="AM225" s="12" t="s">
        <v>143</v>
      </c>
      <c r="AN225" s="20">
        <v>4.1334999999999997</v>
      </c>
      <c r="AO225" s="20">
        <v>0.42220000000000002</v>
      </c>
      <c r="AP225" s="20">
        <v>5513.3</v>
      </c>
      <c r="AQ225" s="20">
        <v>5138</v>
      </c>
      <c r="AR225" s="20">
        <v>2.3206000000000002</v>
      </c>
      <c r="AS225" s="20">
        <v>1.3294E-2</v>
      </c>
      <c r="AT225" s="20">
        <v>0.72867000000000004</v>
      </c>
      <c r="AU225" s="20">
        <v>1.4560999999999999</v>
      </c>
      <c r="AV225" s="20">
        <v>0.21281</v>
      </c>
      <c r="AW225" s="20">
        <v>8.4442000000000007E-3</v>
      </c>
      <c r="AX225" s="20">
        <v>0.18104999999999999</v>
      </c>
      <c r="AY225" s="20">
        <v>1.2572000000000001</v>
      </c>
      <c r="AZ225" s="20">
        <v>204.03</v>
      </c>
      <c r="BA225" s="20">
        <v>8.7684999999999999E-2</v>
      </c>
      <c r="BB225" s="20">
        <v>6.3381999999999996</v>
      </c>
      <c r="BC225" s="18" t="s">
        <v>164</v>
      </c>
      <c r="BD225" s="35" t="s">
        <v>165</v>
      </c>
      <c r="BE225" t="s">
        <v>168</v>
      </c>
    </row>
    <row r="226" spans="1:57" x14ac:dyDescent="0.25">
      <c r="A226" s="15" t="s">
        <v>295</v>
      </c>
      <c r="B226" s="18" t="s">
        <v>13</v>
      </c>
      <c r="C226" s="18" t="s">
        <v>6</v>
      </c>
      <c r="D226" s="18">
        <v>27</v>
      </c>
      <c r="E226" s="18">
        <v>8.3320000000000007</v>
      </c>
      <c r="F226" s="18">
        <v>10.515000000000001</v>
      </c>
      <c r="G226" s="15">
        <v>5.17</v>
      </c>
      <c r="H226" s="15">
        <v>3.1</v>
      </c>
      <c r="I226" s="15">
        <v>1.65</v>
      </c>
      <c r="J226" s="15">
        <v>39.549999999999997</v>
      </c>
      <c r="K226" s="15">
        <v>34.01</v>
      </c>
      <c r="L226" s="15">
        <v>62</v>
      </c>
      <c r="M226" s="15">
        <v>4.55</v>
      </c>
      <c r="N226" s="15">
        <v>2</v>
      </c>
      <c r="O226" s="15">
        <f>1.74+1.49</f>
        <v>3.23</v>
      </c>
      <c r="P226" s="9">
        <v>0.96335300000000001</v>
      </c>
      <c r="Q226" s="9">
        <v>1.56816</v>
      </c>
      <c r="R226" s="9">
        <v>0.283333</v>
      </c>
      <c r="S226" s="9">
        <v>0.13791200000000001</v>
      </c>
      <c r="T226" s="9">
        <v>0.18167700000000001</v>
      </c>
      <c r="U226" s="9">
        <v>0.114494</v>
      </c>
      <c r="V226" s="9">
        <v>5.0419700000000001</v>
      </c>
      <c r="W226" s="9">
        <v>3.2152099999999999</v>
      </c>
      <c r="X226" s="9">
        <v>3.0973799999999998</v>
      </c>
      <c r="Y226" s="9">
        <v>38.721899999999998</v>
      </c>
      <c r="Z226" s="9">
        <v>23.719799999999999</v>
      </c>
      <c r="AA226" s="9">
        <f t="shared" si="37"/>
        <v>1.9486121212121212</v>
      </c>
      <c r="AB226" s="9">
        <f t="shared" si="38"/>
        <v>3.1333333333333333</v>
      </c>
      <c r="AC226" s="9">
        <f t="shared" si="39"/>
        <v>1.8787878787878789</v>
      </c>
      <c r="AD226" s="9">
        <f t="shared" si="40"/>
        <v>4.6473715794527122</v>
      </c>
      <c r="AE226" s="9">
        <f t="shared" si="41"/>
        <v>2.8468314930388861</v>
      </c>
      <c r="AF226" s="9">
        <f t="shared" si="42"/>
        <v>4.6904658373743304</v>
      </c>
      <c r="AG226" s="9">
        <f t="shared" si="34"/>
        <v>1.6285447404610487</v>
      </c>
      <c r="AH226" s="9">
        <f t="shared" ref="AH226:AH289" si="43">(2*PI()*AG226)/F226</f>
        <v>0.97312870997141732</v>
      </c>
      <c r="AI226" s="9">
        <f t="shared" si="35"/>
        <v>1.7824094300124329</v>
      </c>
      <c r="AJ226" s="9">
        <f>(4*PI()*(AI226^2))/(Y226+E226)</f>
        <v>0.84845571867481062</v>
      </c>
      <c r="AK226" s="12">
        <f t="shared" si="36"/>
        <v>0.51083591331269351</v>
      </c>
      <c r="AL226" s="12" t="s">
        <v>140</v>
      </c>
      <c r="AM226" s="12" t="s">
        <v>142</v>
      </c>
      <c r="AN226" s="18">
        <v>10.36</v>
      </c>
      <c r="AO226" s="18">
        <v>1.1509</v>
      </c>
      <c r="AP226" s="18">
        <v>21963</v>
      </c>
      <c r="AQ226" s="18">
        <v>20912</v>
      </c>
      <c r="AR226" s="18">
        <v>4.8659999999999997</v>
      </c>
      <c r="AS226" s="18">
        <v>2.3043000000000001E-2</v>
      </c>
      <c r="AT226" s="18">
        <v>0.69711000000000001</v>
      </c>
      <c r="AU226" s="18">
        <v>0.47844999999999999</v>
      </c>
      <c r="AV226" s="18">
        <v>1.9415000000000002E-2</v>
      </c>
      <c r="AW226" s="18">
        <v>2.5145000000000001E-2</v>
      </c>
      <c r="AX226" s="18">
        <v>0.33323000000000003</v>
      </c>
      <c r="AY226" s="18">
        <v>-2.8521999999999998</v>
      </c>
      <c r="AZ226" s="18">
        <v>-350.25</v>
      </c>
      <c r="BA226" s="18">
        <v>0.25714999999999999</v>
      </c>
      <c r="BB226" s="18">
        <v>17.706</v>
      </c>
      <c r="BC226" s="18" t="s">
        <v>162</v>
      </c>
      <c r="BD226" s="35" t="s">
        <v>165</v>
      </c>
      <c r="BE226" t="s">
        <v>168</v>
      </c>
    </row>
    <row r="227" spans="1:57" x14ac:dyDescent="0.25">
      <c r="A227" s="15" t="s">
        <v>296</v>
      </c>
      <c r="B227" s="18" t="s">
        <v>26</v>
      </c>
      <c r="C227" s="18" t="s">
        <v>6</v>
      </c>
      <c r="D227" s="20">
        <v>74</v>
      </c>
      <c r="E227" s="20">
        <v>8.3353000000000002</v>
      </c>
      <c r="F227" s="18">
        <v>10.62</v>
      </c>
      <c r="G227" s="15">
        <v>4.41</v>
      </c>
      <c r="H227" s="15">
        <v>3.05</v>
      </c>
      <c r="I227" s="15">
        <v>1.65</v>
      </c>
      <c r="J227" s="15">
        <f>45.44</f>
        <v>45.44</v>
      </c>
      <c r="K227" s="15">
        <v>37.630000000000003</v>
      </c>
      <c r="L227" s="15">
        <v>69.53</v>
      </c>
      <c r="M227" s="15">
        <v>4.0999999999999996</v>
      </c>
      <c r="N227" s="15">
        <v>2</v>
      </c>
      <c r="O227" s="15">
        <f>0.93+1.25</f>
        <v>2.1800000000000002</v>
      </c>
      <c r="P227" s="9">
        <v>0.96117900000000001</v>
      </c>
      <c r="Q227" s="9">
        <v>1.27539</v>
      </c>
      <c r="R227" s="9">
        <v>0.25</v>
      </c>
      <c r="S227" s="9">
        <v>9.0089000000000002E-2</v>
      </c>
      <c r="T227" s="9">
        <v>9.7981899999999997E-2</v>
      </c>
      <c r="U227" s="9">
        <v>1.0304499999999999E-2</v>
      </c>
      <c r="V227" s="9">
        <v>4.0712200000000003</v>
      </c>
      <c r="W227" s="9">
        <v>3.1921499999999998</v>
      </c>
      <c r="X227" s="9">
        <v>3.0682200000000002</v>
      </c>
      <c r="Y227" s="9">
        <v>34.626600000000003</v>
      </c>
      <c r="Z227" s="9">
        <v>23.212800000000001</v>
      </c>
      <c r="AA227" s="9">
        <f t="shared" si="37"/>
        <v>1.9346363636363637</v>
      </c>
      <c r="AB227" s="9">
        <f t="shared" si="38"/>
        <v>2.6727272727272728</v>
      </c>
      <c r="AC227" s="9">
        <f t="shared" si="39"/>
        <v>1.8484848484848484</v>
      </c>
      <c r="AD227" s="9">
        <f t="shared" si="40"/>
        <v>4.1542116060609695</v>
      </c>
      <c r="AE227" s="9">
        <f t="shared" si="41"/>
        <v>2.784878768610608</v>
      </c>
      <c r="AF227" s="9">
        <f t="shared" si="42"/>
        <v>4.2552475504346559</v>
      </c>
      <c r="AG227" s="9">
        <f t="shared" si="34"/>
        <v>1.6288672119935839</v>
      </c>
      <c r="AH227" s="9">
        <f t="shared" si="43"/>
        <v>0.96369816701927158</v>
      </c>
      <c r="AI227" s="9">
        <f t="shared" si="35"/>
        <v>1.7696184601668445</v>
      </c>
      <c r="AJ227" s="9">
        <f>(4*PI()*(AI227^2))/(Y227+E227)</f>
        <v>0.91597931064248195</v>
      </c>
      <c r="AK227" s="12">
        <f t="shared" si="36"/>
        <v>0.75688073394495403</v>
      </c>
      <c r="AL227" s="12" t="s">
        <v>144</v>
      </c>
      <c r="AM227" s="12" t="s">
        <v>142</v>
      </c>
      <c r="AN227" s="20">
        <v>52.439</v>
      </c>
      <c r="AO227" s="20">
        <v>1.9358</v>
      </c>
      <c r="AP227" s="20">
        <v>79571</v>
      </c>
      <c r="AQ227" s="20">
        <v>81429</v>
      </c>
      <c r="AR227" s="20">
        <v>24.823</v>
      </c>
      <c r="AS227" s="20">
        <v>1.0525E-2</v>
      </c>
      <c r="AT227" s="20">
        <v>0.72170999999999996</v>
      </c>
      <c r="AU227" s="20">
        <v>6.5551999999999999E-2</v>
      </c>
      <c r="AV227" s="24">
        <v>8.5426000000000002E-4</v>
      </c>
      <c r="AW227" s="20">
        <v>1.1801000000000001E-2</v>
      </c>
      <c r="AX227" s="20">
        <v>0.81181999999999999</v>
      </c>
      <c r="AY227" s="20">
        <v>6.0301999999999998</v>
      </c>
      <c r="AZ227" s="20">
        <v>50272</v>
      </c>
      <c r="BA227" s="20">
        <v>9.5790000000000007E-3</v>
      </c>
      <c r="BB227" s="20">
        <v>4.3925999999999998</v>
      </c>
      <c r="BC227" s="18" t="s">
        <v>162</v>
      </c>
      <c r="BD227" s="35" t="s">
        <v>165</v>
      </c>
      <c r="BE227" t="s">
        <v>167</v>
      </c>
    </row>
    <row r="228" spans="1:57" x14ac:dyDescent="0.25">
      <c r="A228" s="15" t="s">
        <v>297</v>
      </c>
      <c r="B228" s="18" t="s">
        <v>5</v>
      </c>
      <c r="C228" s="18" t="s">
        <v>6</v>
      </c>
      <c r="D228" s="18">
        <v>43</v>
      </c>
      <c r="E228" s="18">
        <v>5.0183</v>
      </c>
      <c r="F228" s="18">
        <v>8.2586999999999993</v>
      </c>
      <c r="G228" s="15">
        <v>5.61</v>
      </c>
      <c r="H228" s="15">
        <v>4</v>
      </c>
      <c r="I228" s="15">
        <v>1.94</v>
      </c>
      <c r="J228" s="15">
        <v>71.91</v>
      </c>
      <c r="K228" s="15">
        <v>11.61</v>
      </c>
      <c r="L228" s="15">
        <f>180-116.78</f>
        <v>63.22</v>
      </c>
      <c r="M228" s="15">
        <v>3.65</v>
      </c>
      <c r="N228" s="15">
        <v>2</v>
      </c>
      <c r="O228" s="15">
        <f>1.6+2.47</f>
        <v>4.07</v>
      </c>
      <c r="P228" s="9">
        <v>1.6822600000000001</v>
      </c>
      <c r="Q228" s="9">
        <v>2.0626000000000002</v>
      </c>
      <c r="R228" s="9">
        <v>0.125</v>
      </c>
      <c r="S228" s="9">
        <v>0.21115999999999999</v>
      </c>
      <c r="T228" s="9">
        <v>0.32181700000000002</v>
      </c>
      <c r="U228" s="9">
        <v>0.26342599999999999</v>
      </c>
      <c r="V228" s="9">
        <v>5.0110099999999997</v>
      </c>
      <c r="W228" s="9">
        <v>2.4294600000000002</v>
      </c>
      <c r="X228" s="9">
        <v>4.0869799999999996</v>
      </c>
      <c r="Y228" s="9">
        <v>46.223599999999998</v>
      </c>
      <c r="Z228" s="9">
        <v>23.340199999999999</v>
      </c>
      <c r="AA228" s="9">
        <f t="shared" si="37"/>
        <v>1.2522989690721651</v>
      </c>
      <c r="AB228" s="9">
        <f t="shared" si="38"/>
        <v>2.891752577319588</v>
      </c>
      <c r="AC228" s="9">
        <f t="shared" si="39"/>
        <v>2.061855670103093</v>
      </c>
      <c r="AD228" s="9">
        <f t="shared" si="40"/>
        <v>9.2110077117749025</v>
      </c>
      <c r="AE228" s="9">
        <f t="shared" si="41"/>
        <v>4.6510172767670328</v>
      </c>
      <c r="AF228" s="9">
        <f t="shared" si="42"/>
        <v>5.6597083331314613</v>
      </c>
      <c r="AG228" s="9">
        <f t="shared" si="34"/>
        <v>1.2638728186950285</v>
      </c>
      <c r="AH228" s="9">
        <f t="shared" si="43"/>
        <v>0.96154929039294967</v>
      </c>
      <c r="AI228" s="9">
        <f t="shared" si="35"/>
        <v>1.7728499846755674</v>
      </c>
      <c r="AJ228" s="9">
        <f>(4*PI()*(AI228^2))/(Y228+E228)</f>
        <v>0.77077676663814421</v>
      </c>
      <c r="AK228" s="12">
        <f t="shared" si="36"/>
        <v>0.4766584766584766</v>
      </c>
      <c r="AL228" s="12" t="s">
        <v>140</v>
      </c>
      <c r="AM228" s="12" t="s">
        <v>142</v>
      </c>
      <c r="AN228" s="18">
        <v>7.6734999999999998</v>
      </c>
      <c r="AO228" s="18">
        <v>0.57621999999999995</v>
      </c>
      <c r="AP228" s="18">
        <v>33668</v>
      </c>
      <c r="AQ228" s="18">
        <v>30312</v>
      </c>
      <c r="AR228" s="18">
        <v>3.7132999999999998</v>
      </c>
      <c r="AS228" s="18">
        <v>8.6408000000000006E-3</v>
      </c>
      <c r="AT228" s="18">
        <v>0.74463999999999997</v>
      </c>
      <c r="AU228" s="18">
        <v>0.95357000000000003</v>
      </c>
      <c r="AV228" s="18">
        <v>0.14041000000000001</v>
      </c>
      <c r="AW228" s="18">
        <v>5.2560999999999997E-3</v>
      </c>
      <c r="AX228" s="18">
        <v>0.22882</v>
      </c>
      <c r="AY228" s="18">
        <v>-2.7606000000000002</v>
      </c>
      <c r="AZ228" s="18">
        <v>-2122.1</v>
      </c>
      <c r="BA228" s="18">
        <v>6.2169000000000002E-2</v>
      </c>
      <c r="BB228" s="18">
        <v>7.7332000000000001</v>
      </c>
      <c r="BC228" s="18" t="s">
        <v>162</v>
      </c>
      <c r="BD228" s="35" t="s">
        <v>165</v>
      </c>
      <c r="BE228" t="s">
        <v>168</v>
      </c>
    </row>
    <row r="229" spans="1:57" x14ac:dyDescent="0.25">
      <c r="A229" s="15" t="s">
        <v>298</v>
      </c>
      <c r="B229" s="18" t="s">
        <v>13</v>
      </c>
      <c r="C229" s="18" t="s">
        <v>14</v>
      </c>
      <c r="D229" s="18">
        <v>60</v>
      </c>
      <c r="E229" s="18">
        <v>11.78</v>
      </c>
      <c r="F229" s="18">
        <v>12.635999999999999</v>
      </c>
      <c r="G229" s="15">
        <v>6.25</v>
      </c>
      <c r="H229" s="15">
        <v>4.1500000000000004</v>
      </c>
      <c r="I229" s="15">
        <v>1.81</v>
      </c>
      <c r="J229" s="15">
        <v>52.73</v>
      </c>
      <c r="K229" s="15">
        <v>29.93</v>
      </c>
      <c r="L229" s="15">
        <v>78.239999999999995</v>
      </c>
      <c r="M229" s="15">
        <v>4.0599999999999996</v>
      </c>
      <c r="N229" s="15">
        <v>2</v>
      </c>
      <c r="O229" s="15">
        <f>2.1+1.42</f>
        <v>3.52</v>
      </c>
      <c r="P229" s="9">
        <v>1.10337</v>
      </c>
      <c r="Q229" s="9">
        <v>1.30762</v>
      </c>
      <c r="R229" s="9">
        <v>9.7560999999999995E-2</v>
      </c>
      <c r="S229" s="9">
        <v>0.130604</v>
      </c>
      <c r="T229" s="9">
        <v>0.21962999999999999</v>
      </c>
      <c r="U229" s="9">
        <v>0.15840599999999999</v>
      </c>
      <c r="V229" s="9">
        <v>4.9473500000000001</v>
      </c>
      <c r="W229" s="9">
        <v>3.7834699999999999</v>
      </c>
      <c r="X229" s="9">
        <v>4.1745700000000001</v>
      </c>
      <c r="Y229" s="9">
        <v>55.338999999999999</v>
      </c>
      <c r="Z229" s="9">
        <v>37.738700000000001</v>
      </c>
      <c r="AA229" s="9">
        <f t="shared" si="37"/>
        <v>2.0903149171270718</v>
      </c>
      <c r="AB229" s="9">
        <f t="shared" si="38"/>
        <v>3.4530386740331491</v>
      </c>
      <c r="AC229" s="9">
        <f t="shared" si="39"/>
        <v>2.2928176795580111</v>
      </c>
      <c r="AD229" s="9">
        <f t="shared" si="40"/>
        <v>4.697707979626486</v>
      </c>
      <c r="AE229" s="9">
        <f t="shared" si="41"/>
        <v>3.2036247877758917</v>
      </c>
      <c r="AF229" s="9">
        <f t="shared" si="42"/>
        <v>4.918583136576828</v>
      </c>
      <c r="AG229" s="9">
        <f t="shared" si="34"/>
        <v>1.9364117483750851</v>
      </c>
      <c r="AH229" s="9">
        <f t="shared" si="43"/>
        <v>0.96287067474202837</v>
      </c>
      <c r="AI229" s="9">
        <f t="shared" si="35"/>
        <v>2.0808116728893968</v>
      </c>
      <c r="AJ229" s="9">
        <f>(4*PI()*(AI229^2))/(Y229+E229)</f>
        <v>0.81064356142685101</v>
      </c>
      <c r="AK229" s="12">
        <f t="shared" si="36"/>
        <v>0.51420454545454541</v>
      </c>
      <c r="AL229" s="12" t="s">
        <v>140</v>
      </c>
      <c r="AM229" s="12" t="s">
        <v>142</v>
      </c>
      <c r="AN229" s="18">
        <v>8.0966000000000005</v>
      </c>
      <c r="AO229" s="18">
        <v>1.044</v>
      </c>
      <c r="AP229" s="18">
        <v>22453</v>
      </c>
      <c r="AQ229" s="18">
        <v>20633</v>
      </c>
      <c r="AR229" s="18">
        <v>3.8283</v>
      </c>
      <c r="AS229" s="18">
        <v>1.167E-2</v>
      </c>
      <c r="AT229" s="18">
        <v>0.75355000000000005</v>
      </c>
      <c r="AU229" s="18">
        <v>0.47705999999999998</v>
      </c>
      <c r="AV229" s="18">
        <v>7.0851999999999998E-3</v>
      </c>
      <c r="AW229" s="18">
        <v>9.7687999999999994E-3</v>
      </c>
      <c r="AX229" s="18">
        <v>0.25069000000000002</v>
      </c>
      <c r="AY229" s="18">
        <v>-13.928000000000001</v>
      </c>
      <c r="AZ229" s="18">
        <v>-1289.9000000000001</v>
      </c>
      <c r="BA229" s="18">
        <v>9.5866999999999994E-2</v>
      </c>
      <c r="BB229" s="18">
        <v>31.614999999999998</v>
      </c>
      <c r="BC229" s="18" t="s">
        <v>162</v>
      </c>
      <c r="BD229" s="35" t="s">
        <v>165</v>
      </c>
      <c r="BE229" t="s">
        <v>168</v>
      </c>
    </row>
    <row r="230" spans="1:57" x14ac:dyDescent="0.25">
      <c r="A230" s="15" t="s">
        <v>299</v>
      </c>
      <c r="B230" s="18" t="s">
        <v>26</v>
      </c>
      <c r="C230" s="18" t="s">
        <v>14</v>
      </c>
      <c r="D230" s="18">
        <v>64</v>
      </c>
      <c r="E230" s="18">
        <v>33.957999999999998</v>
      </c>
      <c r="F230" s="18">
        <v>21.349</v>
      </c>
      <c r="G230" s="15">
        <v>9.9</v>
      </c>
      <c r="H230" s="15">
        <v>8.5</v>
      </c>
      <c r="I230" s="15">
        <v>3.21</v>
      </c>
      <c r="J230" s="15">
        <v>135.47999999999999</v>
      </c>
      <c r="K230" s="15">
        <v>33.9</v>
      </c>
      <c r="L230" s="15">
        <v>76.290000000000006</v>
      </c>
      <c r="M230" s="15">
        <v>7.8</v>
      </c>
      <c r="N230" s="15">
        <v>2</v>
      </c>
      <c r="O230" s="15">
        <f>2.4+3.01</f>
        <v>5.41</v>
      </c>
      <c r="P230" s="9">
        <v>1.32182</v>
      </c>
      <c r="Q230" s="9">
        <v>1.4912300000000001</v>
      </c>
      <c r="R230" s="9">
        <v>0.210059</v>
      </c>
      <c r="S230" s="9">
        <v>0.12335</v>
      </c>
      <c r="T230" s="9">
        <v>0.12979599999999999</v>
      </c>
      <c r="U230" s="9">
        <v>1.33352E-2</v>
      </c>
      <c r="V230" s="9">
        <v>9.6273900000000001</v>
      </c>
      <c r="W230" s="9">
        <v>6.4560199999999996</v>
      </c>
      <c r="X230" s="9">
        <v>8.5337099999999992</v>
      </c>
      <c r="Y230" s="9">
        <v>209.20400000000001</v>
      </c>
      <c r="Z230" s="9">
        <v>326.64400000000001</v>
      </c>
      <c r="AA230" s="9">
        <f t="shared" si="37"/>
        <v>2.0112211838006231</v>
      </c>
      <c r="AB230" s="9">
        <f t="shared" si="38"/>
        <v>3.0841121495327104</v>
      </c>
      <c r="AC230" s="9">
        <f t="shared" si="39"/>
        <v>2.64797507788162</v>
      </c>
      <c r="AD230" s="9">
        <f t="shared" si="40"/>
        <v>6.160669061782202</v>
      </c>
      <c r="AE230" s="9">
        <f t="shared" si="41"/>
        <v>9.619058837387362</v>
      </c>
      <c r="AF230" s="9">
        <f t="shared" si="42"/>
        <v>4.4108287217903515</v>
      </c>
      <c r="AG230" s="9">
        <f t="shared" si="34"/>
        <v>3.287729781327712</v>
      </c>
      <c r="AH230" s="9">
        <f t="shared" si="43"/>
        <v>0.96760576401775422</v>
      </c>
      <c r="AI230" s="9">
        <f t="shared" si="35"/>
        <v>4.2723027952225703</v>
      </c>
      <c r="AJ230" s="9">
        <f>(4*PI()*(AI230^2))/(Y230+E230)</f>
        <v>0.94327474703403358</v>
      </c>
      <c r="AK230" s="12">
        <f t="shared" si="36"/>
        <v>0.59334565619223656</v>
      </c>
      <c r="AL230" s="12" t="s">
        <v>144</v>
      </c>
      <c r="AM230" s="12" t="s">
        <v>142</v>
      </c>
      <c r="AN230" s="18">
        <v>1.9348000000000001</v>
      </c>
      <c r="AO230" s="18">
        <v>0.32014999999999999</v>
      </c>
      <c r="AP230" s="18">
        <v>2182</v>
      </c>
      <c r="AQ230" s="18">
        <v>1942.5</v>
      </c>
      <c r="AR230" s="18">
        <v>1.5948</v>
      </c>
      <c r="AS230" s="18">
        <v>1.8231000000000001E-2</v>
      </c>
      <c r="AT230" s="18">
        <v>0.70272999999999997</v>
      </c>
      <c r="AU230" s="18">
        <v>0.92344999999999999</v>
      </c>
      <c r="AV230" s="18">
        <v>0.19947000000000001</v>
      </c>
      <c r="AW230" s="18">
        <v>1.7309000000000001E-2</v>
      </c>
      <c r="AX230" s="18">
        <v>0.12695000000000001</v>
      </c>
      <c r="AY230" s="18">
        <v>-107.16</v>
      </c>
      <c r="AZ230" s="18">
        <v>-488.87</v>
      </c>
      <c r="BA230" s="18">
        <v>0.59626999999999997</v>
      </c>
      <c r="BB230" s="18">
        <v>28.376999999999999</v>
      </c>
      <c r="BC230" s="18" t="s">
        <v>162</v>
      </c>
      <c r="BD230" s="35" t="s">
        <v>163</v>
      </c>
      <c r="BE230" t="s">
        <v>167</v>
      </c>
    </row>
    <row r="231" spans="1:57" x14ac:dyDescent="0.25">
      <c r="A231" s="15" t="s">
        <v>300</v>
      </c>
      <c r="B231" s="18" t="s">
        <v>13</v>
      </c>
      <c r="C231" s="18" t="s">
        <v>14</v>
      </c>
      <c r="D231" s="18">
        <v>71</v>
      </c>
      <c r="E231" s="18">
        <v>7.9622999999999999</v>
      </c>
      <c r="F231" s="18">
        <v>10.443</v>
      </c>
      <c r="G231" s="15">
        <v>6.79</v>
      </c>
      <c r="H231" s="15">
        <v>5.4</v>
      </c>
      <c r="I231" s="15">
        <v>2.1</v>
      </c>
      <c r="J231" s="15">
        <v>20.399999999999999</v>
      </c>
      <c r="K231" s="15">
        <v>51.33</v>
      </c>
      <c r="L231" s="15">
        <v>75.83</v>
      </c>
      <c r="M231" s="15">
        <v>4.5999999999999996</v>
      </c>
      <c r="N231" s="15">
        <v>2</v>
      </c>
      <c r="O231" s="15">
        <f>1.45+1.31</f>
        <v>2.76</v>
      </c>
      <c r="P231" s="9">
        <v>1.7368600000000001</v>
      </c>
      <c r="Q231" s="9">
        <v>1.6424399999999999</v>
      </c>
      <c r="R231" s="9">
        <v>-6.0747599999999999E-2</v>
      </c>
      <c r="S231" s="9">
        <v>0.173461</v>
      </c>
      <c r="T231" s="9">
        <v>0.17926900000000001</v>
      </c>
      <c r="U231" s="9">
        <v>1.53489E-2</v>
      </c>
      <c r="V231" s="9">
        <v>5.12493</v>
      </c>
      <c r="W231" s="9">
        <v>3.12032</v>
      </c>
      <c r="X231" s="9">
        <v>5.4195700000000002</v>
      </c>
      <c r="Y231" s="9">
        <v>76.855400000000003</v>
      </c>
      <c r="Z231" s="9">
        <v>66.619500000000002</v>
      </c>
      <c r="AA231" s="9">
        <f t="shared" si="37"/>
        <v>1.4858666666666667</v>
      </c>
      <c r="AB231" s="9">
        <f t="shared" si="38"/>
        <v>3.2333333333333334</v>
      </c>
      <c r="AC231" s="9">
        <f t="shared" si="39"/>
        <v>2.5714285714285716</v>
      </c>
      <c r="AD231" s="9">
        <f t="shared" si="40"/>
        <v>9.6524119915099913</v>
      </c>
      <c r="AE231" s="9">
        <f t="shared" si="41"/>
        <v>8.3668663577107125</v>
      </c>
      <c r="AF231" s="9">
        <f t="shared" si="42"/>
        <v>4.6767067793914467</v>
      </c>
      <c r="AG231" s="9">
        <f t="shared" si="34"/>
        <v>1.5920046503579053</v>
      </c>
      <c r="AH231" s="9">
        <f t="shared" si="43"/>
        <v>0.95785312918609256</v>
      </c>
      <c r="AI231" s="9">
        <f t="shared" si="35"/>
        <v>2.5148046411533564</v>
      </c>
      <c r="AJ231" s="9">
        <f>(4*PI()*(AI231^2))/(Y231+E231)</f>
        <v>0.93698336127845772</v>
      </c>
      <c r="AK231" s="12">
        <f t="shared" si="36"/>
        <v>0.76086956521739135</v>
      </c>
      <c r="AL231" s="12" t="s">
        <v>144</v>
      </c>
      <c r="AM231" s="12" t="s">
        <v>142</v>
      </c>
      <c r="AN231" s="18">
        <v>2.5078</v>
      </c>
      <c r="AO231" s="18">
        <v>0.35646</v>
      </c>
      <c r="AP231" s="18">
        <v>3976.4</v>
      </c>
      <c r="AQ231" s="18">
        <v>3514</v>
      </c>
      <c r="AR231" s="18">
        <v>1.3165</v>
      </c>
      <c r="AS231" s="18">
        <v>8.8091999999999997E-3</v>
      </c>
      <c r="AT231" s="18">
        <v>0.70557000000000003</v>
      </c>
      <c r="AU231" s="18">
        <v>1.2008000000000001</v>
      </c>
      <c r="AV231" s="18">
        <v>5.6392999999999999E-2</v>
      </c>
      <c r="AW231" s="18">
        <v>8.8765000000000007E-3</v>
      </c>
      <c r="AX231" s="18">
        <v>0.12078</v>
      </c>
      <c r="AY231" s="18">
        <v>-10.641</v>
      </c>
      <c r="AZ231" s="18">
        <v>-398.38</v>
      </c>
      <c r="BA231" s="18">
        <v>0.20996000000000001</v>
      </c>
      <c r="BB231" s="18">
        <v>4.1749999999999998</v>
      </c>
      <c r="BC231" s="18" t="s">
        <v>162</v>
      </c>
      <c r="BD231" s="35" t="s">
        <v>165</v>
      </c>
      <c r="BE231" t="s">
        <v>168</v>
      </c>
    </row>
    <row r="232" spans="1:57" x14ac:dyDescent="0.25">
      <c r="A232" s="15" t="s">
        <v>301</v>
      </c>
      <c r="B232" s="18" t="s">
        <v>13</v>
      </c>
      <c r="C232" s="18" t="s">
        <v>14</v>
      </c>
      <c r="D232" s="18">
        <v>83</v>
      </c>
      <c r="E232" s="18">
        <v>8.8741000000000003</v>
      </c>
      <c r="F232" s="18">
        <v>10.737</v>
      </c>
      <c r="G232" s="15">
        <v>4.93</v>
      </c>
      <c r="H232" s="15">
        <v>4.32</v>
      </c>
      <c r="I232" s="15">
        <v>2.57</v>
      </c>
      <c r="J232" s="15">
        <v>46.32</v>
      </c>
      <c r="K232" s="15">
        <v>55.19</v>
      </c>
      <c r="L232" s="15">
        <v>43.16</v>
      </c>
      <c r="M232" s="15">
        <v>4.0999999999999996</v>
      </c>
      <c r="N232" s="15">
        <v>2</v>
      </c>
      <c r="O232" s="15">
        <f>1.48+1.87</f>
        <v>3.35</v>
      </c>
      <c r="P232" s="9">
        <v>1.3098700000000001</v>
      </c>
      <c r="Q232" s="9">
        <v>1.3844799999999999</v>
      </c>
      <c r="R232" s="9">
        <v>0.147059</v>
      </c>
      <c r="S232" s="9">
        <v>0.12520100000000001</v>
      </c>
      <c r="T232" s="9">
        <v>0.13394400000000001</v>
      </c>
      <c r="U232" s="9">
        <v>1.5918000000000002E-2</v>
      </c>
      <c r="V232" s="9">
        <v>4.5737300000000003</v>
      </c>
      <c r="W232" s="9">
        <v>3.3035800000000002</v>
      </c>
      <c r="X232" s="9">
        <v>4.3272500000000003</v>
      </c>
      <c r="Y232" s="9">
        <v>51.501100000000001</v>
      </c>
      <c r="Z232" s="9">
        <v>39.6126</v>
      </c>
      <c r="AA232" s="9">
        <f t="shared" si="37"/>
        <v>1.2854396887159534</v>
      </c>
      <c r="AB232" s="9">
        <f t="shared" si="38"/>
        <v>1.9182879377431907</v>
      </c>
      <c r="AC232" s="9">
        <f t="shared" si="39"/>
        <v>1.6809338521400781</v>
      </c>
      <c r="AD232" s="9">
        <f t="shared" si="40"/>
        <v>5.8035293719926528</v>
      </c>
      <c r="AE232" s="9">
        <f t="shared" si="41"/>
        <v>4.4638442208223932</v>
      </c>
      <c r="AF232" s="9">
        <f t="shared" si="42"/>
        <v>4.4319440873053724</v>
      </c>
      <c r="AG232" s="9">
        <f t="shared" si="34"/>
        <v>1.6806884782682296</v>
      </c>
      <c r="AH232" s="9">
        <f t="shared" si="43"/>
        <v>0.98352213398537369</v>
      </c>
      <c r="AI232" s="9">
        <f t="shared" si="35"/>
        <v>2.1146974734784365</v>
      </c>
      <c r="AJ232" s="9">
        <f>(4*PI()*(AI232^2))/(Y232+E232)</f>
        <v>0.93078156789654531</v>
      </c>
      <c r="AK232" s="12">
        <f t="shared" si="36"/>
        <v>0.76716417910447754</v>
      </c>
      <c r="AL232" s="12" t="s">
        <v>144</v>
      </c>
      <c r="AM232" s="12" t="s">
        <v>142</v>
      </c>
      <c r="AN232" s="18">
        <v>0.86482999999999999</v>
      </c>
      <c r="AO232" s="18">
        <v>0.23351</v>
      </c>
      <c r="AP232" s="18">
        <v>2116.3000000000002</v>
      </c>
      <c r="AQ232" s="18">
        <v>1888.5</v>
      </c>
      <c r="AR232" s="18">
        <v>0.53627000000000002</v>
      </c>
      <c r="AS232" s="18">
        <v>1.6559000000000001E-2</v>
      </c>
      <c r="AT232" s="18">
        <v>0.69811000000000001</v>
      </c>
      <c r="AU232" s="18">
        <v>3.4613</v>
      </c>
      <c r="AV232" s="18">
        <v>0.40481</v>
      </c>
      <c r="AW232" s="18">
        <v>1.0765E-2</v>
      </c>
      <c r="AX232" s="18">
        <v>5.2567000000000003E-2</v>
      </c>
      <c r="AY232" s="18">
        <v>16.489000000000001</v>
      </c>
      <c r="AZ232" s="18">
        <v>190.6</v>
      </c>
      <c r="BA232" s="18">
        <v>0.13128000000000001</v>
      </c>
      <c r="BB232" s="18">
        <v>17.547999999999998</v>
      </c>
      <c r="BC232" s="18" t="s">
        <v>162</v>
      </c>
      <c r="BD232" s="35" t="s">
        <v>165</v>
      </c>
      <c r="BE232" t="s">
        <v>167</v>
      </c>
    </row>
    <row r="233" spans="1:57" x14ac:dyDescent="0.25">
      <c r="A233" s="15" t="s">
        <v>302</v>
      </c>
      <c r="B233" s="18" t="s">
        <v>13</v>
      </c>
      <c r="C233" s="18" t="s">
        <v>6</v>
      </c>
      <c r="D233" s="18">
        <v>76</v>
      </c>
      <c r="E233" s="18">
        <v>14.26</v>
      </c>
      <c r="F233" s="18">
        <v>16.443999999999999</v>
      </c>
      <c r="G233" s="15">
        <v>7.37</v>
      </c>
      <c r="H233" s="15">
        <v>3.65</v>
      </c>
      <c r="I233" s="15">
        <v>1.83</v>
      </c>
      <c r="J233" s="15">
        <v>59.87</v>
      </c>
      <c r="K233" s="15">
        <v>25.35</v>
      </c>
      <c r="L233" s="15">
        <v>80.27</v>
      </c>
      <c r="M233" s="15">
        <v>5.4</v>
      </c>
      <c r="N233" s="15">
        <v>2</v>
      </c>
      <c r="O233" s="15">
        <f>1.71+2.11</f>
        <v>3.82</v>
      </c>
      <c r="P233" s="9">
        <v>0.88017500000000004</v>
      </c>
      <c r="Q233" s="9">
        <v>1.61696</v>
      </c>
      <c r="R233" s="9">
        <v>-0.222222</v>
      </c>
      <c r="S233" s="9">
        <v>0.146457</v>
      </c>
      <c r="T233" s="9">
        <v>0.17585500000000001</v>
      </c>
      <c r="U233" s="9">
        <v>9.3191099999999999E-2</v>
      </c>
      <c r="V233" s="9">
        <v>6.7244000000000002</v>
      </c>
      <c r="W233" s="9">
        <v>4.1586800000000004</v>
      </c>
      <c r="X233" s="9">
        <v>3.6603599999999998</v>
      </c>
      <c r="Y233" s="9">
        <v>66.245599999999996</v>
      </c>
      <c r="Z233" s="9">
        <v>53.645099999999999</v>
      </c>
      <c r="AA233" s="9">
        <f t="shared" si="37"/>
        <v>2.2725027322404374</v>
      </c>
      <c r="AB233" s="9">
        <f t="shared" si="38"/>
        <v>4.027322404371585</v>
      </c>
      <c r="AC233" s="9">
        <f t="shared" si="39"/>
        <v>1.9945355191256828</v>
      </c>
      <c r="AD233" s="9">
        <f t="shared" si="40"/>
        <v>4.6455539971949511</v>
      </c>
      <c r="AE233" s="9">
        <f t="shared" si="41"/>
        <v>3.7619284712482468</v>
      </c>
      <c r="AF233" s="9">
        <f t="shared" si="42"/>
        <v>4.657329861265632</v>
      </c>
      <c r="AG233" s="9">
        <f t="shared" si="34"/>
        <v>2.1305161292468204</v>
      </c>
      <c r="AH233" s="9">
        <f t="shared" si="43"/>
        <v>0.81406152031091872</v>
      </c>
      <c r="AI233" s="9">
        <f t="shared" si="35"/>
        <v>2.339629830193279</v>
      </c>
      <c r="AJ233" s="9">
        <f>(4*PI()*(AI233^2))/(Y233+E233)</f>
        <v>0.85443311700188818</v>
      </c>
      <c r="AK233" s="12">
        <f t="shared" si="36"/>
        <v>0.47905759162303668</v>
      </c>
      <c r="AL233" s="12" t="s">
        <v>140</v>
      </c>
      <c r="AM233" s="12" t="s">
        <v>142</v>
      </c>
      <c r="AN233" s="18">
        <v>7.8890000000000002</v>
      </c>
      <c r="AO233" s="18">
        <v>1.0059</v>
      </c>
      <c r="AP233" s="18">
        <v>10426</v>
      </c>
      <c r="AQ233" s="18">
        <v>10696</v>
      </c>
      <c r="AR233" s="18">
        <v>3.8614999999999999</v>
      </c>
      <c r="AS233" s="18">
        <v>8.3838000000000003E-3</v>
      </c>
      <c r="AT233" s="18">
        <v>0.77293000000000001</v>
      </c>
      <c r="AU233" s="18">
        <v>0.46346999999999999</v>
      </c>
      <c r="AV233" s="18">
        <v>4.0988999999999999E-3</v>
      </c>
      <c r="AW233" s="18">
        <v>1.0735E-2</v>
      </c>
      <c r="AX233" s="18">
        <v>0.24895</v>
      </c>
      <c r="AY233" s="18">
        <v>-6.6521999999999997</v>
      </c>
      <c r="AZ233" s="18">
        <v>-1342.7</v>
      </c>
      <c r="BA233" s="18">
        <v>7.1682999999999997E-2</v>
      </c>
      <c r="BB233" s="19">
        <v>14.26</v>
      </c>
      <c r="BC233" s="18" t="s">
        <v>162</v>
      </c>
      <c r="BD233" s="35" t="s">
        <v>165</v>
      </c>
      <c r="BE233" t="s">
        <v>168</v>
      </c>
    </row>
    <row r="234" spans="1:57" x14ac:dyDescent="0.25">
      <c r="A234" s="15" t="s">
        <v>303</v>
      </c>
      <c r="B234" s="18" t="s">
        <v>13</v>
      </c>
      <c r="C234" s="18" t="s">
        <v>14</v>
      </c>
      <c r="D234" s="18">
        <v>64</v>
      </c>
      <c r="E234" s="18">
        <v>22.335999999999999</v>
      </c>
      <c r="F234" s="18">
        <v>17.015999999999998</v>
      </c>
      <c r="G234" s="15">
        <v>5.87</v>
      </c>
      <c r="H234" s="15">
        <v>2.63</v>
      </c>
      <c r="I234" s="15">
        <v>1.93</v>
      </c>
      <c r="J234" s="15">
        <v>88.61</v>
      </c>
      <c r="K234" s="15">
        <v>3.73</v>
      </c>
      <c r="L234" s="15">
        <v>60.32</v>
      </c>
      <c r="M234" s="15">
        <v>5.5</v>
      </c>
      <c r="N234" s="15">
        <v>2</v>
      </c>
      <c r="O234" s="15">
        <f>2.39+2.66</f>
        <v>5.0500000000000007</v>
      </c>
      <c r="P234" s="9">
        <v>0.49972</v>
      </c>
      <c r="Q234" s="9">
        <v>1.11015</v>
      </c>
      <c r="R234" s="9">
        <v>0.22549</v>
      </c>
      <c r="S234" s="9">
        <v>1.7812999999999999E-2</v>
      </c>
      <c r="T234" s="9">
        <v>2.30501E-2</v>
      </c>
      <c r="U234" s="9">
        <v>4.0066499999999996E-3</v>
      </c>
      <c r="V234" s="9">
        <v>5.8550899999999997</v>
      </c>
      <c r="W234" s="9">
        <v>5.2741499999999997</v>
      </c>
      <c r="X234" s="9">
        <v>2.6356000000000002</v>
      </c>
      <c r="Y234" s="9">
        <v>47.774700000000003</v>
      </c>
      <c r="Z234" s="9">
        <v>42.402700000000003</v>
      </c>
      <c r="AA234" s="9">
        <f t="shared" si="37"/>
        <v>2.7327202072538861</v>
      </c>
      <c r="AB234" s="9">
        <f t="shared" si="38"/>
        <v>3.0414507772020727</v>
      </c>
      <c r="AC234" s="9">
        <f t="shared" si="39"/>
        <v>1.3626943005181347</v>
      </c>
      <c r="AD234" s="9">
        <f t="shared" si="40"/>
        <v>2.138910279369628</v>
      </c>
      <c r="AE234" s="9">
        <f t="shared" si="41"/>
        <v>1.8984016833810891</v>
      </c>
      <c r="AF234" s="9">
        <f t="shared" si="42"/>
        <v>3.9288817799691667</v>
      </c>
      <c r="AG234" s="9">
        <f t="shared" si="34"/>
        <v>2.6664151248073034</v>
      </c>
      <c r="AH234" s="9">
        <f t="shared" si="43"/>
        <v>0.98457806388285585</v>
      </c>
      <c r="AI234" s="9">
        <f t="shared" si="35"/>
        <v>2.1632247042852937</v>
      </c>
      <c r="AJ234" s="9">
        <f>(4*PI()*(AI234^2))/(Y234+E234)</f>
        <v>0.83874284573556535</v>
      </c>
      <c r="AK234" s="12">
        <f t="shared" si="36"/>
        <v>0.38217821782178213</v>
      </c>
      <c r="AL234" s="12" t="s">
        <v>144</v>
      </c>
      <c r="AM234" s="12" t="s">
        <v>142</v>
      </c>
      <c r="AN234" s="18">
        <v>7.2919999999999998</v>
      </c>
      <c r="AO234" s="18">
        <v>1.2704</v>
      </c>
      <c r="AP234" s="18">
        <v>8385</v>
      </c>
      <c r="AQ234" s="18">
        <v>8654.2000000000007</v>
      </c>
      <c r="AR234" s="18">
        <v>3.7208000000000001</v>
      </c>
      <c r="AS234" s="18">
        <v>2.6074000000000002E-3</v>
      </c>
      <c r="AT234" s="18">
        <v>0.75878999999999996</v>
      </c>
      <c r="AU234" s="18">
        <v>0.37145</v>
      </c>
      <c r="AV234" s="18">
        <v>1.1714E-3</v>
      </c>
      <c r="AW234" s="18">
        <v>3.8915999999999998E-3</v>
      </c>
      <c r="AX234" s="18">
        <v>0.27966000000000002</v>
      </c>
      <c r="AY234" s="18">
        <v>-1.4341999999999999</v>
      </c>
      <c r="AZ234" s="18">
        <v>-793.52</v>
      </c>
      <c r="BA234" s="18">
        <v>3.5557999999999999E-2</v>
      </c>
      <c r="BB234" s="18">
        <v>14.901999999999999</v>
      </c>
      <c r="BC234" s="18" t="s">
        <v>162</v>
      </c>
      <c r="BD234" s="35" t="s">
        <v>165</v>
      </c>
      <c r="BE234" t="s">
        <v>167</v>
      </c>
    </row>
    <row r="235" spans="1:57" x14ac:dyDescent="0.25">
      <c r="A235" s="15" t="s">
        <v>304</v>
      </c>
      <c r="B235" s="18" t="s">
        <v>26</v>
      </c>
      <c r="C235" s="18" t="s">
        <v>14</v>
      </c>
      <c r="D235" s="18">
        <v>70</v>
      </c>
      <c r="E235" s="18">
        <v>13.613</v>
      </c>
      <c r="F235" s="18">
        <v>13.587999999999999</v>
      </c>
      <c r="G235" s="15">
        <v>7.66</v>
      </c>
      <c r="H235" s="15">
        <v>6.32</v>
      </c>
      <c r="I235" s="15">
        <v>2.4900000000000002</v>
      </c>
      <c r="J235" s="15">
        <v>60.08</v>
      </c>
      <c r="K235" s="15">
        <v>51.33</v>
      </c>
      <c r="L235" s="15">
        <v>70.14</v>
      </c>
      <c r="M235" s="15">
        <v>5.43</v>
      </c>
      <c r="N235" s="15">
        <v>3</v>
      </c>
      <c r="O235" s="15">
        <f>2.84+1.16+1.47</f>
        <v>5.47</v>
      </c>
      <c r="P235" s="9">
        <v>1.5719700000000001</v>
      </c>
      <c r="Q235" s="9">
        <v>1.3722099999999999</v>
      </c>
      <c r="R235" s="9">
        <v>1.2E-2</v>
      </c>
      <c r="S235" s="9">
        <v>0.16003999999999999</v>
      </c>
      <c r="T235" s="9">
        <v>0.16897699999999999</v>
      </c>
      <c r="U235" s="9">
        <v>3.3244500000000003E-2</v>
      </c>
      <c r="V235" s="9">
        <v>5.5370600000000003</v>
      </c>
      <c r="W235" s="9">
        <v>4.0351400000000002</v>
      </c>
      <c r="X235" s="9">
        <v>6.3431199999999999</v>
      </c>
      <c r="Y235" s="9">
        <v>101.69499999999999</v>
      </c>
      <c r="Z235" s="9">
        <v>103.31399999999999</v>
      </c>
      <c r="AA235" s="9">
        <f t="shared" si="37"/>
        <v>1.6205381526104417</v>
      </c>
      <c r="AB235" s="9">
        <f t="shared" si="38"/>
        <v>3.0763052208835338</v>
      </c>
      <c r="AC235" s="9">
        <f t="shared" si="39"/>
        <v>2.5381526104417671</v>
      </c>
      <c r="AD235" s="9">
        <f t="shared" si="40"/>
        <v>7.4704326746492322</v>
      </c>
      <c r="AE235" s="9">
        <f t="shared" si="41"/>
        <v>7.5893631087930649</v>
      </c>
      <c r="AF235" s="9">
        <f t="shared" si="42"/>
        <v>4.6187751055995401</v>
      </c>
      <c r="AG235" s="9">
        <f t="shared" si="34"/>
        <v>2.0816225595962257</v>
      </c>
      <c r="AH235" s="9">
        <f t="shared" si="43"/>
        <v>0.96255668836830788</v>
      </c>
      <c r="AI235" s="9">
        <f t="shared" si="35"/>
        <v>2.9108747733565008</v>
      </c>
      <c r="AJ235" s="9">
        <f>(4*PI()*(AI235^2))/(Y235+E235)</f>
        <v>0.92341615743999383</v>
      </c>
      <c r="AK235" s="12">
        <f t="shared" si="36"/>
        <v>0.45521023765996349</v>
      </c>
      <c r="AL235" s="12" t="s">
        <v>144</v>
      </c>
      <c r="AM235" s="12" t="s">
        <v>142</v>
      </c>
      <c r="AN235" s="18">
        <v>2.972</v>
      </c>
      <c r="AO235" s="18">
        <v>0.45462000000000002</v>
      </c>
      <c r="AP235" s="18">
        <v>3094.8</v>
      </c>
      <c r="AQ235" s="18">
        <v>2736.2</v>
      </c>
      <c r="AR235" s="18">
        <v>1.6544000000000001</v>
      </c>
      <c r="AS235" s="18">
        <v>2.2335000000000001E-2</v>
      </c>
      <c r="AT235" s="18">
        <v>0.65883999999999998</v>
      </c>
      <c r="AU235" s="18">
        <v>1.0068999999999999</v>
      </c>
      <c r="AV235" s="18">
        <v>2.9783E-2</v>
      </c>
      <c r="AW235" s="18">
        <v>2.2553E-2</v>
      </c>
      <c r="AX235" s="18">
        <v>0.15393999999999999</v>
      </c>
      <c r="AY235" s="18">
        <v>-1.9483999999999999</v>
      </c>
      <c r="AZ235" s="18">
        <v>-324.91000000000003</v>
      </c>
      <c r="BA235" s="18">
        <v>0.13511999999999999</v>
      </c>
      <c r="BB235" s="18">
        <v>9.3919999999999995</v>
      </c>
      <c r="BC235" s="18" t="s">
        <v>162</v>
      </c>
      <c r="BD235" s="35" t="s">
        <v>165</v>
      </c>
      <c r="BE235" t="s">
        <v>167</v>
      </c>
    </row>
    <row r="236" spans="1:57" x14ac:dyDescent="0.25">
      <c r="A236" s="15" t="s">
        <v>305</v>
      </c>
      <c r="B236" s="18" t="s">
        <v>26</v>
      </c>
      <c r="C236" s="18" t="s">
        <v>14</v>
      </c>
      <c r="D236" s="18">
        <v>70</v>
      </c>
      <c r="E236" s="18">
        <v>15.96</v>
      </c>
      <c r="F236" s="18">
        <v>14.592000000000001</v>
      </c>
      <c r="G236" s="15">
        <v>6.89</v>
      </c>
      <c r="H236" s="15">
        <v>5.0999999999999996</v>
      </c>
      <c r="I236" s="15">
        <v>2.2999999999999998</v>
      </c>
      <c r="J236" s="15">
        <v>62.1</v>
      </c>
      <c r="K236" s="15">
        <v>42.32</v>
      </c>
      <c r="L236" s="15">
        <v>49.71</v>
      </c>
      <c r="M236" s="15">
        <v>5.3</v>
      </c>
      <c r="N236" s="15">
        <v>2</v>
      </c>
      <c r="O236" s="15">
        <f>2.01+2.66</f>
        <v>4.67</v>
      </c>
      <c r="P236" s="9">
        <v>1.15364</v>
      </c>
      <c r="Q236" s="9">
        <v>1.29643</v>
      </c>
      <c r="R236" s="9">
        <v>0.23</v>
      </c>
      <c r="S236" s="9">
        <v>0.115273</v>
      </c>
      <c r="T236" s="9">
        <v>0.125334</v>
      </c>
      <c r="U236" s="9">
        <v>2.2479499999999999E-2</v>
      </c>
      <c r="V236" s="9">
        <v>5.7308899999999996</v>
      </c>
      <c r="W236" s="9">
        <v>4.4205199999999998</v>
      </c>
      <c r="X236" s="9">
        <v>5.09971</v>
      </c>
      <c r="Y236" s="9">
        <v>77.415599999999998</v>
      </c>
      <c r="Z236" s="9">
        <v>74.096000000000004</v>
      </c>
      <c r="AA236" s="9">
        <f t="shared" si="37"/>
        <v>1.9219652173913044</v>
      </c>
      <c r="AB236" s="9">
        <f t="shared" si="38"/>
        <v>2.9956521739130437</v>
      </c>
      <c r="AC236" s="9">
        <f t="shared" si="39"/>
        <v>2.2173913043478262</v>
      </c>
      <c r="AD236" s="9">
        <f t="shared" si="40"/>
        <v>4.8506015037593979</v>
      </c>
      <c r="AE236" s="9">
        <f t="shared" si="41"/>
        <v>4.6426065162907264</v>
      </c>
      <c r="AF236" s="9">
        <f t="shared" si="42"/>
        <v>4.3883235615599201</v>
      </c>
      <c r="AG236" s="9">
        <f t="shared" si="34"/>
        <v>2.2539356209735226</v>
      </c>
      <c r="AH236" s="9">
        <f t="shared" si="43"/>
        <v>0.97052461465388795</v>
      </c>
      <c r="AI236" s="9">
        <f t="shared" si="35"/>
        <v>2.6055658377659632</v>
      </c>
      <c r="AJ236" s="9">
        <f>(4*PI()*(AI236^2))/(Y236+E236)</f>
        <v>0.9136514787350295</v>
      </c>
      <c r="AK236" s="12">
        <f t="shared" si="36"/>
        <v>0.49250535331905776</v>
      </c>
      <c r="AL236" s="12" t="s">
        <v>144</v>
      </c>
      <c r="AM236" s="12" t="s">
        <v>142</v>
      </c>
      <c r="AN236" s="18">
        <v>2.5478999999999998</v>
      </c>
      <c r="AO236" s="18">
        <v>0.45961999999999997</v>
      </c>
      <c r="AP236" s="18">
        <v>3716.7</v>
      </c>
      <c r="AQ236" s="18">
        <v>3280.6</v>
      </c>
      <c r="AR236" s="18">
        <v>1.3734999999999999</v>
      </c>
      <c r="AS236" s="18">
        <v>6.7980999999999996E-3</v>
      </c>
      <c r="AT236" s="18">
        <v>0.73380000000000001</v>
      </c>
      <c r="AU236" s="18">
        <v>0.99309999999999998</v>
      </c>
      <c r="AV236" s="18">
        <v>9.1640999999999997E-3</v>
      </c>
      <c r="AW236" s="18">
        <v>1.0649E-2</v>
      </c>
      <c r="AX236" s="18">
        <v>0.12523000000000001</v>
      </c>
      <c r="AY236" s="18">
        <v>-13.545999999999999</v>
      </c>
      <c r="AZ236" s="18">
        <v>-405.53</v>
      </c>
      <c r="BA236" s="18">
        <v>0.13947999999999999</v>
      </c>
      <c r="BB236" s="18">
        <v>10.778</v>
      </c>
      <c r="BC236" s="18" t="s">
        <v>162</v>
      </c>
      <c r="BD236" s="35" t="s">
        <v>163</v>
      </c>
      <c r="BE236" t="s">
        <v>167</v>
      </c>
    </row>
    <row r="237" spans="1:57" x14ac:dyDescent="0.25">
      <c r="A237" s="15" t="s">
        <v>306</v>
      </c>
      <c r="B237" s="18" t="s">
        <v>40</v>
      </c>
      <c r="C237" s="18" t="s">
        <v>6</v>
      </c>
      <c r="D237" s="20">
        <v>59</v>
      </c>
      <c r="E237" s="20">
        <v>10.096</v>
      </c>
      <c r="F237" s="18">
        <v>11.6</v>
      </c>
      <c r="G237" s="15">
        <v>4.5999999999999996</v>
      </c>
      <c r="H237" s="15">
        <v>1.95</v>
      </c>
      <c r="I237" s="15">
        <v>2.4900000000000002</v>
      </c>
      <c r="J237" s="15">
        <v>46.07</v>
      </c>
      <c r="K237" s="15">
        <v>16.440000000000001</v>
      </c>
      <c r="L237" s="15">
        <v>46.07</v>
      </c>
      <c r="M237" s="15">
        <v>4.57</v>
      </c>
      <c r="N237" s="15">
        <v>2</v>
      </c>
      <c r="O237" s="15">
        <f>2.72+0.76</f>
        <v>3.4800000000000004</v>
      </c>
      <c r="P237" s="9">
        <v>0.566635</v>
      </c>
      <c r="Q237" s="9">
        <v>1.1744300000000001</v>
      </c>
      <c r="R237" s="9">
        <v>0.21052599999999999</v>
      </c>
      <c r="S237" s="9">
        <v>7.4062000000000003E-2</v>
      </c>
      <c r="T237" s="9">
        <v>9.1180600000000001E-2</v>
      </c>
      <c r="U237" s="9">
        <v>3.4477000000000001E-2</v>
      </c>
      <c r="V237" s="9">
        <v>4.1010299999999997</v>
      </c>
      <c r="W237" s="9">
        <v>3.49194</v>
      </c>
      <c r="X237" s="9">
        <v>1.9786600000000001</v>
      </c>
      <c r="Y237" s="9">
        <v>22.820499999999999</v>
      </c>
      <c r="Z237" s="9">
        <v>12.5601</v>
      </c>
      <c r="AA237" s="9">
        <f t="shared" si="37"/>
        <v>1.4023855421686746</v>
      </c>
      <c r="AB237" s="9">
        <f t="shared" si="38"/>
        <v>1.8473895582329314</v>
      </c>
      <c r="AC237" s="9">
        <f t="shared" si="39"/>
        <v>0.7831325301204819</v>
      </c>
      <c r="AD237" s="9">
        <f t="shared" si="40"/>
        <v>2.2603506339144213</v>
      </c>
      <c r="AE237" s="9">
        <f t="shared" si="41"/>
        <v>1.2440669572107765</v>
      </c>
      <c r="AF237" s="9">
        <f t="shared" si="42"/>
        <v>4.2234085118943812</v>
      </c>
      <c r="AG237" s="9">
        <f t="shared" si="34"/>
        <v>1.7926674568674332</v>
      </c>
      <c r="AH237" s="9">
        <f t="shared" si="43"/>
        <v>0.97100532979728038</v>
      </c>
      <c r="AI237" s="9">
        <f t="shared" si="35"/>
        <v>1.4420096363905917</v>
      </c>
      <c r="AJ237" s="9">
        <f>(4*PI()*(AI237^2))/(Y237+E237)</f>
        <v>0.79383919626123955</v>
      </c>
      <c r="AK237" s="12">
        <f t="shared" si="36"/>
        <v>0.71551724137931028</v>
      </c>
      <c r="AL237" s="12" t="s">
        <v>140</v>
      </c>
      <c r="AM237" s="12" t="s">
        <v>142</v>
      </c>
      <c r="AN237" s="20">
        <v>3.5701999999999998</v>
      </c>
      <c r="AO237" s="20">
        <v>0.64324999999999999</v>
      </c>
      <c r="AP237" s="20">
        <v>10126</v>
      </c>
      <c r="AQ237" s="20">
        <v>9697.7999999999993</v>
      </c>
      <c r="AR237" s="20">
        <v>1.8560000000000001</v>
      </c>
      <c r="AS237" s="20">
        <v>7.0283000000000003E-3</v>
      </c>
      <c r="AT237" s="20">
        <v>0.76268000000000002</v>
      </c>
      <c r="AU237" s="20">
        <v>0.88197000000000003</v>
      </c>
      <c r="AV237" s="20">
        <v>3.2696000000000001E-3</v>
      </c>
      <c r="AW237" s="20">
        <v>5.4812999999999997E-3</v>
      </c>
      <c r="AX237" s="20">
        <v>0.14033999999999999</v>
      </c>
      <c r="AY237" s="20">
        <v>-35.804000000000002</v>
      </c>
      <c r="AZ237" s="20">
        <v>-1516.3</v>
      </c>
      <c r="BA237" s="20">
        <v>5.7681000000000003E-2</v>
      </c>
      <c r="BB237" s="20">
        <v>56.582000000000001</v>
      </c>
      <c r="BC237" s="18" t="s">
        <v>162</v>
      </c>
      <c r="BD237" s="35" t="s">
        <v>165</v>
      </c>
      <c r="BE237" t="s">
        <v>167</v>
      </c>
    </row>
    <row r="238" spans="1:57" x14ac:dyDescent="0.25">
      <c r="A238" s="15" t="s">
        <v>307</v>
      </c>
      <c r="B238" s="18" t="s">
        <v>13</v>
      </c>
      <c r="C238" s="18" t="s">
        <v>6</v>
      </c>
      <c r="D238" s="18">
        <v>71</v>
      </c>
      <c r="E238" s="18">
        <v>8.4186999999999994</v>
      </c>
      <c r="F238" s="18">
        <v>10.493</v>
      </c>
      <c r="G238" s="15">
        <v>7.31</v>
      </c>
      <c r="H238" s="15">
        <v>6.8</v>
      </c>
      <c r="I238" s="15">
        <v>1.99</v>
      </c>
      <c r="J238" s="15">
        <v>15.17</v>
      </c>
      <c r="K238" s="15">
        <v>67.87</v>
      </c>
      <c r="L238" s="15">
        <v>72.95</v>
      </c>
      <c r="M238" s="15">
        <v>5.0999999999999996</v>
      </c>
      <c r="N238" s="15">
        <v>2</v>
      </c>
      <c r="O238" s="15">
        <f>1.52+1.72</f>
        <v>3.24</v>
      </c>
      <c r="P238" s="9">
        <v>2.1238600000000001</v>
      </c>
      <c r="Q238" s="9">
        <v>1.45919</v>
      </c>
      <c r="R238" s="9">
        <v>0.25555600000000001</v>
      </c>
      <c r="S238" s="9">
        <v>0.21482599999999999</v>
      </c>
      <c r="T238" s="9">
        <v>0.25666899999999998</v>
      </c>
      <c r="U238" s="9">
        <v>0.149898</v>
      </c>
      <c r="V238" s="9">
        <v>4.6965500000000002</v>
      </c>
      <c r="W238" s="9">
        <v>3.2185899999999998</v>
      </c>
      <c r="X238" s="9">
        <v>6.8358499999999998</v>
      </c>
      <c r="Y238" s="9">
        <v>73.708200000000005</v>
      </c>
      <c r="Z238" s="9">
        <v>53.930700000000002</v>
      </c>
      <c r="AA238" s="9">
        <f t="shared" si="37"/>
        <v>1.6173819095477386</v>
      </c>
      <c r="AB238" s="9">
        <f t="shared" si="38"/>
        <v>3.6733668341708543</v>
      </c>
      <c r="AC238" s="9">
        <f t="shared" si="39"/>
        <v>3.4170854271356785</v>
      </c>
      <c r="AD238" s="9">
        <f t="shared" si="40"/>
        <v>8.7552947604737081</v>
      </c>
      <c r="AE238" s="9">
        <f t="shared" si="41"/>
        <v>6.4060603181013702</v>
      </c>
      <c r="AF238" s="9">
        <f t="shared" si="42"/>
        <v>5.1636694587660106</v>
      </c>
      <c r="AG238" s="9">
        <f t="shared" si="34"/>
        <v>1.6369958579102997</v>
      </c>
      <c r="AH238" s="9">
        <f t="shared" si="43"/>
        <v>0.9802295170433466</v>
      </c>
      <c r="AI238" s="9">
        <f t="shared" si="35"/>
        <v>2.3437744521139439</v>
      </c>
      <c r="AJ238" s="9">
        <f>(4*PI()*(AI238^2))/(Y238+E238)</f>
        <v>0.84053551042071539</v>
      </c>
      <c r="AK238" s="12">
        <f t="shared" si="36"/>
        <v>0.61419753086419748</v>
      </c>
      <c r="AL238" s="12" t="s">
        <v>140</v>
      </c>
      <c r="AM238" s="12" t="s">
        <v>142</v>
      </c>
      <c r="AN238" s="18">
        <v>5.4938000000000002</v>
      </c>
      <c r="AO238" s="18">
        <v>0.35560999999999998</v>
      </c>
      <c r="AP238" s="18">
        <v>11800</v>
      </c>
      <c r="AQ238" s="18">
        <v>10132</v>
      </c>
      <c r="AR238" s="18">
        <v>2.7505000000000002</v>
      </c>
      <c r="AS238" s="18">
        <v>1.5065E-2</v>
      </c>
      <c r="AT238" s="18">
        <v>0.72614999999999996</v>
      </c>
      <c r="AU238" s="18">
        <v>1.3391999999999999</v>
      </c>
      <c r="AV238" s="18">
        <v>0.13350000000000001</v>
      </c>
      <c r="AW238" s="18">
        <v>9.0203999999999996E-3</v>
      </c>
      <c r="AX238" s="18">
        <v>0.22750999999999999</v>
      </c>
      <c r="AY238" s="18">
        <v>-17.931000000000001</v>
      </c>
      <c r="AZ238" s="18">
        <v>-4029.3</v>
      </c>
      <c r="BA238" s="18">
        <v>8.9639999999999997E-2</v>
      </c>
      <c r="BB238" s="18">
        <v>8.2890999999999995</v>
      </c>
      <c r="BC238" s="18" t="s">
        <v>162</v>
      </c>
      <c r="BD238" s="35" t="s">
        <v>165</v>
      </c>
      <c r="BE238" t="s">
        <v>168</v>
      </c>
    </row>
    <row r="239" spans="1:57" x14ac:dyDescent="0.25">
      <c r="A239" s="15" t="s">
        <v>308</v>
      </c>
      <c r="B239" s="18" t="s">
        <v>13</v>
      </c>
      <c r="C239" s="18" t="s">
        <v>6</v>
      </c>
      <c r="D239" s="18">
        <v>69</v>
      </c>
      <c r="E239" s="18">
        <v>12.298999999999999</v>
      </c>
      <c r="F239" s="18">
        <v>12.76</v>
      </c>
      <c r="G239" s="15">
        <v>9.08</v>
      </c>
      <c r="H239" s="15">
        <v>6.65</v>
      </c>
      <c r="I239" s="15">
        <v>1.94</v>
      </c>
      <c r="J239" s="15">
        <v>43.37</v>
      </c>
      <c r="K239" s="15">
        <v>35.83</v>
      </c>
      <c r="L239" s="15">
        <v>82.42</v>
      </c>
      <c r="M239" s="15">
        <v>4.5</v>
      </c>
      <c r="N239" s="15">
        <v>2</v>
      </c>
      <c r="O239" s="15">
        <f>1.8+2.03</f>
        <v>3.83</v>
      </c>
      <c r="P239" s="9">
        <v>1.68808</v>
      </c>
      <c r="Q239" s="9">
        <v>1.4887699999999999</v>
      </c>
      <c r="R239" s="9">
        <v>-0.24615400000000001</v>
      </c>
      <c r="S239" s="9">
        <v>0.204848</v>
      </c>
      <c r="T239" s="9">
        <v>0.286916</v>
      </c>
      <c r="U239" s="9">
        <v>0.22531399999999999</v>
      </c>
      <c r="V239" s="9">
        <v>5.8006200000000003</v>
      </c>
      <c r="W239" s="9">
        <v>3.8962400000000001</v>
      </c>
      <c r="X239" s="9">
        <v>6.5771499999999996</v>
      </c>
      <c r="Y239" s="9">
        <v>99.584299999999999</v>
      </c>
      <c r="Z239" s="9">
        <v>79.576700000000002</v>
      </c>
      <c r="AA239" s="9">
        <f t="shared" si="37"/>
        <v>2.0083711340206185</v>
      </c>
      <c r="AB239" s="9">
        <f t="shared" si="38"/>
        <v>4.6804123711340209</v>
      </c>
      <c r="AC239" s="9">
        <f t="shared" si="39"/>
        <v>3.427835051546392</v>
      </c>
      <c r="AD239" s="9">
        <f t="shared" si="40"/>
        <v>8.0969428408813719</v>
      </c>
      <c r="AE239" s="9">
        <f t="shared" si="41"/>
        <v>6.4701764371087087</v>
      </c>
      <c r="AF239" s="9">
        <f t="shared" si="42"/>
        <v>5.3827010245091991</v>
      </c>
      <c r="AG239" s="9">
        <f t="shared" si="34"/>
        <v>1.9786089280538592</v>
      </c>
      <c r="AH239" s="9">
        <f t="shared" si="43"/>
        <v>0.97429204901272404</v>
      </c>
      <c r="AI239" s="9">
        <f t="shared" si="35"/>
        <v>2.6682863753408634</v>
      </c>
      <c r="AJ239" s="9">
        <f>(4*PI()*(AI239^2))/(Y239+E239)</f>
        <v>0.79966755169625647</v>
      </c>
      <c r="AK239" s="12">
        <f t="shared" si="36"/>
        <v>0.50652741514360311</v>
      </c>
      <c r="AL239" s="12" t="s">
        <v>140</v>
      </c>
      <c r="AM239" s="12" t="s">
        <v>142</v>
      </c>
      <c r="AN239" s="18">
        <v>6.5727000000000002</v>
      </c>
      <c r="AO239" s="18">
        <v>0.54261000000000004</v>
      </c>
      <c r="AP239" s="18">
        <v>11322</v>
      </c>
      <c r="AQ239" s="18">
        <v>10572</v>
      </c>
      <c r="AR239" s="18">
        <v>3.3504999999999998</v>
      </c>
      <c r="AS239" s="18">
        <v>2.0303000000000002E-2</v>
      </c>
      <c r="AT239" s="18">
        <v>0.70750999999999997</v>
      </c>
      <c r="AU239" s="18">
        <v>1.8687</v>
      </c>
      <c r="AV239" s="18">
        <v>0.30558999999999997</v>
      </c>
      <c r="AW239" s="18">
        <v>1.2538000000000001E-2</v>
      </c>
      <c r="AX239" s="18">
        <v>0.19621</v>
      </c>
      <c r="AY239" s="18">
        <v>-5.0698999999999996</v>
      </c>
      <c r="AZ239" s="18">
        <v>-1483.1</v>
      </c>
      <c r="BA239" s="18">
        <v>8.7897000000000003E-2</v>
      </c>
      <c r="BB239" s="18">
        <v>27.666</v>
      </c>
      <c r="BC239" s="18" t="s">
        <v>162</v>
      </c>
      <c r="BD239" s="35" t="s">
        <v>165</v>
      </c>
      <c r="BE239" t="s">
        <v>168</v>
      </c>
    </row>
    <row r="240" spans="1:57" x14ac:dyDescent="0.25">
      <c r="A240" s="15" t="s">
        <v>309</v>
      </c>
      <c r="B240" s="18" t="s">
        <v>5</v>
      </c>
      <c r="C240" s="18" t="s">
        <v>14</v>
      </c>
      <c r="D240" s="18">
        <v>69</v>
      </c>
      <c r="E240" s="18">
        <v>31.629000000000001</v>
      </c>
      <c r="F240" s="18">
        <v>20.372</v>
      </c>
      <c r="G240" s="15">
        <v>10.76</v>
      </c>
      <c r="H240" s="15">
        <v>8.6</v>
      </c>
      <c r="I240" s="15">
        <v>5.53</v>
      </c>
      <c r="J240" s="15">
        <v>48.74</v>
      </c>
      <c r="K240" s="15">
        <v>45.49</v>
      </c>
      <c r="L240" s="15">
        <v>69.45</v>
      </c>
      <c r="M240" s="15">
        <v>9.6999999999999993</v>
      </c>
      <c r="N240" s="15">
        <v>2</v>
      </c>
      <c r="O240" s="15">
        <f>3.17+3.1</f>
        <v>6.27</v>
      </c>
      <c r="P240" s="9">
        <v>1.4245099999999999</v>
      </c>
      <c r="Q240" s="9">
        <v>1.57999</v>
      </c>
      <c r="R240" s="9">
        <v>5.9322E-2</v>
      </c>
      <c r="S240" s="9">
        <v>0.139047</v>
      </c>
      <c r="T240" s="9">
        <v>0.14654200000000001</v>
      </c>
      <c r="U240" s="9">
        <v>1.5432899999999999E-2</v>
      </c>
      <c r="V240" s="9">
        <v>9.8906799999999997</v>
      </c>
      <c r="W240" s="9">
        <v>6.2599600000000004</v>
      </c>
      <c r="X240" s="9">
        <v>8.9173600000000004</v>
      </c>
      <c r="Y240" s="9">
        <v>236.72200000000001</v>
      </c>
      <c r="Z240" s="9">
        <v>381.87299999999999</v>
      </c>
      <c r="AA240" s="9">
        <f t="shared" si="37"/>
        <v>1.1320000000000001</v>
      </c>
      <c r="AB240" s="9">
        <f t="shared" si="38"/>
        <v>1.9457504520795659</v>
      </c>
      <c r="AC240" s="9">
        <f t="shared" si="39"/>
        <v>1.555153707052441</v>
      </c>
      <c r="AD240" s="9">
        <f t="shared" si="40"/>
        <v>7.4843339972809764</v>
      </c>
      <c r="AE240" s="9">
        <f t="shared" si="41"/>
        <v>12.073508489044864</v>
      </c>
      <c r="AF240" s="9">
        <f t="shared" si="42"/>
        <v>4.4973772571783455</v>
      </c>
      <c r="AG240" s="9">
        <f t="shared" si="34"/>
        <v>3.172983357994037</v>
      </c>
      <c r="AH240" s="9">
        <f t="shared" si="43"/>
        <v>0.97861979260128995</v>
      </c>
      <c r="AI240" s="9">
        <f t="shared" si="35"/>
        <v>4.5006659652233898</v>
      </c>
      <c r="AJ240" s="9">
        <f>(4*PI()*(AI240^2))/(Y240+E240)</f>
        <v>0.94854995661056141</v>
      </c>
      <c r="AK240" s="12">
        <f t="shared" si="36"/>
        <v>0.88197767145135575</v>
      </c>
      <c r="AL240" s="12" t="s">
        <v>144</v>
      </c>
      <c r="AM240" s="12" t="s">
        <v>142</v>
      </c>
      <c r="AN240" s="18">
        <v>0.95154000000000005</v>
      </c>
      <c r="AO240" s="18">
        <v>0.13145999999999999</v>
      </c>
      <c r="AP240" s="18">
        <v>1537.6</v>
      </c>
      <c r="AQ240" s="18">
        <v>1397.5</v>
      </c>
      <c r="AR240" s="18">
        <v>0.81472</v>
      </c>
      <c r="AS240" s="18">
        <v>3.4034000000000002E-2</v>
      </c>
      <c r="AT240" s="18">
        <v>0.63978000000000002</v>
      </c>
      <c r="AU240" s="18">
        <v>1.996</v>
      </c>
      <c r="AV240" s="18">
        <v>0.67593999999999999</v>
      </c>
      <c r="AW240" s="18">
        <v>2.7546999999999999E-2</v>
      </c>
      <c r="AX240" s="18">
        <v>7.6884999999999995E-2</v>
      </c>
      <c r="AY240" s="18">
        <v>-30.074999999999999</v>
      </c>
      <c r="AZ240" s="18">
        <v>-411.49</v>
      </c>
      <c r="BA240" s="18">
        <v>0.38051000000000001</v>
      </c>
      <c r="BB240" s="18">
        <v>10.86</v>
      </c>
      <c r="BC240" s="18" t="s">
        <v>162</v>
      </c>
      <c r="BD240" s="35" t="s">
        <v>165</v>
      </c>
      <c r="BE240" t="s">
        <v>167</v>
      </c>
    </row>
    <row r="241" spans="1:57" x14ac:dyDescent="0.25">
      <c r="A241" s="15" t="s">
        <v>310</v>
      </c>
      <c r="B241" s="18" t="s">
        <v>5</v>
      </c>
      <c r="C241" s="18" t="s">
        <v>6</v>
      </c>
      <c r="D241" s="18">
        <v>36</v>
      </c>
      <c r="E241" s="18">
        <v>6.3155000000000001</v>
      </c>
      <c r="F241" s="18">
        <v>9.2799999999999994</v>
      </c>
      <c r="G241" s="15">
        <v>3.36</v>
      </c>
      <c r="H241" s="15">
        <v>2.6</v>
      </c>
      <c r="I241" s="15">
        <v>3.42</v>
      </c>
      <c r="J241" s="15">
        <v>80.62</v>
      </c>
      <c r="K241" s="15">
        <v>35.72</v>
      </c>
      <c r="L241" s="15">
        <v>30.36</v>
      </c>
      <c r="M241" s="15">
        <v>3.1</v>
      </c>
      <c r="N241" s="15">
        <v>2</v>
      </c>
      <c r="O241" s="15">
        <f>1.08+2.77</f>
        <v>3.85</v>
      </c>
      <c r="P241" s="9">
        <v>0.93496800000000002</v>
      </c>
      <c r="Q241" s="9">
        <v>1.12496</v>
      </c>
      <c r="R241" s="9">
        <v>0.48</v>
      </c>
      <c r="S241" s="9">
        <v>6.8182699999999999E-2</v>
      </c>
      <c r="T241" s="9">
        <v>7.7088599999999993E-2</v>
      </c>
      <c r="U241" s="9">
        <v>1.12754E-2</v>
      </c>
      <c r="V241" s="9">
        <v>3.1180099999999999</v>
      </c>
      <c r="W241" s="9">
        <v>2.7716699999999999</v>
      </c>
      <c r="X241" s="9">
        <v>2.5914199999999998</v>
      </c>
      <c r="Y241" s="9">
        <v>23.063199999999998</v>
      </c>
      <c r="Z241" s="9">
        <v>13.0589</v>
      </c>
      <c r="AA241" s="9">
        <f t="shared" si="37"/>
        <v>0.81042982456140344</v>
      </c>
      <c r="AB241" s="9">
        <f t="shared" si="38"/>
        <v>0.98245614035087714</v>
      </c>
      <c r="AC241" s="9">
        <f t="shared" si="39"/>
        <v>0.76023391812865504</v>
      </c>
      <c r="AD241" s="9">
        <f t="shared" si="40"/>
        <v>3.6518407093658456</v>
      </c>
      <c r="AE241" s="9">
        <f t="shared" si="41"/>
        <v>2.0677539387221913</v>
      </c>
      <c r="AF241" s="9">
        <f t="shared" si="42"/>
        <v>4.1589321413933309</v>
      </c>
      <c r="AG241" s="9">
        <f t="shared" si="34"/>
        <v>1.4178455791071642</v>
      </c>
      <c r="AH241" s="9">
        <f t="shared" si="43"/>
        <v>0.95997699466548136</v>
      </c>
      <c r="AI241" s="9">
        <f t="shared" si="35"/>
        <v>1.4608512471155408</v>
      </c>
      <c r="AJ241" s="9">
        <f>(4*PI()*(AI241^2))/(Y241+E241)</f>
        <v>0.91282868883606338</v>
      </c>
      <c r="AK241" s="12">
        <f t="shared" si="36"/>
        <v>0.88831168831168827</v>
      </c>
      <c r="AL241" s="12" t="s">
        <v>144</v>
      </c>
      <c r="AM241" s="12" t="s">
        <v>142</v>
      </c>
      <c r="AN241" s="18">
        <v>9.1564999999999994</v>
      </c>
      <c r="AO241" s="18">
        <v>0.74616000000000005</v>
      </c>
      <c r="AP241" s="18">
        <v>16370</v>
      </c>
      <c r="AQ241" s="18">
        <v>16635</v>
      </c>
      <c r="AR241" s="18">
        <v>3.2214999999999998</v>
      </c>
      <c r="AS241" s="18">
        <v>4.9935999999999999E-3</v>
      </c>
      <c r="AT241" s="18">
        <v>0.71782999999999997</v>
      </c>
      <c r="AU241" s="18">
        <v>0.44018000000000002</v>
      </c>
      <c r="AV241" s="19">
        <v>5.8507000000000003E-4</v>
      </c>
      <c r="AW241" s="18">
        <v>3.7797E-3</v>
      </c>
      <c r="AX241" s="18">
        <v>0.30487999999999998</v>
      </c>
      <c r="AY241" s="18">
        <v>2.4952999999999999</v>
      </c>
      <c r="AZ241" s="18">
        <v>192.98</v>
      </c>
      <c r="BA241" s="18">
        <v>2.2414E-2</v>
      </c>
      <c r="BB241" s="18">
        <v>12.321</v>
      </c>
      <c r="BC241" s="18" t="s">
        <v>162</v>
      </c>
      <c r="BD241" s="35" t="s">
        <v>163</v>
      </c>
      <c r="BE241" t="s">
        <v>167</v>
      </c>
    </row>
    <row r="242" spans="1:57" x14ac:dyDescent="0.25">
      <c r="A242" s="15" t="s">
        <v>311</v>
      </c>
      <c r="B242" s="18" t="s">
        <v>13</v>
      </c>
      <c r="C242" s="18" t="s">
        <v>6</v>
      </c>
      <c r="D242" s="18">
        <v>59</v>
      </c>
      <c r="E242" s="18">
        <v>14.26</v>
      </c>
      <c r="F242" s="18">
        <v>12.186999999999999</v>
      </c>
      <c r="G242" s="15">
        <v>4.66</v>
      </c>
      <c r="H242" s="15">
        <v>2.4</v>
      </c>
      <c r="I242" s="15">
        <v>2.27</v>
      </c>
      <c r="J242" s="15">
        <v>81.87</v>
      </c>
      <c r="K242" s="15">
        <v>17.649999999999999</v>
      </c>
      <c r="L242" s="15">
        <v>84.48</v>
      </c>
      <c r="M242" s="15">
        <v>4.2</v>
      </c>
      <c r="N242" s="15">
        <v>2</v>
      </c>
      <c r="O242" s="15">
        <f>1.93+1.85</f>
        <v>3.7800000000000002</v>
      </c>
      <c r="P242" s="9">
        <v>0.64582799999999996</v>
      </c>
      <c r="Q242" s="9">
        <v>1.2075899999999999</v>
      </c>
      <c r="R242" s="9">
        <v>0.108696</v>
      </c>
      <c r="S242" s="9">
        <v>5.2213299999999997E-2</v>
      </c>
      <c r="T242" s="9">
        <v>6.1816200000000002E-2</v>
      </c>
      <c r="U242" s="9">
        <v>1.1013E-2</v>
      </c>
      <c r="V242" s="9">
        <v>4.4673699999999998</v>
      </c>
      <c r="W242" s="9">
        <v>3.69943</v>
      </c>
      <c r="X242" s="9">
        <v>2.3891900000000001</v>
      </c>
      <c r="Y242" s="9">
        <v>32.133899999999997</v>
      </c>
      <c r="Z242" s="9">
        <v>22.0124</v>
      </c>
      <c r="AA242" s="9">
        <f t="shared" si="37"/>
        <v>1.6297048458149779</v>
      </c>
      <c r="AB242" s="9">
        <f t="shared" si="38"/>
        <v>2.052863436123348</v>
      </c>
      <c r="AC242" s="9">
        <f t="shared" si="39"/>
        <v>1.0572687224669604</v>
      </c>
      <c r="AD242" s="9">
        <f t="shared" si="40"/>
        <v>2.2534291725105189</v>
      </c>
      <c r="AE242" s="9">
        <f t="shared" si="41"/>
        <v>1.5436465638148666</v>
      </c>
      <c r="AF242" s="9">
        <f t="shared" si="42"/>
        <v>4.091210643136149</v>
      </c>
      <c r="AG242" s="9">
        <f t="shared" si="34"/>
        <v>2.1305161292468204</v>
      </c>
      <c r="AH242" s="9">
        <f t="shared" si="43"/>
        <v>1.0984186132758469</v>
      </c>
      <c r="AI242" s="9">
        <f t="shared" si="35"/>
        <v>1.7385729925939388</v>
      </c>
      <c r="AJ242" s="9">
        <f>(4*PI()*(AI242^2))/(Y242+E242)</f>
        <v>0.8187189445999159</v>
      </c>
      <c r="AK242" s="12">
        <f t="shared" si="36"/>
        <v>0.60052910052910047</v>
      </c>
      <c r="AL242" s="12" t="s">
        <v>144</v>
      </c>
      <c r="AM242" s="12" t="s">
        <v>142</v>
      </c>
      <c r="AN242" s="18">
        <v>9.6289999999999996</v>
      </c>
      <c r="AO242" s="18">
        <v>0.85243999999999998</v>
      </c>
      <c r="AP242" s="18">
        <v>21127</v>
      </c>
      <c r="AQ242" s="18">
        <v>20113</v>
      </c>
      <c r="AR242" s="18">
        <v>4.5277000000000003</v>
      </c>
      <c r="AS242" s="18">
        <v>7.3616999999999997E-3</v>
      </c>
      <c r="AT242" s="18">
        <v>0.73678999999999994</v>
      </c>
      <c r="AU242" s="18">
        <v>0.31225999999999998</v>
      </c>
      <c r="AV242" s="18">
        <v>1.9411000000000001E-3</v>
      </c>
      <c r="AW242" s="18">
        <v>4.7396000000000001E-3</v>
      </c>
      <c r="AX242" s="18">
        <v>0.32071</v>
      </c>
      <c r="AY242" s="18">
        <v>-0.10854</v>
      </c>
      <c r="AZ242" s="18">
        <v>-1496.4</v>
      </c>
      <c r="BA242" s="18">
        <v>2.4749E-2</v>
      </c>
      <c r="BB242" s="18">
        <v>11.954000000000001</v>
      </c>
      <c r="BC242" s="18" t="s">
        <v>162</v>
      </c>
      <c r="BD242" s="35" t="s">
        <v>165</v>
      </c>
      <c r="BE242" t="s">
        <v>167</v>
      </c>
    </row>
    <row r="243" spans="1:57" x14ac:dyDescent="0.25">
      <c r="A243" s="15" t="s">
        <v>312</v>
      </c>
      <c r="B243" s="18" t="s">
        <v>26</v>
      </c>
      <c r="C243" s="18" t="s">
        <v>6</v>
      </c>
      <c r="D243" s="18">
        <v>59</v>
      </c>
      <c r="E243" s="18">
        <v>7.4607000000000001</v>
      </c>
      <c r="F243" s="18">
        <v>9.9254999999999995</v>
      </c>
      <c r="G243" s="15">
        <v>3.32</v>
      </c>
      <c r="H243" s="15">
        <v>2.1</v>
      </c>
      <c r="I243" s="15">
        <v>2.57</v>
      </c>
      <c r="J243" s="15">
        <v>93.63</v>
      </c>
      <c r="K243" s="15">
        <v>33.76</v>
      </c>
      <c r="L243" s="15">
        <v>52.53</v>
      </c>
      <c r="M243" s="15">
        <v>3.3</v>
      </c>
      <c r="N243" s="15">
        <v>2</v>
      </c>
      <c r="O243" s="15">
        <f>1.52+2.93</f>
        <v>4.45</v>
      </c>
      <c r="P243" s="9">
        <v>0.74313600000000002</v>
      </c>
      <c r="Q243" s="9">
        <v>1.1004400000000001</v>
      </c>
      <c r="R243" s="9">
        <v>0.43023299999999998</v>
      </c>
      <c r="S243" s="9">
        <v>4.0398000000000003E-2</v>
      </c>
      <c r="T243" s="9">
        <v>4.6525900000000002E-2</v>
      </c>
      <c r="U243" s="9">
        <v>-3.0917700000000002E-3</v>
      </c>
      <c r="V243" s="9">
        <v>3.3247599999999999</v>
      </c>
      <c r="W243" s="9">
        <v>3.0213000000000001</v>
      </c>
      <c r="X243" s="9">
        <v>2.2452399999999999</v>
      </c>
      <c r="Y243" s="9">
        <v>19.5808</v>
      </c>
      <c r="Z243" s="9">
        <v>10.727499999999999</v>
      </c>
      <c r="AA243" s="9">
        <f t="shared" si="37"/>
        <v>1.1756031128404671</v>
      </c>
      <c r="AB243" s="9">
        <f t="shared" si="38"/>
        <v>1.2918287937743191</v>
      </c>
      <c r="AC243" s="9">
        <f t="shared" si="39"/>
        <v>0.81712062256809348</v>
      </c>
      <c r="AD243" s="9">
        <f t="shared" si="40"/>
        <v>2.6245258487809453</v>
      </c>
      <c r="AE243" s="9">
        <f t="shared" si="41"/>
        <v>1.4378677603978178</v>
      </c>
      <c r="AF243" s="9">
        <f t="shared" si="42"/>
        <v>4.025607384083508</v>
      </c>
      <c r="AG243" s="9">
        <f t="shared" si="34"/>
        <v>1.5410433374345469</v>
      </c>
      <c r="AH243" s="9">
        <f t="shared" si="43"/>
        <v>0.97553381245234383</v>
      </c>
      <c r="AI243" s="9">
        <f t="shared" si="35"/>
        <v>1.3681592088871735</v>
      </c>
      <c r="AJ243" s="9">
        <f>(4*PI()*(AI243^2))/(Y243+E243)</f>
        <v>0.86986601090233506</v>
      </c>
      <c r="AK243" s="12">
        <f t="shared" si="36"/>
        <v>0.57752808988764037</v>
      </c>
      <c r="AL243" s="12" t="s">
        <v>144</v>
      </c>
      <c r="AM243" s="12" t="s">
        <v>142</v>
      </c>
      <c r="AN243" s="18">
        <v>6.5850999999999997</v>
      </c>
      <c r="AO243" s="18">
        <v>0.65198999999999996</v>
      </c>
      <c r="AP243" s="18">
        <v>10231</v>
      </c>
      <c r="AQ243" s="18">
        <v>10647</v>
      </c>
      <c r="AR243" s="18">
        <v>2.8632</v>
      </c>
      <c r="AS243" s="18">
        <v>3.6116999999999998E-3</v>
      </c>
      <c r="AT243" s="18">
        <v>0.73114000000000001</v>
      </c>
      <c r="AU243" s="18">
        <v>0.50194000000000005</v>
      </c>
      <c r="AV243" s="18">
        <v>2.2441000000000002E-3</v>
      </c>
      <c r="AW243" s="18">
        <v>3.1911999999999999E-3</v>
      </c>
      <c r="AX243" s="18">
        <v>0.23487</v>
      </c>
      <c r="AY243" s="18">
        <v>-1.5146999999999999</v>
      </c>
      <c r="AZ243" s="18">
        <v>-1353.7</v>
      </c>
      <c r="BA243" s="18">
        <v>2.3945999999999999E-2</v>
      </c>
      <c r="BB243" s="18">
        <v>11.375999999999999</v>
      </c>
      <c r="BC243" s="18" t="s">
        <v>162</v>
      </c>
      <c r="BD243" s="35" t="s">
        <v>163</v>
      </c>
      <c r="BE243" t="s">
        <v>167</v>
      </c>
    </row>
    <row r="244" spans="1:57" x14ac:dyDescent="0.25">
      <c r="A244" s="15" t="s">
        <v>313</v>
      </c>
      <c r="B244" s="18" t="s">
        <v>5</v>
      </c>
      <c r="C244" s="18" t="s">
        <v>6</v>
      </c>
      <c r="D244" s="18">
        <v>45</v>
      </c>
      <c r="E244" s="18">
        <v>7.3982000000000001</v>
      </c>
      <c r="F244" s="18">
        <v>10.045999999999999</v>
      </c>
      <c r="G244" s="15">
        <v>4.6399999999999997</v>
      </c>
      <c r="H244" s="15">
        <v>3.2</v>
      </c>
      <c r="I244" s="15">
        <v>4.16</v>
      </c>
      <c r="J244" s="15">
        <v>71.55</v>
      </c>
      <c r="K244" s="15">
        <v>21.19</v>
      </c>
      <c r="L244" s="15">
        <v>21.86</v>
      </c>
      <c r="M244" s="15">
        <v>3.9</v>
      </c>
      <c r="N244" s="15">
        <v>2</v>
      </c>
      <c r="O244" s="15">
        <f>3.65+0.81</f>
        <v>4.46</v>
      </c>
      <c r="P244" s="9">
        <v>1.0681700000000001</v>
      </c>
      <c r="Q244" s="9">
        <v>1.3040400000000001</v>
      </c>
      <c r="R244" s="9">
        <v>0.27419399999999999</v>
      </c>
      <c r="S244" s="9">
        <v>0.11128200000000001</v>
      </c>
      <c r="T244" s="9">
        <v>0.136489</v>
      </c>
      <c r="U244" s="9">
        <v>5.7956000000000001E-2</v>
      </c>
      <c r="V244" s="9">
        <v>3.8510200000000001</v>
      </c>
      <c r="W244" s="9">
        <v>2.9531499999999999</v>
      </c>
      <c r="X244" s="9">
        <v>3.1544500000000002</v>
      </c>
      <c r="Y244" s="9">
        <v>32.323099999999997</v>
      </c>
      <c r="Z244" s="9">
        <v>19.609200000000001</v>
      </c>
      <c r="AA244" s="9">
        <f t="shared" si="37"/>
        <v>0.70989182692307684</v>
      </c>
      <c r="AB244" s="9">
        <f t="shared" si="38"/>
        <v>1.1153846153846152</v>
      </c>
      <c r="AC244" s="9">
        <f t="shared" si="39"/>
        <v>0.76923076923076927</v>
      </c>
      <c r="AD244" s="9">
        <f t="shared" si="40"/>
        <v>4.3690492281906401</v>
      </c>
      <c r="AE244" s="9">
        <f t="shared" si="41"/>
        <v>2.6505366170149496</v>
      </c>
      <c r="AF244" s="9">
        <f t="shared" si="42"/>
        <v>4.4450135425424753</v>
      </c>
      <c r="AG244" s="9">
        <f t="shared" si="34"/>
        <v>1.5345749248456135</v>
      </c>
      <c r="AH244" s="9">
        <f t="shared" si="43"/>
        <v>0.95978684257975089</v>
      </c>
      <c r="AI244" s="9">
        <f t="shared" si="35"/>
        <v>1.6728503398625443</v>
      </c>
      <c r="AJ244" s="9">
        <f>(4*PI()*(AI244^2))/(Y244+E244)</f>
        <v>0.88532063773230352</v>
      </c>
      <c r="AK244" s="12">
        <f t="shared" si="36"/>
        <v>0.93273542600896864</v>
      </c>
      <c r="AL244" s="12" t="s">
        <v>144</v>
      </c>
      <c r="AM244" s="12" t="s">
        <v>143</v>
      </c>
      <c r="AN244" s="18">
        <v>4.1496000000000004</v>
      </c>
      <c r="AO244" s="18">
        <v>0.68579999999999997</v>
      </c>
      <c r="AP244" s="18">
        <v>9287.2000000000007</v>
      </c>
      <c r="AQ244" s="18">
        <v>8511.1</v>
      </c>
      <c r="AR244" s="18">
        <v>2.0707</v>
      </c>
      <c r="AS244" s="18">
        <v>9.0528999999999991E-3</v>
      </c>
      <c r="AT244" s="18">
        <v>0.72941999999999996</v>
      </c>
      <c r="AU244" s="18">
        <v>0.82059000000000004</v>
      </c>
      <c r="AV244" s="18">
        <v>1.9411000000000001E-2</v>
      </c>
      <c r="AW244" s="18">
        <v>5.8878000000000003E-3</v>
      </c>
      <c r="AX244" s="18">
        <v>0.16028999999999999</v>
      </c>
      <c r="AY244" s="18">
        <v>3.6985000000000001</v>
      </c>
      <c r="AZ244" s="18">
        <v>654.35</v>
      </c>
      <c r="BA244" s="18">
        <v>3.8283999999999999E-2</v>
      </c>
      <c r="BB244" s="18">
        <v>12.087</v>
      </c>
      <c r="BC244" s="18" t="s">
        <v>162</v>
      </c>
      <c r="BD244" s="35" t="s">
        <v>163</v>
      </c>
      <c r="BE244" t="s">
        <v>167</v>
      </c>
    </row>
    <row r="245" spans="1:57" x14ac:dyDescent="0.25">
      <c r="A245" s="15" t="s">
        <v>314</v>
      </c>
      <c r="B245" s="18" t="s">
        <v>13</v>
      </c>
      <c r="C245" s="18" t="s">
        <v>14</v>
      </c>
      <c r="D245" s="18">
        <v>56</v>
      </c>
      <c r="E245" s="18">
        <v>8.8609000000000009</v>
      </c>
      <c r="F245" s="18">
        <v>11.068</v>
      </c>
      <c r="G245" s="15">
        <v>4.92</v>
      </c>
      <c r="H245" s="15">
        <v>3.4</v>
      </c>
      <c r="I245" s="15">
        <v>2.2599999999999998</v>
      </c>
      <c r="J245" s="15">
        <v>54.17</v>
      </c>
      <c r="K245" s="15">
        <f>180-147.52</f>
        <v>32.47999999999999</v>
      </c>
      <c r="L245" s="15">
        <v>55.45</v>
      </c>
      <c r="M245" s="15">
        <v>3.7</v>
      </c>
      <c r="N245" s="15">
        <v>2</v>
      </c>
      <c r="O245" s="15">
        <f>1.94+2.16</f>
        <v>4.0999999999999996</v>
      </c>
      <c r="P245" s="9">
        <v>1.05792</v>
      </c>
      <c r="Q245" s="9">
        <v>1.4248400000000001</v>
      </c>
      <c r="R245" s="9">
        <v>0.216418</v>
      </c>
      <c r="S245" s="9">
        <v>0.101078</v>
      </c>
      <c r="T245" s="9">
        <v>0.107213</v>
      </c>
      <c r="U245" s="9">
        <v>3.3680300000000002E-3</v>
      </c>
      <c r="V245" s="9">
        <v>4.6311600000000004</v>
      </c>
      <c r="W245" s="9">
        <v>3.2503000000000002</v>
      </c>
      <c r="X245" s="9">
        <v>3.4385500000000002</v>
      </c>
      <c r="Y245" s="9">
        <v>43.889400000000002</v>
      </c>
      <c r="Z245" s="9">
        <v>32.617400000000004</v>
      </c>
      <c r="AA245" s="9">
        <f t="shared" si="37"/>
        <v>1.4381858407079648</v>
      </c>
      <c r="AB245" s="9">
        <f t="shared" si="38"/>
        <v>2.1769911504424782</v>
      </c>
      <c r="AC245" s="9">
        <f t="shared" si="39"/>
        <v>1.5044247787610621</v>
      </c>
      <c r="AD245" s="9">
        <f t="shared" si="40"/>
        <v>4.9531537428477916</v>
      </c>
      <c r="AE245" s="9">
        <f t="shared" si="41"/>
        <v>3.6810482005213916</v>
      </c>
      <c r="AF245" s="9">
        <f t="shared" si="42"/>
        <v>4.2992571022597756</v>
      </c>
      <c r="AG245" s="9">
        <f t="shared" si="34"/>
        <v>1.6794380222223002</v>
      </c>
      <c r="AH245" s="9">
        <f t="shared" si="43"/>
        <v>0.95339901567996932</v>
      </c>
      <c r="AI245" s="9">
        <f t="shared" si="35"/>
        <v>1.9820757285726878</v>
      </c>
      <c r="AJ245" s="9">
        <f>(4*PI()*(AI245^2))/(Y245+E245)</f>
        <v>0.93589131481319532</v>
      </c>
      <c r="AK245" s="12">
        <f t="shared" si="36"/>
        <v>0.551219512195122</v>
      </c>
      <c r="AL245" s="12" t="s">
        <v>144</v>
      </c>
      <c r="AM245" s="12" t="s">
        <v>142</v>
      </c>
      <c r="AN245" s="18">
        <v>5.5391000000000004</v>
      </c>
      <c r="AO245" s="18">
        <v>0.66876000000000002</v>
      </c>
      <c r="AP245" s="18">
        <v>8461.2999999999993</v>
      </c>
      <c r="AQ245" s="18">
        <v>8146.1</v>
      </c>
      <c r="AR245" s="18">
        <v>2.6937000000000002</v>
      </c>
      <c r="AS245" s="18">
        <v>4.1516000000000001E-3</v>
      </c>
      <c r="AT245" s="18">
        <v>0.73333000000000004</v>
      </c>
      <c r="AU245" s="18">
        <v>0.49584</v>
      </c>
      <c r="AV245" s="18">
        <v>1.4472E-3</v>
      </c>
      <c r="AW245" s="18">
        <v>2.4383999999999999E-3</v>
      </c>
      <c r="AX245" s="18">
        <v>0.21697</v>
      </c>
      <c r="AY245" s="18">
        <v>-5.5648</v>
      </c>
      <c r="AZ245" s="18">
        <v>-1072.5</v>
      </c>
      <c r="BA245" s="18">
        <v>7.3879E-2</v>
      </c>
      <c r="BB245" s="18">
        <v>4.2183000000000002</v>
      </c>
      <c r="BC245" s="18" t="s">
        <v>162</v>
      </c>
      <c r="BD245" s="35" t="s">
        <v>163</v>
      </c>
      <c r="BE245" t="s">
        <v>167</v>
      </c>
    </row>
    <row r="246" spans="1:57" x14ac:dyDescent="0.25">
      <c r="A246" s="15" t="s">
        <v>315</v>
      </c>
      <c r="B246" s="18" t="s">
        <v>13</v>
      </c>
      <c r="C246" s="18" t="s">
        <v>6</v>
      </c>
      <c r="D246" s="18">
        <v>49</v>
      </c>
      <c r="E246" s="18">
        <v>11.225</v>
      </c>
      <c r="F246" s="18">
        <v>12.039</v>
      </c>
      <c r="G246" s="15">
        <v>6.08</v>
      </c>
      <c r="H246" s="15">
        <v>4.4000000000000004</v>
      </c>
      <c r="I246" s="15">
        <v>2.0499999999999998</v>
      </c>
      <c r="J246" s="15">
        <v>77.53</v>
      </c>
      <c r="K246" s="15">
        <v>41.31</v>
      </c>
      <c r="L246" s="15">
        <v>39.29</v>
      </c>
      <c r="M246" s="15">
        <v>4.4000000000000004</v>
      </c>
      <c r="N246" s="15">
        <v>2</v>
      </c>
      <c r="O246" s="15">
        <f>1.9+2.21</f>
        <v>4.1099999999999994</v>
      </c>
      <c r="P246" s="9">
        <v>1.16567</v>
      </c>
      <c r="Q246" s="9">
        <v>1.13317</v>
      </c>
      <c r="R246" s="9">
        <v>0.16279099999999999</v>
      </c>
      <c r="S246" s="9">
        <v>0.12975300000000001</v>
      </c>
      <c r="T246" s="9">
        <v>0.15029300000000001</v>
      </c>
      <c r="U246" s="9">
        <v>5.7898400000000003E-2</v>
      </c>
      <c r="V246" s="9">
        <v>4.2605300000000002</v>
      </c>
      <c r="W246" s="9">
        <v>3.7598400000000001</v>
      </c>
      <c r="X246" s="9">
        <v>4.3827199999999999</v>
      </c>
      <c r="Y246" s="9">
        <v>49.7926</v>
      </c>
      <c r="Z246" s="9">
        <v>36.596499999999999</v>
      </c>
      <c r="AA246" s="9">
        <f t="shared" si="37"/>
        <v>1.834068292682927</v>
      </c>
      <c r="AB246" s="9">
        <f t="shared" si="38"/>
        <v>2.9658536585365858</v>
      </c>
      <c r="AC246" s="9">
        <f t="shared" si="39"/>
        <v>2.1463414634146347</v>
      </c>
      <c r="AD246" s="9">
        <f t="shared" si="40"/>
        <v>4.4358663697104674</v>
      </c>
      <c r="AE246" s="9">
        <f t="shared" si="41"/>
        <v>3.2602672605790648</v>
      </c>
      <c r="AF246" s="9">
        <f t="shared" si="42"/>
        <v>4.5172254806857648</v>
      </c>
      <c r="AG246" s="9">
        <f t="shared" si="34"/>
        <v>1.8902456116634818</v>
      </c>
      <c r="AH246" s="9">
        <f t="shared" si="43"/>
        <v>0.98652408457219698</v>
      </c>
      <c r="AI246" s="9">
        <f t="shared" si="35"/>
        <v>2.0596036259623594</v>
      </c>
      <c r="AJ246" s="9">
        <f>(4*PI()*(AI246^2))/(Y246+E246)</f>
        <v>0.87361893393421353</v>
      </c>
      <c r="AK246" s="12">
        <f t="shared" si="36"/>
        <v>0.49878345498783455</v>
      </c>
      <c r="AL246" s="12" t="s">
        <v>140</v>
      </c>
      <c r="AM246" s="12" t="s">
        <v>142</v>
      </c>
      <c r="AN246" s="18">
        <v>5.6482999999999999</v>
      </c>
      <c r="AO246" s="18">
        <v>0.49159999999999998</v>
      </c>
      <c r="AP246" s="18">
        <v>7877</v>
      </c>
      <c r="AQ246" s="18">
        <v>7445.3</v>
      </c>
      <c r="AR246" s="18">
        <v>2.7995999999999999</v>
      </c>
      <c r="AS246" s="18">
        <v>8.2442000000000001E-3</v>
      </c>
      <c r="AT246" s="18">
        <v>0.76817999999999997</v>
      </c>
      <c r="AU246" s="18">
        <v>0.68844000000000005</v>
      </c>
      <c r="AV246" s="18">
        <v>5.1867999999999997E-2</v>
      </c>
      <c r="AW246" s="18">
        <v>6.3677999999999998E-3</v>
      </c>
      <c r="AX246" s="18">
        <v>0.19452</v>
      </c>
      <c r="AY246" s="18">
        <v>-27.105</v>
      </c>
      <c r="AZ246" s="18">
        <v>-1593.7</v>
      </c>
      <c r="BA246" s="18">
        <v>9.9335999999999994E-2</v>
      </c>
      <c r="BB246" s="18">
        <v>32.201000000000001</v>
      </c>
      <c r="BC246" s="18" t="s">
        <v>162</v>
      </c>
      <c r="BD246" s="35" t="s">
        <v>165</v>
      </c>
      <c r="BE246" t="s">
        <v>168</v>
      </c>
    </row>
    <row r="247" spans="1:57" x14ac:dyDescent="0.25">
      <c r="A247" s="15" t="s">
        <v>316</v>
      </c>
      <c r="B247" s="18" t="s">
        <v>5</v>
      </c>
      <c r="C247" s="18" t="s">
        <v>6</v>
      </c>
      <c r="D247" s="18">
        <v>53</v>
      </c>
      <c r="E247" s="18">
        <v>11.47</v>
      </c>
      <c r="F247" s="18">
        <v>12.667</v>
      </c>
      <c r="G247" s="15">
        <v>6.96</v>
      </c>
      <c r="H247" s="15">
        <v>5.3</v>
      </c>
      <c r="I247" s="15">
        <v>2.31</v>
      </c>
      <c r="J247" s="15">
        <v>42.13</v>
      </c>
      <c r="K247" s="15">
        <v>47.87</v>
      </c>
      <c r="L247" s="15">
        <v>12.18</v>
      </c>
      <c r="M247" s="15">
        <v>5.14</v>
      </c>
      <c r="N247" s="15">
        <v>2</v>
      </c>
      <c r="O247" s="15">
        <f>2.61+0.61</f>
        <v>3.2199999999999998</v>
      </c>
      <c r="P247" s="9">
        <v>1.4529300000000001</v>
      </c>
      <c r="Q247" s="9">
        <v>1.7091000000000001</v>
      </c>
      <c r="R247" s="9">
        <v>0.12857099999999999</v>
      </c>
      <c r="S247" s="9">
        <v>0.16663500000000001</v>
      </c>
      <c r="T247" s="9">
        <v>0.230133</v>
      </c>
      <c r="U247" s="9">
        <v>0.136929</v>
      </c>
      <c r="V247" s="9">
        <v>6.2614200000000002</v>
      </c>
      <c r="W247" s="9">
        <v>3.6635800000000001</v>
      </c>
      <c r="X247" s="9">
        <v>5.32294</v>
      </c>
      <c r="Y247" s="9">
        <v>82.534199999999998</v>
      </c>
      <c r="Z247" s="9">
        <v>67.353999999999999</v>
      </c>
      <c r="AA247" s="9">
        <f t="shared" si="37"/>
        <v>1.585965367965368</v>
      </c>
      <c r="AB247" s="9">
        <f t="shared" si="38"/>
        <v>3.0129870129870131</v>
      </c>
      <c r="AC247" s="9">
        <f t="shared" si="39"/>
        <v>2.2943722943722942</v>
      </c>
      <c r="AD247" s="9">
        <f t="shared" si="40"/>
        <v>7.1956582388840449</v>
      </c>
      <c r="AE247" s="9">
        <f t="shared" si="41"/>
        <v>5.8721883173496074</v>
      </c>
      <c r="AF247" s="9">
        <f t="shared" si="42"/>
        <v>4.9856870863247451</v>
      </c>
      <c r="AG247" s="9">
        <f t="shared" si="34"/>
        <v>1.9107627781930649</v>
      </c>
      <c r="AH247" s="9">
        <f t="shared" si="43"/>
        <v>0.94779163286084411</v>
      </c>
      <c r="AI247" s="9">
        <f t="shared" si="35"/>
        <v>2.5240130406957224</v>
      </c>
      <c r="AJ247" s="9">
        <f>(4*PI()*(AI247^2))/(Y247+E247)</f>
        <v>0.85161988807009437</v>
      </c>
      <c r="AK247" s="12">
        <f t="shared" si="36"/>
        <v>0.71739130434782616</v>
      </c>
      <c r="AL247" s="12" t="s">
        <v>140</v>
      </c>
      <c r="AM247" s="12" t="s">
        <v>142</v>
      </c>
      <c r="AN247" s="18">
        <v>12.462</v>
      </c>
      <c r="AO247" s="18">
        <v>0.73372000000000004</v>
      </c>
      <c r="AP247" s="18">
        <v>29698</v>
      </c>
      <c r="AQ247" s="18">
        <v>25279</v>
      </c>
      <c r="AR247" s="18">
        <v>5.8925000000000001</v>
      </c>
      <c r="AS247" s="18">
        <v>6.2838E-3</v>
      </c>
      <c r="AT247" s="18">
        <v>0.75009999999999999</v>
      </c>
      <c r="AU247" s="18">
        <v>0.45129000000000002</v>
      </c>
      <c r="AV247" s="18">
        <v>7.4312000000000003E-2</v>
      </c>
      <c r="AW247" s="18">
        <v>5.1462000000000001E-3</v>
      </c>
      <c r="AX247" s="18">
        <v>0.36475999999999997</v>
      </c>
      <c r="AY247" s="18">
        <v>-5.0598999999999998</v>
      </c>
      <c r="AZ247" s="18">
        <v>-3676.2</v>
      </c>
      <c r="BA247" s="18">
        <v>6.5965999999999997E-2</v>
      </c>
      <c r="BB247" s="18">
        <v>7.1172000000000004</v>
      </c>
      <c r="BC247" s="18" t="s">
        <v>162</v>
      </c>
      <c r="BD247" s="35" t="s">
        <v>165</v>
      </c>
      <c r="BE247" t="s">
        <v>168</v>
      </c>
    </row>
    <row r="248" spans="1:57" x14ac:dyDescent="0.25">
      <c r="A248" s="15" t="s">
        <v>317</v>
      </c>
      <c r="B248" s="16" t="s">
        <v>5</v>
      </c>
      <c r="C248" s="16" t="s">
        <v>14</v>
      </c>
      <c r="D248" s="16">
        <v>48</v>
      </c>
      <c r="E248" s="16">
        <v>25.609000000000002</v>
      </c>
      <c r="F248" s="16">
        <v>18.931999999999999</v>
      </c>
      <c r="G248" s="15">
        <v>9.91</v>
      </c>
      <c r="H248" s="15">
        <v>7.6</v>
      </c>
      <c r="I248" s="15">
        <v>3.58</v>
      </c>
      <c r="J248" s="15">
        <v>113.16</v>
      </c>
      <c r="K248" s="15">
        <v>5.83</v>
      </c>
      <c r="L248" s="15">
        <v>55.64</v>
      </c>
      <c r="M248" s="15">
        <v>8.4</v>
      </c>
      <c r="N248" s="15">
        <v>2</v>
      </c>
      <c r="O248" s="15">
        <f>3.24+2.18</f>
        <v>5.42</v>
      </c>
      <c r="P248" s="9">
        <v>1.35595</v>
      </c>
      <c r="Q248" s="9">
        <v>1.7781499999999999</v>
      </c>
      <c r="R248" s="9">
        <v>7.3333300000000004E-2</v>
      </c>
      <c r="S248" s="9">
        <v>0.13394200000000001</v>
      </c>
      <c r="T248" s="9">
        <v>0.136271</v>
      </c>
      <c r="U248" s="9">
        <v>3.2980399999999999E-3</v>
      </c>
      <c r="V248" s="9">
        <v>9.9240399999999998</v>
      </c>
      <c r="W248" s="9">
        <v>5.5811099999999998</v>
      </c>
      <c r="X248" s="9">
        <v>7.5677099999999999</v>
      </c>
      <c r="Y248" s="9">
        <v>207.86</v>
      </c>
      <c r="Z248" s="9">
        <v>319.89800000000002</v>
      </c>
      <c r="AA248" s="9">
        <f t="shared" si="37"/>
        <v>1.5589692737430167</v>
      </c>
      <c r="AB248" s="9">
        <f t="shared" si="38"/>
        <v>2.7681564245810057</v>
      </c>
      <c r="AC248" s="9">
        <f t="shared" si="39"/>
        <v>2.1229050279329607</v>
      </c>
      <c r="AD248" s="9">
        <f t="shared" si="40"/>
        <v>8.1166777304853763</v>
      </c>
      <c r="AE248" s="9">
        <f t="shared" si="41"/>
        <v>12.491624038423991</v>
      </c>
      <c r="AF248" s="9">
        <f t="shared" si="42"/>
        <v>4.4438893801204582</v>
      </c>
      <c r="AG248" s="9">
        <f t="shared" si="34"/>
        <v>2.8551003266576633</v>
      </c>
      <c r="AH248" s="9">
        <f t="shared" si="43"/>
        <v>0.94755569527673078</v>
      </c>
      <c r="AI248" s="9">
        <f t="shared" si="35"/>
        <v>4.2426867905010628</v>
      </c>
      <c r="AJ248" s="9">
        <f>(4*PI()*(AI248^2))/(Y248+E248)</f>
        <v>0.96886347674189799</v>
      </c>
      <c r="AK248" s="12">
        <f t="shared" si="36"/>
        <v>0.66051660516605171</v>
      </c>
      <c r="AL248" s="12" t="s">
        <v>144</v>
      </c>
      <c r="AM248" s="12" t="s">
        <v>142</v>
      </c>
      <c r="AN248" s="16">
        <v>2.6551</v>
      </c>
      <c r="AO248" s="16">
        <v>0.34320000000000001</v>
      </c>
      <c r="AP248" s="16">
        <v>3551.1</v>
      </c>
      <c r="AQ248" s="16">
        <v>3143.3</v>
      </c>
      <c r="AR248" s="16">
        <v>1.5819000000000001</v>
      </c>
      <c r="AS248" s="16">
        <v>2.2815999999999999E-2</v>
      </c>
      <c r="AT248" s="16">
        <v>0.68998999999999999</v>
      </c>
      <c r="AU248" s="16">
        <v>1.0106999999999999</v>
      </c>
      <c r="AV248" s="16">
        <v>5.9327999999999999E-2</v>
      </c>
      <c r="AW248" s="16">
        <v>2.8537E-2</v>
      </c>
      <c r="AX248" s="16">
        <v>0.14360000000000001</v>
      </c>
      <c r="AY248" s="16">
        <v>-19.754999999999999</v>
      </c>
      <c r="AZ248" s="16">
        <v>-344.98</v>
      </c>
      <c r="BA248" s="16">
        <v>0.39684000000000003</v>
      </c>
      <c r="BB248" s="16">
        <v>5.7693000000000003</v>
      </c>
      <c r="BC248" s="16" t="s">
        <v>162</v>
      </c>
      <c r="BD248" s="34" t="s">
        <v>163</v>
      </c>
      <c r="BE248" t="s">
        <v>167</v>
      </c>
    </row>
    <row r="249" spans="1:57" x14ac:dyDescent="0.25">
      <c r="A249" s="15" t="s">
        <v>318</v>
      </c>
      <c r="B249" s="16" t="s">
        <v>13</v>
      </c>
      <c r="C249" s="16" t="s">
        <v>14</v>
      </c>
      <c r="D249" s="16">
        <v>75</v>
      </c>
      <c r="E249" s="16">
        <v>5.1630000000000003</v>
      </c>
      <c r="F249" s="16">
        <v>8.3242999999999991</v>
      </c>
      <c r="G249" s="15">
        <v>5.62</v>
      </c>
      <c r="H249" s="15">
        <v>4.4000000000000004</v>
      </c>
      <c r="I249" s="15">
        <v>1.6</v>
      </c>
      <c r="J249" s="15">
        <v>73.34</v>
      </c>
      <c r="K249" s="15">
        <f>180-141.82</f>
        <v>38.180000000000007</v>
      </c>
      <c r="L249" s="15">
        <v>61.42</v>
      </c>
      <c r="M249" s="15">
        <v>4.2</v>
      </c>
      <c r="N249" s="15">
        <v>2</v>
      </c>
      <c r="O249" s="15">
        <f>2.3+1.13</f>
        <v>3.4299999999999997</v>
      </c>
      <c r="P249" s="9">
        <v>1.7426900000000001</v>
      </c>
      <c r="Q249" s="9">
        <v>2.1261700000000001</v>
      </c>
      <c r="R249" s="9">
        <v>1.16279E-2</v>
      </c>
      <c r="S249" s="9">
        <v>0.188278</v>
      </c>
      <c r="T249" s="9">
        <v>0.206092</v>
      </c>
      <c r="U249" s="9">
        <v>5.4607299999999998E-2</v>
      </c>
      <c r="V249" s="9">
        <v>5.3401199999999998</v>
      </c>
      <c r="W249" s="9">
        <v>2.5116200000000002</v>
      </c>
      <c r="X249" s="9">
        <v>4.3769799999999996</v>
      </c>
      <c r="Y249" s="9">
        <v>60.283299999999997</v>
      </c>
      <c r="Z249" s="9">
        <v>44.0291</v>
      </c>
      <c r="AA249" s="9">
        <f t="shared" si="37"/>
        <v>1.5697624999999999</v>
      </c>
      <c r="AB249" s="9">
        <f t="shared" si="38"/>
        <v>3.5124999999999997</v>
      </c>
      <c r="AC249" s="9">
        <f t="shared" si="39"/>
        <v>2.75</v>
      </c>
      <c r="AD249" s="9">
        <f t="shared" si="40"/>
        <v>11.676021692814254</v>
      </c>
      <c r="AE249" s="9">
        <f t="shared" si="41"/>
        <v>8.5278132868487315</v>
      </c>
      <c r="AF249" s="9">
        <f t="shared" si="42"/>
        <v>4.8347105625817921</v>
      </c>
      <c r="AG249" s="9">
        <f t="shared" si="34"/>
        <v>1.2819648756369697</v>
      </c>
      <c r="AH249" s="9">
        <f t="shared" si="43"/>
        <v>0.96762765288643071</v>
      </c>
      <c r="AI249" s="9">
        <f t="shared" si="35"/>
        <v>2.1905360236772626</v>
      </c>
      <c r="AJ249" s="9">
        <f>(4*PI()*(AI249^2))/(Y249+E249)</f>
        <v>0.92135196083341797</v>
      </c>
      <c r="AK249" s="12">
        <f t="shared" si="36"/>
        <v>0.46647230320699717</v>
      </c>
      <c r="AL249" s="12" t="s">
        <v>144</v>
      </c>
      <c r="AM249" s="12" t="s">
        <v>142</v>
      </c>
      <c r="AN249" s="16">
        <v>6.9732000000000003</v>
      </c>
      <c r="AO249" s="16">
        <v>0.81286000000000003</v>
      </c>
      <c r="AP249" s="16">
        <v>13040</v>
      </c>
      <c r="AQ249" s="16">
        <v>11413</v>
      </c>
      <c r="AR249" s="16">
        <v>3.3433000000000002</v>
      </c>
      <c r="AS249" s="16">
        <v>9.7435000000000004E-3</v>
      </c>
      <c r="AT249" s="16">
        <v>0.74343000000000004</v>
      </c>
      <c r="AU249" s="16">
        <v>0.68728</v>
      </c>
      <c r="AV249" s="16">
        <v>4.9730000000000003E-2</v>
      </c>
      <c r="AW249" s="16">
        <v>5.9741000000000004E-3</v>
      </c>
      <c r="AX249" s="16">
        <v>0.25372</v>
      </c>
      <c r="AY249" s="16">
        <v>-0.12348000000000001</v>
      </c>
      <c r="AZ249" s="16">
        <v>-450.7</v>
      </c>
      <c r="BA249" s="16">
        <v>0.12357</v>
      </c>
      <c r="BB249" s="16">
        <v>8.3832000000000004</v>
      </c>
      <c r="BC249" s="16" t="s">
        <v>162</v>
      </c>
      <c r="BD249" s="34" t="s">
        <v>165</v>
      </c>
      <c r="BE249" t="s">
        <v>168</v>
      </c>
    </row>
    <row r="250" spans="1:57" x14ac:dyDescent="0.25">
      <c r="A250" s="22" t="s">
        <v>319</v>
      </c>
      <c r="B250" s="16" t="s">
        <v>26</v>
      </c>
      <c r="C250" s="16" t="s">
        <v>14</v>
      </c>
      <c r="D250" s="16">
        <v>50</v>
      </c>
      <c r="E250" s="16">
        <v>11.507999999999999</v>
      </c>
      <c r="F250" s="16">
        <v>12.425000000000001</v>
      </c>
      <c r="G250" s="15">
        <v>8.64</v>
      </c>
      <c r="H250" s="15">
        <v>7.3</v>
      </c>
      <c r="I250" s="15">
        <v>2.4300000000000002</v>
      </c>
      <c r="J250" s="15">
        <v>14.32</v>
      </c>
      <c r="K250" s="15">
        <v>51.75</v>
      </c>
      <c r="L250" s="15">
        <v>66.95</v>
      </c>
      <c r="M250" s="15">
        <v>6.1</v>
      </c>
      <c r="N250" s="15">
        <v>2</v>
      </c>
      <c r="O250" s="15">
        <f>2.43+1.95</f>
        <v>4.38</v>
      </c>
      <c r="P250" s="9">
        <v>1.9315199999999999</v>
      </c>
      <c r="Q250" s="9">
        <v>1.7129099999999999</v>
      </c>
      <c r="R250" s="9">
        <v>-3.49651E-3</v>
      </c>
      <c r="S250" s="9">
        <v>0.179511</v>
      </c>
      <c r="T250" s="9">
        <v>0.19258700000000001</v>
      </c>
      <c r="U250" s="9">
        <v>3.6502199999999999E-2</v>
      </c>
      <c r="V250" s="9">
        <v>6.3900199999999998</v>
      </c>
      <c r="W250" s="9">
        <v>3.7305000000000001</v>
      </c>
      <c r="X250" s="9">
        <v>7.2055300000000004</v>
      </c>
      <c r="Y250" s="9">
        <v>125.045</v>
      </c>
      <c r="Z250" s="9">
        <v>134.90600000000001</v>
      </c>
      <c r="AA250" s="9">
        <f t="shared" si="37"/>
        <v>1.5351851851851852</v>
      </c>
      <c r="AB250" s="9">
        <f t="shared" si="38"/>
        <v>3.5555555555555554</v>
      </c>
      <c r="AC250" s="9">
        <f t="shared" si="39"/>
        <v>3.0041152263374484</v>
      </c>
      <c r="AD250" s="9">
        <f t="shared" si="40"/>
        <v>10.865919360444909</v>
      </c>
      <c r="AE250" s="9">
        <f t="shared" si="41"/>
        <v>11.722801529370875</v>
      </c>
      <c r="AF250" s="9">
        <f t="shared" si="42"/>
        <v>4.7538501428265372</v>
      </c>
      <c r="AG250" s="9">
        <f t="shared" si="34"/>
        <v>1.9139253303624628</v>
      </c>
      <c r="AH250" s="9">
        <f t="shared" si="43"/>
        <v>0.96785090662150997</v>
      </c>
      <c r="AI250" s="9">
        <f t="shared" si="35"/>
        <v>3.1816144620805833</v>
      </c>
      <c r="AJ250" s="9">
        <f>(4*PI()*(AI250^2))/(Y250+E250)</f>
        <v>0.93154474952734279</v>
      </c>
      <c r="AK250" s="12">
        <f t="shared" si="36"/>
        <v>0.5547945205479452</v>
      </c>
      <c r="AL250" s="12" t="s">
        <v>140</v>
      </c>
      <c r="AM250" s="12" t="s">
        <v>142</v>
      </c>
      <c r="AN250" s="16">
        <v>5.0076999999999998</v>
      </c>
      <c r="AO250" s="16">
        <v>0.64612000000000003</v>
      </c>
      <c r="AP250" s="16">
        <v>8102</v>
      </c>
      <c r="AQ250" s="16">
        <v>7375.2</v>
      </c>
      <c r="AR250" s="16">
        <v>2.6856</v>
      </c>
      <c r="AS250" s="16">
        <v>1.0073E-2</v>
      </c>
      <c r="AT250" s="16">
        <v>0.75077000000000005</v>
      </c>
      <c r="AU250" s="16">
        <v>0.69050999999999996</v>
      </c>
      <c r="AV250" s="16">
        <v>3.2537999999999997E-2</v>
      </c>
      <c r="AW250" s="16">
        <v>1.1063E-2</v>
      </c>
      <c r="AX250" s="16">
        <v>0.20305999999999999</v>
      </c>
      <c r="AY250" s="16">
        <v>-7.4889999999999999</v>
      </c>
      <c r="AZ250" s="16">
        <v>-436.21</v>
      </c>
      <c r="BA250" s="16">
        <v>0.27084999999999998</v>
      </c>
      <c r="BB250" s="16">
        <v>18.943000000000001</v>
      </c>
      <c r="BC250" s="16" t="s">
        <v>162</v>
      </c>
      <c r="BD250" s="34" t="s">
        <v>165</v>
      </c>
      <c r="BE250" t="s">
        <v>167</v>
      </c>
    </row>
    <row r="251" spans="1:57" x14ac:dyDescent="0.25">
      <c r="A251" s="15" t="s">
        <v>320</v>
      </c>
      <c r="B251" s="16" t="s">
        <v>13</v>
      </c>
      <c r="C251" s="16" t="s">
        <v>14</v>
      </c>
      <c r="D251" s="16">
        <v>50</v>
      </c>
      <c r="E251" s="16">
        <v>7.2751999999999999</v>
      </c>
      <c r="F251" s="16">
        <v>9.9341000000000008</v>
      </c>
      <c r="G251" s="15">
        <v>3.97</v>
      </c>
      <c r="H251" s="15">
        <v>2.72</v>
      </c>
      <c r="I251" s="15">
        <v>3.41</v>
      </c>
      <c r="J251" s="15">
        <v>32.36</v>
      </c>
      <c r="K251" s="15">
        <v>38.65</v>
      </c>
      <c r="L251" s="15">
        <v>47.2</v>
      </c>
      <c r="M251" s="15">
        <v>3.5</v>
      </c>
      <c r="N251" s="15">
        <v>2</v>
      </c>
      <c r="O251" s="15">
        <f>2.3+2.29</f>
        <v>4.59</v>
      </c>
      <c r="P251" s="9">
        <v>0.92462900000000003</v>
      </c>
      <c r="Q251" s="9">
        <v>1.08064</v>
      </c>
      <c r="R251" s="9">
        <v>0.48148099999999999</v>
      </c>
      <c r="S251" s="9">
        <v>9.0240100000000004E-2</v>
      </c>
      <c r="T251" s="9">
        <v>0.22775699999999999</v>
      </c>
      <c r="U251" s="9">
        <v>0.213647</v>
      </c>
      <c r="V251" s="9">
        <v>3.2141199999999999</v>
      </c>
      <c r="W251" s="9">
        <v>2.9742700000000002</v>
      </c>
      <c r="X251" s="9">
        <v>2.7500900000000001</v>
      </c>
      <c r="Y251" s="9">
        <v>25.017199999999999</v>
      </c>
      <c r="Z251" s="9">
        <v>11.292199999999999</v>
      </c>
      <c r="AA251" s="9">
        <f t="shared" si="37"/>
        <v>0.87221994134897363</v>
      </c>
      <c r="AB251" s="9">
        <f t="shared" si="38"/>
        <v>1.1642228739002933</v>
      </c>
      <c r="AC251" s="9">
        <f t="shared" si="39"/>
        <v>0.79765395894428159</v>
      </c>
      <c r="AD251" s="9">
        <f t="shared" si="40"/>
        <v>3.4386958434132393</v>
      </c>
      <c r="AE251" s="9">
        <f t="shared" si="41"/>
        <v>1.5521497690785133</v>
      </c>
      <c r="AF251" s="9">
        <f t="shared" si="42"/>
        <v>4.9703426118190857</v>
      </c>
      <c r="AG251" s="9">
        <f t="shared" si="34"/>
        <v>1.5217647925892865</v>
      </c>
      <c r="AH251" s="9">
        <f t="shared" si="43"/>
        <v>0.96249586633718154</v>
      </c>
      <c r="AI251" s="9">
        <f t="shared" si="35"/>
        <v>1.3917566893896349</v>
      </c>
      <c r="AJ251" s="9">
        <f>(4*PI()*(AI251^2))/(Y251+E251)</f>
        <v>0.75376536048359433</v>
      </c>
      <c r="AK251" s="12">
        <f t="shared" si="36"/>
        <v>0.74291938997821361</v>
      </c>
      <c r="AL251" s="12" t="s">
        <v>140</v>
      </c>
      <c r="AM251" s="12" t="s">
        <v>142</v>
      </c>
      <c r="AN251" s="16">
        <v>12.047000000000001</v>
      </c>
      <c r="AO251" s="16">
        <v>1.2823</v>
      </c>
      <c r="AP251" s="16">
        <v>39882</v>
      </c>
      <c r="AQ251" s="16">
        <v>41550</v>
      </c>
      <c r="AR251" s="16">
        <v>6.0179</v>
      </c>
      <c r="AS251" s="16">
        <v>7.6423000000000003E-3</v>
      </c>
      <c r="AT251" s="16">
        <v>0.74726000000000004</v>
      </c>
      <c r="AU251" s="16">
        <v>0.36786000000000002</v>
      </c>
      <c r="AV251" s="21">
        <v>3.3798999999999999E-5</v>
      </c>
      <c r="AW251" s="16">
        <v>5.0087999999999999E-3</v>
      </c>
      <c r="AX251" s="16">
        <v>0.30523</v>
      </c>
      <c r="AY251" s="16">
        <v>4.4541000000000004</v>
      </c>
      <c r="AZ251" s="16">
        <v>14177</v>
      </c>
      <c r="BA251" s="16">
        <v>1.0052E-2</v>
      </c>
      <c r="BB251" s="16">
        <v>7.0734000000000004</v>
      </c>
      <c r="BC251" s="16" t="s">
        <v>162</v>
      </c>
      <c r="BD251" s="34" t="s">
        <v>163</v>
      </c>
      <c r="BE251" t="s">
        <v>167</v>
      </c>
    </row>
    <row r="252" spans="1:57" x14ac:dyDescent="0.25">
      <c r="A252" s="15" t="s">
        <v>321</v>
      </c>
      <c r="B252" s="16" t="s">
        <v>26</v>
      </c>
      <c r="C252" s="16" t="s">
        <v>6</v>
      </c>
      <c r="D252" s="16">
        <v>45</v>
      </c>
      <c r="E252" s="16">
        <v>9.9880999999999993</v>
      </c>
      <c r="F252" s="16">
        <v>11.606999999999999</v>
      </c>
      <c r="G252" s="15">
        <v>8.51</v>
      </c>
      <c r="H252" s="15">
        <v>6.7</v>
      </c>
      <c r="I252" s="15">
        <v>1.36</v>
      </c>
      <c r="J252" s="15">
        <v>30.18</v>
      </c>
      <c r="K252" s="15">
        <v>45.92</v>
      </c>
      <c r="L252" s="15">
        <v>62.96</v>
      </c>
      <c r="M252" s="15">
        <v>5.75</v>
      </c>
      <c r="N252" s="15">
        <v>2</v>
      </c>
      <c r="O252" s="15">
        <f>1.04+1.96</f>
        <v>3</v>
      </c>
      <c r="P252" s="9">
        <v>1.92469</v>
      </c>
      <c r="Q252" s="9">
        <v>1.94617</v>
      </c>
      <c r="R252" s="9">
        <v>-1.9084E-2</v>
      </c>
      <c r="S252" s="9">
        <v>0.186365</v>
      </c>
      <c r="T252" s="9">
        <v>0.19337699999999999</v>
      </c>
      <c r="U252" s="9">
        <v>2.1262400000000001E-2</v>
      </c>
      <c r="V252" s="9">
        <v>6.7104799999999996</v>
      </c>
      <c r="W252" s="9">
        <v>3.4480400000000002</v>
      </c>
      <c r="X252" s="9">
        <v>6.6364200000000002</v>
      </c>
      <c r="Y252" s="9">
        <v>114.503</v>
      </c>
      <c r="Z252" s="9">
        <v>118.03700000000001</v>
      </c>
      <c r="AA252" s="9">
        <f t="shared" si="37"/>
        <v>2.5353235294117646</v>
      </c>
      <c r="AB252" s="9">
        <f t="shared" si="38"/>
        <v>6.2573529411764701</v>
      </c>
      <c r="AC252" s="9">
        <f t="shared" si="39"/>
        <v>4.9264705882352935</v>
      </c>
      <c r="AD252" s="9">
        <f t="shared" si="40"/>
        <v>11.463942091088397</v>
      </c>
      <c r="AE252" s="9">
        <f t="shared" si="41"/>
        <v>11.817763138134382</v>
      </c>
      <c r="AF252" s="9">
        <f t="shared" si="42"/>
        <v>4.7585147889746162</v>
      </c>
      <c r="AG252" s="9">
        <f t="shared" si="34"/>
        <v>1.7830622463033419</v>
      </c>
      <c r="AH252" s="9">
        <f t="shared" si="43"/>
        <v>0.9652201695321605</v>
      </c>
      <c r="AI252" s="9">
        <f t="shared" si="35"/>
        <v>3.0430553461740377</v>
      </c>
      <c r="AJ252" s="9">
        <f>(4*PI()*(AI252^2))/(Y252+E252)</f>
        <v>0.93474093506887435</v>
      </c>
      <c r="AK252" s="12">
        <f t="shared" si="36"/>
        <v>0.45333333333333337</v>
      </c>
      <c r="AL252" s="12" t="s">
        <v>140</v>
      </c>
      <c r="AM252" s="12" t="s">
        <v>142</v>
      </c>
      <c r="AN252" s="15">
        <v>7.2163000000000004</v>
      </c>
      <c r="AO252" s="16">
        <v>0.78817000000000004</v>
      </c>
      <c r="AP252" s="16">
        <v>7794.4</v>
      </c>
      <c r="AQ252" s="16">
        <v>7673.1</v>
      </c>
      <c r="AR252" s="16">
        <v>3.6373000000000002</v>
      </c>
      <c r="AS252" s="16">
        <v>4.7223999999999999E-3</v>
      </c>
      <c r="AT252" s="16">
        <v>0.74848999999999999</v>
      </c>
      <c r="AU252" s="16">
        <v>0.38778000000000001</v>
      </c>
      <c r="AV252" s="16">
        <v>2.0225E-3</v>
      </c>
      <c r="AW252" s="16">
        <v>4.8351999999999996E-3</v>
      </c>
      <c r="AX252" s="16">
        <v>0.26445999999999997</v>
      </c>
      <c r="AY252" s="16">
        <v>-6.3490000000000002</v>
      </c>
      <c r="AZ252" s="16">
        <v>-229.24</v>
      </c>
      <c r="BA252" s="16">
        <v>0.74602999999999997</v>
      </c>
      <c r="BB252" s="16">
        <v>11.811</v>
      </c>
      <c r="BC252" s="16" t="s">
        <v>162</v>
      </c>
      <c r="BD252" s="34" t="s">
        <v>163</v>
      </c>
      <c r="BE252" t="s">
        <v>168</v>
      </c>
    </row>
    <row r="253" spans="1:57" x14ac:dyDescent="0.25">
      <c r="A253" s="15" t="s">
        <v>322</v>
      </c>
      <c r="B253" s="16" t="s">
        <v>26</v>
      </c>
      <c r="C253" s="16" t="s">
        <v>6</v>
      </c>
      <c r="D253" s="16">
        <v>45</v>
      </c>
      <c r="E253" s="16">
        <v>17.294</v>
      </c>
      <c r="F253" s="16">
        <v>15.29</v>
      </c>
      <c r="G253" s="15">
        <v>8.81</v>
      </c>
      <c r="H253" s="15">
        <v>7.85</v>
      </c>
      <c r="I253" s="15">
        <v>2.68</v>
      </c>
      <c r="J253" s="15">
        <v>33.14</v>
      </c>
      <c r="K253" s="15">
        <v>62.65</v>
      </c>
      <c r="L253" s="15">
        <v>66.23</v>
      </c>
      <c r="M253" s="15">
        <v>5.7</v>
      </c>
      <c r="N253" s="15">
        <v>1</v>
      </c>
      <c r="O253" s="15">
        <v>1.66</v>
      </c>
      <c r="P253" s="9">
        <v>1.7094199999999999</v>
      </c>
      <c r="Q253" s="9">
        <v>1.5545199999999999</v>
      </c>
      <c r="R253" s="9">
        <v>0.224359</v>
      </c>
      <c r="S253" s="9">
        <v>0.173072</v>
      </c>
      <c r="T253" s="9">
        <v>0.19455600000000001</v>
      </c>
      <c r="U253" s="9">
        <v>6.3625699999999993E-2</v>
      </c>
      <c r="V253" s="9">
        <v>7.14072</v>
      </c>
      <c r="W253" s="9">
        <v>4.5935199999999998</v>
      </c>
      <c r="X253" s="9">
        <v>7.8522400000000001</v>
      </c>
      <c r="Y253" s="9">
        <v>138.28399999999999</v>
      </c>
      <c r="Z253" s="9">
        <v>156.31399999999999</v>
      </c>
      <c r="AA253" s="9">
        <f t="shared" si="37"/>
        <v>1.7139999999999997</v>
      </c>
      <c r="AB253" s="9">
        <f t="shared" si="38"/>
        <v>3.2873134328358207</v>
      </c>
      <c r="AC253" s="9">
        <f t="shared" si="39"/>
        <v>2.9291044776119399</v>
      </c>
      <c r="AD253" s="9">
        <f t="shared" si="40"/>
        <v>7.9960680004625875</v>
      </c>
      <c r="AE253" s="9">
        <f t="shared" si="41"/>
        <v>9.0386261131028096</v>
      </c>
      <c r="AF253" s="9">
        <f t="shared" si="42"/>
        <v>4.7654803418087264</v>
      </c>
      <c r="AG253" s="9">
        <f t="shared" si="34"/>
        <v>2.3462419252205167</v>
      </c>
      <c r="AH253" s="9">
        <f t="shared" si="43"/>
        <v>0.96415126171578136</v>
      </c>
      <c r="AI253" s="9">
        <f t="shared" si="35"/>
        <v>3.3417176752346105</v>
      </c>
      <c r="AJ253" s="9">
        <f>(4*PI()*(AI253^2))/(Y253+E253)</f>
        <v>0.9019888964035464</v>
      </c>
      <c r="AK253" s="12">
        <f t="shared" si="36"/>
        <v>1.6144578313253013</v>
      </c>
      <c r="AL253" s="12" t="s">
        <v>144</v>
      </c>
      <c r="AM253" s="12" t="s">
        <v>142</v>
      </c>
      <c r="AN253" s="16">
        <v>3.8210999999999999</v>
      </c>
      <c r="AO253" s="16">
        <v>0.38189000000000001</v>
      </c>
      <c r="AP253" s="16">
        <v>4483</v>
      </c>
      <c r="AQ253" s="16">
        <v>3813.1</v>
      </c>
      <c r="AR253" s="16">
        <v>1.8541000000000001</v>
      </c>
      <c r="AS253" s="16">
        <v>1.0290000000000001E-2</v>
      </c>
      <c r="AT253" s="16">
        <v>0.72246999999999995</v>
      </c>
      <c r="AU253" s="16">
        <v>1.1265000000000001</v>
      </c>
      <c r="AV253" s="16">
        <v>0.18251999999999999</v>
      </c>
      <c r="AW253" s="16">
        <v>1.0562999999999999E-2</v>
      </c>
      <c r="AX253" s="16">
        <v>0.15354999999999999</v>
      </c>
      <c r="AY253" s="16">
        <v>-124.94</v>
      </c>
      <c r="AZ253" s="16">
        <v>-988.16</v>
      </c>
      <c r="BA253" s="16">
        <v>0.46268999999999999</v>
      </c>
      <c r="BB253" s="16">
        <v>86.471999999999994</v>
      </c>
      <c r="BC253" s="16" t="s">
        <v>162</v>
      </c>
      <c r="BD253" s="34" t="s">
        <v>163</v>
      </c>
      <c r="BE253" t="s">
        <v>167</v>
      </c>
    </row>
    <row r="254" spans="1:57" x14ac:dyDescent="0.25">
      <c r="A254" s="15" t="s">
        <v>323</v>
      </c>
      <c r="B254" s="16" t="s">
        <v>5</v>
      </c>
      <c r="C254" s="16" t="s">
        <v>6</v>
      </c>
      <c r="D254" s="16">
        <v>45</v>
      </c>
      <c r="E254" s="16">
        <v>5.6748000000000003</v>
      </c>
      <c r="F254" s="16">
        <v>8.7462999999999997</v>
      </c>
      <c r="G254" s="15">
        <v>3.09</v>
      </c>
      <c r="H254" s="15">
        <v>1.71</v>
      </c>
      <c r="I254" s="15">
        <v>3.23</v>
      </c>
      <c r="J254" s="15">
        <v>46.43</v>
      </c>
      <c r="K254" s="15">
        <v>0</v>
      </c>
      <c r="L254" s="15">
        <v>41.52</v>
      </c>
      <c r="M254" s="15">
        <v>3.09</v>
      </c>
      <c r="N254" s="15">
        <v>2</v>
      </c>
      <c r="O254" s="15">
        <f>2.26+3.25</f>
        <v>5.51</v>
      </c>
      <c r="P254" s="9">
        <v>0.66288800000000003</v>
      </c>
      <c r="Q254" s="9">
        <v>1.151</v>
      </c>
      <c r="R254" s="9">
        <v>0.46969699999999998</v>
      </c>
      <c r="S254" s="9">
        <v>2.3137600000000001E-2</v>
      </c>
      <c r="T254" s="9">
        <v>2.9004499999999999E-2</v>
      </c>
      <c r="U254" s="9">
        <v>-1.0093599999999999E-2</v>
      </c>
      <c r="V254" s="9">
        <v>3.0230000000000001</v>
      </c>
      <c r="W254" s="9">
        <v>2.62642</v>
      </c>
      <c r="X254" s="9">
        <v>1.74102</v>
      </c>
      <c r="Y254" s="9">
        <v>12.739100000000001</v>
      </c>
      <c r="Z254" s="9">
        <v>5.7852800000000002</v>
      </c>
      <c r="AA254" s="9">
        <f t="shared" si="37"/>
        <v>0.81313312693498452</v>
      </c>
      <c r="AB254" s="9">
        <f t="shared" si="38"/>
        <v>0.95665634674922595</v>
      </c>
      <c r="AC254" s="9">
        <f t="shared" si="39"/>
        <v>0.52941176470588236</v>
      </c>
      <c r="AD254" s="9">
        <f t="shared" si="40"/>
        <v>2.2448544442094875</v>
      </c>
      <c r="AE254" s="9">
        <f t="shared" si="41"/>
        <v>1.0194685275251991</v>
      </c>
      <c r="AF254" s="9">
        <f t="shared" si="42"/>
        <v>3.9529606521037053</v>
      </c>
      <c r="AG254" s="9">
        <f t="shared" si="34"/>
        <v>1.3440033266758589</v>
      </c>
      <c r="AH254" s="9">
        <f t="shared" si="43"/>
        <v>0.96550792391871321</v>
      </c>
      <c r="AI254" s="9">
        <f t="shared" si="35"/>
        <v>1.1136411187376407</v>
      </c>
      <c r="AJ254" s="9">
        <f>(4*PI()*(AI254^2))/(Y254+E254)</f>
        <v>0.84635896649625375</v>
      </c>
      <c r="AK254" s="12">
        <f t="shared" si="36"/>
        <v>0.5862068965517242</v>
      </c>
      <c r="AL254" s="12" t="s">
        <v>144</v>
      </c>
      <c r="AM254" s="12" t="s">
        <v>142</v>
      </c>
      <c r="AN254" s="16">
        <v>7.6069000000000004</v>
      </c>
      <c r="AO254" s="16">
        <v>0.91413999999999995</v>
      </c>
      <c r="AP254" s="16">
        <v>14835</v>
      </c>
      <c r="AQ254" s="16">
        <v>14332</v>
      </c>
      <c r="AR254" s="16">
        <v>3.6164000000000001</v>
      </c>
      <c r="AS254" s="16">
        <v>1.0916E-2</v>
      </c>
      <c r="AT254" s="16">
        <v>0.77280000000000004</v>
      </c>
      <c r="AU254" s="16">
        <v>0.41771999999999998</v>
      </c>
      <c r="AV254" s="16">
        <v>1.8186000000000001E-3</v>
      </c>
      <c r="AW254" s="16">
        <v>6.2766000000000002E-3</v>
      </c>
      <c r="AX254" s="16">
        <v>0.25496000000000002</v>
      </c>
      <c r="AY254" s="16">
        <v>0.33052999999999999</v>
      </c>
      <c r="AZ254" s="16">
        <v>-1279</v>
      </c>
      <c r="BA254" s="16">
        <v>1.3008E-2</v>
      </c>
      <c r="BB254" s="16">
        <v>4.9965000000000002</v>
      </c>
      <c r="BC254" s="16" t="s">
        <v>162</v>
      </c>
      <c r="BD254" s="34" t="s">
        <v>163</v>
      </c>
      <c r="BE254" t="s">
        <v>167</v>
      </c>
    </row>
    <row r="255" spans="1:57" x14ac:dyDescent="0.25">
      <c r="A255" s="22" t="s">
        <v>324</v>
      </c>
      <c r="B255" s="16" t="s">
        <v>26</v>
      </c>
      <c r="C255" s="16" t="s">
        <v>6</v>
      </c>
      <c r="D255" s="16">
        <v>45</v>
      </c>
      <c r="E255" s="16">
        <v>8.2141999999999999</v>
      </c>
      <c r="F255" s="16">
        <v>10.441000000000001</v>
      </c>
      <c r="G255" s="15">
        <v>4.5199999999999996</v>
      </c>
      <c r="H255" s="15">
        <v>3.1</v>
      </c>
      <c r="I255" s="15">
        <v>2.2599999999999998</v>
      </c>
      <c r="J255" s="15">
        <v>35.630000000000003</v>
      </c>
      <c r="K255" s="15">
        <v>32.090000000000003</v>
      </c>
      <c r="L255" s="15">
        <v>58.31</v>
      </c>
      <c r="M255" s="15">
        <v>3.4</v>
      </c>
      <c r="N255" s="15">
        <v>2</v>
      </c>
      <c r="O255" s="15">
        <f>1.78+2.01</f>
        <v>3.79</v>
      </c>
      <c r="P255" s="9">
        <v>1.0368599999999999</v>
      </c>
      <c r="Q255" s="9">
        <v>1.3166899999999999</v>
      </c>
      <c r="R255" s="9">
        <v>0.17741899999999999</v>
      </c>
      <c r="S255" s="9">
        <v>0.102311</v>
      </c>
      <c r="T255" s="9">
        <v>0.108539</v>
      </c>
      <c r="U255" s="9">
        <v>5.2807000000000002E-3</v>
      </c>
      <c r="V255" s="9">
        <v>4.0377799999999997</v>
      </c>
      <c r="W255" s="9">
        <v>3.0666199999999999</v>
      </c>
      <c r="X255" s="9">
        <v>3.1796600000000002</v>
      </c>
      <c r="Y255" s="9">
        <v>35.289900000000003</v>
      </c>
      <c r="Z255" s="9">
        <v>23.4648</v>
      </c>
      <c r="AA255" s="9">
        <f t="shared" si="37"/>
        <v>1.3569115044247788</v>
      </c>
      <c r="AB255" s="9">
        <f t="shared" si="38"/>
        <v>2</v>
      </c>
      <c r="AC255" s="9">
        <f t="shared" si="39"/>
        <v>1.3716814159292037</v>
      </c>
      <c r="AD255" s="9">
        <f t="shared" si="40"/>
        <v>4.2962065691120257</v>
      </c>
      <c r="AE255" s="9">
        <f t="shared" si="41"/>
        <v>2.8566141559738014</v>
      </c>
      <c r="AF255" s="9">
        <f t="shared" si="42"/>
        <v>4.3056546202283705</v>
      </c>
      <c r="AG255" s="9">
        <f t="shared" si="34"/>
        <v>1.6169913627137573</v>
      </c>
      <c r="AH255" s="9">
        <f t="shared" si="43"/>
        <v>0.97307311292398968</v>
      </c>
      <c r="AI255" s="9">
        <f t="shared" si="35"/>
        <v>1.7759991320490722</v>
      </c>
      <c r="AJ255" s="9">
        <f>(4*PI()*(AI255^2))/(Y255+E255)</f>
        <v>0.91109816907572316</v>
      </c>
      <c r="AK255" s="12">
        <f t="shared" si="36"/>
        <v>0.59630606860158308</v>
      </c>
      <c r="AL255" s="12" t="s">
        <v>144</v>
      </c>
      <c r="AM255" s="12" t="s">
        <v>142</v>
      </c>
      <c r="AN255" s="16">
        <v>3.8633999999999999</v>
      </c>
      <c r="AO255" s="16">
        <v>0.50882000000000005</v>
      </c>
      <c r="AP255" s="16">
        <v>5947.3</v>
      </c>
      <c r="AQ255" s="16">
        <v>5926.3</v>
      </c>
      <c r="AR255" s="16">
        <v>1.7735000000000001</v>
      </c>
      <c r="AS255" s="16">
        <v>2.2818999999999999E-2</v>
      </c>
      <c r="AT255" s="16">
        <v>0.70194999999999996</v>
      </c>
      <c r="AU255" s="16">
        <v>1.2205999999999999</v>
      </c>
      <c r="AV255" s="16">
        <v>8.8699E-2</v>
      </c>
      <c r="AW255" s="16">
        <v>1.1724E-2</v>
      </c>
      <c r="AX255" s="16">
        <v>0.16700000000000001</v>
      </c>
      <c r="AY255" s="16">
        <v>-0.22988</v>
      </c>
      <c r="AZ255" s="16">
        <v>-558.11</v>
      </c>
      <c r="BA255" s="16">
        <v>3.9558000000000003E-2</v>
      </c>
      <c r="BB255" s="16">
        <v>4.1406000000000001</v>
      </c>
      <c r="BC255" s="16" t="s">
        <v>162</v>
      </c>
      <c r="BD255" s="34" t="s">
        <v>165</v>
      </c>
      <c r="BE255" t="s">
        <v>167</v>
      </c>
    </row>
    <row r="256" spans="1:57" x14ac:dyDescent="0.25">
      <c r="A256" s="15" t="s">
        <v>325</v>
      </c>
      <c r="B256" s="16" t="s">
        <v>5</v>
      </c>
      <c r="C256" s="16" t="s">
        <v>6</v>
      </c>
      <c r="D256" s="16">
        <v>38</v>
      </c>
      <c r="E256" s="16">
        <v>5.3638000000000003</v>
      </c>
      <c r="F256" s="16">
        <v>8.3188999999999993</v>
      </c>
      <c r="G256" s="15">
        <v>3.87</v>
      </c>
      <c r="H256" s="15">
        <v>3.15</v>
      </c>
      <c r="I256" s="15">
        <v>2.93</v>
      </c>
      <c r="J256" s="15">
        <v>67.83</v>
      </c>
      <c r="K256" s="15">
        <v>29</v>
      </c>
      <c r="L256" s="15">
        <v>79.709999999999994</v>
      </c>
      <c r="M256" s="15">
        <v>3.45</v>
      </c>
      <c r="N256" s="15">
        <v>2</v>
      </c>
      <c r="O256" s="15">
        <f>2.1+1.87</f>
        <v>3.97</v>
      </c>
      <c r="P256" s="9">
        <v>1.2192099999999999</v>
      </c>
      <c r="Q256" s="9">
        <v>1.60025</v>
      </c>
      <c r="R256" s="9">
        <v>6.4516100000000007E-2</v>
      </c>
      <c r="S256" s="9">
        <v>0.13057199999999999</v>
      </c>
      <c r="T256" s="9">
        <v>0.14299000000000001</v>
      </c>
      <c r="U256" s="9">
        <v>2.2272699999999999E-2</v>
      </c>
      <c r="V256" s="9">
        <v>4.1364200000000002</v>
      </c>
      <c r="W256" s="9">
        <v>2.5848599999999999</v>
      </c>
      <c r="X256" s="9">
        <v>3.1514700000000002</v>
      </c>
      <c r="Y256" s="9">
        <v>36.465400000000002</v>
      </c>
      <c r="Z256" s="9">
        <v>23.232199999999999</v>
      </c>
      <c r="AA256" s="9">
        <f t="shared" si="37"/>
        <v>0.88220477815699649</v>
      </c>
      <c r="AB256" s="9">
        <f t="shared" si="38"/>
        <v>1.3208191126279862</v>
      </c>
      <c r="AC256" s="9">
        <f t="shared" si="39"/>
        <v>1.0750853242320819</v>
      </c>
      <c r="AD256" s="9">
        <f t="shared" si="40"/>
        <v>6.7984264886833961</v>
      </c>
      <c r="AE256" s="9">
        <f t="shared" si="41"/>
        <v>4.3312949774413658</v>
      </c>
      <c r="AF256" s="9">
        <f t="shared" si="42"/>
        <v>4.478721834190817</v>
      </c>
      <c r="AG256" s="9">
        <f t="shared" si="34"/>
        <v>1.3066562545339215</v>
      </c>
      <c r="AH256" s="9">
        <f t="shared" si="43"/>
        <v>0.98690492493260473</v>
      </c>
      <c r="AI256" s="9">
        <f t="shared" si="35"/>
        <v>1.7701113066234109</v>
      </c>
      <c r="AJ256" s="9">
        <f>(4*PI()*(AI256^2))/(Y256+E256)</f>
        <v>0.94130736717913799</v>
      </c>
      <c r="AK256" s="12">
        <f t="shared" si="36"/>
        <v>0.73803526448362722</v>
      </c>
      <c r="AL256" s="12" t="s">
        <v>144</v>
      </c>
      <c r="AM256" s="12" t="s">
        <v>142</v>
      </c>
      <c r="AN256" s="16">
        <v>1.8927</v>
      </c>
      <c r="AO256" s="16">
        <v>0.18611</v>
      </c>
      <c r="AP256" s="16">
        <v>8369.1</v>
      </c>
      <c r="AQ256" s="16">
        <v>6719.1</v>
      </c>
      <c r="AR256" s="16">
        <v>1.1645000000000001</v>
      </c>
      <c r="AS256" s="16">
        <v>2.7480000000000001E-2</v>
      </c>
      <c r="AT256" s="16">
        <v>0.67244999999999999</v>
      </c>
      <c r="AU256" s="16">
        <v>1.9218</v>
      </c>
      <c r="AV256" s="16">
        <v>0.51732999999999996</v>
      </c>
      <c r="AW256" s="16">
        <v>1.3154000000000001E-2</v>
      </c>
      <c r="AX256" s="16">
        <v>9.1807E-2</v>
      </c>
      <c r="AY256" s="16">
        <v>-0.77093999999999996</v>
      </c>
      <c r="AZ256" s="16">
        <v>-353.93</v>
      </c>
      <c r="BA256" s="16">
        <v>6.4583000000000002E-2</v>
      </c>
      <c r="BB256" s="16">
        <v>5.1054000000000004</v>
      </c>
      <c r="BC256" s="16" t="s">
        <v>162</v>
      </c>
      <c r="BD256" s="34" t="s">
        <v>163</v>
      </c>
      <c r="BE256" t="s">
        <v>167</v>
      </c>
    </row>
    <row r="257" spans="1:57" x14ac:dyDescent="0.25">
      <c r="A257" s="15" t="s">
        <v>326</v>
      </c>
      <c r="B257" s="16" t="s">
        <v>5</v>
      </c>
      <c r="C257" s="16" t="s">
        <v>6</v>
      </c>
      <c r="D257" s="16">
        <v>51</v>
      </c>
      <c r="E257" s="16">
        <v>7.7112999999999996</v>
      </c>
      <c r="F257" s="16">
        <v>10.071999999999999</v>
      </c>
      <c r="G257" s="15">
        <v>6.83</v>
      </c>
      <c r="H257" s="15">
        <v>4.2</v>
      </c>
      <c r="I257" s="15">
        <v>3.99</v>
      </c>
      <c r="J257" s="15">
        <v>104.18</v>
      </c>
      <c r="K257" s="15">
        <v>17.25</v>
      </c>
      <c r="L257" s="15">
        <v>60.48</v>
      </c>
      <c r="M257" s="15">
        <v>6.25</v>
      </c>
      <c r="N257" s="15">
        <v>2</v>
      </c>
      <c r="O257" s="15">
        <f>4.08+2.09</f>
        <v>6.17</v>
      </c>
      <c r="P257" s="9">
        <v>1.3710199999999999</v>
      </c>
      <c r="Q257" s="9">
        <v>2.1268799999999999</v>
      </c>
      <c r="R257" s="9">
        <v>-0.18292700000000001</v>
      </c>
      <c r="S257" s="9">
        <v>0.20623</v>
      </c>
      <c r="T257" s="9">
        <v>0.26886900000000002</v>
      </c>
      <c r="U257" s="9">
        <v>0.18321299999999999</v>
      </c>
      <c r="V257" s="9">
        <v>6.48447</v>
      </c>
      <c r="W257" s="9">
        <v>3.0488200000000001</v>
      </c>
      <c r="X257" s="9">
        <v>4.1799799999999996</v>
      </c>
      <c r="Y257" s="9">
        <v>65.966099999999997</v>
      </c>
      <c r="Z257" s="9">
        <v>44.5413</v>
      </c>
      <c r="AA257" s="9">
        <f t="shared" si="37"/>
        <v>0.76411528822055141</v>
      </c>
      <c r="AB257" s="9">
        <f t="shared" si="38"/>
        <v>1.7117794486215538</v>
      </c>
      <c r="AC257" s="9">
        <f t="shared" si="39"/>
        <v>1.0526315789473684</v>
      </c>
      <c r="AD257" s="9">
        <f t="shared" si="40"/>
        <v>8.5544720086107393</v>
      </c>
      <c r="AE257" s="9">
        <f t="shared" si="41"/>
        <v>5.7761077898668187</v>
      </c>
      <c r="AF257" s="9">
        <f t="shared" si="42"/>
        <v>5.2498337421454373</v>
      </c>
      <c r="AG257" s="9">
        <f t="shared" si="34"/>
        <v>1.5667108939842938</v>
      </c>
      <c r="AH257" s="9">
        <f t="shared" si="43"/>
        <v>0.9773565200238592</v>
      </c>
      <c r="AI257" s="9">
        <f t="shared" si="35"/>
        <v>2.1989976218792826</v>
      </c>
      <c r="AJ257" s="9">
        <f>(4*PI()*(AI257^2))/(Y257+E257)</f>
        <v>0.82475525572131858</v>
      </c>
      <c r="AK257" s="12">
        <f t="shared" si="36"/>
        <v>0.64667747163695299</v>
      </c>
      <c r="AL257" s="12" t="s">
        <v>140</v>
      </c>
      <c r="AM257" s="12" t="s">
        <v>142</v>
      </c>
      <c r="AN257" s="16">
        <v>3.6993</v>
      </c>
      <c r="AO257" s="16">
        <v>0.43078</v>
      </c>
      <c r="AP257" s="16">
        <v>9009.5</v>
      </c>
      <c r="AQ257" s="16">
        <v>8065.4</v>
      </c>
      <c r="AR257" s="16">
        <v>1.8310999999999999</v>
      </c>
      <c r="AS257" s="16">
        <v>8.6023000000000002E-3</v>
      </c>
      <c r="AT257" s="16">
        <v>0.74873000000000001</v>
      </c>
      <c r="AU257" s="16">
        <v>0.96003000000000005</v>
      </c>
      <c r="AV257" s="16">
        <v>5.9644000000000003E-2</v>
      </c>
      <c r="AW257" s="16">
        <v>6.5022999999999999E-3</v>
      </c>
      <c r="AX257" s="16">
        <v>0.16600000000000001</v>
      </c>
      <c r="AY257" s="16">
        <v>-4.2062999999999997</v>
      </c>
      <c r="AZ257" s="16">
        <v>-951.98</v>
      </c>
      <c r="BA257" s="16">
        <v>9.0591000000000005E-2</v>
      </c>
      <c r="BB257" s="16">
        <v>14.353999999999999</v>
      </c>
      <c r="BC257" s="16" t="s">
        <v>162</v>
      </c>
      <c r="BD257" s="34" t="s">
        <v>165</v>
      </c>
      <c r="BE257" t="s">
        <v>167</v>
      </c>
    </row>
    <row r="258" spans="1:57" x14ac:dyDescent="0.25">
      <c r="A258" s="15" t="s">
        <v>327</v>
      </c>
      <c r="B258" s="16" t="s">
        <v>5</v>
      </c>
      <c r="C258" s="16" t="s">
        <v>6</v>
      </c>
      <c r="D258" s="16">
        <v>51</v>
      </c>
      <c r="E258" s="16">
        <v>7.9048999999999996</v>
      </c>
      <c r="F258" s="16">
        <v>10.313000000000001</v>
      </c>
      <c r="G258" s="15">
        <v>4.43</v>
      </c>
      <c r="H258" s="15">
        <v>3.15</v>
      </c>
      <c r="I258" s="15">
        <v>1.18</v>
      </c>
      <c r="J258" s="15">
        <v>34.57</v>
      </c>
      <c r="K258" s="15">
        <v>34.11</v>
      </c>
      <c r="L258" s="15">
        <v>53.47</v>
      </c>
      <c r="M258" s="15">
        <v>4</v>
      </c>
      <c r="N258" s="15">
        <v>2</v>
      </c>
      <c r="O258" s="15">
        <f>2.07+2.53</f>
        <v>4.5999999999999996</v>
      </c>
      <c r="P258" s="9">
        <v>1.0409600000000001</v>
      </c>
      <c r="Q258" s="9">
        <v>1.3322700000000001</v>
      </c>
      <c r="R258" s="9">
        <v>0.112903</v>
      </c>
      <c r="S258" s="9">
        <v>9.9269399999999994E-2</v>
      </c>
      <c r="T258" s="9">
        <v>0.107808</v>
      </c>
      <c r="U258" s="9">
        <v>1.02109E-2</v>
      </c>
      <c r="V258" s="9">
        <v>4.0847800000000003</v>
      </c>
      <c r="W258" s="9">
        <v>3.06603</v>
      </c>
      <c r="X258" s="9">
        <v>3.1916199999999999</v>
      </c>
      <c r="Y258" s="9">
        <v>38.250799999999998</v>
      </c>
      <c r="Z258" s="9">
        <v>26.511700000000001</v>
      </c>
      <c r="AA258" s="9">
        <f t="shared" si="37"/>
        <v>2.5983305084745765</v>
      </c>
      <c r="AB258" s="9">
        <f t="shared" si="38"/>
        <v>3.754237288135593</v>
      </c>
      <c r="AC258" s="9">
        <f t="shared" si="39"/>
        <v>2.6694915254237288</v>
      </c>
      <c r="AD258" s="9">
        <f t="shared" si="40"/>
        <v>4.8388720919935739</v>
      </c>
      <c r="AE258" s="9">
        <f t="shared" si="41"/>
        <v>3.3538311680097159</v>
      </c>
      <c r="AF258" s="9">
        <f t="shared" si="42"/>
        <v>4.3021162168644391</v>
      </c>
      <c r="AG258" s="9">
        <f t="shared" ref="AG258:AG321" si="44">SQRT(E258/PI())</f>
        <v>1.5862559122960729</v>
      </c>
      <c r="AH258" s="9">
        <f t="shared" si="43"/>
        <v>0.96642488524827252</v>
      </c>
      <c r="AI258" s="9">
        <f t="shared" ref="AI258:AI321" si="45">(3*Z258/(4*PI()))^(1/3)</f>
        <v>1.8497639978620741</v>
      </c>
      <c r="AJ258" s="9">
        <f>(4*PI()*(AI258^2))/(Y258+E258)</f>
        <v>0.93157358838299464</v>
      </c>
      <c r="AK258" s="12">
        <f t="shared" si="36"/>
        <v>0.2565217391304348</v>
      </c>
      <c r="AL258" s="12" t="s">
        <v>144</v>
      </c>
      <c r="AM258" s="12" t="s">
        <v>142</v>
      </c>
      <c r="AN258" s="16">
        <v>4.0742000000000003</v>
      </c>
      <c r="AO258" s="16">
        <v>0.56294</v>
      </c>
      <c r="AP258" s="16">
        <v>9313.2000000000007</v>
      </c>
      <c r="AQ258" s="16">
        <v>8929.1</v>
      </c>
      <c r="AR258" s="16">
        <v>2.0072999999999999</v>
      </c>
      <c r="AS258" s="16">
        <v>2.3435000000000001E-2</v>
      </c>
      <c r="AT258" s="16">
        <v>0.66320000000000001</v>
      </c>
      <c r="AU258" s="16">
        <v>0.72170999999999996</v>
      </c>
      <c r="AV258" s="16">
        <v>1.772E-2</v>
      </c>
      <c r="AW258" s="16">
        <v>2.0296000000000002E-2</v>
      </c>
      <c r="AX258" s="16">
        <v>0.18376999999999999</v>
      </c>
      <c r="AY258" s="16">
        <v>-8.7871000000000006</v>
      </c>
      <c r="AZ258" s="16">
        <v>-1411.5</v>
      </c>
      <c r="BA258" s="16">
        <v>6.7616999999999997E-2</v>
      </c>
      <c r="BB258" s="16">
        <v>9.8170999999999999</v>
      </c>
      <c r="BC258" s="16" t="s">
        <v>162</v>
      </c>
      <c r="BD258" s="34" t="s">
        <v>163</v>
      </c>
      <c r="BE258" t="s">
        <v>167</v>
      </c>
    </row>
    <row r="259" spans="1:57" x14ac:dyDescent="0.25">
      <c r="A259" s="15" t="s">
        <v>328</v>
      </c>
      <c r="B259" s="16" t="s">
        <v>26</v>
      </c>
      <c r="C259" s="16" t="s">
        <v>6</v>
      </c>
      <c r="D259" s="16">
        <v>51</v>
      </c>
      <c r="E259" s="16">
        <v>6.3986999999999998</v>
      </c>
      <c r="F259" s="16">
        <v>9.0795999999999992</v>
      </c>
      <c r="G259" s="15">
        <v>4.1399999999999997</v>
      </c>
      <c r="H259" s="15">
        <v>3.25</v>
      </c>
      <c r="I259" s="15">
        <v>1.86</v>
      </c>
      <c r="J259" s="15">
        <v>65.790000000000006</v>
      </c>
      <c r="K259" s="15">
        <v>43.59</v>
      </c>
      <c r="L259" s="15">
        <v>68.28</v>
      </c>
      <c r="M259" s="15">
        <v>3.65</v>
      </c>
      <c r="N259" s="15">
        <v>1</v>
      </c>
      <c r="O259" s="15">
        <v>1.81</v>
      </c>
      <c r="P259" s="9">
        <v>1.15743</v>
      </c>
      <c r="Q259" s="9">
        <v>1.1379699999999999</v>
      </c>
      <c r="R259" s="9">
        <v>0.171875</v>
      </c>
      <c r="S259" s="9">
        <v>0.11158</v>
      </c>
      <c r="T259" s="9">
        <v>0.13275000000000001</v>
      </c>
      <c r="U259" s="9">
        <v>4.88368E-2</v>
      </c>
      <c r="V259" s="9">
        <v>3.2124299999999999</v>
      </c>
      <c r="W259" s="9">
        <v>2.82294</v>
      </c>
      <c r="X259" s="9">
        <v>3.26735</v>
      </c>
      <c r="Y259" s="9">
        <v>27.454599999999999</v>
      </c>
      <c r="Z259" s="9">
        <v>15.45</v>
      </c>
      <c r="AA259" s="9">
        <f t="shared" si="37"/>
        <v>1.5177096774193548</v>
      </c>
      <c r="AB259" s="9">
        <f t="shared" si="38"/>
        <v>2.225806451612903</v>
      </c>
      <c r="AC259" s="9">
        <f t="shared" si="39"/>
        <v>1.7473118279569892</v>
      </c>
      <c r="AD259" s="9">
        <f t="shared" si="40"/>
        <v>4.2906527888477344</v>
      </c>
      <c r="AE259" s="9">
        <f t="shared" si="41"/>
        <v>2.4145529560692016</v>
      </c>
      <c r="AF259" s="9">
        <f t="shared" si="42"/>
        <v>4.425844299620759</v>
      </c>
      <c r="AG259" s="9">
        <f t="shared" si="44"/>
        <v>1.4271543254757775</v>
      </c>
      <c r="AH259" s="9">
        <f t="shared" si="43"/>
        <v>0.98760684269210075</v>
      </c>
      <c r="AI259" s="9">
        <f t="shared" si="45"/>
        <v>1.545064538054536</v>
      </c>
      <c r="AJ259" s="9">
        <f>(4*PI()*(AI259^2))/(Y259+E259)</f>
        <v>0.88613951627279541</v>
      </c>
      <c r="AK259" s="12">
        <f t="shared" ref="AK259:AK322" si="46">I259/O259</f>
        <v>1.0276243093922652</v>
      </c>
      <c r="AL259" s="12" t="s">
        <v>144</v>
      </c>
      <c r="AM259" s="12" t="s">
        <v>142</v>
      </c>
      <c r="AN259" s="16">
        <v>2.5903</v>
      </c>
      <c r="AO259" s="16">
        <v>0.33928000000000003</v>
      </c>
      <c r="AP259" s="16">
        <v>4782.8999999999996</v>
      </c>
      <c r="AQ259" s="16">
        <v>4105.3</v>
      </c>
      <c r="AR259" s="16">
        <v>0.99131999999999998</v>
      </c>
      <c r="AS259" s="16">
        <v>1.1455999999999999E-2</v>
      </c>
      <c r="AT259" s="16">
        <v>0.71465000000000001</v>
      </c>
      <c r="AU259" s="16">
        <v>1.915</v>
      </c>
      <c r="AV259" s="16">
        <v>9.5652000000000001E-2</v>
      </c>
      <c r="AW259" s="16">
        <v>1.074E-2</v>
      </c>
      <c r="AX259" s="16">
        <v>0.10539999999999999</v>
      </c>
      <c r="AY259" s="16">
        <v>-15.811</v>
      </c>
      <c r="AZ259" s="16">
        <v>-837.8</v>
      </c>
      <c r="BA259" s="16">
        <v>7.9960000000000003E-2</v>
      </c>
      <c r="BB259" s="16">
        <v>15.907</v>
      </c>
      <c r="BC259" s="16" t="s">
        <v>162</v>
      </c>
      <c r="BD259" s="34" t="s">
        <v>163</v>
      </c>
      <c r="BE259" t="s">
        <v>167</v>
      </c>
    </row>
    <row r="260" spans="1:57" x14ac:dyDescent="0.25">
      <c r="A260" s="15" t="s">
        <v>329</v>
      </c>
      <c r="B260" s="18" t="s">
        <v>26</v>
      </c>
      <c r="C260" s="18" t="s">
        <v>6</v>
      </c>
      <c r="D260" s="18">
        <v>56</v>
      </c>
      <c r="E260" s="18">
        <v>4.3228</v>
      </c>
      <c r="F260" s="18">
        <v>7.6394000000000002</v>
      </c>
      <c r="G260" s="15">
        <v>4.09</v>
      </c>
      <c r="H260" s="15">
        <v>3.15</v>
      </c>
      <c r="I260" s="15">
        <v>2.59</v>
      </c>
      <c r="J260" s="15">
        <v>36.47</v>
      </c>
      <c r="K260" s="15">
        <v>7.33</v>
      </c>
      <c r="L260" s="15">
        <v>15.84</v>
      </c>
      <c r="M260" s="15">
        <v>3.7</v>
      </c>
      <c r="N260" s="15">
        <v>1</v>
      </c>
      <c r="O260" s="15">
        <v>2.35</v>
      </c>
      <c r="P260" s="9">
        <v>1.3622799999999999</v>
      </c>
      <c r="Q260" s="9">
        <v>1.79264</v>
      </c>
      <c r="R260" s="9">
        <v>-0.17213100000000001</v>
      </c>
      <c r="S260" s="9">
        <v>0.179201</v>
      </c>
      <c r="T260" s="9">
        <v>0.24166699999999999</v>
      </c>
      <c r="U260" s="9">
        <v>0.16339999999999999</v>
      </c>
      <c r="V260" s="9">
        <v>4.0929099999999998</v>
      </c>
      <c r="W260" s="9">
        <v>2.2831800000000002</v>
      </c>
      <c r="X260" s="9">
        <v>3.1103200000000002</v>
      </c>
      <c r="Y260" s="9">
        <v>32.223799999999997</v>
      </c>
      <c r="Z260" s="9">
        <v>16.063600000000001</v>
      </c>
      <c r="AA260" s="9">
        <f t="shared" si="37"/>
        <v>0.88153667953667969</v>
      </c>
      <c r="AB260" s="9">
        <f t="shared" si="38"/>
        <v>1.5791505791505791</v>
      </c>
      <c r="AC260" s="9">
        <f t="shared" si="39"/>
        <v>1.2162162162162162</v>
      </c>
      <c r="AD260" s="9">
        <f t="shared" si="40"/>
        <v>7.4543814194503559</v>
      </c>
      <c r="AE260" s="9">
        <f t="shared" si="41"/>
        <v>3.7160173961321368</v>
      </c>
      <c r="AF260" s="9">
        <f t="shared" si="42"/>
        <v>5.0615263166906663</v>
      </c>
      <c r="AG260" s="9">
        <f t="shared" si="44"/>
        <v>1.1730259911848886</v>
      </c>
      <c r="AH260" s="9">
        <f t="shared" si="43"/>
        <v>0.96477991370430438</v>
      </c>
      <c r="AI260" s="9">
        <f t="shared" si="45"/>
        <v>1.5652537657716059</v>
      </c>
      <c r="AJ260" s="9">
        <f>(4*PI()*(AI260^2))/(Y260+E260)</f>
        <v>0.84242723482656534</v>
      </c>
      <c r="AK260" s="12">
        <f t="shared" si="46"/>
        <v>1.102127659574468</v>
      </c>
      <c r="AL260" s="12" t="s">
        <v>140</v>
      </c>
      <c r="AM260" s="12" t="s">
        <v>142</v>
      </c>
      <c r="AN260" s="28">
        <v>5.5578000000000003</v>
      </c>
      <c r="AO260" s="18">
        <v>0.44832</v>
      </c>
      <c r="AP260" s="18">
        <v>18722</v>
      </c>
      <c r="AQ260" s="18">
        <v>18079</v>
      </c>
      <c r="AR260" s="18">
        <v>2.581</v>
      </c>
      <c r="AS260" s="18">
        <v>2.2457999999999999E-2</v>
      </c>
      <c r="AT260" s="18">
        <v>0.71526000000000001</v>
      </c>
      <c r="AU260" s="18">
        <v>1.0159</v>
      </c>
      <c r="AV260" s="18">
        <v>0.21614</v>
      </c>
      <c r="AW260" s="18">
        <v>1.9328000000000001E-2</v>
      </c>
      <c r="AX260" s="18">
        <v>0.17291999999999999</v>
      </c>
      <c r="AY260" s="18">
        <v>1.7453000000000001</v>
      </c>
      <c r="AZ260" s="18">
        <v>1285.7</v>
      </c>
      <c r="BA260" s="18">
        <v>3.0098E-2</v>
      </c>
      <c r="BB260" s="18">
        <v>8.0281000000000002</v>
      </c>
      <c r="BC260" s="18" t="s">
        <v>164</v>
      </c>
      <c r="BD260" s="35" t="s">
        <v>165</v>
      </c>
      <c r="BE260" t="s">
        <v>167</v>
      </c>
    </row>
    <row r="261" spans="1:57" x14ac:dyDescent="0.25">
      <c r="A261" s="15" t="s">
        <v>330</v>
      </c>
      <c r="B261" s="16" t="s">
        <v>13</v>
      </c>
      <c r="C261" s="16" t="s">
        <v>14</v>
      </c>
      <c r="D261" s="16">
        <v>52</v>
      </c>
      <c r="E261" s="16">
        <v>11.491</v>
      </c>
      <c r="F261" s="16">
        <v>12.429</v>
      </c>
      <c r="G261" s="15">
        <v>4.97</v>
      </c>
      <c r="H261" s="15">
        <v>3.13</v>
      </c>
      <c r="I261" s="15">
        <v>2.52</v>
      </c>
      <c r="J261" s="15">
        <v>84.5</v>
      </c>
      <c r="K261" s="15">
        <v>22.29</v>
      </c>
      <c r="L261" s="15">
        <v>73.650000000000006</v>
      </c>
      <c r="M261" s="15">
        <v>4.5999999999999996</v>
      </c>
      <c r="N261" s="15">
        <v>2</v>
      </c>
      <c r="O261" s="15">
        <f>2.35+2.36</f>
        <v>4.71</v>
      </c>
      <c r="P261" s="9">
        <v>0.83204199999999995</v>
      </c>
      <c r="Q261" s="9">
        <v>1.23404</v>
      </c>
      <c r="R261" s="9">
        <v>0.20491799999999999</v>
      </c>
      <c r="S261" s="9">
        <v>6.5606100000000001E-2</v>
      </c>
      <c r="T261" s="9">
        <v>7.4287400000000003E-2</v>
      </c>
      <c r="U261" s="9">
        <v>1.12088E-2</v>
      </c>
      <c r="V261" s="9">
        <v>4.6276299999999999</v>
      </c>
      <c r="W261" s="9">
        <v>3.7499799999999999</v>
      </c>
      <c r="X261" s="9">
        <v>3.1201400000000001</v>
      </c>
      <c r="Y261" s="9">
        <v>40.330500000000001</v>
      </c>
      <c r="Z261" s="9">
        <v>30.335699999999999</v>
      </c>
      <c r="AA261" s="9">
        <f t="shared" ref="AA261:AA324" si="47">W261/I261</f>
        <v>1.4880873015873015</v>
      </c>
      <c r="AB261" s="9">
        <f t="shared" ref="AB261:AB324" si="48">G261/I261</f>
        <v>1.9722222222222221</v>
      </c>
      <c r="AC261" s="9">
        <f t="shared" ref="AC261:AC324" si="49">H261/I261</f>
        <v>1.2420634920634921</v>
      </c>
      <c r="AD261" s="9">
        <f t="shared" ref="AD261:AD324" si="50">Y261/E261</f>
        <v>3.5097467583326081</v>
      </c>
      <c r="AE261" s="9">
        <f t="shared" ref="AE261:AE324" si="51">Z261/E261</f>
        <v>2.6399530067008965</v>
      </c>
      <c r="AF261" s="9">
        <f t="shared" ref="AF261:AF324" si="52">Y261/(Z261)^(2/3)</f>
        <v>4.1463337719272051</v>
      </c>
      <c r="AG261" s="9">
        <f t="shared" si="44"/>
        <v>1.912511150853228</v>
      </c>
      <c r="AH261" s="9">
        <f t="shared" si="43"/>
        <v>0.96682452030397636</v>
      </c>
      <c r="AI261" s="9">
        <f t="shared" si="45"/>
        <v>1.9347364058343353</v>
      </c>
      <c r="AJ261" s="9">
        <f>(4*PI()*(AI261^2))/(Y261+E261)</f>
        <v>0.90770241721353206</v>
      </c>
      <c r="AK261" s="12">
        <f t="shared" si="46"/>
        <v>0.53503184713375795</v>
      </c>
      <c r="AL261" s="12" t="s">
        <v>144</v>
      </c>
      <c r="AM261" s="12" t="s">
        <v>142</v>
      </c>
      <c r="AN261" s="16">
        <v>6.0975999999999999</v>
      </c>
      <c r="AO261" s="16">
        <v>0.76234999999999997</v>
      </c>
      <c r="AP261" s="16">
        <v>7884.8</v>
      </c>
      <c r="AQ261" s="16">
        <v>7833.1</v>
      </c>
      <c r="AR261" s="16">
        <v>2.8435000000000001</v>
      </c>
      <c r="AS261" s="16">
        <v>3.4439000000000002E-3</v>
      </c>
      <c r="AT261" s="16">
        <v>0.75407000000000002</v>
      </c>
      <c r="AU261" s="16">
        <v>0.44296999999999997</v>
      </c>
      <c r="AV261" s="21">
        <v>5.5779000000000002E-5</v>
      </c>
      <c r="AW261" s="16">
        <v>3.8165999999999999E-3</v>
      </c>
      <c r="AX261" s="16">
        <v>0.24299000000000001</v>
      </c>
      <c r="AY261" s="16">
        <v>-3.0402999999999998</v>
      </c>
      <c r="AZ261" s="16">
        <v>-854.23</v>
      </c>
      <c r="BA261" s="16">
        <v>5.2297000000000003E-2</v>
      </c>
      <c r="BB261" s="16">
        <v>13.157</v>
      </c>
      <c r="BC261" s="16" t="s">
        <v>162</v>
      </c>
      <c r="BD261" s="34" t="s">
        <v>163</v>
      </c>
      <c r="BE261" t="s">
        <v>167</v>
      </c>
    </row>
    <row r="262" spans="1:57" x14ac:dyDescent="0.25">
      <c r="A262" s="22" t="s">
        <v>331</v>
      </c>
      <c r="B262" s="16" t="s">
        <v>178</v>
      </c>
      <c r="C262" s="16" t="s">
        <v>14</v>
      </c>
      <c r="D262" s="16">
        <v>42</v>
      </c>
      <c r="E262" s="16">
        <v>6.6790000000000003</v>
      </c>
      <c r="F262" s="16">
        <v>9.51</v>
      </c>
      <c r="G262" s="15">
        <v>4.45</v>
      </c>
      <c r="H262" s="15">
        <v>3.08</v>
      </c>
      <c r="I262" s="15">
        <v>3.41</v>
      </c>
      <c r="J262" s="15">
        <v>24.58</v>
      </c>
      <c r="K262" s="15">
        <v>40.46</v>
      </c>
      <c r="L262" s="15">
        <v>72.23</v>
      </c>
      <c r="M262" s="15">
        <v>3.5</v>
      </c>
      <c r="N262" s="15">
        <v>2</v>
      </c>
      <c r="O262" s="15">
        <f>3.51+1.98</f>
        <v>5.49</v>
      </c>
      <c r="P262" s="9">
        <v>1.0757300000000001</v>
      </c>
      <c r="Q262" s="9">
        <v>1.26813</v>
      </c>
      <c r="R262" s="9">
        <v>0.12711900000000001</v>
      </c>
      <c r="S262" s="9">
        <v>0.12822800000000001</v>
      </c>
      <c r="T262" s="9">
        <v>0.16508300000000001</v>
      </c>
      <c r="U262" s="9">
        <v>9.4760399999999995E-2</v>
      </c>
      <c r="V262" s="9">
        <v>3.5870799999999998</v>
      </c>
      <c r="W262" s="9">
        <v>2.8286500000000001</v>
      </c>
      <c r="X262" s="9">
        <v>3.0428500000000001</v>
      </c>
      <c r="Y262" s="9">
        <v>26.063300000000002</v>
      </c>
      <c r="Z262" s="9">
        <v>13.498900000000001</v>
      </c>
      <c r="AA262" s="9">
        <f t="shared" si="47"/>
        <v>0.82951612903225802</v>
      </c>
      <c r="AB262" s="9">
        <f t="shared" si="48"/>
        <v>1.3049853372434017</v>
      </c>
      <c r="AC262" s="9">
        <f t="shared" si="49"/>
        <v>0.90322580645161288</v>
      </c>
      <c r="AD262" s="9">
        <f t="shared" si="50"/>
        <v>3.9022757897888907</v>
      </c>
      <c r="AE262" s="9">
        <f t="shared" si="51"/>
        <v>2.0210959724509658</v>
      </c>
      <c r="AF262" s="9">
        <f t="shared" si="52"/>
        <v>4.5972397119667514</v>
      </c>
      <c r="AG262" s="9">
        <f t="shared" si="44"/>
        <v>1.4580780945551368</v>
      </c>
      <c r="AH262" s="9">
        <f t="shared" si="43"/>
        <v>0.96334120509245458</v>
      </c>
      <c r="AI262" s="9">
        <f t="shared" si="45"/>
        <v>1.4770774124327064</v>
      </c>
      <c r="AJ262" s="9">
        <f>(4*PI()*(AI262^2))/(Y262+E262)</f>
        <v>0.83735032745850446</v>
      </c>
      <c r="AK262" s="12">
        <f t="shared" si="46"/>
        <v>0.62112932604735882</v>
      </c>
      <c r="AL262" s="12" t="s">
        <v>140</v>
      </c>
      <c r="AM262" s="12" t="s">
        <v>142</v>
      </c>
      <c r="AN262" s="16">
        <v>5.1627000000000001</v>
      </c>
      <c r="AO262" s="16">
        <v>0.95513000000000003</v>
      </c>
      <c r="AP262" s="16">
        <v>14816</v>
      </c>
      <c r="AQ262" s="16">
        <v>13430</v>
      </c>
      <c r="AR262" s="16">
        <v>2.1619000000000002</v>
      </c>
      <c r="AS262" s="16">
        <v>1.222E-2</v>
      </c>
      <c r="AT262" s="16">
        <v>0.72377999999999998</v>
      </c>
      <c r="AU262" s="16">
        <v>1.9809000000000001</v>
      </c>
      <c r="AV262" s="16">
        <v>7.8344999999999998E-2</v>
      </c>
      <c r="AW262" s="16">
        <v>8.1329000000000002E-3</v>
      </c>
      <c r="AX262" s="16">
        <v>0.18675</v>
      </c>
      <c r="AY262" s="16">
        <v>1.9796</v>
      </c>
      <c r="AZ262" s="16">
        <v>-55.747999999999998</v>
      </c>
      <c r="BA262" s="16">
        <v>2.4944999999999998E-2</v>
      </c>
      <c r="BB262" s="16">
        <v>0</v>
      </c>
      <c r="BC262" s="16" t="s">
        <v>162</v>
      </c>
      <c r="BD262" s="34" t="s">
        <v>165</v>
      </c>
      <c r="BE262" t="s">
        <v>168</v>
      </c>
    </row>
    <row r="263" spans="1:57" x14ac:dyDescent="0.25">
      <c r="A263" s="15" t="s">
        <v>332</v>
      </c>
      <c r="B263" s="16" t="s">
        <v>13</v>
      </c>
      <c r="C263" s="16" t="s">
        <v>14</v>
      </c>
      <c r="D263" s="16">
        <v>55</v>
      </c>
      <c r="E263" s="16">
        <v>8.4605999999999995</v>
      </c>
      <c r="F263" s="16">
        <v>10.895</v>
      </c>
      <c r="G263" s="15">
        <v>5.31</v>
      </c>
      <c r="H263" s="15">
        <v>3.4</v>
      </c>
      <c r="I263" s="15">
        <v>1.66</v>
      </c>
      <c r="J263" s="15">
        <v>69.05</v>
      </c>
      <c r="K263" s="15">
        <v>28.91</v>
      </c>
      <c r="L263" s="15">
        <v>67.31</v>
      </c>
      <c r="M263" s="15">
        <v>4.45</v>
      </c>
      <c r="N263" s="15">
        <v>2</v>
      </c>
      <c r="O263" s="15">
        <f>2.4+2.45</f>
        <v>4.8499999999999996</v>
      </c>
      <c r="P263" s="9">
        <v>1.0637300000000001</v>
      </c>
      <c r="Q263" s="9">
        <v>1.55569</v>
      </c>
      <c r="R263" s="9">
        <v>0.15151500000000001</v>
      </c>
      <c r="S263" s="9">
        <v>0.14308499999999999</v>
      </c>
      <c r="T263" s="9">
        <v>0.21161099999999999</v>
      </c>
      <c r="U263" s="9">
        <v>0.161413</v>
      </c>
      <c r="V263" s="9">
        <v>4.94374</v>
      </c>
      <c r="W263" s="9">
        <v>3.1778400000000002</v>
      </c>
      <c r="X263" s="9">
        <v>3.38035</v>
      </c>
      <c r="Y263" s="9">
        <v>42.0047</v>
      </c>
      <c r="Z263" s="9">
        <v>25.342300000000002</v>
      </c>
      <c r="AA263" s="9">
        <f t="shared" si="47"/>
        <v>1.9143614457831328</v>
      </c>
      <c r="AB263" s="9">
        <f t="shared" si="48"/>
        <v>3.1987951807228914</v>
      </c>
      <c r="AC263" s="9">
        <f t="shared" si="49"/>
        <v>2.0481927710843375</v>
      </c>
      <c r="AD263" s="9">
        <f t="shared" si="50"/>
        <v>4.9647424532539066</v>
      </c>
      <c r="AE263" s="9">
        <f t="shared" si="51"/>
        <v>2.9953313003805881</v>
      </c>
      <c r="AF263" s="9">
        <f t="shared" si="52"/>
        <v>4.8685600992756033</v>
      </c>
      <c r="AG263" s="9">
        <f t="shared" si="44"/>
        <v>1.6410644786377466</v>
      </c>
      <c r="AH263" s="9">
        <f t="shared" si="43"/>
        <v>0.94640773017999247</v>
      </c>
      <c r="AI263" s="9">
        <f t="shared" si="45"/>
        <v>1.8221570519615828</v>
      </c>
      <c r="AJ263" s="9">
        <f>(4*PI()*(AI263^2))/(Y263+E263)</f>
        <v>0.82677743869725395</v>
      </c>
      <c r="AK263" s="12">
        <f t="shared" si="46"/>
        <v>0.34226804123711341</v>
      </c>
      <c r="AL263" s="12" t="s">
        <v>140</v>
      </c>
      <c r="AM263" s="12" t="s">
        <v>142</v>
      </c>
      <c r="AN263" s="16">
        <v>12.808999999999999</v>
      </c>
      <c r="AO263" s="16">
        <v>1.0356000000000001</v>
      </c>
      <c r="AP263" s="16">
        <v>32503</v>
      </c>
      <c r="AQ263" s="16">
        <v>30664</v>
      </c>
      <c r="AR263" s="16">
        <v>6.0801999999999996</v>
      </c>
      <c r="AS263" s="16">
        <v>2.0917000000000002E-2</v>
      </c>
      <c r="AT263" s="16">
        <v>0.70211999999999997</v>
      </c>
      <c r="AU263" s="16">
        <v>0.41861999999999999</v>
      </c>
      <c r="AV263" s="16">
        <v>2.4568E-2</v>
      </c>
      <c r="AW263" s="16">
        <v>1.0994E-2</v>
      </c>
      <c r="AX263" s="16">
        <v>0.373</v>
      </c>
      <c r="AY263" s="16">
        <v>-6.2797999999999998</v>
      </c>
      <c r="AZ263" s="16">
        <v>-4758</v>
      </c>
      <c r="BA263" s="16">
        <v>4.1730000000000003E-2</v>
      </c>
      <c r="BB263" s="16">
        <v>14.779</v>
      </c>
      <c r="BC263" s="16" t="s">
        <v>162</v>
      </c>
      <c r="BD263" s="34" t="s">
        <v>163</v>
      </c>
      <c r="BE263" t="s">
        <v>168</v>
      </c>
    </row>
    <row r="264" spans="1:57" x14ac:dyDescent="0.25">
      <c r="A264" s="15" t="s">
        <v>333</v>
      </c>
      <c r="B264" s="16" t="s">
        <v>26</v>
      </c>
      <c r="C264" s="16" t="s">
        <v>14</v>
      </c>
      <c r="D264" s="16">
        <v>55</v>
      </c>
      <c r="E264" s="16">
        <v>6.4493999999999998</v>
      </c>
      <c r="F264" s="16">
        <v>9.6312999999999995</v>
      </c>
      <c r="G264" s="15">
        <v>3.67</v>
      </c>
      <c r="H264" s="15">
        <v>2.6</v>
      </c>
      <c r="I264" s="15">
        <v>3.06</v>
      </c>
      <c r="J264" s="15">
        <v>29.57</v>
      </c>
      <c r="K264" s="15">
        <v>23.1</v>
      </c>
      <c r="L264" s="15">
        <v>39.1</v>
      </c>
      <c r="M264" s="15">
        <v>3.7</v>
      </c>
      <c r="N264" s="15">
        <v>2</v>
      </c>
      <c r="O264" s="15">
        <f>2.44+0.76</f>
        <v>3.2</v>
      </c>
      <c r="P264" s="9">
        <v>0.78883499999999995</v>
      </c>
      <c r="Q264" s="9">
        <v>1.38903</v>
      </c>
      <c r="R264" s="9">
        <v>0.1</v>
      </c>
      <c r="S264" s="9">
        <v>8.7843400000000002E-2</v>
      </c>
      <c r="T264" s="9">
        <v>0.113666</v>
      </c>
      <c r="U264" s="9">
        <v>2.73884E-2</v>
      </c>
      <c r="V264" s="9">
        <v>3.6962700000000002</v>
      </c>
      <c r="W264" s="9">
        <v>2.6610399999999998</v>
      </c>
      <c r="X264" s="9">
        <v>2.0991200000000001</v>
      </c>
      <c r="Y264" s="9">
        <v>23.949300000000001</v>
      </c>
      <c r="Z264" s="9">
        <v>13.0054</v>
      </c>
      <c r="AA264" s="9">
        <f t="shared" si="47"/>
        <v>0.86962091503267969</v>
      </c>
      <c r="AB264" s="9">
        <f t="shared" si="48"/>
        <v>1.1993464052287581</v>
      </c>
      <c r="AC264" s="9">
        <f t="shared" si="49"/>
        <v>0.84967320261437906</v>
      </c>
      <c r="AD264" s="9">
        <f t="shared" si="50"/>
        <v>3.7134152014140853</v>
      </c>
      <c r="AE264" s="9">
        <f t="shared" si="51"/>
        <v>2.0165286693335815</v>
      </c>
      <c r="AF264" s="9">
        <f t="shared" si="52"/>
        <v>4.3305562241025104</v>
      </c>
      <c r="AG264" s="9">
        <f t="shared" si="44"/>
        <v>1.4327971873066123</v>
      </c>
      <c r="AH264" s="9">
        <f t="shared" si="43"/>
        <v>0.93471600255969012</v>
      </c>
      <c r="AI264" s="9">
        <f t="shared" si="45"/>
        <v>1.458853566986593</v>
      </c>
      <c r="AJ264" s="9">
        <f>(4*PI()*(AI264^2))/(Y264+E264)</f>
        <v>0.87978844922431265</v>
      </c>
      <c r="AK264" s="12">
        <f t="shared" si="46"/>
        <v>0.95624999999999993</v>
      </c>
      <c r="AL264" s="12" t="s">
        <v>144</v>
      </c>
      <c r="AM264" s="12" t="s">
        <v>143</v>
      </c>
      <c r="AN264" s="16">
        <v>8.7861999999999991</v>
      </c>
      <c r="AO264" s="16">
        <v>0.93520999999999999</v>
      </c>
      <c r="AP264" s="16">
        <v>21575</v>
      </c>
      <c r="AQ264" s="16">
        <v>20466</v>
      </c>
      <c r="AR264" s="16">
        <v>4.3394000000000004</v>
      </c>
      <c r="AS264" s="16">
        <v>8.7512000000000006E-3</v>
      </c>
      <c r="AT264" s="16">
        <v>0.74129999999999996</v>
      </c>
      <c r="AU264" s="16">
        <v>0.37980999999999998</v>
      </c>
      <c r="AV264" s="16">
        <v>1.0258E-2</v>
      </c>
      <c r="AW264" s="16">
        <v>4.5903000000000003E-3</v>
      </c>
      <c r="AX264" s="16">
        <v>0.27335999999999999</v>
      </c>
      <c r="AY264" s="16">
        <v>9.5906000000000005E-2</v>
      </c>
      <c r="AZ264" s="16">
        <v>-752</v>
      </c>
      <c r="BA264" s="16">
        <v>2.1475000000000001E-2</v>
      </c>
      <c r="BB264" s="16">
        <v>9.2333999999999996</v>
      </c>
      <c r="BC264" s="16" t="s">
        <v>162</v>
      </c>
      <c r="BD264" s="34" t="s">
        <v>163</v>
      </c>
      <c r="BE264" t="s">
        <v>167</v>
      </c>
    </row>
    <row r="265" spans="1:57" x14ac:dyDescent="0.25">
      <c r="A265" s="15" t="s">
        <v>334</v>
      </c>
      <c r="B265" s="16" t="s">
        <v>26</v>
      </c>
      <c r="C265" s="16" t="s">
        <v>14</v>
      </c>
      <c r="D265" s="16">
        <v>55</v>
      </c>
      <c r="E265" s="16">
        <v>6.4711999999999996</v>
      </c>
      <c r="F265" s="16">
        <v>9.6323000000000008</v>
      </c>
      <c r="G265" s="15">
        <v>4.08</v>
      </c>
      <c r="H265" s="15">
        <v>2.2999999999999998</v>
      </c>
      <c r="I265" s="15">
        <v>2.34</v>
      </c>
      <c r="J265" s="15">
        <v>86.57</v>
      </c>
      <c r="K265" s="15">
        <v>13.73</v>
      </c>
      <c r="L265" s="15">
        <v>83.21</v>
      </c>
      <c r="M265" s="15">
        <v>2.75</v>
      </c>
      <c r="N265" s="15">
        <v>2</v>
      </c>
      <c r="O265" s="15">
        <f>2.4+1.61</f>
        <v>4.01</v>
      </c>
      <c r="P265" s="9">
        <v>0.84942300000000004</v>
      </c>
      <c r="Q265" s="9">
        <v>1.45641</v>
      </c>
      <c r="R265" s="9">
        <v>0.25</v>
      </c>
      <c r="S265" s="9">
        <v>8.2314499999999999E-2</v>
      </c>
      <c r="T265" s="9">
        <v>9.5672400000000005E-2</v>
      </c>
      <c r="U265" s="9">
        <v>2.2052100000000002E-2</v>
      </c>
      <c r="V265" s="9">
        <v>3.9342899999999998</v>
      </c>
      <c r="W265" s="9">
        <v>2.7013500000000001</v>
      </c>
      <c r="X265" s="9">
        <v>2.2945899999999999</v>
      </c>
      <c r="Y265" s="9">
        <v>23.3233</v>
      </c>
      <c r="Z265" s="9">
        <v>12.881399999999999</v>
      </c>
      <c r="AA265" s="9">
        <f t="shared" si="47"/>
        <v>1.154423076923077</v>
      </c>
      <c r="AB265" s="9">
        <f t="shared" si="48"/>
        <v>1.7435897435897438</v>
      </c>
      <c r="AC265" s="9">
        <f t="shared" si="49"/>
        <v>0.98290598290598286</v>
      </c>
      <c r="AD265" s="9">
        <f t="shared" si="50"/>
        <v>3.6041692421807396</v>
      </c>
      <c r="AE265" s="9">
        <f t="shared" si="51"/>
        <v>1.9905736184942515</v>
      </c>
      <c r="AF265" s="9">
        <f t="shared" si="52"/>
        <v>4.2443835329192972</v>
      </c>
      <c r="AG265" s="9">
        <f t="shared" si="44"/>
        <v>1.4352166858953899</v>
      </c>
      <c r="AH265" s="9">
        <f t="shared" si="43"/>
        <v>0.93619721078422513</v>
      </c>
      <c r="AI265" s="9">
        <f t="shared" si="45"/>
        <v>1.4542022726346477</v>
      </c>
      <c r="AJ265" s="9">
        <f>(4*PI()*(AI265^2))/(Y265+E265)</f>
        <v>0.8919148615328365</v>
      </c>
      <c r="AK265" s="12">
        <f t="shared" si="46"/>
        <v>0.58354114713216954</v>
      </c>
      <c r="AL265" s="12" t="s">
        <v>144</v>
      </c>
      <c r="AM265" s="12" t="s">
        <v>142</v>
      </c>
      <c r="AN265" s="16">
        <v>1.6854</v>
      </c>
      <c r="AO265" s="16">
        <v>0.20585000000000001</v>
      </c>
      <c r="AP265" s="16">
        <v>4514.8</v>
      </c>
      <c r="AQ265" s="16">
        <v>4455.3999999999996</v>
      </c>
      <c r="AR265" s="16">
        <v>0.69891000000000003</v>
      </c>
      <c r="AS265" s="16">
        <v>1.2760000000000001E-2</v>
      </c>
      <c r="AT265" s="16">
        <v>0.75197000000000003</v>
      </c>
      <c r="AU265" s="16">
        <v>2.6981999999999999</v>
      </c>
      <c r="AV265" s="16">
        <v>0.2127</v>
      </c>
      <c r="AW265" s="16">
        <v>1.3445E-2</v>
      </c>
      <c r="AX265" s="16">
        <v>7.0990999999999999E-2</v>
      </c>
      <c r="AY265" s="16">
        <v>-131.25</v>
      </c>
      <c r="AZ265" s="16">
        <v>-588.13</v>
      </c>
      <c r="BA265" s="16">
        <v>0.18801000000000001</v>
      </c>
      <c r="BB265" s="16">
        <v>182.1</v>
      </c>
      <c r="BC265" s="16" t="s">
        <v>162</v>
      </c>
      <c r="BD265" s="34" t="s">
        <v>165</v>
      </c>
      <c r="BE265" t="s">
        <v>167</v>
      </c>
    </row>
    <row r="266" spans="1:57" x14ac:dyDescent="0.25">
      <c r="A266" s="15" t="s">
        <v>335</v>
      </c>
      <c r="B266" s="16" t="s">
        <v>26</v>
      </c>
      <c r="C266" s="16" t="s">
        <v>14</v>
      </c>
      <c r="D266" s="16">
        <v>55</v>
      </c>
      <c r="E266" s="16">
        <v>7.8529999999999998</v>
      </c>
      <c r="F266" s="16">
        <v>10.41</v>
      </c>
      <c r="G266" s="15">
        <v>4.0199999999999996</v>
      </c>
      <c r="H266" s="15">
        <v>2.44</v>
      </c>
      <c r="I266" s="15">
        <v>2.5</v>
      </c>
      <c r="J266" s="15">
        <v>91.97</v>
      </c>
      <c r="K266" s="15">
        <v>25.86</v>
      </c>
      <c r="L266" s="15">
        <v>56.98</v>
      </c>
      <c r="M266" s="15">
        <v>3.32</v>
      </c>
      <c r="N266" s="15">
        <v>2</v>
      </c>
      <c r="O266" s="15">
        <f>2.92+1.07</f>
        <v>3.99</v>
      </c>
      <c r="P266" s="9">
        <v>0.81139099999999997</v>
      </c>
      <c r="Q266" s="9">
        <v>1.3285199999999999</v>
      </c>
      <c r="R266" s="9">
        <v>5.10204E-2</v>
      </c>
      <c r="S266" s="9">
        <v>7.1976600000000002E-2</v>
      </c>
      <c r="T266" s="9">
        <v>8.2233600000000004E-2</v>
      </c>
      <c r="U266" s="9">
        <v>8.5911900000000003E-3</v>
      </c>
      <c r="V266" s="9">
        <v>4.0966199999999997</v>
      </c>
      <c r="W266" s="9">
        <v>3.0836000000000001</v>
      </c>
      <c r="X266" s="9">
        <v>2.5020099999999998</v>
      </c>
      <c r="Y266" s="9">
        <v>29.4894</v>
      </c>
      <c r="Z266" s="9">
        <v>18.723500000000001</v>
      </c>
      <c r="AA266" s="9">
        <f t="shared" si="47"/>
        <v>1.2334400000000001</v>
      </c>
      <c r="AB266" s="9">
        <f t="shared" si="48"/>
        <v>1.6079999999999999</v>
      </c>
      <c r="AC266" s="9">
        <f t="shared" si="49"/>
        <v>0.97599999999999998</v>
      </c>
      <c r="AD266" s="9">
        <f t="shared" si="50"/>
        <v>3.7551763657201072</v>
      </c>
      <c r="AE266" s="9">
        <f t="shared" si="51"/>
        <v>2.3842480580669809</v>
      </c>
      <c r="AF266" s="9">
        <f t="shared" si="52"/>
        <v>4.1822300001965456</v>
      </c>
      <c r="AG266" s="9">
        <f t="shared" si="44"/>
        <v>1.581040017267529</v>
      </c>
      <c r="AH266" s="9">
        <f t="shared" si="43"/>
        <v>0.95427160485670481</v>
      </c>
      <c r="AI266" s="9">
        <f t="shared" si="45"/>
        <v>1.6472751309940152</v>
      </c>
      <c r="AJ266" s="9">
        <f>(4*PI()*(AI266^2))/(Y266+E266)</f>
        <v>0.91314536950548741</v>
      </c>
      <c r="AK266" s="12">
        <f t="shared" si="46"/>
        <v>0.62656641604010022</v>
      </c>
      <c r="AL266" s="12" t="s">
        <v>140</v>
      </c>
      <c r="AM266" s="12" t="s">
        <v>142</v>
      </c>
      <c r="AN266" s="16">
        <v>6.4928999999999997</v>
      </c>
      <c r="AO266" s="16">
        <v>0.71608000000000005</v>
      </c>
      <c r="AP266" s="16">
        <v>12595</v>
      </c>
      <c r="AQ266" s="16">
        <v>11866</v>
      </c>
      <c r="AR266" s="16">
        <v>2.9296000000000002</v>
      </c>
      <c r="AS266" s="16">
        <v>3.4145999999999998E-3</v>
      </c>
      <c r="AT266" s="16">
        <v>0.75312000000000001</v>
      </c>
      <c r="AU266" s="16">
        <v>0.44447999999999999</v>
      </c>
      <c r="AV266" s="16">
        <v>2.1993999999999998E-3</v>
      </c>
      <c r="AW266" s="16">
        <v>2.6013E-3</v>
      </c>
      <c r="AX266" s="16">
        <v>0.23685999999999999</v>
      </c>
      <c r="AY266" s="16">
        <v>-4.8884999999999996</v>
      </c>
      <c r="AZ266" s="16">
        <v>-1835.5</v>
      </c>
      <c r="BA266" s="16">
        <v>3.9045000000000003E-2</v>
      </c>
      <c r="BB266" s="16">
        <v>6.6352000000000002</v>
      </c>
      <c r="BC266" s="16" t="s">
        <v>162</v>
      </c>
      <c r="BD266" s="34" t="s">
        <v>163</v>
      </c>
      <c r="BE266" t="s">
        <v>167</v>
      </c>
    </row>
    <row r="267" spans="1:57" x14ac:dyDescent="0.25">
      <c r="A267" s="22" t="s">
        <v>336</v>
      </c>
      <c r="B267" s="16" t="s">
        <v>5</v>
      </c>
      <c r="C267" s="16" t="s">
        <v>6</v>
      </c>
      <c r="D267" s="16">
        <v>51</v>
      </c>
      <c r="E267" s="16">
        <v>31.045000000000002</v>
      </c>
      <c r="F267" s="16">
        <v>21.277999999999999</v>
      </c>
      <c r="G267" s="15">
        <v>10.78</v>
      </c>
      <c r="H267" s="15">
        <v>8.9</v>
      </c>
      <c r="I267" s="15">
        <v>2.4500000000000002</v>
      </c>
      <c r="J267" s="15">
        <v>33.119999999999997</v>
      </c>
      <c r="K267" s="15">
        <v>30.35</v>
      </c>
      <c r="L267" s="15">
        <v>65.95</v>
      </c>
      <c r="M267" s="15">
        <v>8.5</v>
      </c>
      <c r="N267" s="15">
        <v>2</v>
      </c>
      <c r="O267" s="15">
        <f>3.67+0.94</f>
        <v>4.6099999999999994</v>
      </c>
      <c r="P267" s="9">
        <v>1.87164</v>
      </c>
      <c r="Q267" s="9">
        <v>1.9373800000000001</v>
      </c>
      <c r="R267" s="9">
        <v>0.117801</v>
      </c>
      <c r="S267" s="9">
        <v>0.16921</v>
      </c>
      <c r="T267" s="9">
        <v>0.18470700000000001</v>
      </c>
      <c r="U267" s="9">
        <v>2.5813900000000001E-2</v>
      </c>
      <c r="V267" s="9">
        <v>9.96448</v>
      </c>
      <c r="W267" s="9">
        <v>5.1432700000000002</v>
      </c>
      <c r="X267" s="9">
        <v>9.6263299999999994</v>
      </c>
      <c r="Y267" s="9">
        <v>266.51600000000002</v>
      </c>
      <c r="Z267" s="9">
        <v>425.93599999999998</v>
      </c>
      <c r="AA267" s="9">
        <f t="shared" si="47"/>
        <v>2.0992938775510201</v>
      </c>
      <c r="AB267" s="9">
        <f t="shared" si="48"/>
        <v>4.3999999999999995</v>
      </c>
      <c r="AC267" s="9">
        <f t="shared" si="49"/>
        <v>3.6326530612244898</v>
      </c>
      <c r="AD267" s="9">
        <f t="shared" si="50"/>
        <v>8.5848284747946533</v>
      </c>
      <c r="AE267" s="9">
        <f t="shared" si="51"/>
        <v>13.719954904171363</v>
      </c>
      <c r="AF267" s="9">
        <f t="shared" si="52"/>
        <v>4.7078981031986737</v>
      </c>
      <c r="AG267" s="9">
        <f t="shared" si="44"/>
        <v>3.1435537877656525</v>
      </c>
      <c r="AH267" s="9">
        <f t="shared" si="43"/>
        <v>0.92826069046047011</v>
      </c>
      <c r="AI267" s="9">
        <f t="shared" si="45"/>
        <v>4.6675098836576856</v>
      </c>
      <c r="AJ267" s="9">
        <f>(4*PI()*(AI267^2))/(Y267+E267)</f>
        <v>0.92003499551895984</v>
      </c>
      <c r="AK267" s="12">
        <f t="shared" si="46"/>
        <v>0.5314533622559654</v>
      </c>
      <c r="AL267" s="12" t="s">
        <v>144</v>
      </c>
      <c r="AM267" s="12" t="s">
        <v>142</v>
      </c>
      <c r="AN267" s="16">
        <v>11.292</v>
      </c>
      <c r="AO267" s="16">
        <v>0.52954999999999997</v>
      </c>
      <c r="AP267" s="16">
        <v>10841</v>
      </c>
      <c r="AQ267" s="16">
        <v>9704.1</v>
      </c>
      <c r="AR267" s="16">
        <v>5.8490000000000002</v>
      </c>
      <c r="AS267" s="16">
        <v>7.3149E-3</v>
      </c>
      <c r="AT267" s="16">
        <v>0.73463000000000001</v>
      </c>
      <c r="AU267" s="16">
        <v>0.27233000000000002</v>
      </c>
      <c r="AV267" s="16">
        <v>3.3043999999999997E-2</v>
      </c>
      <c r="AW267" s="16">
        <v>1.3513000000000001E-2</v>
      </c>
      <c r="AX267" s="16">
        <v>0.39312999999999998</v>
      </c>
      <c r="AY267" s="16">
        <v>-23.783999999999999</v>
      </c>
      <c r="AZ267" s="16">
        <v>-5110.8</v>
      </c>
      <c r="BA267" s="16">
        <v>0.17757999999999999</v>
      </c>
      <c r="BB267" s="16">
        <v>5.7929000000000004</v>
      </c>
      <c r="BC267" s="16" t="s">
        <v>162</v>
      </c>
      <c r="BD267" s="34" t="s">
        <v>163</v>
      </c>
      <c r="BE267" t="s">
        <v>167</v>
      </c>
    </row>
    <row r="268" spans="1:57" x14ac:dyDescent="0.25">
      <c r="A268" s="15" t="s">
        <v>337</v>
      </c>
      <c r="B268" s="16" t="s">
        <v>13</v>
      </c>
      <c r="C268" s="16" t="s">
        <v>6</v>
      </c>
      <c r="D268" s="16">
        <v>55</v>
      </c>
      <c r="E268" s="16">
        <v>2.2326999999999999</v>
      </c>
      <c r="F268" s="16">
        <v>5.5316999999999998</v>
      </c>
      <c r="G268" s="15">
        <v>2.9</v>
      </c>
      <c r="H268" s="15">
        <v>2.2999999999999998</v>
      </c>
      <c r="I268" s="15">
        <v>2.25</v>
      </c>
      <c r="J268" s="15">
        <v>24.02</v>
      </c>
      <c r="K268" s="15">
        <v>42.76</v>
      </c>
      <c r="L268" s="15">
        <v>30.63</v>
      </c>
      <c r="M268" s="15">
        <v>2</v>
      </c>
      <c r="N268" s="15">
        <v>2</v>
      </c>
      <c r="O268" s="15">
        <f>1.68+2.21</f>
        <v>3.8899999999999997</v>
      </c>
      <c r="P268" s="9">
        <v>1.4182999999999999</v>
      </c>
      <c r="Q268" s="9">
        <v>1.34552</v>
      </c>
      <c r="R268" s="9">
        <v>7.7777799999999994E-2</v>
      </c>
      <c r="S268" s="9">
        <v>0.151533</v>
      </c>
      <c r="T268" s="9">
        <v>0.172126</v>
      </c>
      <c r="U268" s="9">
        <v>2.7015500000000001E-2</v>
      </c>
      <c r="V268" s="9">
        <v>2.18723</v>
      </c>
      <c r="W268" s="9">
        <v>1.62557</v>
      </c>
      <c r="X268" s="9">
        <v>2.3055500000000002</v>
      </c>
      <c r="Y268" s="9">
        <v>13.5024</v>
      </c>
      <c r="Z268" s="9">
        <v>4.9699200000000001</v>
      </c>
      <c r="AA268" s="9">
        <f t="shared" si="47"/>
        <v>0.72247555555555554</v>
      </c>
      <c r="AB268" s="9">
        <f t="shared" si="48"/>
        <v>1.2888888888888888</v>
      </c>
      <c r="AC268" s="9">
        <f t="shared" si="49"/>
        <v>1.0222222222222221</v>
      </c>
      <c r="AD268" s="9">
        <f t="shared" si="50"/>
        <v>6.0475657275943924</v>
      </c>
      <c r="AE268" s="9">
        <f t="shared" si="51"/>
        <v>2.2259685582478617</v>
      </c>
      <c r="AF268" s="9">
        <f t="shared" si="52"/>
        <v>4.6363694715211992</v>
      </c>
      <c r="AG268" s="9">
        <f t="shared" si="44"/>
        <v>0.84302460396037637</v>
      </c>
      <c r="AH268" s="9">
        <f t="shared" si="43"/>
        <v>0.95755008500004102</v>
      </c>
      <c r="AI268" s="9">
        <f t="shared" si="45"/>
        <v>1.0586529114816736</v>
      </c>
      <c r="AJ268" s="9">
        <f>(4*PI()*(AI268^2))/(Y268+E268)</f>
        <v>0.89505051998746854</v>
      </c>
      <c r="AK268" s="12">
        <f t="shared" si="46"/>
        <v>0.57840616966580982</v>
      </c>
      <c r="AL268" s="12" t="s">
        <v>144</v>
      </c>
      <c r="AM268" s="12" t="s">
        <v>142</v>
      </c>
      <c r="AN268" s="16">
        <v>7.9939999999999998</v>
      </c>
      <c r="AO268" s="16">
        <v>0.72053</v>
      </c>
      <c r="AP268" s="16">
        <v>28032</v>
      </c>
      <c r="AQ268" s="16">
        <v>26035</v>
      </c>
      <c r="AR268" s="16">
        <v>3.6337999999999999</v>
      </c>
      <c r="AS268" s="16">
        <v>4.4738E-3</v>
      </c>
      <c r="AT268" s="16">
        <v>0.74068999999999996</v>
      </c>
      <c r="AU268" s="16">
        <v>0.56445000000000001</v>
      </c>
      <c r="AV268" s="16">
        <v>1.1068E-3</v>
      </c>
      <c r="AW268" s="16">
        <v>7.4247999999999996E-3</v>
      </c>
      <c r="AX268" s="16">
        <v>0.19353000000000001</v>
      </c>
      <c r="AY268" s="16">
        <v>-1.4096</v>
      </c>
      <c r="AZ268" s="16">
        <v>-1970.5</v>
      </c>
      <c r="BA268" s="16">
        <v>3.0641000000000002E-2</v>
      </c>
      <c r="BB268" s="16">
        <v>6.0686</v>
      </c>
      <c r="BC268" s="16" t="s">
        <v>162</v>
      </c>
      <c r="BD268" s="34" t="s">
        <v>165</v>
      </c>
      <c r="BE268" t="s">
        <v>168</v>
      </c>
    </row>
    <row r="269" spans="1:57" x14ac:dyDescent="0.25">
      <c r="A269" s="15" t="s">
        <v>338</v>
      </c>
      <c r="B269" s="18" t="s">
        <v>5</v>
      </c>
      <c r="C269" s="18" t="s">
        <v>6</v>
      </c>
      <c r="D269" s="18">
        <v>35</v>
      </c>
      <c r="E269" s="18">
        <v>5.9021999999999997</v>
      </c>
      <c r="F269" s="18">
        <v>8.8651999999999997</v>
      </c>
      <c r="G269" s="15">
        <v>6.78</v>
      </c>
      <c r="H269" s="15">
        <v>4.9000000000000004</v>
      </c>
      <c r="I269" s="15">
        <v>3.23</v>
      </c>
      <c r="J269" s="15">
        <v>30.64</v>
      </c>
      <c r="K269" s="15">
        <v>3.33</v>
      </c>
      <c r="L269" s="15">
        <v>19.190000000000001</v>
      </c>
      <c r="M269" s="15">
        <v>6.35</v>
      </c>
      <c r="N269" s="15">
        <v>1</v>
      </c>
      <c r="O269" s="15">
        <v>2.99</v>
      </c>
      <c r="P269" s="9">
        <v>1.9686399999999999</v>
      </c>
      <c r="Q269" s="9">
        <v>2.7259600000000002</v>
      </c>
      <c r="R269" s="9">
        <v>9.375E-2</v>
      </c>
      <c r="S269" s="9">
        <v>0.189475</v>
      </c>
      <c r="T269" s="9">
        <v>0.204045</v>
      </c>
      <c r="U269" s="9">
        <v>2.69901E-2</v>
      </c>
      <c r="V269" s="9">
        <v>6.7782499999999999</v>
      </c>
      <c r="W269" s="9">
        <v>2.4865499999999998</v>
      </c>
      <c r="X269" s="9">
        <v>4.89513</v>
      </c>
      <c r="Y269" s="9">
        <v>97.503699999999995</v>
      </c>
      <c r="Z269" s="9">
        <v>90.918700000000001</v>
      </c>
      <c r="AA269" s="9">
        <f t="shared" si="47"/>
        <v>0.76982972136222905</v>
      </c>
      <c r="AB269" s="9">
        <f t="shared" si="48"/>
        <v>2.0990712074303408</v>
      </c>
      <c r="AC269" s="9">
        <f t="shared" si="49"/>
        <v>1.51702786377709</v>
      </c>
      <c r="AD269" s="9">
        <f t="shared" si="50"/>
        <v>16.519890888143404</v>
      </c>
      <c r="AE269" s="9">
        <f t="shared" si="51"/>
        <v>15.404205211616009</v>
      </c>
      <c r="AF269" s="9">
        <f t="shared" si="52"/>
        <v>4.822278458500211</v>
      </c>
      <c r="AG269" s="9">
        <f t="shared" si="44"/>
        <v>1.3706672135255769</v>
      </c>
      <c r="AH269" s="9">
        <f t="shared" si="43"/>
        <v>0.97145649247131349</v>
      </c>
      <c r="AI269" s="9">
        <f t="shared" si="45"/>
        <v>2.7894689785022777</v>
      </c>
      <c r="AJ269" s="9">
        <f>(4*PI()*(AI269^2))/(Y269+E269)</f>
        <v>0.94560033451201397</v>
      </c>
      <c r="AK269" s="12">
        <f t="shared" si="46"/>
        <v>1.080267558528428</v>
      </c>
      <c r="AL269" s="12" t="s">
        <v>144</v>
      </c>
      <c r="AM269" s="12" t="s">
        <v>143</v>
      </c>
      <c r="AN269" s="18">
        <v>3.3852000000000002</v>
      </c>
      <c r="AO269" s="18">
        <v>0.26684999999999998</v>
      </c>
      <c r="AP269" s="18">
        <v>9802.9</v>
      </c>
      <c r="AQ269" s="18">
        <v>8782</v>
      </c>
      <c r="AR269" s="18">
        <v>1.671</v>
      </c>
      <c r="AS269" s="18">
        <v>1.8121000000000002E-2</v>
      </c>
      <c r="AT269" s="18">
        <v>0.71048999999999995</v>
      </c>
      <c r="AU269" s="18">
        <v>1.2394000000000001</v>
      </c>
      <c r="AV269" s="18">
        <v>0.33496999999999999</v>
      </c>
      <c r="AW269" s="18">
        <v>1.3868999999999999E-2</v>
      </c>
      <c r="AX269" s="18">
        <v>0.13444</v>
      </c>
      <c r="AY269" s="18">
        <v>13.422000000000001</v>
      </c>
      <c r="AZ269" s="18">
        <v>599.80999999999995</v>
      </c>
      <c r="BA269" s="18">
        <v>0.17552000000000001</v>
      </c>
      <c r="BB269" s="18">
        <v>14.465</v>
      </c>
      <c r="BC269" s="18" t="s">
        <v>162</v>
      </c>
      <c r="BD269" s="35" t="s">
        <v>165</v>
      </c>
      <c r="BE269" t="s">
        <v>167</v>
      </c>
    </row>
    <row r="270" spans="1:57" x14ac:dyDescent="0.25">
      <c r="A270" s="12" t="s">
        <v>339</v>
      </c>
      <c r="B270" s="18" t="s">
        <v>13</v>
      </c>
      <c r="C270" s="18" t="s">
        <v>6</v>
      </c>
      <c r="D270" s="18">
        <v>92</v>
      </c>
      <c r="E270" s="18">
        <v>12.406000000000001</v>
      </c>
      <c r="F270" s="18">
        <v>12.749000000000001</v>
      </c>
      <c r="G270" s="15">
        <v>7.84</v>
      </c>
      <c r="H270" s="15">
        <v>6.1</v>
      </c>
      <c r="I270" s="15">
        <v>1.95</v>
      </c>
      <c r="J270" s="15">
        <v>21.16</v>
      </c>
      <c r="K270" s="15">
        <v>49.67</v>
      </c>
      <c r="L270" s="15">
        <v>74.92</v>
      </c>
      <c r="M270" s="15">
        <v>5.6</v>
      </c>
      <c r="N270" s="15">
        <v>2</v>
      </c>
      <c r="O270" s="15">
        <f>1.59+2.11</f>
        <v>3.7</v>
      </c>
      <c r="P270" s="9">
        <v>1.55409</v>
      </c>
      <c r="Q270" s="9">
        <v>1.3248</v>
      </c>
      <c r="R270" s="9">
        <v>0.22500000000000001</v>
      </c>
      <c r="S270" s="9">
        <v>0.17438699999999999</v>
      </c>
      <c r="T270" s="9">
        <v>0.188557</v>
      </c>
      <c r="U270" s="9">
        <v>7.0075100000000001E-2</v>
      </c>
      <c r="V270" s="9">
        <v>5.1784699999999999</v>
      </c>
      <c r="W270" s="9">
        <v>3.9088599999999998</v>
      </c>
      <c r="X270" s="9">
        <v>6.0747400000000003</v>
      </c>
      <c r="Y270" s="9">
        <v>73.841899999999995</v>
      </c>
      <c r="Z270" s="9">
        <v>61.677999999999997</v>
      </c>
      <c r="AA270" s="9">
        <f t="shared" si="47"/>
        <v>2.0045435897435895</v>
      </c>
      <c r="AB270" s="9">
        <f t="shared" si="48"/>
        <v>4.0205128205128204</v>
      </c>
      <c r="AC270" s="9">
        <f t="shared" si="49"/>
        <v>3.1282051282051282</v>
      </c>
      <c r="AD270" s="9">
        <f t="shared" si="50"/>
        <v>5.9521118813477347</v>
      </c>
      <c r="AE270" s="9">
        <f t="shared" si="51"/>
        <v>4.9716266322747051</v>
      </c>
      <c r="AF270" s="9">
        <f t="shared" si="52"/>
        <v>4.7302345340292575</v>
      </c>
      <c r="AG270" s="9">
        <f t="shared" si="44"/>
        <v>1.987197133652348</v>
      </c>
      <c r="AH270" s="9">
        <f t="shared" si="43"/>
        <v>0.97936527042386234</v>
      </c>
      <c r="AI270" s="9">
        <f t="shared" si="45"/>
        <v>2.4510220847277413</v>
      </c>
      <c r="AJ270" s="9">
        <f>(4*PI()*(AI270^2))/(Y270+E270)</f>
        <v>0.87529769221200648</v>
      </c>
      <c r="AK270" s="12">
        <f t="shared" si="46"/>
        <v>0.52702702702702697</v>
      </c>
      <c r="AL270" s="12" t="s">
        <v>140</v>
      </c>
      <c r="AM270" s="12" t="s">
        <v>142</v>
      </c>
      <c r="AN270" s="18">
        <v>2.4845000000000002</v>
      </c>
      <c r="AO270" s="18">
        <v>0.32746999999999998</v>
      </c>
      <c r="AP270" s="18">
        <v>3654.8</v>
      </c>
      <c r="AQ270" s="18">
        <v>3621.6</v>
      </c>
      <c r="AR270" s="18">
        <v>1.4444999999999999</v>
      </c>
      <c r="AS270" s="18">
        <v>3.9604E-2</v>
      </c>
      <c r="AT270" s="18">
        <v>0.60092000000000001</v>
      </c>
      <c r="AU270" s="18">
        <v>6.7</v>
      </c>
      <c r="AV270" s="18">
        <v>0.18362000000000001</v>
      </c>
      <c r="AW270" s="18">
        <v>3.3105999999999997E-2</v>
      </c>
      <c r="AX270" s="18">
        <v>0.13314999999999999</v>
      </c>
      <c r="AY270" s="18">
        <v>-28.984999999999999</v>
      </c>
      <c r="AZ270" s="18">
        <v>-986.62</v>
      </c>
      <c r="BA270" s="18">
        <v>0.15506</v>
      </c>
      <c r="BB270" s="18">
        <v>4.1327999999999996</v>
      </c>
      <c r="BC270" s="18" t="s">
        <v>164</v>
      </c>
      <c r="BD270" s="35" t="s">
        <v>165</v>
      </c>
      <c r="BE270" t="s">
        <v>168</v>
      </c>
    </row>
    <row r="271" spans="1:57" x14ac:dyDescent="0.25">
      <c r="A271" s="15" t="s">
        <v>340</v>
      </c>
      <c r="B271" s="16" t="s">
        <v>26</v>
      </c>
      <c r="C271" s="16" t="s">
        <v>6</v>
      </c>
      <c r="D271" s="16">
        <v>65</v>
      </c>
      <c r="E271" s="16">
        <v>8.2494999999999994</v>
      </c>
      <c r="F271" s="16">
        <v>10.465999999999999</v>
      </c>
      <c r="G271" s="15">
        <v>5.1100000000000003</v>
      </c>
      <c r="H271" s="15">
        <v>3.15</v>
      </c>
      <c r="I271" s="15">
        <v>2.57</v>
      </c>
      <c r="J271" s="15">
        <v>108.14</v>
      </c>
      <c r="K271" s="15">
        <v>27.59</v>
      </c>
      <c r="L271" s="15">
        <v>39.799999999999997</v>
      </c>
      <c r="M271" s="15">
        <v>4.8</v>
      </c>
      <c r="N271" s="15">
        <v>2</v>
      </c>
      <c r="O271" s="15">
        <f>2.65+1.17</f>
        <v>3.82</v>
      </c>
      <c r="P271" s="9">
        <v>0.99051900000000004</v>
      </c>
      <c r="Q271" s="9">
        <v>1.2946599999999999</v>
      </c>
      <c r="R271" s="9">
        <v>0.20491799999999999</v>
      </c>
      <c r="S271" s="9">
        <v>0.117053</v>
      </c>
      <c r="T271" s="9">
        <v>0.131825</v>
      </c>
      <c r="U271" s="9">
        <v>3.17051E-2</v>
      </c>
      <c r="V271" s="9">
        <v>4.1031899999999997</v>
      </c>
      <c r="W271" s="9">
        <v>3.1693099999999998</v>
      </c>
      <c r="X271" s="9">
        <v>3.1392600000000002</v>
      </c>
      <c r="Y271" s="9">
        <v>36.0486</v>
      </c>
      <c r="Z271" s="9">
        <v>23.282699999999998</v>
      </c>
      <c r="AA271" s="9">
        <f t="shared" si="47"/>
        <v>1.233194552529183</v>
      </c>
      <c r="AB271" s="9">
        <f t="shared" si="48"/>
        <v>1.9883268482490275</v>
      </c>
      <c r="AC271" s="9">
        <f t="shared" si="49"/>
        <v>1.2256809338521402</v>
      </c>
      <c r="AD271" s="9">
        <f t="shared" si="50"/>
        <v>4.3697921086126437</v>
      </c>
      <c r="AE271" s="9">
        <f t="shared" si="51"/>
        <v>2.8223165040305473</v>
      </c>
      <c r="AF271" s="9">
        <f t="shared" si="52"/>
        <v>4.4211254822938786</v>
      </c>
      <c r="AG271" s="9">
        <f t="shared" si="44"/>
        <v>1.6204620964629752</v>
      </c>
      <c r="AH271" s="9">
        <f t="shared" si="43"/>
        <v>0.97283237486504848</v>
      </c>
      <c r="AI271" s="9">
        <f t="shared" si="45"/>
        <v>1.7713929463219025</v>
      </c>
      <c r="AJ271" s="9">
        <f>(4*PI()*(AI271^2))/(Y271+E271)</f>
        <v>0.89013235399444368</v>
      </c>
      <c r="AK271" s="12">
        <f t="shared" si="46"/>
        <v>0.67277486910994766</v>
      </c>
      <c r="AL271" s="12" t="s">
        <v>144</v>
      </c>
      <c r="AM271" s="12" t="s">
        <v>142</v>
      </c>
      <c r="AN271" s="16">
        <v>8.7402999999999995</v>
      </c>
      <c r="AO271" s="16">
        <v>0.86375000000000002</v>
      </c>
      <c r="AP271" s="16">
        <v>15853</v>
      </c>
      <c r="AQ271" s="16">
        <v>15087</v>
      </c>
      <c r="AR271" s="16">
        <v>4.3852000000000002</v>
      </c>
      <c r="AS271" s="16">
        <v>1.5571E-2</v>
      </c>
      <c r="AT271" s="16">
        <v>0.70328000000000002</v>
      </c>
      <c r="AU271" s="16">
        <v>0.44606000000000001</v>
      </c>
      <c r="AV271" s="16">
        <v>1.5543E-2</v>
      </c>
      <c r="AW271" s="16">
        <v>9.3723999999999995E-3</v>
      </c>
      <c r="AX271" s="16">
        <v>0.29436000000000001</v>
      </c>
      <c r="AY271" s="16">
        <v>1.4726999999999999</v>
      </c>
      <c r="AZ271" s="16">
        <v>-359.85</v>
      </c>
      <c r="BA271" s="16">
        <v>3.7940000000000002E-2</v>
      </c>
      <c r="BB271" s="16">
        <v>12.807</v>
      </c>
      <c r="BC271" s="16" t="s">
        <v>162</v>
      </c>
      <c r="BD271" s="34" t="s">
        <v>165</v>
      </c>
      <c r="BE271" t="s">
        <v>167</v>
      </c>
    </row>
    <row r="272" spans="1:57" x14ac:dyDescent="0.25">
      <c r="A272" s="15" t="s">
        <v>341</v>
      </c>
      <c r="B272" s="16" t="s">
        <v>5</v>
      </c>
      <c r="C272" s="16" t="s">
        <v>6</v>
      </c>
      <c r="D272" s="16">
        <v>70</v>
      </c>
      <c r="E272" s="16">
        <v>15.010999999999999</v>
      </c>
      <c r="F272" s="16">
        <v>16.004999999999999</v>
      </c>
      <c r="G272" s="15">
        <v>12.57</v>
      </c>
      <c r="H272" s="15">
        <v>10.9</v>
      </c>
      <c r="I272" s="15">
        <v>2.48</v>
      </c>
      <c r="J272" s="15">
        <v>97.81</v>
      </c>
      <c r="K272" s="15">
        <v>44.73</v>
      </c>
      <c r="L272" s="15">
        <v>27.35</v>
      </c>
      <c r="M272" s="15">
        <v>9.5</v>
      </c>
      <c r="N272" s="15">
        <v>2</v>
      </c>
      <c r="O272" s="15">
        <f>3.58+1.47</f>
        <v>5.05</v>
      </c>
      <c r="P272" s="9">
        <v>2.6390199999999999</v>
      </c>
      <c r="Q272" s="9">
        <v>2.8151299999999999</v>
      </c>
      <c r="R272" s="9">
        <v>-3.9170499999999997E-2</v>
      </c>
      <c r="S272" s="9">
        <v>0.22311300000000001</v>
      </c>
      <c r="T272" s="9">
        <v>0.25741000000000003</v>
      </c>
      <c r="U272" s="9">
        <v>8.7632199999999993E-2</v>
      </c>
      <c r="V272" s="9">
        <v>11.664099999999999</v>
      </c>
      <c r="W272" s="9">
        <v>4.14337</v>
      </c>
      <c r="X272" s="9">
        <v>10.9345</v>
      </c>
      <c r="Y272" s="9">
        <v>294.18200000000002</v>
      </c>
      <c r="Z272" s="9">
        <v>429.37400000000002</v>
      </c>
      <c r="AA272" s="9">
        <f t="shared" si="47"/>
        <v>1.6707137096774194</v>
      </c>
      <c r="AB272" s="9">
        <f t="shared" si="48"/>
        <v>5.068548387096774</v>
      </c>
      <c r="AC272" s="9">
        <f t="shared" si="49"/>
        <v>4.395161290322581</v>
      </c>
      <c r="AD272" s="9">
        <f t="shared" si="50"/>
        <v>19.597761641462931</v>
      </c>
      <c r="AE272" s="9">
        <f t="shared" si="51"/>
        <v>28.603957098128042</v>
      </c>
      <c r="AF272" s="9">
        <f t="shared" si="52"/>
        <v>5.1688302246121856</v>
      </c>
      <c r="AG272" s="9">
        <f t="shared" si="44"/>
        <v>2.1858979165333596</v>
      </c>
      <c r="AH272" s="9">
        <f t="shared" si="43"/>
        <v>0.85813193827909251</v>
      </c>
      <c r="AI272" s="9">
        <f t="shared" si="45"/>
        <v>4.6800343917577187</v>
      </c>
      <c r="AJ272" s="9">
        <f>(4*PI()*(AI272^2))/(Y272+E272)</f>
        <v>0.89018095804113395</v>
      </c>
      <c r="AK272" s="12">
        <f t="shared" si="46"/>
        <v>0.49108910891089108</v>
      </c>
      <c r="AL272" s="12" t="s">
        <v>140</v>
      </c>
      <c r="AM272" s="12" t="s">
        <v>142</v>
      </c>
      <c r="AN272" s="16">
        <v>1.8732</v>
      </c>
      <c r="AO272" s="16">
        <v>0.15629999999999999</v>
      </c>
      <c r="AP272" s="16">
        <v>3984.6</v>
      </c>
      <c r="AQ272" s="16">
        <v>3441.8</v>
      </c>
      <c r="AR272" s="16">
        <v>1.1639999999999999</v>
      </c>
      <c r="AS272" s="16">
        <v>5.8348999999999998E-2</v>
      </c>
      <c r="AT272" s="16">
        <v>0.67283999999999999</v>
      </c>
      <c r="AU272" s="16">
        <v>2.0453999999999999</v>
      </c>
      <c r="AV272" s="16">
        <v>0.57757999999999998</v>
      </c>
      <c r="AW272" s="16">
        <v>4.5983000000000003E-2</v>
      </c>
      <c r="AX272" s="16">
        <v>0.11859</v>
      </c>
      <c r="AY272" s="16">
        <v>-38.686999999999998</v>
      </c>
      <c r="AZ272" s="16">
        <v>-466.76</v>
      </c>
      <c r="BA272" s="16">
        <v>0.86783999999999994</v>
      </c>
      <c r="BB272" s="16">
        <v>0</v>
      </c>
      <c r="BC272" s="16" t="s">
        <v>164</v>
      </c>
      <c r="BD272" s="34" t="s">
        <v>165</v>
      </c>
      <c r="BE272" t="s">
        <v>168</v>
      </c>
    </row>
    <row r="273" spans="1:57" x14ac:dyDescent="0.25">
      <c r="A273" s="15" t="s">
        <v>342</v>
      </c>
      <c r="B273" s="18" t="s">
        <v>13</v>
      </c>
      <c r="C273" s="18" t="s">
        <v>6</v>
      </c>
      <c r="D273" s="18">
        <v>70</v>
      </c>
      <c r="E273" s="18">
        <v>3.2857095103144101</v>
      </c>
      <c r="F273" s="18">
        <v>6.5225</v>
      </c>
      <c r="G273" s="15">
        <v>2.6</v>
      </c>
      <c r="H273" s="15">
        <v>2.12</v>
      </c>
      <c r="I273" s="15">
        <v>2.0299999999999998</v>
      </c>
      <c r="J273" s="15">
        <v>51.6</v>
      </c>
      <c r="K273" s="15">
        <v>47.56</v>
      </c>
      <c r="L273" s="15">
        <v>22.62</v>
      </c>
      <c r="M273" s="15">
        <v>2.0499999999999998</v>
      </c>
      <c r="N273" s="15">
        <v>2</v>
      </c>
      <c r="O273" s="15">
        <f>2.42+1.64</f>
        <v>4.0599999999999996</v>
      </c>
      <c r="P273" s="9">
        <v>1.04261</v>
      </c>
      <c r="Q273" s="9">
        <v>1.0574600000000001</v>
      </c>
      <c r="R273" s="9">
        <v>0.47560999999999998</v>
      </c>
      <c r="S273" s="9">
        <v>8.7483099999999994E-2</v>
      </c>
      <c r="T273" s="9">
        <v>0.10224</v>
      </c>
      <c r="U273" s="9">
        <v>1.3244199999999999E-2</v>
      </c>
      <c r="V273" s="9">
        <v>2.13015</v>
      </c>
      <c r="W273" s="9">
        <v>2.0143900000000001</v>
      </c>
      <c r="X273" s="9">
        <v>2.1002200000000002</v>
      </c>
      <c r="Y273" s="9">
        <v>12.038</v>
      </c>
      <c r="Z273" s="9">
        <v>4.7245699999999999</v>
      </c>
      <c r="AA273" s="9">
        <f t="shared" si="47"/>
        <v>0.9923103448275864</v>
      </c>
      <c r="AB273" s="9">
        <f t="shared" si="48"/>
        <v>1.2807881773399017</v>
      </c>
      <c r="AC273" s="9">
        <f t="shared" si="49"/>
        <v>1.0443349753694582</v>
      </c>
      <c r="AD273" s="9">
        <f t="shared" si="50"/>
        <v>3.6637444552571181</v>
      </c>
      <c r="AE273" s="9">
        <f t="shared" si="51"/>
        <v>1.4379146985358133</v>
      </c>
      <c r="AF273" s="9">
        <f t="shared" si="52"/>
        <v>4.2754268503953448</v>
      </c>
      <c r="AG273" s="9">
        <f t="shared" si="44"/>
        <v>1.0226797251638358</v>
      </c>
      <c r="AH273" s="9">
        <f t="shared" si="43"/>
        <v>0.9851569525641809</v>
      </c>
      <c r="AI273" s="9">
        <f t="shared" si="45"/>
        <v>1.0409372727268322</v>
      </c>
      <c r="AJ273" s="9">
        <f>(4*PI()*(AI273^2))/(Y273+E273)</f>
        <v>0.88857700995006705</v>
      </c>
      <c r="AK273" s="12">
        <f t="shared" si="46"/>
        <v>0.5</v>
      </c>
      <c r="AL273" s="12" t="s">
        <v>144</v>
      </c>
      <c r="AM273" s="12" t="s">
        <v>143</v>
      </c>
      <c r="AN273" s="18">
        <v>5.7571305129472901</v>
      </c>
      <c r="AO273" s="18">
        <v>0.56803669597043904</v>
      </c>
      <c r="AP273" s="18">
        <v>11392.246878333</v>
      </c>
      <c r="AQ273" s="18">
        <v>10647.244116948999</v>
      </c>
      <c r="AR273" s="18">
        <v>2.5624886287732802</v>
      </c>
      <c r="AS273" s="18">
        <v>1.0137236068941E-2</v>
      </c>
      <c r="AT273" s="18">
        <v>0.72845980231525298</v>
      </c>
      <c r="AU273" s="18">
        <v>0.76213912053573196</v>
      </c>
      <c r="AV273" s="18">
        <v>3.0215223972615599E-2</v>
      </c>
      <c r="AW273" s="18">
        <v>7.4796040557459304E-3</v>
      </c>
      <c r="AX273" s="18">
        <v>0.16162247931924301</v>
      </c>
      <c r="AY273" s="18">
        <v>5.2859853472887899</v>
      </c>
      <c r="AZ273" s="18">
        <v>329.981855081817</v>
      </c>
      <c r="BA273" s="18">
        <v>2.8743646134214498E-2</v>
      </c>
      <c r="BB273" s="18">
        <v>33.676968679468203</v>
      </c>
      <c r="BC273" s="18" t="s">
        <v>162</v>
      </c>
      <c r="BD273" s="35" t="s">
        <v>163</v>
      </c>
      <c r="BE273" t="s">
        <v>167</v>
      </c>
    </row>
    <row r="274" spans="1:57" x14ac:dyDescent="0.25">
      <c r="A274" s="22" t="s">
        <v>343</v>
      </c>
      <c r="B274" s="16" t="s">
        <v>13</v>
      </c>
      <c r="C274" s="16" t="s">
        <v>14</v>
      </c>
      <c r="D274" s="16">
        <v>35</v>
      </c>
      <c r="E274" s="16">
        <v>25.420999999999999</v>
      </c>
      <c r="F274" s="16">
        <v>18.337</v>
      </c>
      <c r="G274" s="15">
        <v>14.6</v>
      </c>
      <c r="H274" s="15">
        <v>9.6</v>
      </c>
      <c r="I274" s="15">
        <v>2.13</v>
      </c>
      <c r="J274" s="15">
        <v>72.28</v>
      </c>
      <c r="K274" s="15">
        <v>32.130000000000003</v>
      </c>
      <c r="L274" s="15">
        <v>59.09</v>
      </c>
      <c r="M274" s="15">
        <v>8</v>
      </c>
      <c r="N274" s="15">
        <v>2</v>
      </c>
      <c r="O274" s="15">
        <f>1.97+1.83</f>
        <v>3.8</v>
      </c>
      <c r="P274" s="9">
        <v>1.70238</v>
      </c>
      <c r="Q274" s="9">
        <v>1.99105</v>
      </c>
      <c r="R274" s="9">
        <v>0.140212</v>
      </c>
      <c r="S274" s="9">
        <v>0.22766</v>
      </c>
      <c r="T274" s="9">
        <v>0.253137</v>
      </c>
      <c r="U274" s="9">
        <v>9.6543400000000001E-2</v>
      </c>
      <c r="V274" s="9">
        <v>11.139099999999999</v>
      </c>
      <c r="W274" s="9">
        <v>5.59457</v>
      </c>
      <c r="X274" s="9">
        <v>9.52407</v>
      </c>
      <c r="Y274" s="9">
        <v>241.76599999999999</v>
      </c>
      <c r="Z274" s="9">
        <v>322.65800000000002</v>
      </c>
      <c r="AA274" s="9">
        <f t="shared" si="47"/>
        <v>2.6265586854460095</v>
      </c>
      <c r="AB274" s="9">
        <f t="shared" si="48"/>
        <v>6.854460093896714</v>
      </c>
      <c r="AC274" s="9">
        <f t="shared" si="49"/>
        <v>4.507042253521127</v>
      </c>
      <c r="AD274" s="9">
        <f t="shared" si="50"/>
        <v>9.5104834585578857</v>
      </c>
      <c r="AE274" s="9">
        <f t="shared" si="51"/>
        <v>12.692577003265018</v>
      </c>
      <c r="AF274" s="9">
        <f t="shared" si="52"/>
        <v>5.1392561806288759</v>
      </c>
      <c r="AG274" s="9">
        <f t="shared" si="44"/>
        <v>2.8446011349006635</v>
      </c>
      <c r="AH274" s="9">
        <f t="shared" si="43"/>
        <v>0.97470448031816692</v>
      </c>
      <c r="AI274" s="9">
        <f t="shared" si="45"/>
        <v>4.2548534806990963</v>
      </c>
      <c r="AJ274" s="9">
        <f>(4*PI()*(AI274^2))/(Y274+E274)</f>
        <v>0.85145903676165491</v>
      </c>
      <c r="AK274" s="12">
        <f t="shared" si="46"/>
        <v>0.56052631578947365</v>
      </c>
      <c r="AL274" s="12" t="s">
        <v>140</v>
      </c>
      <c r="AM274" s="12" t="s">
        <v>142</v>
      </c>
      <c r="AN274" s="16">
        <v>3.0598999999999998</v>
      </c>
      <c r="AO274" s="16">
        <v>0.34815000000000002</v>
      </c>
      <c r="AP274" s="16">
        <v>3728.7</v>
      </c>
      <c r="AQ274" s="16">
        <v>3402.4</v>
      </c>
      <c r="AR274" s="16">
        <v>1.8183</v>
      </c>
      <c r="AS274" s="16">
        <v>2.3245999999999999E-2</v>
      </c>
      <c r="AT274" s="16">
        <v>0.67169000000000001</v>
      </c>
      <c r="AU274" s="16">
        <v>2.2532000000000001</v>
      </c>
      <c r="AV274" s="16">
        <v>0.44417000000000001</v>
      </c>
      <c r="AW274" s="16">
        <v>1.3629E-2</v>
      </c>
      <c r="AX274" s="16">
        <v>0.13618</v>
      </c>
      <c r="AY274" s="16">
        <v>-31.353999999999999</v>
      </c>
      <c r="AZ274" s="16">
        <v>-473.43</v>
      </c>
      <c r="BA274" s="16">
        <v>0.44190000000000002</v>
      </c>
      <c r="BB274" s="16">
        <v>30.364000000000001</v>
      </c>
      <c r="BC274" s="16" t="s">
        <v>164</v>
      </c>
      <c r="BD274" s="34" t="s">
        <v>165</v>
      </c>
      <c r="BE274" t="s">
        <v>167</v>
      </c>
    </row>
    <row r="275" spans="1:57" x14ac:dyDescent="0.25">
      <c r="A275" s="15" t="s">
        <v>344</v>
      </c>
      <c r="B275" s="16" t="s">
        <v>5</v>
      </c>
      <c r="C275" s="16" t="s">
        <v>14</v>
      </c>
      <c r="D275" s="16">
        <v>35</v>
      </c>
      <c r="E275" s="16">
        <v>11.827999999999999</v>
      </c>
      <c r="F275" s="16">
        <v>12.923</v>
      </c>
      <c r="G275" s="15">
        <v>12.35</v>
      </c>
      <c r="H275" s="15">
        <v>7.35</v>
      </c>
      <c r="I275" s="15">
        <v>3.12</v>
      </c>
      <c r="J275" s="15">
        <v>105.53</v>
      </c>
      <c r="K275" s="15">
        <v>14.36</v>
      </c>
      <c r="L275" s="15">
        <v>44.71</v>
      </c>
      <c r="M275" s="15">
        <v>11.9</v>
      </c>
      <c r="N275" s="15">
        <v>2</v>
      </c>
      <c r="O275" s="15">
        <f>2.71+0.96</f>
        <v>3.67</v>
      </c>
      <c r="P275" s="9">
        <v>2.0036</v>
      </c>
      <c r="Q275" s="9">
        <v>3.0880299999999998</v>
      </c>
      <c r="R275" s="9">
        <v>2.7397299999999999E-2</v>
      </c>
      <c r="S275" s="9">
        <v>0.243504</v>
      </c>
      <c r="T275" s="9">
        <v>0.35816399999999998</v>
      </c>
      <c r="U275" s="9">
        <v>0.24401500000000001</v>
      </c>
      <c r="V275" s="9">
        <v>11.3881</v>
      </c>
      <c r="W275" s="9">
        <v>3.6878299999999999</v>
      </c>
      <c r="X275" s="9">
        <v>7.3889199999999997</v>
      </c>
      <c r="Y275" s="9">
        <v>230.67</v>
      </c>
      <c r="Z275" s="9">
        <v>239.559</v>
      </c>
      <c r="AA275" s="9">
        <f t="shared" si="47"/>
        <v>1.1819967948717949</v>
      </c>
      <c r="AB275" s="9">
        <f t="shared" si="48"/>
        <v>3.958333333333333</v>
      </c>
      <c r="AC275" s="9">
        <f t="shared" si="49"/>
        <v>2.3557692307692304</v>
      </c>
      <c r="AD275" s="9">
        <f t="shared" si="50"/>
        <v>19.502029083530605</v>
      </c>
      <c r="AE275" s="9">
        <f t="shared" si="51"/>
        <v>20.25355089617856</v>
      </c>
      <c r="AF275" s="9">
        <f t="shared" si="52"/>
        <v>5.9802056818758089</v>
      </c>
      <c r="AG275" s="9">
        <f t="shared" si="44"/>
        <v>1.940352888982279</v>
      </c>
      <c r="AH275" s="9">
        <f t="shared" si="43"/>
        <v>0.94340298404371414</v>
      </c>
      <c r="AI275" s="9">
        <f t="shared" si="45"/>
        <v>3.8527836958708512</v>
      </c>
      <c r="AJ275" s="9">
        <f>(4*PI()*(AI275^2))/(Y275+E275)</f>
        <v>0.76922069111252478</v>
      </c>
      <c r="AK275" s="12">
        <f t="shared" si="46"/>
        <v>0.85013623978201636</v>
      </c>
      <c r="AL275" s="12" t="s">
        <v>140</v>
      </c>
      <c r="AM275" s="12" t="s">
        <v>142</v>
      </c>
      <c r="AN275" s="16">
        <v>2.1086999999999998</v>
      </c>
      <c r="AO275" s="16">
        <v>0.23597000000000001</v>
      </c>
      <c r="AP275" s="16">
        <v>8910</v>
      </c>
      <c r="AQ275" s="16">
        <v>7504.9</v>
      </c>
      <c r="AR275" s="16">
        <v>1.1951000000000001</v>
      </c>
      <c r="AS275" s="16">
        <v>4.7690000000000003E-2</v>
      </c>
      <c r="AT275" s="16">
        <v>0.64319000000000004</v>
      </c>
      <c r="AU275" s="16">
        <v>10.656000000000001</v>
      </c>
      <c r="AV275" s="16">
        <v>0.58382999999999996</v>
      </c>
      <c r="AW275" s="16">
        <v>4.3767E-2</v>
      </c>
      <c r="AX275" s="16">
        <v>9.0921000000000002E-2</v>
      </c>
      <c r="AY275" s="16">
        <v>-2.113</v>
      </c>
      <c r="AZ275" s="16">
        <v>-185.57</v>
      </c>
      <c r="BA275" s="16">
        <v>0.30586000000000002</v>
      </c>
      <c r="BB275" s="16">
        <v>15.794</v>
      </c>
      <c r="BC275" s="16" t="s">
        <v>164</v>
      </c>
      <c r="BD275" s="34" t="s">
        <v>165</v>
      </c>
      <c r="BE275" t="s">
        <v>168</v>
      </c>
    </row>
    <row r="276" spans="1:57" x14ac:dyDescent="0.25">
      <c r="A276" s="15" t="s">
        <v>345</v>
      </c>
      <c r="B276" s="18" t="s">
        <v>5</v>
      </c>
      <c r="C276" s="18" t="s">
        <v>6</v>
      </c>
      <c r="D276" s="18">
        <v>35</v>
      </c>
      <c r="E276" s="18">
        <v>4.7450999999999999</v>
      </c>
      <c r="F276" s="18">
        <v>8.1655999999999995</v>
      </c>
      <c r="G276" s="15">
        <v>3.63</v>
      </c>
      <c r="H276" s="15">
        <v>2.8</v>
      </c>
      <c r="I276" s="15">
        <v>4.22</v>
      </c>
      <c r="J276" s="15">
        <v>114.81</v>
      </c>
      <c r="K276" s="15">
        <v>44.02</v>
      </c>
      <c r="L276" s="15">
        <v>24.32</v>
      </c>
      <c r="M276" s="15">
        <v>3.27</v>
      </c>
      <c r="N276" s="15">
        <v>1</v>
      </c>
      <c r="O276" s="15">
        <v>3.8</v>
      </c>
      <c r="P276" s="9">
        <v>1.1737299999999999</v>
      </c>
      <c r="Q276" s="9">
        <v>1.1338299999999999</v>
      </c>
      <c r="R276" s="9">
        <v>2.72727E-2</v>
      </c>
      <c r="S276" s="9">
        <v>0.115573</v>
      </c>
      <c r="T276" s="9">
        <v>0.144344</v>
      </c>
      <c r="U276" s="9">
        <v>6.4300200000000002E-2</v>
      </c>
      <c r="V276" s="9">
        <v>2.7233100000000001</v>
      </c>
      <c r="W276" s="9">
        <v>2.4018799999999998</v>
      </c>
      <c r="X276" s="9">
        <v>2.81915</v>
      </c>
      <c r="Y276" s="9">
        <v>21.0091</v>
      </c>
      <c r="Z276" s="9">
        <v>10.1356</v>
      </c>
      <c r="AA276" s="9">
        <f t="shared" si="47"/>
        <v>0.56916587677725117</v>
      </c>
      <c r="AB276" s="9">
        <f t="shared" si="48"/>
        <v>0.8601895734597157</v>
      </c>
      <c r="AC276" s="9">
        <f t="shared" si="49"/>
        <v>0.6635071090047393</v>
      </c>
      <c r="AD276" s="9">
        <f t="shared" si="50"/>
        <v>4.4275357737455483</v>
      </c>
      <c r="AE276" s="9">
        <f t="shared" si="51"/>
        <v>2.1360139933826474</v>
      </c>
      <c r="AF276" s="9">
        <f t="shared" si="52"/>
        <v>4.4858127364500806</v>
      </c>
      <c r="AG276" s="9">
        <f t="shared" si="44"/>
        <v>1.2289882997533805</v>
      </c>
      <c r="AH276" s="9">
        <f t="shared" si="43"/>
        <v>0.9456697888343859</v>
      </c>
      <c r="AI276" s="9">
        <f t="shared" si="45"/>
        <v>1.3425185169783387</v>
      </c>
      <c r="AJ276" s="9">
        <f>(4*PI()*(AI276^2))/(Y276+E276)</f>
        <v>0.87943221215530187</v>
      </c>
      <c r="AK276" s="12">
        <f t="shared" si="46"/>
        <v>1.1105263157894736</v>
      </c>
      <c r="AL276" s="12" t="s">
        <v>144</v>
      </c>
      <c r="AM276" s="12" t="s">
        <v>143</v>
      </c>
      <c r="AN276" s="18">
        <v>3.4422000000000001</v>
      </c>
      <c r="AO276" s="18">
        <v>0.53739999999999999</v>
      </c>
      <c r="AP276" s="18">
        <v>8971.6</v>
      </c>
      <c r="AQ276" s="18">
        <v>8377.9</v>
      </c>
      <c r="AR276" s="18">
        <v>1.6529</v>
      </c>
      <c r="AS276" s="18">
        <v>9.3877000000000006E-3</v>
      </c>
      <c r="AT276" s="18">
        <v>0.76432999999999995</v>
      </c>
      <c r="AU276" s="18">
        <v>1.3727</v>
      </c>
      <c r="AV276" s="18">
        <v>7.5403999999999999E-2</v>
      </c>
      <c r="AW276" s="18">
        <v>8.9125000000000003E-3</v>
      </c>
      <c r="AX276" s="18">
        <v>0.10970000000000001</v>
      </c>
      <c r="AY276" s="18">
        <v>2.5188999999999999</v>
      </c>
      <c r="AZ276" s="18">
        <v>814.84</v>
      </c>
      <c r="BA276" s="18">
        <v>2.6705E-2</v>
      </c>
      <c r="BB276" s="18">
        <v>5.5856000000000003</v>
      </c>
      <c r="BC276" s="18" t="s">
        <v>162</v>
      </c>
      <c r="BD276" s="35" t="s">
        <v>163</v>
      </c>
      <c r="BE276" t="s">
        <v>167</v>
      </c>
    </row>
    <row r="277" spans="1:57" x14ac:dyDescent="0.25">
      <c r="A277" s="15" t="s">
        <v>346</v>
      </c>
      <c r="B277" s="16" t="s">
        <v>13</v>
      </c>
      <c r="C277" s="16" t="s">
        <v>6</v>
      </c>
      <c r="D277" s="16">
        <v>35</v>
      </c>
      <c r="E277" s="16">
        <v>26.905999999999999</v>
      </c>
      <c r="F277" s="16">
        <v>19.056000000000001</v>
      </c>
      <c r="G277" s="15">
        <v>12.08</v>
      </c>
      <c r="H277" s="15">
        <v>8.4499999999999993</v>
      </c>
      <c r="I277" s="15">
        <v>1.85</v>
      </c>
      <c r="J277" s="15">
        <v>97.98</v>
      </c>
      <c r="K277" s="15">
        <v>20.22</v>
      </c>
      <c r="L277" s="15">
        <v>75.62</v>
      </c>
      <c r="M277" s="15">
        <v>8.1</v>
      </c>
      <c r="N277" s="15">
        <v>2</v>
      </c>
      <c r="O277" s="15">
        <f>2.36+2.71</f>
        <v>5.07</v>
      </c>
      <c r="P277" s="9">
        <v>1.4825999999999999</v>
      </c>
      <c r="Q277" s="9">
        <v>1.9690099999999999</v>
      </c>
      <c r="R277" s="9">
        <v>-1.8072299999999999E-2</v>
      </c>
      <c r="S277" s="9">
        <v>0.181224</v>
      </c>
      <c r="T277" s="9">
        <v>0.193441</v>
      </c>
      <c r="U277" s="9">
        <v>4.45037E-2</v>
      </c>
      <c r="V277" s="9">
        <v>11.1084</v>
      </c>
      <c r="W277" s="9">
        <v>5.6416399999999998</v>
      </c>
      <c r="X277" s="9">
        <v>8.3642699999999994</v>
      </c>
      <c r="Y277" s="9">
        <v>260.54000000000002</v>
      </c>
      <c r="Z277" s="9">
        <v>405.09199999999998</v>
      </c>
      <c r="AA277" s="9">
        <f t="shared" si="47"/>
        <v>3.0495351351351347</v>
      </c>
      <c r="AB277" s="9">
        <f t="shared" si="48"/>
        <v>6.5297297297297296</v>
      </c>
      <c r="AC277" s="9">
        <f t="shared" si="49"/>
        <v>4.5675675675675667</v>
      </c>
      <c r="AD277" s="9">
        <f t="shared" si="50"/>
        <v>9.6833420055006325</v>
      </c>
      <c r="AE277" s="9">
        <f t="shared" si="51"/>
        <v>15.055823979781461</v>
      </c>
      <c r="AF277" s="9">
        <f t="shared" si="52"/>
        <v>4.7588859611077927</v>
      </c>
      <c r="AG277" s="9">
        <f t="shared" si="44"/>
        <v>2.9265074402196678</v>
      </c>
      <c r="AH277" s="9">
        <f t="shared" si="43"/>
        <v>0.96493432775713461</v>
      </c>
      <c r="AI277" s="9">
        <f t="shared" si="45"/>
        <v>4.5900951230513707</v>
      </c>
      <c r="AJ277" s="9">
        <f>(4*PI()*(AI277^2))/(Y277+E277)</f>
        <v>0.92107918071921879</v>
      </c>
      <c r="AK277" s="12">
        <f t="shared" si="46"/>
        <v>0.36489151873767256</v>
      </c>
      <c r="AL277" s="12" t="s">
        <v>140</v>
      </c>
      <c r="AM277" s="12" t="s">
        <v>142</v>
      </c>
      <c r="AN277" s="16">
        <v>1.3858999999999999</v>
      </c>
      <c r="AO277" s="16">
        <v>0.1764</v>
      </c>
      <c r="AP277" s="16">
        <v>3188.2</v>
      </c>
      <c r="AQ277" s="16">
        <v>2603</v>
      </c>
      <c r="AR277" s="16">
        <v>0.8327</v>
      </c>
      <c r="AS277" s="16">
        <v>2.1041000000000001E-2</v>
      </c>
      <c r="AT277" s="16">
        <v>0.68215999999999999</v>
      </c>
      <c r="AU277" s="16">
        <v>2.8759999999999999</v>
      </c>
      <c r="AV277" s="16">
        <v>0.64071</v>
      </c>
      <c r="AW277" s="16">
        <v>2.5076000000000001E-2</v>
      </c>
      <c r="AX277" s="16">
        <v>6.7851999999999996E-2</v>
      </c>
      <c r="AY277" s="16">
        <v>-69.447999999999993</v>
      </c>
      <c r="AZ277" s="16">
        <v>-62.875999999999998</v>
      </c>
      <c r="BA277" s="16">
        <v>1.458</v>
      </c>
      <c r="BB277" s="16">
        <v>176.79</v>
      </c>
      <c r="BC277" s="16" t="s">
        <v>162</v>
      </c>
      <c r="BD277" s="34" t="s">
        <v>165</v>
      </c>
      <c r="BE277" t="s">
        <v>168</v>
      </c>
    </row>
    <row r="278" spans="1:57" x14ac:dyDescent="0.25">
      <c r="A278" s="15" t="s">
        <v>347</v>
      </c>
      <c r="B278" s="18" t="s">
        <v>5</v>
      </c>
      <c r="C278" s="18" t="s">
        <v>6</v>
      </c>
      <c r="D278" s="18">
        <v>83</v>
      </c>
      <c r="E278" s="18">
        <v>14.611000000000001</v>
      </c>
      <c r="F278" s="18">
        <v>13.869</v>
      </c>
      <c r="G278" s="15">
        <v>9.1300000000000008</v>
      </c>
      <c r="H278" s="15">
        <v>5.9</v>
      </c>
      <c r="I278" s="15">
        <v>2.8</v>
      </c>
      <c r="J278" s="15">
        <v>47.97</v>
      </c>
      <c r="K278" s="15">
        <v>20.81</v>
      </c>
      <c r="L278" s="15">
        <v>12.69</v>
      </c>
      <c r="M278" s="15">
        <v>7.1</v>
      </c>
      <c r="N278" s="15">
        <v>1</v>
      </c>
      <c r="O278" s="15">
        <v>3.88</v>
      </c>
      <c r="P278" s="9">
        <v>1.42821</v>
      </c>
      <c r="Q278" s="9">
        <v>1.8942399999999999</v>
      </c>
      <c r="R278" s="9">
        <v>-8.4745799999999996E-2</v>
      </c>
      <c r="S278" s="9">
        <v>0.219468</v>
      </c>
      <c r="T278" s="9">
        <v>0.33398299999999997</v>
      </c>
      <c r="U278" s="9">
        <v>0.303309</v>
      </c>
      <c r="V278" s="9">
        <v>7.9408399999999997</v>
      </c>
      <c r="W278" s="9">
        <v>4.1920999999999999</v>
      </c>
      <c r="X278" s="9">
        <v>5.98719</v>
      </c>
      <c r="Y278" s="9">
        <v>129.39099999999999</v>
      </c>
      <c r="Z278" s="9">
        <v>106.384</v>
      </c>
      <c r="AA278" s="9">
        <f t="shared" si="47"/>
        <v>1.4971785714285715</v>
      </c>
      <c r="AB278" s="9">
        <f t="shared" si="48"/>
        <v>3.2607142857142861</v>
      </c>
      <c r="AC278" s="9">
        <f t="shared" si="49"/>
        <v>2.1071428571428572</v>
      </c>
      <c r="AD278" s="9">
        <f t="shared" si="50"/>
        <v>8.8557251385942095</v>
      </c>
      <c r="AE278" s="9">
        <f t="shared" si="51"/>
        <v>7.2810895900349051</v>
      </c>
      <c r="AF278" s="9">
        <f t="shared" si="52"/>
        <v>5.7630606788077454</v>
      </c>
      <c r="AG278" s="9">
        <f t="shared" si="44"/>
        <v>2.156577322293677</v>
      </c>
      <c r="AH278" s="9">
        <f t="shared" si="43"/>
        <v>0.97701167677787348</v>
      </c>
      <c r="AI278" s="9">
        <f t="shared" si="45"/>
        <v>2.9394262535521296</v>
      </c>
      <c r="AJ278" s="9">
        <f>(4*PI()*(AI278^2))/(Y278+E278)</f>
        <v>0.75399154807002777</v>
      </c>
      <c r="AK278" s="12">
        <f t="shared" si="46"/>
        <v>0.72164948453608246</v>
      </c>
      <c r="AL278" s="12" t="s">
        <v>140</v>
      </c>
      <c r="AM278" s="12" t="s">
        <v>143</v>
      </c>
      <c r="AN278" s="18">
        <v>3.2818000000000001</v>
      </c>
      <c r="AO278" s="18">
        <v>0.46715000000000001</v>
      </c>
      <c r="AP278" s="18">
        <v>8947.7999999999993</v>
      </c>
      <c r="AQ278" s="18">
        <v>7918.3</v>
      </c>
      <c r="AR278" s="18">
        <v>1.7033</v>
      </c>
      <c r="AS278" s="18">
        <v>1.5155999999999999E-2</v>
      </c>
      <c r="AT278" s="18">
        <v>0.71838000000000002</v>
      </c>
      <c r="AU278" s="18">
        <v>3.5282</v>
      </c>
      <c r="AV278" s="18">
        <v>0.29341</v>
      </c>
      <c r="AW278" s="18">
        <v>1.3531E-2</v>
      </c>
      <c r="AX278" s="18">
        <v>0.14476</v>
      </c>
      <c r="AY278" s="18">
        <v>1.8129</v>
      </c>
      <c r="AZ278" s="18">
        <v>149.84</v>
      </c>
      <c r="BA278" s="18">
        <v>9.8105999999999999E-2</v>
      </c>
      <c r="BB278" s="18">
        <v>10.827999999999999</v>
      </c>
      <c r="BC278" s="18" t="s">
        <v>164</v>
      </c>
      <c r="BD278" s="35" t="s">
        <v>165</v>
      </c>
      <c r="BE278" t="s">
        <v>167</v>
      </c>
    </row>
    <row r="279" spans="1:57" x14ac:dyDescent="0.25">
      <c r="A279" s="15" t="s">
        <v>348</v>
      </c>
      <c r="B279" s="16" t="s">
        <v>5</v>
      </c>
      <c r="C279" s="16" t="s">
        <v>6</v>
      </c>
      <c r="D279" s="16">
        <v>83</v>
      </c>
      <c r="E279" s="16">
        <v>9.2059999999999995</v>
      </c>
      <c r="F279" s="16">
        <v>11.137</v>
      </c>
      <c r="G279" s="15">
        <v>4.26</v>
      </c>
      <c r="H279" s="15">
        <v>2.2000000000000002</v>
      </c>
      <c r="I279" s="15">
        <v>4.2</v>
      </c>
      <c r="J279" s="15">
        <v>22.68</v>
      </c>
      <c r="K279" s="15">
        <v>21.19</v>
      </c>
      <c r="L279" s="15">
        <v>42.72</v>
      </c>
      <c r="M279" s="15">
        <v>4.0999999999999996</v>
      </c>
      <c r="N279" s="15">
        <v>2</v>
      </c>
      <c r="O279" s="15">
        <f>3.46+0.63</f>
        <v>4.09</v>
      </c>
      <c r="P279" s="9">
        <v>0.66330299999999998</v>
      </c>
      <c r="Q279" s="9">
        <v>1.2462500000000001</v>
      </c>
      <c r="R279" s="9">
        <v>0.10975600000000001</v>
      </c>
      <c r="S279" s="9">
        <v>8.6590500000000001E-2</v>
      </c>
      <c r="T279" s="9">
        <v>9.2994199999999999E-2</v>
      </c>
      <c r="U279" s="9">
        <v>6.7158000000000001E-3</v>
      </c>
      <c r="V279" s="9">
        <v>4.0124500000000003</v>
      </c>
      <c r="W279" s="9">
        <v>3.2195999999999998</v>
      </c>
      <c r="X279" s="9">
        <v>2.13557</v>
      </c>
      <c r="Y279" s="9">
        <v>27.330500000000001</v>
      </c>
      <c r="Z279" s="9">
        <v>16.412500000000001</v>
      </c>
      <c r="AA279" s="9">
        <f t="shared" si="47"/>
        <v>0.76657142857142846</v>
      </c>
      <c r="AB279" s="9">
        <f t="shared" si="48"/>
        <v>1.0142857142857142</v>
      </c>
      <c r="AC279" s="9">
        <f t="shared" si="49"/>
        <v>0.52380952380952384</v>
      </c>
      <c r="AD279" s="9">
        <f t="shared" si="50"/>
        <v>2.9687703671518575</v>
      </c>
      <c r="AE279" s="9">
        <f t="shared" si="51"/>
        <v>1.7828046925917882</v>
      </c>
      <c r="AF279" s="9">
        <f t="shared" si="52"/>
        <v>4.2318579780629486</v>
      </c>
      <c r="AG279" s="9">
        <f t="shared" si="44"/>
        <v>1.7118296679891889</v>
      </c>
      <c r="AH279" s="9">
        <f t="shared" si="43"/>
        <v>0.96576663538688878</v>
      </c>
      <c r="AI279" s="9">
        <f t="shared" si="45"/>
        <v>1.5765050875412374</v>
      </c>
      <c r="AJ279" s="9">
        <f>(4*PI()*(AI279^2))/(Y279+E279)</f>
        <v>0.85481803288295033</v>
      </c>
      <c r="AK279" s="12">
        <f t="shared" si="46"/>
        <v>1.0268948655256724</v>
      </c>
      <c r="AL279" s="12" t="s">
        <v>140</v>
      </c>
      <c r="AM279" s="12" t="s">
        <v>142</v>
      </c>
      <c r="AN279" s="16">
        <v>4.7584</v>
      </c>
      <c r="AO279" s="16">
        <v>0.59036</v>
      </c>
      <c r="AP279" s="16">
        <v>7771.6</v>
      </c>
      <c r="AQ279" s="16">
        <v>7597.8</v>
      </c>
      <c r="AR279" s="16">
        <v>2.3186</v>
      </c>
      <c r="AS279" s="16">
        <v>1.8919999999999999E-2</v>
      </c>
      <c r="AT279" s="16">
        <v>0.70994000000000002</v>
      </c>
      <c r="AU279" s="16">
        <v>0.75956999999999997</v>
      </c>
      <c r="AV279" s="16">
        <v>6.4700999999999995E-2</v>
      </c>
      <c r="AW279" s="16">
        <v>2.2020000000000001E-2</v>
      </c>
      <c r="AX279" s="16">
        <v>0.18629999999999999</v>
      </c>
      <c r="AY279" s="16">
        <v>-6.1929999999999996</v>
      </c>
      <c r="AZ279" s="16">
        <v>-2727.4</v>
      </c>
      <c r="BA279" s="16">
        <v>2.6228999999999999E-2</v>
      </c>
      <c r="BB279" s="16">
        <v>8.8879999999999999</v>
      </c>
      <c r="BC279" s="16" t="s">
        <v>162</v>
      </c>
      <c r="BD279" s="34" t="s">
        <v>165</v>
      </c>
      <c r="BE279" t="s">
        <v>168</v>
      </c>
    </row>
    <row r="280" spans="1:57" x14ac:dyDescent="0.25">
      <c r="A280" s="15" t="s">
        <v>349</v>
      </c>
      <c r="B280" s="16" t="s">
        <v>13</v>
      </c>
      <c r="C280" s="16" t="s">
        <v>14</v>
      </c>
      <c r="D280" s="16">
        <v>25</v>
      </c>
      <c r="E280" s="16">
        <v>5.5202999999999998</v>
      </c>
      <c r="F280" s="16">
        <v>8.6933000000000007</v>
      </c>
      <c r="G280" s="15">
        <v>3.64</v>
      </c>
      <c r="H280" s="15">
        <v>2.7</v>
      </c>
      <c r="I280" s="15">
        <v>2.02</v>
      </c>
      <c r="J280" s="15">
        <v>49.18</v>
      </c>
      <c r="K280" s="15">
        <v>43.3</v>
      </c>
      <c r="L280" s="15">
        <v>71.47</v>
      </c>
      <c r="M280" s="15">
        <v>3.3</v>
      </c>
      <c r="N280" s="15">
        <v>2</v>
      </c>
      <c r="O280" s="15">
        <f>1.69+1.87</f>
        <v>3.56</v>
      </c>
      <c r="P280" s="9">
        <v>1.08951</v>
      </c>
      <c r="Q280" s="9">
        <v>1.30908</v>
      </c>
      <c r="R280" s="9">
        <v>0.25471700000000003</v>
      </c>
      <c r="S280" s="9">
        <v>0.108998</v>
      </c>
      <c r="T280" s="9">
        <v>0.11753</v>
      </c>
      <c r="U280" s="9">
        <v>8.5166700000000005E-3</v>
      </c>
      <c r="V280" s="9">
        <v>3.2875299999999998</v>
      </c>
      <c r="W280" s="9">
        <v>2.5113300000000001</v>
      </c>
      <c r="X280" s="9">
        <v>2.7361300000000002</v>
      </c>
      <c r="Y280" s="9">
        <v>23.648</v>
      </c>
      <c r="Z280" s="9">
        <v>12.6774</v>
      </c>
      <c r="AA280" s="9">
        <f t="shared" si="47"/>
        <v>1.2432326732673267</v>
      </c>
      <c r="AB280" s="9">
        <f t="shared" si="48"/>
        <v>1.801980198019802</v>
      </c>
      <c r="AC280" s="9">
        <f t="shared" si="49"/>
        <v>1.3366336633663367</v>
      </c>
      <c r="AD280" s="9">
        <f t="shared" si="50"/>
        <v>4.283825154430013</v>
      </c>
      <c r="AE280" s="9">
        <f t="shared" si="51"/>
        <v>2.2965056246943103</v>
      </c>
      <c r="AF280" s="9">
        <f t="shared" si="52"/>
        <v>4.3495162165178627</v>
      </c>
      <c r="AG280" s="9">
        <f t="shared" si="44"/>
        <v>1.325581406289474</v>
      </c>
      <c r="AH280" s="9">
        <f t="shared" si="43"/>
        <v>0.95807962631779364</v>
      </c>
      <c r="AI280" s="9">
        <f t="shared" si="45"/>
        <v>1.446484756893236</v>
      </c>
      <c r="AJ280" s="9">
        <f>(4*PI()*(AI280^2))/(Y280+E280)</f>
        <v>0.90141850365753662</v>
      </c>
      <c r="AK280" s="12">
        <f t="shared" si="46"/>
        <v>0.56741573033707859</v>
      </c>
      <c r="AL280" s="12" t="s">
        <v>144</v>
      </c>
      <c r="AM280" s="12" t="s">
        <v>142</v>
      </c>
      <c r="AN280" s="16">
        <v>9.5777999999999999</v>
      </c>
      <c r="AO280" s="16">
        <v>0.95386000000000004</v>
      </c>
      <c r="AP280" s="16">
        <v>26670</v>
      </c>
      <c r="AQ280" s="16">
        <v>24999</v>
      </c>
      <c r="AR280" s="16">
        <v>4.5130999999999997</v>
      </c>
      <c r="AS280" s="16">
        <v>1.0099E-2</v>
      </c>
      <c r="AT280" s="16">
        <v>0.74873000000000001</v>
      </c>
      <c r="AU280" s="16">
        <v>0.37541999999999998</v>
      </c>
      <c r="AV280" s="16">
        <v>3.4826000000000002E-3</v>
      </c>
      <c r="AW280" s="16">
        <v>6.1222000000000004E-3</v>
      </c>
      <c r="AX280" s="16">
        <v>0.30437999999999998</v>
      </c>
      <c r="AY280" s="16">
        <v>-7.1349999999999998</v>
      </c>
      <c r="AZ280" s="16">
        <v>-3857.8</v>
      </c>
      <c r="BA280" s="16">
        <v>3.6462000000000001E-2</v>
      </c>
      <c r="BB280" s="16">
        <v>10.456</v>
      </c>
      <c r="BC280" s="16" t="s">
        <v>162</v>
      </c>
      <c r="BD280" s="34" t="s">
        <v>163</v>
      </c>
      <c r="BE280" t="s">
        <v>168</v>
      </c>
    </row>
    <row r="281" spans="1:57" x14ac:dyDescent="0.25">
      <c r="A281" s="15" t="s">
        <v>350</v>
      </c>
      <c r="B281" s="16" t="s">
        <v>26</v>
      </c>
      <c r="C281" s="16" t="s">
        <v>6</v>
      </c>
      <c r="D281" s="16">
        <v>52</v>
      </c>
      <c r="E281" s="16">
        <v>11.663</v>
      </c>
      <c r="F281" s="16">
        <v>12.539</v>
      </c>
      <c r="G281" s="15">
        <v>6.3</v>
      </c>
      <c r="H281" s="15">
        <v>4.8</v>
      </c>
      <c r="I281" s="15">
        <v>2.57</v>
      </c>
      <c r="J281" s="15">
        <v>109.53</v>
      </c>
      <c r="K281" s="15">
        <v>23.32</v>
      </c>
      <c r="L281" s="15">
        <v>81.96</v>
      </c>
      <c r="M281" s="15">
        <v>4.5999999999999996</v>
      </c>
      <c r="N281" s="15">
        <v>2</v>
      </c>
      <c r="O281" s="15">
        <f>1.73+1.56</f>
        <v>3.29</v>
      </c>
      <c r="P281" s="9">
        <v>1.2828599999999999</v>
      </c>
      <c r="Q281" s="9">
        <v>1.59507</v>
      </c>
      <c r="R281" s="9">
        <v>6.3829800000000006E-2</v>
      </c>
      <c r="S281" s="9">
        <v>0.14632000000000001</v>
      </c>
      <c r="T281" s="9">
        <v>0.15839500000000001</v>
      </c>
      <c r="U281" s="9">
        <v>3.1118400000000001E-2</v>
      </c>
      <c r="V281" s="9">
        <v>5.9425400000000002</v>
      </c>
      <c r="W281" s="9">
        <v>3.7255699999999998</v>
      </c>
      <c r="X281" s="9">
        <v>4.7793799999999997</v>
      </c>
      <c r="Y281" s="9">
        <v>75.311000000000007</v>
      </c>
      <c r="Z281" s="9">
        <v>67.102599999999995</v>
      </c>
      <c r="AA281" s="9">
        <f t="shared" si="47"/>
        <v>1.4496381322957199</v>
      </c>
      <c r="AB281" s="9">
        <f t="shared" si="48"/>
        <v>2.4513618677042803</v>
      </c>
      <c r="AC281" s="9">
        <f t="shared" si="49"/>
        <v>1.867704280155642</v>
      </c>
      <c r="AD281" s="9">
        <f t="shared" si="50"/>
        <v>6.4572579953699742</v>
      </c>
      <c r="AE281" s="9">
        <f t="shared" si="51"/>
        <v>5.7534596587498923</v>
      </c>
      <c r="AF281" s="9">
        <f t="shared" si="52"/>
        <v>4.560707107314605</v>
      </c>
      <c r="AG281" s="9">
        <f t="shared" si="44"/>
        <v>1.9267714453358371</v>
      </c>
      <c r="AH281" s="9">
        <f t="shared" si="43"/>
        <v>0.96548863829869258</v>
      </c>
      <c r="AI281" s="9">
        <f t="shared" si="45"/>
        <v>2.5208688176702663</v>
      </c>
      <c r="AJ281" s="9">
        <f>(4*PI()*(AI281^2))/(Y281+E281)</f>
        <v>0.91816537786781971</v>
      </c>
      <c r="AK281" s="12">
        <f t="shared" si="46"/>
        <v>0.78115501519756836</v>
      </c>
      <c r="AL281" s="12" t="s">
        <v>144</v>
      </c>
      <c r="AM281" s="12" t="s">
        <v>142</v>
      </c>
      <c r="AN281" s="16">
        <v>6.2827000000000002</v>
      </c>
      <c r="AO281" s="16">
        <v>0.54142000000000001</v>
      </c>
      <c r="AP281" s="16">
        <v>11492</v>
      </c>
      <c r="AQ281" s="16">
        <v>10258</v>
      </c>
      <c r="AR281" s="16">
        <v>3.1865999999999999</v>
      </c>
      <c r="AS281" s="16">
        <v>9.5482999999999991E-3</v>
      </c>
      <c r="AT281" s="16">
        <v>0.70469000000000004</v>
      </c>
      <c r="AU281" s="16">
        <v>0.53503000000000001</v>
      </c>
      <c r="AV281" s="16">
        <v>2.6962E-2</v>
      </c>
      <c r="AW281" s="16">
        <v>8.0823000000000006E-3</v>
      </c>
      <c r="AX281" s="16">
        <v>0.23785000000000001</v>
      </c>
      <c r="AY281" s="16">
        <v>-33.069000000000003</v>
      </c>
      <c r="AZ281" s="16">
        <v>-3094.2</v>
      </c>
      <c r="BA281" s="16">
        <v>0.12252</v>
      </c>
      <c r="BB281" s="16">
        <v>30.347000000000001</v>
      </c>
      <c r="BC281" s="16" t="s">
        <v>162</v>
      </c>
      <c r="BD281" s="34" t="s">
        <v>165</v>
      </c>
      <c r="BE281" t="s">
        <v>167</v>
      </c>
    </row>
    <row r="282" spans="1:57" x14ac:dyDescent="0.25">
      <c r="A282" s="15" t="s">
        <v>351</v>
      </c>
      <c r="B282" s="16" t="s">
        <v>13</v>
      </c>
      <c r="C282" s="16" t="s">
        <v>14</v>
      </c>
      <c r="D282" s="16">
        <v>41</v>
      </c>
      <c r="E282" s="16">
        <v>18.178000000000001</v>
      </c>
      <c r="F282" s="16">
        <v>15.795999999999999</v>
      </c>
      <c r="G282" s="15">
        <v>19.36</v>
      </c>
      <c r="H282" s="15">
        <v>13.4</v>
      </c>
      <c r="I282" s="15">
        <v>2.31</v>
      </c>
      <c r="J282" s="15">
        <v>37.15</v>
      </c>
      <c r="K282" s="15">
        <f>180-142.81</f>
        <v>37.19</v>
      </c>
      <c r="L282" s="15">
        <v>76.569999999999993</v>
      </c>
      <c r="M282" s="15">
        <v>9</v>
      </c>
      <c r="N282" s="15">
        <v>2</v>
      </c>
      <c r="O282" s="15">
        <f>1.95+2.7</f>
        <v>4.6500000000000004</v>
      </c>
      <c r="P282" s="9">
        <v>2.8702100000000002</v>
      </c>
      <c r="Q282" s="9">
        <v>2.9336899999999999</v>
      </c>
      <c r="R282" s="9">
        <v>0.16165399999999999</v>
      </c>
      <c r="S282" s="9">
        <v>0.28143099999999999</v>
      </c>
      <c r="T282" s="9">
        <v>0.33299000000000001</v>
      </c>
      <c r="U282" s="9">
        <v>0.195218</v>
      </c>
      <c r="V282" s="9">
        <v>13.6668</v>
      </c>
      <c r="W282" s="9">
        <v>4.6585799999999997</v>
      </c>
      <c r="X282" s="9">
        <v>13.3711</v>
      </c>
      <c r="Y282" s="9">
        <v>414.512</v>
      </c>
      <c r="Z282" s="9">
        <v>611.35400000000004</v>
      </c>
      <c r="AA282" s="9">
        <f t="shared" si="47"/>
        <v>2.0167012987012987</v>
      </c>
      <c r="AB282" s="9">
        <f t="shared" si="48"/>
        <v>8.3809523809523814</v>
      </c>
      <c r="AC282" s="9">
        <f t="shared" si="49"/>
        <v>5.8008658008658012</v>
      </c>
      <c r="AD282" s="9">
        <f t="shared" si="50"/>
        <v>22.802948619210031</v>
      </c>
      <c r="AE282" s="9">
        <f t="shared" si="51"/>
        <v>33.631532621850589</v>
      </c>
      <c r="AF282" s="9">
        <f t="shared" si="52"/>
        <v>5.7545133559928425</v>
      </c>
      <c r="AG282" s="9">
        <f t="shared" si="44"/>
        <v>2.405459854383138</v>
      </c>
      <c r="AH282" s="9">
        <f t="shared" si="43"/>
        <v>0.9568213480672626</v>
      </c>
      <c r="AI282" s="9">
        <f t="shared" si="45"/>
        <v>5.2650364592099308</v>
      </c>
      <c r="AJ282" s="9">
        <f>(4*PI()*(AI282^2))/(Y282+E282)</f>
        <v>0.80507394509774233</v>
      </c>
      <c r="AK282" s="12">
        <f t="shared" si="46"/>
        <v>0.49677419354838709</v>
      </c>
      <c r="AL282" s="12" t="s">
        <v>140</v>
      </c>
      <c r="AM282" s="12" t="s">
        <v>142</v>
      </c>
      <c r="AN282" s="16">
        <v>2.8515000000000001</v>
      </c>
      <c r="AO282" s="16">
        <v>0.19425000000000001</v>
      </c>
      <c r="AP282" s="16">
        <v>4668.6000000000004</v>
      </c>
      <c r="AQ282" s="16">
        <v>4344.3999999999996</v>
      </c>
      <c r="AR282" s="16">
        <v>1.5447</v>
      </c>
      <c r="AS282" s="16">
        <v>3.9897000000000002E-2</v>
      </c>
      <c r="AT282" s="16">
        <v>0.65307000000000004</v>
      </c>
      <c r="AU282" s="16">
        <v>3.8386999999999998</v>
      </c>
      <c r="AV282" s="16">
        <v>0.61151999999999995</v>
      </c>
      <c r="AW282" s="16">
        <v>3.2868000000000001E-2</v>
      </c>
      <c r="AX282" s="16">
        <v>0.11795</v>
      </c>
      <c r="AY282" s="16">
        <v>36.444000000000003</v>
      </c>
      <c r="AZ282" s="16">
        <v>2005.4</v>
      </c>
      <c r="BA282" s="16">
        <v>0.27122000000000002</v>
      </c>
      <c r="BB282" s="16">
        <v>24.006</v>
      </c>
      <c r="BC282" s="16" t="s">
        <v>162</v>
      </c>
      <c r="BD282" s="34" t="s">
        <v>165</v>
      </c>
      <c r="BE282" t="s">
        <v>168</v>
      </c>
    </row>
    <row r="283" spans="1:57" x14ac:dyDescent="0.25">
      <c r="A283" s="15" t="s">
        <v>352</v>
      </c>
      <c r="B283" s="16" t="s">
        <v>5</v>
      </c>
      <c r="C283" s="16" t="s">
        <v>14</v>
      </c>
      <c r="D283" s="16">
        <v>41</v>
      </c>
      <c r="E283" s="16">
        <v>9.2950999999999997</v>
      </c>
      <c r="F283" s="16">
        <v>11.101000000000001</v>
      </c>
      <c r="G283" s="15">
        <v>5.21</v>
      </c>
      <c r="H283" s="15">
        <v>2.62</v>
      </c>
      <c r="I283" s="15">
        <v>4.17</v>
      </c>
      <c r="J283" s="15">
        <v>75.75</v>
      </c>
      <c r="K283" s="15">
        <v>27.59</v>
      </c>
      <c r="L283" s="15">
        <v>30</v>
      </c>
      <c r="M283" s="15">
        <v>5.65</v>
      </c>
      <c r="N283" s="15">
        <v>2</v>
      </c>
      <c r="O283" s="15">
        <f>2.6+4.03</f>
        <v>6.6300000000000008</v>
      </c>
      <c r="P283" s="9">
        <v>0.72717299999999996</v>
      </c>
      <c r="Q283" s="9">
        <v>1.2645299999999999</v>
      </c>
      <c r="R283" s="9">
        <v>-0.04</v>
      </c>
      <c r="S283" s="9">
        <v>0.119311</v>
      </c>
      <c r="T283" s="9">
        <v>0.19454099999999999</v>
      </c>
      <c r="U283" s="9">
        <v>0.17908499999999999</v>
      </c>
      <c r="V283" s="9">
        <v>4.4973799999999997</v>
      </c>
      <c r="W283" s="9">
        <v>3.5565600000000002</v>
      </c>
      <c r="X283" s="9">
        <v>2.58623</v>
      </c>
      <c r="Y283" s="9">
        <v>27.7029</v>
      </c>
      <c r="Z283" s="9">
        <v>14.0166</v>
      </c>
      <c r="AA283" s="9">
        <f t="shared" si="47"/>
        <v>0.85289208633093527</v>
      </c>
      <c r="AB283" s="9">
        <f t="shared" si="48"/>
        <v>1.249400479616307</v>
      </c>
      <c r="AC283" s="9">
        <f t="shared" si="49"/>
        <v>0.62829736211031184</v>
      </c>
      <c r="AD283" s="9">
        <f t="shared" si="50"/>
        <v>2.9803767576465021</v>
      </c>
      <c r="AE283" s="9">
        <f t="shared" si="51"/>
        <v>1.5079558046712784</v>
      </c>
      <c r="AF283" s="9">
        <f t="shared" si="52"/>
        <v>4.7653716976002709</v>
      </c>
      <c r="AG283" s="9">
        <f t="shared" si="44"/>
        <v>1.720093666945772</v>
      </c>
      <c r="AH283" s="9">
        <f t="shared" si="43"/>
        <v>0.97357600712785608</v>
      </c>
      <c r="AI283" s="9">
        <f t="shared" si="45"/>
        <v>1.4957236368068343</v>
      </c>
      <c r="AJ283" s="9">
        <f>(4*PI()*(AI283^2))/(Y283+E283)</f>
        <v>0.75986130582119338</v>
      </c>
      <c r="AK283" s="12">
        <f t="shared" si="46"/>
        <v>0.62895927601809942</v>
      </c>
      <c r="AL283" s="12" t="s">
        <v>140</v>
      </c>
      <c r="AM283" s="12" t="s">
        <v>142</v>
      </c>
      <c r="AN283" s="16">
        <v>10.321999999999999</v>
      </c>
      <c r="AO283" s="16">
        <v>1.1073</v>
      </c>
      <c r="AP283" s="16">
        <v>24639</v>
      </c>
      <c r="AQ283" s="16">
        <v>23939</v>
      </c>
      <c r="AR283" s="16">
        <v>4.8117999999999999</v>
      </c>
      <c r="AS283" s="16">
        <v>8.3405000000000007E-3</v>
      </c>
      <c r="AT283" s="16">
        <v>0.76990000000000003</v>
      </c>
      <c r="AU283" s="16">
        <v>0.55342999999999998</v>
      </c>
      <c r="AV283" s="16">
        <v>3.4979999999999997E-2</v>
      </c>
      <c r="AW283" s="16">
        <v>3.6927000000000001E-3</v>
      </c>
      <c r="AX283" s="16">
        <v>0.33850000000000002</v>
      </c>
      <c r="AY283" s="16">
        <v>1.0055000000000001</v>
      </c>
      <c r="AZ283" s="16">
        <v>-2940.9</v>
      </c>
      <c r="BA283" s="16">
        <v>1.3327E-2</v>
      </c>
      <c r="BB283" s="16">
        <v>5.5559000000000003</v>
      </c>
      <c r="BC283" s="16" t="s">
        <v>162</v>
      </c>
      <c r="BD283" s="34" t="s">
        <v>165</v>
      </c>
      <c r="BE283" t="s">
        <v>167</v>
      </c>
    </row>
    <row r="284" spans="1:57" x14ac:dyDescent="0.25">
      <c r="A284" s="15" t="s">
        <v>353</v>
      </c>
      <c r="B284" s="16" t="s">
        <v>13</v>
      </c>
      <c r="C284" s="16" t="s">
        <v>6</v>
      </c>
      <c r="D284" s="16">
        <v>56</v>
      </c>
      <c r="E284" s="16">
        <v>5.5144000000000002</v>
      </c>
      <c r="F284" s="16">
        <v>8.5668000000000006</v>
      </c>
      <c r="G284" s="15">
        <v>2.94</v>
      </c>
      <c r="H284" s="15">
        <v>1.95</v>
      </c>
      <c r="I284" s="15">
        <v>2.08</v>
      </c>
      <c r="J284" s="15">
        <v>69.52</v>
      </c>
      <c r="K284" s="15">
        <v>25.45</v>
      </c>
      <c r="L284" s="15">
        <v>87.78</v>
      </c>
      <c r="M284" s="15">
        <v>2.75</v>
      </c>
      <c r="N284" s="15">
        <v>2</v>
      </c>
      <c r="O284" s="15">
        <f>2.03+1.4</f>
        <v>3.4299999999999997</v>
      </c>
      <c r="P284" s="9">
        <v>0.75172600000000001</v>
      </c>
      <c r="Q284" s="9">
        <v>1.0554300000000001</v>
      </c>
      <c r="R284" s="9">
        <v>0.47368399999999999</v>
      </c>
      <c r="S284" s="9">
        <v>3.9162500000000003E-2</v>
      </c>
      <c r="T284" s="9">
        <v>4.7292300000000002E-2</v>
      </c>
      <c r="U284" s="9">
        <v>-3.1315200000000001E-3</v>
      </c>
      <c r="V284" s="9">
        <v>2.7592599999999998</v>
      </c>
      <c r="W284" s="9">
        <v>2.6143399999999999</v>
      </c>
      <c r="X284" s="9">
        <v>1.9652700000000001</v>
      </c>
      <c r="Y284" s="9">
        <v>14.8454</v>
      </c>
      <c r="Z284" s="9">
        <v>7.0731900000000003</v>
      </c>
      <c r="AA284" s="9">
        <f t="shared" si="47"/>
        <v>1.2568942307692306</v>
      </c>
      <c r="AB284" s="9">
        <f t="shared" si="48"/>
        <v>1.4134615384615383</v>
      </c>
      <c r="AC284" s="9">
        <f t="shared" si="49"/>
        <v>0.9375</v>
      </c>
      <c r="AD284" s="9">
        <f t="shared" si="50"/>
        <v>2.692115189322501</v>
      </c>
      <c r="AE284" s="9">
        <f t="shared" si="51"/>
        <v>1.2826762657768751</v>
      </c>
      <c r="AF284" s="9">
        <f t="shared" si="52"/>
        <v>4.0288554681370119</v>
      </c>
      <c r="AG284" s="9">
        <f t="shared" si="44"/>
        <v>1.3248728378119523</v>
      </c>
      <c r="AH284" s="9">
        <f t="shared" si="43"/>
        <v>0.97170723588987507</v>
      </c>
      <c r="AI284" s="9">
        <f t="shared" si="45"/>
        <v>1.1908093564027427</v>
      </c>
      <c r="AJ284" s="9">
        <f>(4*PI()*(AI284^2))/(Y284+E284)</f>
        <v>0.87522725465284279</v>
      </c>
      <c r="AK284" s="12">
        <f t="shared" si="46"/>
        <v>0.60641399416909625</v>
      </c>
      <c r="AL284" s="12" t="s">
        <v>144</v>
      </c>
      <c r="AM284" s="12" t="s">
        <v>142</v>
      </c>
      <c r="AN284" s="16">
        <v>11.717000000000001</v>
      </c>
      <c r="AO284" s="16">
        <v>1.6425000000000001</v>
      </c>
      <c r="AP284" s="16">
        <v>23875</v>
      </c>
      <c r="AQ284" s="16">
        <v>22883</v>
      </c>
      <c r="AR284" s="16">
        <v>6.0294999999999996</v>
      </c>
      <c r="AS284" s="16">
        <v>5.9896000000000003E-3</v>
      </c>
      <c r="AT284" s="16">
        <v>0.73512999999999995</v>
      </c>
      <c r="AU284" s="16">
        <v>0.40294999999999997</v>
      </c>
      <c r="AV284" s="16">
        <v>7.4637000000000002E-3</v>
      </c>
      <c r="AW284" s="16">
        <v>3.2203000000000002E-3</v>
      </c>
      <c r="AX284" s="16">
        <v>0.33002999999999999</v>
      </c>
      <c r="AY284" s="16">
        <v>0.31051000000000001</v>
      </c>
      <c r="AZ284" s="16">
        <v>-5831.6</v>
      </c>
      <c r="BA284" s="16">
        <v>1.0158E-2</v>
      </c>
      <c r="BB284" s="16">
        <v>6.7605000000000004</v>
      </c>
      <c r="BC284" s="16" t="s">
        <v>162</v>
      </c>
      <c r="BD284" s="34" t="s">
        <v>163</v>
      </c>
      <c r="BE284" t="s">
        <v>168</v>
      </c>
    </row>
    <row r="285" spans="1:57" x14ac:dyDescent="0.25">
      <c r="A285" s="15" t="s">
        <v>354</v>
      </c>
      <c r="B285" s="16" t="s">
        <v>26</v>
      </c>
      <c r="C285" s="16" t="s">
        <v>6</v>
      </c>
      <c r="D285" s="16">
        <v>43</v>
      </c>
      <c r="E285" s="16">
        <v>35.136000000000003</v>
      </c>
      <c r="F285" s="16">
        <v>22.113</v>
      </c>
      <c r="G285" s="15">
        <v>10.38</v>
      </c>
      <c r="H285" s="15">
        <v>6.42</v>
      </c>
      <c r="I285" s="15">
        <v>2.29</v>
      </c>
      <c r="J285" s="15">
        <v>108.81</v>
      </c>
      <c r="K285" s="15">
        <v>8.82</v>
      </c>
      <c r="L285" s="15">
        <v>65.739999999999995</v>
      </c>
      <c r="M285" s="15">
        <v>9.1999999999999993</v>
      </c>
      <c r="N285" s="15">
        <v>2</v>
      </c>
      <c r="O285" s="15">
        <f>2.09+2.22</f>
        <v>4.3100000000000005</v>
      </c>
      <c r="P285" s="9">
        <v>1.0378099999999999</v>
      </c>
      <c r="Q285" s="9">
        <v>1.63889</v>
      </c>
      <c r="R285" s="9">
        <v>3.4351199999999998E-2</v>
      </c>
      <c r="S285" s="9">
        <v>0.12781999999999999</v>
      </c>
      <c r="T285" s="9">
        <v>0.148891</v>
      </c>
      <c r="U285" s="9">
        <v>5.8843300000000001E-2</v>
      </c>
      <c r="V285" s="9">
        <v>10.4968</v>
      </c>
      <c r="W285" s="9">
        <v>6.4048100000000003</v>
      </c>
      <c r="X285" s="9">
        <v>6.6469899999999997</v>
      </c>
      <c r="Y285" s="9">
        <v>187.976</v>
      </c>
      <c r="Z285" s="9">
        <v>269.10300000000001</v>
      </c>
      <c r="AA285" s="9">
        <f t="shared" si="47"/>
        <v>2.7968602620087339</v>
      </c>
      <c r="AB285" s="9">
        <f t="shared" si="48"/>
        <v>4.5327510917030569</v>
      </c>
      <c r="AC285" s="9">
        <f t="shared" si="49"/>
        <v>2.8034934497816595</v>
      </c>
      <c r="AD285" s="9">
        <f t="shared" si="50"/>
        <v>5.3499544626593805</v>
      </c>
      <c r="AE285" s="9">
        <f t="shared" si="51"/>
        <v>7.6588968579234971</v>
      </c>
      <c r="AF285" s="9">
        <f t="shared" si="52"/>
        <v>4.5097940674125381</v>
      </c>
      <c r="AG285" s="9">
        <f t="shared" si="44"/>
        <v>3.3442691519902628</v>
      </c>
      <c r="AH285" s="9">
        <f t="shared" si="43"/>
        <v>0.95024025681902735</v>
      </c>
      <c r="AI285" s="9">
        <f t="shared" si="45"/>
        <v>4.0050687612078528</v>
      </c>
      <c r="AJ285" s="9">
        <f>(4*PI()*(AI285^2))/(Y285+E285)</f>
        <v>0.9034557538113771</v>
      </c>
      <c r="AK285" s="12">
        <f t="shared" si="46"/>
        <v>0.53132250580046403</v>
      </c>
      <c r="AL285" s="12" t="s">
        <v>140</v>
      </c>
      <c r="AM285" s="12" t="s">
        <v>142</v>
      </c>
      <c r="AN285" s="16">
        <v>1.7837000000000001</v>
      </c>
      <c r="AO285" s="16">
        <v>0.28871000000000002</v>
      </c>
      <c r="AP285" s="16">
        <v>1649.5</v>
      </c>
      <c r="AQ285" s="16">
        <v>1588.3</v>
      </c>
      <c r="AR285" s="16">
        <v>1.1465000000000001</v>
      </c>
      <c r="AS285" s="16">
        <v>2.7112000000000001E-2</v>
      </c>
      <c r="AT285" s="16">
        <v>0.68154000000000003</v>
      </c>
      <c r="AU285" s="16">
        <v>2.2292999999999998</v>
      </c>
      <c r="AV285" s="16">
        <v>0.34620000000000001</v>
      </c>
      <c r="AW285" s="16">
        <v>2.2984999999999998E-2</v>
      </c>
      <c r="AX285" s="16">
        <v>9.6501000000000003E-2</v>
      </c>
      <c r="AY285" s="16">
        <v>-110.47</v>
      </c>
      <c r="AZ285" s="16">
        <v>-318.56</v>
      </c>
      <c r="BA285" s="16">
        <v>0.70987</v>
      </c>
      <c r="BB285" s="16">
        <v>0</v>
      </c>
      <c r="BC285" s="16" t="s">
        <v>164</v>
      </c>
      <c r="BD285" s="34" t="s">
        <v>165</v>
      </c>
      <c r="BE285" t="s">
        <v>167</v>
      </c>
    </row>
    <row r="286" spans="1:57" x14ac:dyDescent="0.25">
      <c r="A286" s="15" t="s">
        <v>355</v>
      </c>
      <c r="B286" s="16" t="s">
        <v>26</v>
      </c>
      <c r="C286" s="16" t="s">
        <v>6</v>
      </c>
      <c r="D286" s="16">
        <v>48</v>
      </c>
      <c r="E286" s="16">
        <v>19.114999999999998</v>
      </c>
      <c r="F286" s="16">
        <v>16.004999999999999</v>
      </c>
      <c r="G286" s="15">
        <v>6.2</v>
      </c>
      <c r="H286" s="15">
        <v>2.8</v>
      </c>
      <c r="I286" s="15">
        <v>2.98</v>
      </c>
      <c r="J286" s="15">
        <v>76.290000000000006</v>
      </c>
      <c r="K286" s="15">
        <v>18.100000000000001</v>
      </c>
      <c r="L286" s="15">
        <v>80.25</v>
      </c>
      <c r="M286" s="15">
        <v>5.3</v>
      </c>
      <c r="N286" s="15">
        <v>2</v>
      </c>
      <c r="O286" s="15">
        <f>2.95+2.35</f>
        <v>5.3000000000000007</v>
      </c>
      <c r="P286" s="9">
        <v>0.58428100000000005</v>
      </c>
      <c r="Q286" s="9">
        <v>1.1282799999999999</v>
      </c>
      <c r="R286" s="9">
        <v>0.44545499999999999</v>
      </c>
      <c r="S286" s="9">
        <v>8.1377699999999997E-2</v>
      </c>
      <c r="T286" s="9">
        <v>0.119558</v>
      </c>
      <c r="U286" s="9">
        <v>8.9382600000000006E-2</v>
      </c>
      <c r="V286" s="9">
        <v>5.4306900000000002</v>
      </c>
      <c r="W286" s="9">
        <v>4.8132400000000004</v>
      </c>
      <c r="X286" s="9">
        <v>2.8122799999999999</v>
      </c>
      <c r="Y286" s="9">
        <v>44.294400000000003</v>
      </c>
      <c r="Z286" s="9">
        <v>32.386400000000002</v>
      </c>
      <c r="AA286" s="9">
        <f t="shared" si="47"/>
        <v>1.6151812080536914</v>
      </c>
      <c r="AB286" s="9">
        <f t="shared" si="48"/>
        <v>2.0805369127516777</v>
      </c>
      <c r="AC286" s="9">
        <f t="shared" si="49"/>
        <v>0.93959731543624159</v>
      </c>
      <c r="AD286" s="9">
        <f t="shared" si="50"/>
        <v>2.317258697358096</v>
      </c>
      <c r="AE286" s="9">
        <f t="shared" si="51"/>
        <v>1.6942924404917605</v>
      </c>
      <c r="AF286" s="9">
        <f t="shared" si="52"/>
        <v>4.3595370498580577</v>
      </c>
      <c r="AG286" s="9">
        <f t="shared" si="44"/>
        <v>2.4666766051517897</v>
      </c>
      <c r="AH286" s="9">
        <f t="shared" si="43"/>
        <v>0.9683590254953669</v>
      </c>
      <c r="AI286" s="9">
        <f t="shared" si="45"/>
        <v>1.9773855464762486</v>
      </c>
      <c r="AJ286" s="9">
        <f>(4*PI()*(AI286^2))/(Y286+E286)</f>
        <v>0.7748879921941384</v>
      </c>
      <c r="AK286" s="12">
        <f t="shared" si="46"/>
        <v>0.5622641509433961</v>
      </c>
      <c r="AL286" s="12" t="s">
        <v>140</v>
      </c>
      <c r="AM286" s="12" t="s">
        <v>142</v>
      </c>
      <c r="AN286" s="16">
        <v>9.8690999999999995</v>
      </c>
      <c r="AO286" s="16">
        <v>1.2967</v>
      </c>
      <c r="AP286" s="16">
        <v>17201</v>
      </c>
      <c r="AQ286" s="16">
        <v>14732</v>
      </c>
      <c r="AR286" s="16">
        <v>4.7015000000000002</v>
      </c>
      <c r="AS286" s="16">
        <v>4.1691000000000002E-3</v>
      </c>
      <c r="AT286" s="16">
        <v>0.77788999999999997</v>
      </c>
      <c r="AU286" s="16">
        <v>0.41516999999999998</v>
      </c>
      <c r="AV286" s="16">
        <v>1.5535E-2</v>
      </c>
      <c r="AW286" s="16">
        <v>2.7474000000000001E-3</v>
      </c>
      <c r="AX286" s="16">
        <v>0.30092999999999998</v>
      </c>
      <c r="AY286" s="16">
        <v>-0.26616000000000001</v>
      </c>
      <c r="AZ286" s="16">
        <v>-862.15</v>
      </c>
      <c r="BA286" s="16">
        <v>3.5165000000000002E-2</v>
      </c>
      <c r="BB286" s="16">
        <v>39.862000000000002</v>
      </c>
      <c r="BC286" s="16" t="s">
        <v>162</v>
      </c>
      <c r="BD286" s="34" t="s">
        <v>165</v>
      </c>
      <c r="BE286" t="s">
        <v>167</v>
      </c>
    </row>
    <row r="287" spans="1:57" x14ac:dyDescent="0.25">
      <c r="A287" s="15" t="s">
        <v>356</v>
      </c>
      <c r="B287" s="18" t="s">
        <v>5</v>
      </c>
      <c r="C287" s="18" t="s">
        <v>6</v>
      </c>
      <c r="D287" s="18">
        <v>48</v>
      </c>
      <c r="E287" s="18">
        <v>6.383</v>
      </c>
      <c r="F287" s="18">
        <v>9.2482000000000006</v>
      </c>
      <c r="G287" s="15">
        <v>3.43</v>
      </c>
      <c r="H287" s="15">
        <v>2.6</v>
      </c>
      <c r="I287" s="15">
        <v>4.04</v>
      </c>
      <c r="J287" s="15">
        <v>94.41</v>
      </c>
      <c r="K287" s="15">
        <v>39.69</v>
      </c>
      <c r="L287" s="15">
        <v>17.55</v>
      </c>
      <c r="M287" s="15">
        <v>3.2</v>
      </c>
      <c r="N287" s="15">
        <v>1</v>
      </c>
      <c r="O287" s="15">
        <v>3.72</v>
      </c>
      <c r="P287" s="9">
        <v>0.92538799999999999</v>
      </c>
      <c r="Q287" s="9">
        <v>1.1091899999999999</v>
      </c>
      <c r="R287" s="9">
        <v>0.48</v>
      </c>
      <c r="S287" s="9">
        <v>7.6502500000000001E-2</v>
      </c>
      <c r="T287" s="9">
        <v>9.7773200000000005E-2</v>
      </c>
      <c r="U287" s="9">
        <v>3.1890700000000001E-2</v>
      </c>
      <c r="V287" s="9">
        <v>3.1022799999999999</v>
      </c>
      <c r="W287" s="9">
        <v>2.7968999999999999</v>
      </c>
      <c r="X287" s="9">
        <v>2.5882100000000001</v>
      </c>
      <c r="Y287" s="9">
        <v>21.735399999999998</v>
      </c>
      <c r="Z287" s="9">
        <v>11.5482</v>
      </c>
      <c r="AA287" s="9">
        <f t="shared" si="47"/>
        <v>0.69230198019801981</v>
      </c>
      <c r="AB287" s="9">
        <f t="shared" si="48"/>
        <v>0.84900990099009899</v>
      </c>
      <c r="AC287" s="9">
        <f t="shared" si="49"/>
        <v>0.64356435643564358</v>
      </c>
      <c r="AD287" s="9">
        <f t="shared" si="50"/>
        <v>3.4052013159956132</v>
      </c>
      <c r="AE287" s="9">
        <f t="shared" si="51"/>
        <v>1.8092119692934356</v>
      </c>
      <c r="AF287" s="9">
        <f t="shared" si="52"/>
        <v>4.2542672895368803</v>
      </c>
      <c r="AG287" s="9">
        <f t="shared" si="44"/>
        <v>1.4254024005561152</v>
      </c>
      <c r="AH287" s="9">
        <f t="shared" si="43"/>
        <v>0.96841195259539081</v>
      </c>
      <c r="AI287" s="9">
        <f t="shared" si="45"/>
        <v>1.4021954788441089</v>
      </c>
      <c r="AJ287" s="9">
        <f>(4*PI()*(AI287^2))/(Y287+E287)</f>
        <v>0.87869141693615893</v>
      </c>
      <c r="AK287" s="12">
        <f t="shared" si="46"/>
        <v>1.086021505376344</v>
      </c>
      <c r="AL287" s="12" t="s">
        <v>144</v>
      </c>
      <c r="AM287" s="12" t="s">
        <v>143</v>
      </c>
      <c r="AN287" s="18">
        <v>7.2557999999999998</v>
      </c>
      <c r="AO287" s="18">
        <v>0.78878000000000004</v>
      </c>
      <c r="AP287" s="18">
        <v>11400</v>
      </c>
      <c r="AQ287" s="18">
        <v>11576</v>
      </c>
      <c r="AR287" s="18">
        <v>3.9500999999999999</v>
      </c>
      <c r="AS287" s="18">
        <v>3.8533999999999999E-3</v>
      </c>
      <c r="AT287" s="18">
        <v>0.72326999999999997</v>
      </c>
      <c r="AU287" s="18">
        <v>0.38371</v>
      </c>
      <c r="AV287" s="19">
        <v>2.7805000000000001E-4</v>
      </c>
      <c r="AW287" s="18">
        <v>3.4754E-3</v>
      </c>
      <c r="AX287" s="18">
        <v>0.21115999999999999</v>
      </c>
      <c r="AY287" s="18">
        <v>4.4649999999999999</v>
      </c>
      <c r="AZ287" s="18">
        <v>4270</v>
      </c>
      <c r="BA287" s="18">
        <v>1.7382999999999999E-2</v>
      </c>
      <c r="BB287" s="18">
        <v>8.8196999999999992</v>
      </c>
      <c r="BC287" s="18" t="s">
        <v>162</v>
      </c>
      <c r="BD287" s="35" t="s">
        <v>163</v>
      </c>
      <c r="BE287" t="s">
        <v>167</v>
      </c>
    </row>
    <row r="288" spans="1:57" x14ac:dyDescent="0.25">
      <c r="A288" s="15" t="s">
        <v>357</v>
      </c>
      <c r="B288" s="16" t="s">
        <v>26</v>
      </c>
      <c r="C288" s="16" t="s">
        <v>6</v>
      </c>
      <c r="D288" s="16">
        <v>48</v>
      </c>
      <c r="E288" s="16">
        <v>14.131</v>
      </c>
      <c r="F288" s="16">
        <v>13.776999999999999</v>
      </c>
      <c r="G288" s="15">
        <v>6.71</v>
      </c>
      <c r="H288" s="15">
        <v>5.0999999999999996</v>
      </c>
      <c r="I288" s="15">
        <v>3</v>
      </c>
      <c r="J288" s="15">
        <v>11.73</v>
      </c>
      <c r="K288" s="15">
        <v>45.51</v>
      </c>
      <c r="L288" s="15">
        <v>60.93</v>
      </c>
      <c r="M288" s="15">
        <v>5.3</v>
      </c>
      <c r="N288" s="15">
        <v>2</v>
      </c>
      <c r="O288" s="15">
        <f>2.8+1.58</f>
        <v>4.38</v>
      </c>
      <c r="P288" s="9">
        <v>1.23597</v>
      </c>
      <c r="Q288" s="9">
        <v>1.13473</v>
      </c>
      <c r="R288" s="9">
        <v>0.49</v>
      </c>
      <c r="S288" s="9">
        <v>0.14319499999999999</v>
      </c>
      <c r="T288" s="9">
        <v>0.16675899999999999</v>
      </c>
      <c r="U288" s="9">
        <v>7.17608E-2</v>
      </c>
      <c r="V288" s="9">
        <v>4.6620499999999998</v>
      </c>
      <c r="W288" s="9">
        <v>4.1085099999999999</v>
      </c>
      <c r="X288" s="9">
        <v>5.0780000000000003</v>
      </c>
      <c r="Y288" s="9">
        <v>60.291699999999999</v>
      </c>
      <c r="Z288" s="9">
        <v>47.351100000000002</v>
      </c>
      <c r="AA288" s="9">
        <f t="shared" si="47"/>
        <v>1.3695033333333333</v>
      </c>
      <c r="AB288" s="9">
        <f t="shared" si="48"/>
        <v>2.2366666666666668</v>
      </c>
      <c r="AC288" s="9">
        <f t="shared" si="49"/>
        <v>1.7</v>
      </c>
      <c r="AD288" s="9">
        <f t="shared" si="50"/>
        <v>4.266626565706602</v>
      </c>
      <c r="AE288" s="9">
        <f t="shared" si="51"/>
        <v>3.350866888401387</v>
      </c>
      <c r="AF288" s="9">
        <f t="shared" si="52"/>
        <v>4.6064972322865341</v>
      </c>
      <c r="AG288" s="9">
        <f t="shared" si="44"/>
        <v>2.1208576099453604</v>
      </c>
      <c r="AH288" s="9">
        <f t="shared" si="43"/>
        <v>0.96724550870499404</v>
      </c>
      <c r="AI288" s="9">
        <f t="shared" si="45"/>
        <v>2.2442978205049728</v>
      </c>
      <c r="AJ288" s="9">
        <f>(4*PI()*(AI288^2))/(Y288+E288)</f>
        <v>0.85048257017096762</v>
      </c>
      <c r="AK288" s="12">
        <f t="shared" si="46"/>
        <v>0.68493150684931503</v>
      </c>
      <c r="AL288" s="12" t="s">
        <v>144</v>
      </c>
      <c r="AM288" s="12" t="s">
        <v>142</v>
      </c>
      <c r="AN288" s="16">
        <v>3.8344</v>
      </c>
      <c r="AO288" s="16">
        <v>0.4219</v>
      </c>
      <c r="AP288" s="16">
        <v>5958.7</v>
      </c>
      <c r="AQ288" s="16">
        <v>5252.4</v>
      </c>
      <c r="AR288" s="16">
        <v>1.7302999999999999</v>
      </c>
      <c r="AS288" s="16">
        <v>2.3016999999999999E-2</v>
      </c>
      <c r="AT288" s="16">
        <v>0.67818000000000001</v>
      </c>
      <c r="AU288" s="16">
        <v>1.0513999999999999</v>
      </c>
      <c r="AV288" s="16">
        <v>3.1364000000000003E-2</v>
      </c>
      <c r="AW288" s="16">
        <v>1.6480000000000002E-2</v>
      </c>
      <c r="AX288" s="16">
        <v>0.16256000000000001</v>
      </c>
      <c r="AY288" s="16">
        <v>-30.564</v>
      </c>
      <c r="AZ288" s="16">
        <v>-1617.9</v>
      </c>
      <c r="BA288" s="16">
        <v>9.3232999999999996E-2</v>
      </c>
      <c r="BB288" s="16">
        <v>28.1</v>
      </c>
      <c r="BC288" s="16" t="s">
        <v>162</v>
      </c>
      <c r="BD288" s="34" t="s">
        <v>163</v>
      </c>
      <c r="BE288" t="s">
        <v>167</v>
      </c>
    </row>
    <row r="289" spans="1:57" x14ac:dyDescent="0.25">
      <c r="A289" s="15" t="s">
        <v>358</v>
      </c>
      <c r="B289" s="16" t="s">
        <v>26</v>
      </c>
      <c r="C289" s="16" t="s">
        <v>6</v>
      </c>
      <c r="D289" s="16">
        <v>48</v>
      </c>
      <c r="E289" s="16">
        <v>14.17</v>
      </c>
      <c r="F289" s="16">
        <v>12.654</v>
      </c>
      <c r="G289" s="15">
        <v>5.35</v>
      </c>
      <c r="H289" s="15">
        <v>3.1</v>
      </c>
      <c r="I289" s="15">
        <v>2.75</v>
      </c>
      <c r="J289" s="15">
        <v>31.39</v>
      </c>
      <c r="K289" s="15">
        <v>30.83</v>
      </c>
      <c r="L289" s="15">
        <v>58.77</v>
      </c>
      <c r="M289" s="15">
        <v>4.2</v>
      </c>
      <c r="N289" s="15">
        <v>2</v>
      </c>
      <c r="O289" s="15">
        <f>1.88+2.48</f>
        <v>4.3599999999999994</v>
      </c>
      <c r="P289" s="9">
        <v>0.74236100000000005</v>
      </c>
      <c r="Q289" s="9">
        <v>1.21455</v>
      </c>
      <c r="R289" s="9">
        <v>0.45082</v>
      </c>
      <c r="S289" s="9">
        <v>7.2914199999999998E-2</v>
      </c>
      <c r="T289" s="9">
        <v>0.12316000000000001</v>
      </c>
      <c r="U289" s="9">
        <v>0.11444500000000001</v>
      </c>
      <c r="V289" s="9">
        <v>5.1268200000000004</v>
      </c>
      <c r="W289" s="9">
        <v>4.2211800000000004</v>
      </c>
      <c r="X289" s="9">
        <v>3.1336400000000002</v>
      </c>
      <c r="Y289" s="9">
        <v>36.850700000000003</v>
      </c>
      <c r="Z289" s="9">
        <v>24.4252</v>
      </c>
      <c r="AA289" s="9">
        <f t="shared" si="47"/>
        <v>1.5349745454545456</v>
      </c>
      <c r="AB289" s="9">
        <f t="shared" si="48"/>
        <v>1.9454545454545453</v>
      </c>
      <c r="AC289" s="9">
        <f t="shared" si="49"/>
        <v>1.1272727272727272</v>
      </c>
      <c r="AD289" s="9">
        <f t="shared" si="50"/>
        <v>2.6006139731827806</v>
      </c>
      <c r="AE289" s="9">
        <f t="shared" si="51"/>
        <v>1.723726182074806</v>
      </c>
      <c r="AF289" s="9">
        <f t="shared" si="52"/>
        <v>4.3774412181071396</v>
      </c>
      <c r="AG289" s="9">
        <f t="shared" si="44"/>
        <v>2.1237822598431118</v>
      </c>
      <c r="AH289" s="9">
        <f t="shared" si="43"/>
        <v>1.0545374972889916</v>
      </c>
      <c r="AI289" s="9">
        <f t="shared" si="45"/>
        <v>1.7999060623829199</v>
      </c>
      <c r="AJ289" s="9">
        <f>(4*PI()*(AI289^2))/(Y289+E289)</f>
        <v>0.79792694462705827</v>
      </c>
      <c r="AK289" s="12">
        <f t="shared" si="46"/>
        <v>0.63073394495412849</v>
      </c>
      <c r="AL289" s="12" t="s">
        <v>140</v>
      </c>
      <c r="AM289" s="12" t="s">
        <v>142</v>
      </c>
      <c r="AN289" s="16">
        <v>9.9986999999999995</v>
      </c>
      <c r="AO289" s="16">
        <v>1.1375</v>
      </c>
      <c r="AP289" s="16">
        <v>14585</v>
      </c>
      <c r="AQ289" s="16">
        <v>15230</v>
      </c>
      <c r="AR289" s="16">
        <v>5.0548000000000002</v>
      </c>
      <c r="AS289" s="16">
        <v>9.9711999999999995E-3</v>
      </c>
      <c r="AT289" s="16">
        <v>0.70613999999999999</v>
      </c>
      <c r="AU289" s="16">
        <v>0.31514999999999999</v>
      </c>
      <c r="AV289" s="16">
        <v>1.7324E-3</v>
      </c>
      <c r="AW289" s="16">
        <v>4.7169000000000004E-3</v>
      </c>
      <c r="AX289" s="16">
        <v>0.36427999999999999</v>
      </c>
      <c r="AY289" s="16">
        <v>0.62710999999999995</v>
      </c>
      <c r="AZ289" s="16">
        <v>-2121.1999999999998</v>
      </c>
      <c r="BA289" s="16">
        <v>1.2956000000000001E-2</v>
      </c>
      <c r="BB289" s="16">
        <v>5.9532999999999996</v>
      </c>
      <c r="BC289" s="16" t="s">
        <v>162</v>
      </c>
      <c r="BD289" s="34" t="s">
        <v>165</v>
      </c>
      <c r="BE289" t="s">
        <v>167</v>
      </c>
    </row>
    <row r="290" spans="1:57" x14ac:dyDescent="0.25">
      <c r="A290" s="15" t="s">
        <v>359</v>
      </c>
      <c r="B290" s="18" t="s">
        <v>5</v>
      </c>
      <c r="C290" s="18" t="s">
        <v>6</v>
      </c>
      <c r="D290" s="18">
        <v>48</v>
      </c>
      <c r="E290" s="18">
        <v>7.3459000000000003</v>
      </c>
      <c r="F290" s="18">
        <v>9.9285999999999994</v>
      </c>
      <c r="G290" s="15">
        <v>3.33</v>
      </c>
      <c r="H290" s="15">
        <v>2.34</v>
      </c>
      <c r="I290" s="15">
        <v>4.6500000000000004</v>
      </c>
      <c r="J290" s="15">
        <v>70.75</v>
      </c>
      <c r="K290" s="15">
        <v>33.659999999999997</v>
      </c>
      <c r="L290" s="15">
        <v>21.69</v>
      </c>
      <c r="M290" s="15">
        <v>3.25</v>
      </c>
      <c r="N290" s="15">
        <v>1</v>
      </c>
      <c r="O290" s="15">
        <v>4.13</v>
      </c>
      <c r="P290" s="9">
        <v>0.79014399999999996</v>
      </c>
      <c r="Q290" s="9">
        <v>1.10365</v>
      </c>
      <c r="R290" s="9">
        <v>0.47826099999999999</v>
      </c>
      <c r="S290" s="9">
        <v>4.8523700000000003E-2</v>
      </c>
      <c r="T290" s="9">
        <v>5.4343700000000002E-2</v>
      </c>
      <c r="U290" s="9">
        <v>1.3375399999999999E-3</v>
      </c>
      <c r="V290" s="9">
        <v>3.2933500000000002</v>
      </c>
      <c r="W290" s="9">
        <v>2.9840499999999999</v>
      </c>
      <c r="X290" s="9">
        <v>2.3578299999999999</v>
      </c>
      <c r="Y290" s="9">
        <v>21.327200000000001</v>
      </c>
      <c r="Z290" s="9">
        <v>12.044499999999999</v>
      </c>
      <c r="AA290" s="9">
        <f t="shared" si="47"/>
        <v>0.64173118279569885</v>
      </c>
      <c r="AB290" s="9">
        <f t="shared" si="48"/>
        <v>0.71612903225806446</v>
      </c>
      <c r="AC290" s="9">
        <f t="shared" si="49"/>
        <v>0.50322580645161286</v>
      </c>
      <c r="AD290" s="9">
        <f t="shared" si="50"/>
        <v>2.9032793803346086</v>
      </c>
      <c r="AE290" s="9">
        <f t="shared" si="51"/>
        <v>1.6396221021249948</v>
      </c>
      <c r="AF290" s="9">
        <f t="shared" si="52"/>
        <v>4.0588966295275037</v>
      </c>
      <c r="AG290" s="9">
        <f t="shared" si="44"/>
        <v>1.5291411291694132</v>
      </c>
      <c r="AH290" s="9">
        <f t="shared" ref="AH290:AH353" si="53">(2*PI()*AG290)/F290</f>
        <v>0.96769706458123594</v>
      </c>
      <c r="AI290" s="9">
        <f t="shared" si="45"/>
        <v>1.4220015034152649</v>
      </c>
      <c r="AJ290" s="9">
        <f>(4*PI()*(AI290^2))/(Y290+E290)</f>
        <v>0.88620730536944448</v>
      </c>
      <c r="AK290" s="12">
        <f t="shared" si="46"/>
        <v>1.1259079903147702</v>
      </c>
      <c r="AL290" s="12" t="s">
        <v>144</v>
      </c>
      <c r="AM290" s="12" t="s">
        <v>143</v>
      </c>
      <c r="AN290" s="18">
        <v>9.5878999999999994</v>
      </c>
      <c r="AO290" s="18">
        <v>1.2581</v>
      </c>
      <c r="AP290" s="18">
        <v>16720</v>
      </c>
      <c r="AQ290" s="18">
        <v>14612</v>
      </c>
      <c r="AR290" s="18">
        <v>5.0566000000000004</v>
      </c>
      <c r="AS290" s="18">
        <v>1.0829999999999999E-2</v>
      </c>
      <c r="AT290" s="18">
        <v>0.70545000000000002</v>
      </c>
      <c r="AU290" s="18">
        <v>0.26008999999999999</v>
      </c>
      <c r="AV290" s="19">
        <v>3.9975999999999998E-4</v>
      </c>
      <c r="AW290" s="18">
        <v>8.3344000000000005E-3</v>
      </c>
      <c r="AX290" s="18">
        <v>0.28856999999999999</v>
      </c>
      <c r="AY290" s="18">
        <v>-3.4569999999999999</v>
      </c>
      <c r="AZ290" s="18">
        <v>-3057</v>
      </c>
      <c r="BA290" s="18">
        <v>2.8330999999999999E-2</v>
      </c>
      <c r="BB290" s="18">
        <v>8.2126999999999999</v>
      </c>
      <c r="BC290" s="18" t="s">
        <v>162</v>
      </c>
      <c r="BD290" s="35" t="s">
        <v>163</v>
      </c>
      <c r="BE290" t="s">
        <v>167</v>
      </c>
    </row>
    <row r="291" spans="1:57" x14ac:dyDescent="0.25">
      <c r="A291" s="25" t="s">
        <v>360</v>
      </c>
      <c r="B291" s="16" t="s">
        <v>5</v>
      </c>
      <c r="C291" s="16" t="s">
        <v>6</v>
      </c>
      <c r="D291" s="16">
        <v>67</v>
      </c>
      <c r="E291" s="16">
        <v>22.207000000000001</v>
      </c>
      <c r="F291" s="16">
        <v>17.312999999999999</v>
      </c>
      <c r="G291" s="15">
        <v>9.36</v>
      </c>
      <c r="H291" s="15">
        <v>6.3</v>
      </c>
      <c r="I291" s="15">
        <v>4.32</v>
      </c>
      <c r="J291" s="15">
        <v>117.54</v>
      </c>
      <c r="K291" s="15">
        <v>33.18</v>
      </c>
      <c r="L291" s="15">
        <v>40.26</v>
      </c>
      <c r="M291" s="15">
        <v>8.6</v>
      </c>
      <c r="N291" s="15">
        <v>2</v>
      </c>
      <c r="O291" s="15">
        <f>2.57+3.61</f>
        <v>6.18</v>
      </c>
      <c r="P291" s="9">
        <v>1.21316</v>
      </c>
      <c r="Q291" s="9">
        <v>1.7110399999999999</v>
      </c>
      <c r="R291" s="9">
        <v>-2.8000000000000001E-2</v>
      </c>
      <c r="S291" s="9">
        <v>0.138377</v>
      </c>
      <c r="T291" s="9">
        <v>0.14618300000000001</v>
      </c>
      <c r="U291" s="9">
        <v>1.26245E-2</v>
      </c>
      <c r="V291" s="9">
        <v>8.9136600000000001</v>
      </c>
      <c r="W291" s="9">
        <v>5.2094899999999997</v>
      </c>
      <c r="X291" s="9">
        <v>6.31996</v>
      </c>
      <c r="Y291" s="9">
        <v>168.93199999999999</v>
      </c>
      <c r="Z291" s="9">
        <v>230.358</v>
      </c>
      <c r="AA291" s="9">
        <f t="shared" si="47"/>
        <v>1.2059004629629628</v>
      </c>
      <c r="AB291" s="9">
        <f t="shared" si="48"/>
        <v>2.1666666666666665</v>
      </c>
      <c r="AC291" s="9">
        <f t="shared" si="49"/>
        <v>1.4583333333333333</v>
      </c>
      <c r="AD291" s="9">
        <f t="shared" si="50"/>
        <v>7.6071508983653793</v>
      </c>
      <c r="AE291" s="9">
        <f t="shared" si="51"/>
        <v>10.373215652722115</v>
      </c>
      <c r="AF291" s="9">
        <f t="shared" si="52"/>
        <v>4.4954833230143185</v>
      </c>
      <c r="AG291" s="9">
        <f t="shared" si="44"/>
        <v>2.6587041284211073</v>
      </c>
      <c r="AH291" s="9">
        <f t="shared" si="53"/>
        <v>0.96488943082268885</v>
      </c>
      <c r="AI291" s="9">
        <f t="shared" si="45"/>
        <v>3.8028123587759644</v>
      </c>
      <c r="AJ291" s="9">
        <f>(4*PI()*(AI291^2))/(Y291+E291)</f>
        <v>0.95075878678700854</v>
      </c>
      <c r="AK291" s="12">
        <f t="shared" si="46"/>
        <v>0.69902912621359237</v>
      </c>
      <c r="AL291" s="12" t="s">
        <v>144</v>
      </c>
      <c r="AM291" s="12" t="s">
        <v>142</v>
      </c>
      <c r="AN291" s="16">
        <v>1.5378000000000001</v>
      </c>
      <c r="AO291" s="16">
        <v>0.23538999999999999</v>
      </c>
      <c r="AP291" s="16">
        <v>2012.9</v>
      </c>
      <c r="AQ291" s="16">
        <v>1755.7</v>
      </c>
      <c r="AR291" s="16">
        <v>1.0669999999999999</v>
      </c>
      <c r="AS291" s="16">
        <v>1.5154000000000001E-2</v>
      </c>
      <c r="AT291" s="16">
        <v>0.69430999999999998</v>
      </c>
      <c r="AU291" s="16">
        <v>1.6826000000000001</v>
      </c>
      <c r="AV291" s="16">
        <v>0.41361999999999999</v>
      </c>
      <c r="AW291" s="16">
        <v>1.7062999999999998E-2</v>
      </c>
      <c r="AX291" s="16">
        <v>8.7294999999999998E-2</v>
      </c>
      <c r="AY291" s="16">
        <v>-51.554000000000002</v>
      </c>
      <c r="AZ291" s="16">
        <v>-286.22000000000003</v>
      </c>
      <c r="BA291" s="16">
        <v>0.53549999999999998</v>
      </c>
      <c r="BB291" s="16">
        <v>18.466999999999999</v>
      </c>
      <c r="BC291" s="16" t="s">
        <v>162</v>
      </c>
      <c r="BD291" s="34" t="s">
        <v>163</v>
      </c>
      <c r="BE291" t="s">
        <v>167</v>
      </c>
    </row>
    <row r="292" spans="1:57" x14ac:dyDescent="0.25">
      <c r="A292" s="25" t="s">
        <v>361</v>
      </c>
      <c r="B292" s="16" t="s">
        <v>26</v>
      </c>
      <c r="C292" s="16" t="s">
        <v>6</v>
      </c>
      <c r="D292" s="16">
        <v>26</v>
      </c>
      <c r="E292" s="16">
        <v>12.211</v>
      </c>
      <c r="F292" s="16">
        <v>13.018000000000001</v>
      </c>
      <c r="G292" s="15">
        <v>6.26</v>
      </c>
      <c r="H292" s="15">
        <v>4.9000000000000004</v>
      </c>
      <c r="I292" s="15">
        <v>2.76</v>
      </c>
      <c r="J292" s="15">
        <v>49.32</v>
      </c>
      <c r="K292" s="15">
        <v>42.22</v>
      </c>
      <c r="L292" s="15">
        <v>74.03</v>
      </c>
      <c r="M292" s="15">
        <v>6.2</v>
      </c>
      <c r="N292" s="15">
        <v>2</v>
      </c>
      <c r="O292" s="15">
        <f>2.1+2.11</f>
        <v>4.21</v>
      </c>
      <c r="P292" s="9">
        <v>1.34287</v>
      </c>
      <c r="Q292" s="9">
        <v>1.8064100000000001</v>
      </c>
      <c r="R292" s="9">
        <v>1.5463899999999999E-2</v>
      </c>
      <c r="S292" s="9">
        <v>0.15204699999999999</v>
      </c>
      <c r="T292" s="9">
        <v>0.16825200000000001</v>
      </c>
      <c r="U292" s="9">
        <v>3.7680499999999999E-2</v>
      </c>
      <c r="V292" s="9">
        <v>6.6418100000000004</v>
      </c>
      <c r="W292" s="9">
        <v>3.6768000000000001</v>
      </c>
      <c r="X292" s="9">
        <v>4.9374599999999997</v>
      </c>
      <c r="Y292" s="9">
        <v>94.038399999999996</v>
      </c>
      <c r="Z292" s="9">
        <v>91.988699999999994</v>
      </c>
      <c r="AA292" s="9">
        <f t="shared" si="47"/>
        <v>1.3321739130434784</v>
      </c>
      <c r="AB292" s="9">
        <f t="shared" si="48"/>
        <v>2.2681159420289858</v>
      </c>
      <c r="AC292" s="9">
        <f t="shared" si="49"/>
        <v>1.77536231884058</v>
      </c>
      <c r="AD292" s="9">
        <f t="shared" si="50"/>
        <v>7.7011219392351151</v>
      </c>
      <c r="AE292" s="9">
        <f t="shared" si="51"/>
        <v>7.5332650888543107</v>
      </c>
      <c r="AF292" s="9">
        <f t="shared" si="52"/>
        <v>4.6147577769605252</v>
      </c>
      <c r="AG292" s="9">
        <f t="shared" si="44"/>
        <v>1.9715176946175927</v>
      </c>
      <c r="AH292" s="9">
        <f t="shared" si="53"/>
        <v>0.95156022520093941</v>
      </c>
      <c r="AI292" s="9">
        <f t="shared" si="45"/>
        <v>2.8003691890060134</v>
      </c>
      <c r="AJ292" s="9">
        <f>(4*PI()*(AI292^2))/(Y292+E292)</f>
        <v>0.92750008732553912</v>
      </c>
      <c r="AK292" s="12">
        <f t="shared" si="46"/>
        <v>0.6555819477434679</v>
      </c>
      <c r="AL292" s="12" t="s">
        <v>140</v>
      </c>
      <c r="AM292" s="12" t="s">
        <v>142</v>
      </c>
      <c r="AN292" s="16">
        <v>1.3349</v>
      </c>
      <c r="AO292" s="16">
        <v>0.18726000000000001</v>
      </c>
      <c r="AP292" s="16">
        <v>5963.6</v>
      </c>
      <c r="AQ292" s="16">
        <v>4657</v>
      </c>
      <c r="AR292" s="16">
        <v>0.75726000000000004</v>
      </c>
      <c r="AS292" s="16">
        <v>1.7454000000000001E-2</v>
      </c>
      <c r="AT292" s="16">
        <v>0.73577000000000004</v>
      </c>
      <c r="AU292" s="16">
        <v>2.6328999999999998</v>
      </c>
      <c r="AV292" s="16">
        <v>0.59980999999999995</v>
      </c>
      <c r="AW292" s="16">
        <v>1.6445999999999999E-2</v>
      </c>
      <c r="AX292" s="16">
        <v>6.6741999999999996E-2</v>
      </c>
      <c r="AY292" s="16">
        <v>-35.195</v>
      </c>
      <c r="AZ292" s="16">
        <v>-282.64999999999998</v>
      </c>
      <c r="BA292" s="16">
        <v>0.30296000000000001</v>
      </c>
      <c r="BB292" s="16">
        <v>83.587999999999994</v>
      </c>
      <c r="BC292" s="16" t="s">
        <v>162</v>
      </c>
      <c r="BD292" s="34" t="s">
        <v>165</v>
      </c>
      <c r="BE292" t="s">
        <v>168</v>
      </c>
    </row>
    <row r="293" spans="1:57" x14ac:dyDescent="0.25">
      <c r="A293" s="25" t="s">
        <v>362</v>
      </c>
      <c r="B293" s="16" t="s">
        <v>40</v>
      </c>
      <c r="C293" s="16" t="s">
        <v>6</v>
      </c>
      <c r="D293" s="16">
        <v>65</v>
      </c>
      <c r="E293" s="16">
        <v>17.390999999999998</v>
      </c>
      <c r="F293" s="16">
        <v>16.72</v>
      </c>
      <c r="G293" s="15">
        <v>7.17</v>
      </c>
      <c r="H293" s="15">
        <v>3.65</v>
      </c>
      <c r="I293" s="15">
        <v>3.44</v>
      </c>
      <c r="J293" s="15">
        <v>88.24</v>
      </c>
      <c r="K293" s="15">
        <v>13.48</v>
      </c>
      <c r="L293" s="15">
        <v>61.62</v>
      </c>
      <c r="M293" s="15">
        <v>7.1</v>
      </c>
      <c r="N293" s="15">
        <v>3</v>
      </c>
      <c r="O293" s="15">
        <f>2.07+1.88+1.14</f>
        <v>5.09</v>
      </c>
      <c r="P293" s="9">
        <v>0.865004</v>
      </c>
      <c r="Q293" s="9">
        <v>1.5143</v>
      </c>
      <c r="R293" s="9">
        <v>0.33333299999999999</v>
      </c>
      <c r="S293" s="9">
        <v>0.11611200000000001</v>
      </c>
      <c r="T293" s="9">
        <v>0.206925</v>
      </c>
      <c r="U293" s="9">
        <v>0.14286499999999999</v>
      </c>
      <c r="V293" s="9">
        <v>6.4253799999999996</v>
      </c>
      <c r="W293" s="9">
        <v>4.2431299999999998</v>
      </c>
      <c r="X293" s="9">
        <v>3.6703199999999998</v>
      </c>
      <c r="Y293" s="9">
        <v>57.973399999999998</v>
      </c>
      <c r="Z293" s="9">
        <v>41.457500000000003</v>
      </c>
      <c r="AA293" s="9">
        <f t="shared" si="47"/>
        <v>1.233468023255814</v>
      </c>
      <c r="AB293" s="9">
        <f t="shared" si="48"/>
        <v>2.0843023255813953</v>
      </c>
      <c r="AC293" s="9">
        <f t="shared" si="49"/>
        <v>1.0610465116279069</v>
      </c>
      <c r="AD293" s="9">
        <f t="shared" si="50"/>
        <v>3.3335288367546436</v>
      </c>
      <c r="AE293" s="9">
        <f t="shared" si="51"/>
        <v>2.3838479673394288</v>
      </c>
      <c r="AF293" s="9">
        <f t="shared" si="52"/>
        <v>4.8397920128524747</v>
      </c>
      <c r="AG293" s="9">
        <f t="shared" si="44"/>
        <v>2.352812621230663</v>
      </c>
      <c r="AH293" s="9">
        <f t="shared" si="53"/>
        <v>0.88416014905880336</v>
      </c>
      <c r="AI293" s="9">
        <f t="shared" si="45"/>
        <v>2.1470302665546379</v>
      </c>
      <c r="AJ293" s="9">
        <f>(4*PI()*(AI293^2))/(Y293+E293)</f>
        <v>0.76863463752045746</v>
      </c>
      <c r="AK293" s="12">
        <f t="shared" si="46"/>
        <v>0.67583497053045183</v>
      </c>
      <c r="AL293" s="12" t="s">
        <v>140</v>
      </c>
      <c r="AM293" s="12" t="s">
        <v>142</v>
      </c>
      <c r="AN293" s="16">
        <v>1.2749999999999999</v>
      </c>
      <c r="AO293" s="16">
        <v>0.24521000000000001</v>
      </c>
      <c r="AP293" s="16">
        <v>3804</v>
      </c>
      <c r="AQ293" s="16">
        <v>3227.5</v>
      </c>
      <c r="AR293" s="16">
        <v>0.91673000000000004</v>
      </c>
      <c r="AS293" s="16">
        <v>2.0015000000000002E-2</v>
      </c>
      <c r="AT293" s="16">
        <v>0.73546999999999996</v>
      </c>
      <c r="AU293" s="16">
        <v>2.9085000000000001</v>
      </c>
      <c r="AV293" s="16">
        <v>0.45649000000000001</v>
      </c>
      <c r="AW293" s="16">
        <v>1.1865000000000001E-2</v>
      </c>
      <c r="AX293" s="16">
        <v>7.0721999999999993E-2</v>
      </c>
      <c r="AY293" s="16">
        <v>-55.627000000000002</v>
      </c>
      <c r="AZ293" s="16">
        <v>-1362.9</v>
      </c>
      <c r="BA293" s="16">
        <v>8.9308999999999999E-2</v>
      </c>
      <c r="BB293" s="16">
        <v>15.769</v>
      </c>
      <c r="BC293" s="16" t="s">
        <v>162</v>
      </c>
      <c r="BD293" s="34" t="s">
        <v>165</v>
      </c>
      <c r="BE293" t="s">
        <v>168</v>
      </c>
    </row>
    <row r="294" spans="1:57" x14ac:dyDescent="0.25">
      <c r="A294" s="25" t="s">
        <v>363</v>
      </c>
      <c r="B294" s="16" t="s">
        <v>26</v>
      </c>
      <c r="C294" s="16" t="s">
        <v>14</v>
      </c>
      <c r="D294" s="16">
        <v>50</v>
      </c>
      <c r="E294" s="16">
        <v>7.3532999999999999</v>
      </c>
      <c r="F294" s="16">
        <v>10.006</v>
      </c>
      <c r="G294" s="15">
        <v>3.53</v>
      </c>
      <c r="H294" s="15">
        <v>2.12</v>
      </c>
      <c r="I294" s="15">
        <v>2.52</v>
      </c>
      <c r="J294" s="15">
        <v>94.45</v>
      </c>
      <c r="K294" s="15">
        <v>8.92</v>
      </c>
      <c r="L294" s="15">
        <v>60.43</v>
      </c>
      <c r="M294" s="15">
        <v>3.6</v>
      </c>
      <c r="N294" s="15">
        <v>2</v>
      </c>
      <c r="O294" s="15">
        <f>2.86+1.71</f>
        <v>4.57</v>
      </c>
      <c r="P294" s="9">
        <v>0.72237300000000004</v>
      </c>
      <c r="Q294" s="9">
        <v>1.20034</v>
      </c>
      <c r="R294" s="9">
        <v>0.30952400000000002</v>
      </c>
      <c r="S294" s="9">
        <v>3.7859900000000002E-2</v>
      </c>
      <c r="T294" s="9">
        <v>4.4853499999999998E-2</v>
      </c>
      <c r="U294" s="9">
        <v>-3.9783899999999998E-4</v>
      </c>
      <c r="V294" s="9">
        <v>3.5881699999999999</v>
      </c>
      <c r="W294" s="9">
        <v>2.9893000000000001</v>
      </c>
      <c r="X294" s="9">
        <v>2.1593900000000001</v>
      </c>
      <c r="Y294" s="9">
        <v>21.011900000000001</v>
      </c>
      <c r="Z294" s="9">
        <v>11.956099999999999</v>
      </c>
      <c r="AA294" s="9">
        <f t="shared" si="47"/>
        <v>1.1862301587301587</v>
      </c>
      <c r="AB294" s="9">
        <f t="shared" si="48"/>
        <v>1.4007936507936507</v>
      </c>
      <c r="AC294" s="9">
        <f t="shared" si="49"/>
        <v>0.84126984126984128</v>
      </c>
      <c r="AD294" s="9">
        <f t="shared" si="50"/>
        <v>2.8574789550269948</v>
      </c>
      <c r="AE294" s="9">
        <f t="shared" si="51"/>
        <v>1.6259502536276229</v>
      </c>
      <c r="AF294" s="9">
        <f t="shared" si="52"/>
        <v>4.0185770473017799</v>
      </c>
      <c r="AG294" s="9">
        <f t="shared" si="44"/>
        <v>1.5299111366596649</v>
      </c>
      <c r="AH294" s="9">
        <f t="shared" si="53"/>
        <v>0.9606951004547698</v>
      </c>
      <c r="AI294" s="9">
        <f t="shared" si="45"/>
        <v>1.4185140547031243</v>
      </c>
      <c r="AJ294" s="9">
        <f>(4*PI()*(AI294^2))/(Y294+E294)</f>
        <v>0.89143832252586563</v>
      </c>
      <c r="AK294" s="12">
        <f t="shared" si="46"/>
        <v>0.55142231947483589</v>
      </c>
      <c r="AL294" s="12" t="s">
        <v>144</v>
      </c>
      <c r="AM294" s="12" t="s">
        <v>142</v>
      </c>
      <c r="AN294" s="16">
        <v>4.6432000000000002</v>
      </c>
      <c r="AO294" s="16">
        <v>0.88800999999999997</v>
      </c>
      <c r="AP294" s="16">
        <v>10476</v>
      </c>
      <c r="AQ294" s="16">
        <v>9831.6</v>
      </c>
      <c r="AR294" s="16">
        <v>2.2336</v>
      </c>
      <c r="AS294" s="16">
        <v>4.1358000000000002E-3</v>
      </c>
      <c r="AT294" s="16">
        <v>0.74487000000000003</v>
      </c>
      <c r="AU294" s="16">
        <v>0.64841000000000004</v>
      </c>
      <c r="AV294" s="16">
        <v>4.1402000000000001E-3</v>
      </c>
      <c r="AW294" s="16">
        <v>4.6350000000000002E-3</v>
      </c>
      <c r="AX294" s="16">
        <v>0.15131</v>
      </c>
      <c r="AY294" s="16">
        <v>-8.1207999999999991</v>
      </c>
      <c r="AZ294" s="16">
        <v>-573.78</v>
      </c>
      <c r="BA294" s="16">
        <v>5.4710000000000002E-2</v>
      </c>
      <c r="BB294" s="16">
        <v>51.491</v>
      </c>
      <c r="BC294" s="16" t="s">
        <v>162</v>
      </c>
      <c r="BD294" s="34" t="s">
        <v>165</v>
      </c>
      <c r="BE294" t="s">
        <v>167</v>
      </c>
    </row>
    <row r="295" spans="1:57" x14ac:dyDescent="0.25">
      <c r="A295" s="25" t="s">
        <v>364</v>
      </c>
      <c r="B295" s="16" t="s">
        <v>26</v>
      </c>
      <c r="C295" s="16" t="s">
        <v>14</v>
      </c>
      <c r="D295" s="16">
        <v>60</v>
      </c>
      <c r="E295" s="16">
        <v>8.6403999999999996</v>
      </c>
      <c r="F295" s="16">
        <v>10.738</v>
      </c>
      <c r="G295" s="15">
        <v>3.57</v>
      </c>
      <c r="H295" s="15">
        <v>1.65</v>
      </c>
      <c r="I295" s="15">
        <v>2.0299999999999998</v>
      </c>
      <c r="J295" s="15">
        <v>67.900000000000006</v>
      </c>
      <c r="K295" s="15">
        <v>0</v>
      </c>
      <c r="L295" s="15">
        <v>67.900000000000006</v>
      </c>
      <c r="M295" s="15">
        <v>3.75</v>
      </c>
      <c r="N295" s="15">
        <v>2</v>
      </c>
      <c r="O295" s="15">
        <f>2.04+1.16</f>
        <v>3.2</v>
      </c>
      <c r="P295" s="9">
        <v>0.49861299999999997</v>
      </c>
      <c r="Q295" s="9">
        <v>1.09012</v>
      </c>
      <c r="R295" s="9">
        <v>0.46774199999999999</v>
      </c>
      <c r="S295" s="9">
        <v>6.9458699999999998E-3</v>
      </c>
      <c r="T295" s="9">
        <v>1.12353E-2</v>
      </c>
      <c r="U295" s="9">
        <v>-9.0441800000000006E-3</v>
      </c>
      <c r="V295" s="9">
        <v>3.5525199999999999</v>
      </c>
      <c r="W295" s="9">
        <v>3.2588400000000002</v>
      </c>
      <c r="X295" s="9">
        <v>1.6249</v>
      </c>
      <c r="Y295" s="9">
        <v>17.779199999999999</v>
      </c>
      <c r="Z295" s="9">
        <v>9.8015500000000007</v>
      </c>
      <c r="AA295" s="9">
        <f t="shared" si="47"/>
        <v>1.6053399014778327</v>
      </c>
      <c r="AB295" s="9">
        <f t="shared" si="48"/>
        <v>1.7586206896551726</v>
      </c>
      <c r="AC295" s="9">
        <f t="shared" si="49"/>
        <v>0.81280788177339902</v>
      </c>
      <c r="AD295" s="9">
        <f t="shared" si="50"/>
        <v>2.0576825146983935</v>
      </c>
      <c r="AE295" s="9">
        <f t="shared" si="51"/>
        <v>1.1343861395305774</v>
      </c>
      <c r="AF295" s="9">
        <f t="shared" si="52"/>
        <v>3.8819419994482556</v>
      </c>
      <c r="AG295" s="9">
        <f t="shared" si="44"/>
        <v>1.6584103052569423</v>
      </c>
      <c r="AH295" s="9">
        <f t="shared" si="53"/>
        <v>0.9703947907678927</v>
      </c>
      <c r="AI295" s="9">
        <f t="shared" si="45"/>
        <v>1.3276045030246493</v>
      </c>
      <c r="AJ295" s="9">
        <f>(4*PI()*(AI295^2))/(Y295+E295)</f>
        <v>0.83834168197971226</v>
      </c>
      <c r="AK295" s="12">
        <f t="shared" si="46"/>
        <v>0.63437499999999991</v>
      </c>
      <c r="AL295" s="12" t="s">
        <v>144</v>
      </c>
      <c r="AM295" s="12" t="s">
        <v>142</v>
      </c>
      <c r="AN295" s="16">
        <v>5.1680999999999999</v>
      </c>
      <c r="AO295" s="16">
        <v>0.53937999999999997</v>
      </c>
      <c r="AP295" s="16">
        <v>11913</v>
      </c>
      <c r="AQ295" s="16">
        <v>11201</v>
      </c>
      <c r="AR295" s="16">
        <v>2.3822999999999999</v>
      </c>
      <c r="AS295" s="16">
        <v>1.1016000000000001E-3</v>
      </c>
      <c r="AT295" s="16">
        <v>0.79493000000000003</v>
      </c>
      <c r="AU295" s="16">
        <v>0.57794000000000001</v>
      </c>
      <c r="AV295" s="16">
        <v>1.4090999999999999E-2</v>
      </c>
      <c r="AW295" s="16">
        <v>3.3230999999999998E-3</v>
      </c>
      <c r="AX295" s="16">
        <v>0.15620000000000001</v>
      </c>
      <c r="AY295" s="16">
        <v>-21.303000000000001</v>
      </c>
      <c r="AZ295" s="16">
        <v>-1483.2</v>
      </c>
      <c r="BA295" s="16">
        <v>3.8224000000000001E-2</v>
      </c>
      <c r="BB295" s="16">
        <v>56.823</v>
      </c>
      <c r="BC295" s="16" t="s">
        <v>162</v>
      </c>
      <c r="BD295" s="34" t="s">
        <v>163</v>
      </c>
      <c r="BE295" t="s">
        <v>167</v>
      </c>
    </row>
    <row r="296" spans="1:57" x14ac:dyDescent="0.25">
      <c r="A296" s="25" t="s">
        <v>365</v>
      </c>
      <c r="B296" s="18" t="s">
        <v>26</v>
      </c>
      <c r="C296" s="18" t="s">
        <v>14</v>
      </c>
      <c r="D296" s="18">
        <v>61</v>
      </c>
      <c r="E296" s="18">
        <v>6.9417999999999997</v>
      </c>
      <c r="F296" s="18">
        <v>9.5594999999999999</v>
      </c>
      <c r="G296" s="15">
        <v>3.28</v>
      </c>
      <c r="H296" s="15">
        <v>1.85</v>
      </c>
      <c r="I296" s="15">
        <v>1.85</v>
      </c>
      <c r="J296" s="15">
        <v>31.17</v>
      </c>
      <c r="K296" s="15">
        <v>0</v>
      </c>
      <c r="L296" s="15">
        <v>31.17</v>
      </c>
      <c r="M296" s="15">
        <v>3.28</v>
      </c>
      <c r="N296" s="15">
        <v>2</v>
      </c>
      <c r="O296" s="15">
        <f>1.8+1.72</f>
        <v>3.52</v>
      </c>
      <c r="P296" s="9">
        <v>0.62552399999999997</v>
      </c>
      <c r="Q296" s="9">
        <v>1.1278699999999999</v>
      </c>
      <c r="R296" s="9">
        <v>0.47142899999999999</v>
      </c>
      <c r="S296" s="9">
        <v>1.48325E-2</v>
      </c>
      <c r="T296" s="9">
        <v>1.8807500000000001E-2</v>
      </c>
      <c r="U296" s="9">
        <v>-1.3730300000000001E-2</v>
      </c>
      <c r="V296" s="9">
        <v>3.3033800000000002</v>
      </c>
      <c r="W296" s="9">
        <v>2.9288699999999999</v>
      </c>
      <c r="X296" s="9">
        <v>1.8320799999999999</v>
      </c>
      <c r="Y296" s="9">
        <v>16.547799999999999</v>
      </c>
      <c r="Z296" s="9">
        <v>8.7002500000000005</v>
      </c>
      <c r="AA296" s="9">
        <f t="shared" si="47"/>
        <v>1.5831729729729729</v>
      </c>
      <c r="AB296" s="9">
        <f t="shared" si="48"/>
        <v>1.7729729729729728</v>
      </c>
      <c r="AC296" s="9">
        <f t="shared" si="49"/>
        <v>1</v>
      </c>
      <c r="AD296" s="9">
        <f t="shared" si="50"/>
        <v>2.3837909475928432</v>
      </c>
      <c r="AE296" s="9">
        <f t="shared" si="51"/>
        <v>1.2533132616900517</v>
      </c>
      <c r="AF296" s="9">
        <f t="shared" si="52"/>
        <v>3.9118822624940712</v>
      </c>
      <c r="AG296" s="9">
        <f t="shared" si="44"/>
        <v>1.4864869888131003</v>
      </c>
      <c r="AH296" s="9">
        <f t="shared" si="53"/>
        <v>0.97702528452576998</v>
      </c>
      <c r="AI296" s="9">
        <f t="shared" si="45"/>
        <v>1.275893351192696</v>
      </c>
      <c r="AJ296" s="9">
        <f>(4*PI()*(AI296^2))/(Y296+E296)</f>
        <v>0.87088937331585758</v>
      </c>
      <c r="AK296" s="12">
        <f t="shared" si="46"/>
        <v>0.52556818181818188</v>
      </c>
      <c r="AL296" s="12" t="s">
        <v>144</v>
      </c>
      <c r="AM296" s="12" t="s">
        <v>142</v>
      </c>
      <c r="AN296" s="18">
        <v>2.8704000000000001</v>
      </c>
      <c r="AO296" s="18">
        <v>0.46942</v>
      </c>
      <c r="AP296" s="18">
        <v>5147.1000000000004</v>
      </c>
      <c r="AQ296" s="18">
        <v>4782.7</v>
      </c>
      <c r="AR296" s="18">
        <v>1.2967</v>
      </c>
      <c r="AS296" s="18">
        <v>9.3121000000000002E-3</v>
      </c>
      <c r="AT296" s="18">
        <v>0.71960000000000002</v>
      </c>
      <c r="AU296" s="18">
        <v>1.0258</v>
      </c>
      <c r="AV296" s="18">
        <v>8.7363000000000007E-3</v>
      </c>
      <c r="AW296" s="18">
        <v>5.6343000000000001E-3</v>
      </c>
      <c r="AX296" s="18">
        <v>0.11856999999999999</v>
      </c>
      <c r="AY296" s="18">
        <v>-2.7702</v>
      </c>
      <c r="AZ296" s="18">
        <v>-407.03</v>
      </c>
      <c r="BA296" s="18">
        <v>3.3466000000000003E-2</v>
      </c>
      <c r="BB296" s="18">
        <v>7.6593999999999998</v>
      </c>
      <c r="BC296" s="18" t="s">
        <v>162</v>
      </c>
      <c r="BD296" s="35" t="s">
        <v>163</v>
      </c>
      <c r="BE296" t="s">
        <v>167</v>
      </c>
    </row>
    <row r="297" spans="1:57" x14ac:dyDescent="0.25">
      <c r="A297" s="25" t="s">
        <v>366</v>
      </c>
      <c r="B297" s="18" t="s">
        <v>178</v>
      </c>
      <c r="C297" s="18" t="s">
        <v>6</v>
      </c>
      <c r="D297" s="18">
        <v>55</v>
      </c>
      <c r="E297" s="18">
        <v>12.561</v>
      </c>
      <c r="F297" s="18">
        <v>12.862</v>
      </c>
      <c r="G297" s="15">
        <v>5.14</v>
      </c>
      <c r="H297" s="15">
        <v>3.85</v>
      </c>
      <c r="I297" s="15">
        <v>0.95</v>
      </c>
      <c r="J297" s="15">
        <v>94.23</v>
      </c>
      <c r="K297" s="15">
        <v>43.42</v>
      </c>
      <c r="L297" s="15">
        <v>23.89</v>
      </c>
      <c r="M297" s="15">
        <v>5.05</v>
      </c>
      <c r="N297" s="15">
        <v>1</v>
      </c>
      <c r="O297" s="15">
        <v>2.3199999999999998</v>
      </c>
      <c r="P297" s="9">
        <v>0.98485299999999998</v>
      </c>
      <c r="Q297" s="9">
        <v>1.1965399999999999</v>
      </c>
      <c r="R297" s="9">
        <v>0.15789500000000001</v>
      </c>
      <c r="S297" s="9">
        <v>9.1555899999999996E-2</v>
      </c>
      <c r="T297" s="9">
        <v>0.10351200000000001</v>
      </c>
      <c r="U297" s="9">
        <v>2.4742699999999999E-2</v>
      </c>
      <c r="V297" s="9">
        <v>4.6840599999999997</v>
      </c>
      <c r="W297" s="9">
        <v>3.9146800000000002</v>
      </c>
      <c r="X297" s="9">
        <v>3.8553799999999998</v>
      </c>
      <c r="Y297" s="9">
        <v>52.840200000000003</v>
      </c>
      <c r="Z297" s="9">
        <v>43.356200000000001</v>
      </c>
      <c r="AA297" s="9">
        <f t="shared" si="47"/>
        <v>4.1207157894736843</v>
      </c>
      <c r="AB297" s="9">
        <f t="shared" si="48"/>
        <v>5.4105263157894736</v>
      </c>
      <c r="AC297" s="9">
        <f t="shared" si="49"/>
        <v>4.052631578947369</v>
      </c>
      <c r="AD297" s="9">
        <f t="shared" si="50"/>
        <v>4.2066873656556005</v>
      </c>
      <c r="AE297" s="9">
        <f t="shared" si="51"/>
        <v>3.4516519385399254</v>
      </c>
      <c r="AF297" s="9">
        <f t="shared" si="52"/>
        <v>4.2815101581470145</v>
      </c>
      <c r="AG297" s="9">
        <f t="shared" si="44"/>
        <v>1.9995725744154911</v>
      </c>
      <c r="AH297" s="9">
        <f t="shared" si="53"/>
        <v>0.97680648578811013</v>
      </c>
      <c r="AI297" s="9">
        <f t="shared" si="45"/>
        <v>2.1793193113382925</v>
      </c>
      <c r="AJ297" s="9">
        <f>(4*PI()*(AI297^2))/(Y297+E297)</f>
        <v>0.9125693568803489</v>
      </c>
      <c r="AK297" s="12">
        <f t="shared" si="46"/>
        <v>0.40948275862068967</v>
      </c>
      <c r="AL297" s="12" t="s">
        <v>144</v>
      </c>
      <c r="AM297" s="12" t="s">
        <v>143</v>
      </c>
      <c r="AN297" s="18">
        <v>2.8256000000000001</v>
      </c>
      <c r="AO297" s="18">
        <v>0.45467000000000002</v>
      </c>
      <c r="AP297" s="18">
        <v>3700</v>
      </c>
      <c r="AQ297" s="18">
        <v>3563.1</v>
      </c>
      <c r="AR297" s="18">
        <v>1.3512999999999999</v>
      </c>
      <c r="AS297" s="18">
        <v>1.1391E-2</v>
      </c>
      <c r="AT297" s="18">
        <v>0.73423000000000005</v>
      </c>
      <c r="AU297" s="18">
        <v>1.1841999999999999</v>
      </c>
      <c r="AV297" s="18">
        <v>4.5796999999999997E-2</v>
      </c>
      <c r="AW297" s="18">
        <v>8.1200000000000005E-3</v>
      </c>
      <c r="AX297" s="18">
        <v>0.12497999999999999</v>
      </c>
      <c r="AY297" s="18">
        <v>-8.2992000000000008</v>
      </c>
      <c r="AZ297" s="18">
        <v>-230.9</v>
      </c>
      <c r="BA297" s="18">
        <v>0.12961</v>
      </c>
      <c r="BB297" s="18">
        <v>16.088999999999999</v>
      </c>
      <c r="BC297" s="18" t="s">
        <v>162</v>
      </c>
      <c r="BD297" s="35" t="s">
        <v>163</v>
      </c>
      <c r="BE297" t="s">
        <v>167</v>
      </c>
    </row>
    <row r="298" spans="1:57" x14ac:dyDescent="0.25">
      <c r="A298" s="25" t="s">
        <v>367</v>
      </c>
      <c r="B298" s="16" t="s">
        <v>26</v>
      </c>
      <c r="C298" s="16" t="s">
        <v>14</v>
      </c>
      <c r="D298" s="16">
        <v>61</v>
      </c>
      <c r="E298" s="16">
        <v>23.215</v>
      </c>
      <c r="F298" s="16">
        <v>17.908000000000001</v>
      </c>
      <c r="G298" s="15">
        <v>13.64</v>
      </c>
      <c r="H298" s="15">
        <v>10.7</v>
      </c>
      <c r="I298" s="15">
        <v>1.72</v>
      </c>
      <c r="J298" s="15">
        <v>18.86</v>
      </c>
      <c r="K298" s="15">
        <v>47.48</v>
      </c>
      <c r="L298" s="15">
        <v>54.03</v>
      </c>
      <c r="M298" s="15">
        <v>9.4</v>
      </c>
      <c r="N298" s="15">
        <v>2</v>
      </c>
      <c r="O298" s="15">
        <f>1.23+1.83</f>
        <v>3.06</v>
      </c>
      <c r="P298" s="9">
        <v>2.03274</v>
      </c>
      <c r="Q298" s="9">
        <v>2.1773199999999999</v>
      </c>
      <c r="R298" s="9">
        <v>-8.4112199999999998E-2</v>
      </c>
      <c r="S298" s="9">
        <v>0.202095</v>
      </c>
      <c r="T298" s="9">
        <v>0.228604</v>
      </c>
      <c r="U298" s="9">
        <v>6.6576899999999994E-2</v>
      </c>
      <c r="V298" s="9">
        <v>11.519600000000001</v>
      </c>
      <c r="W298" s="9">
        <v>5.2907200000000003</v>
      </c>
      <c r="X298" s="9">
        <v>10.7546</v>
      </c>
      <c r="Y298" s="9">
        <v>340.52600000000001</v>
      </c>
      <c r="Z298" s="9">
        <v>566.149</v>
      </c>
      <c r="AA298" s="9">
        <f t="shared" si="47"/>
        <v>3.0760000000000001</v>
      </c>
      <c r="AB298" s="9">
        <f t="shared" si="48"/>
        <v>7.9302325581395356</v>
      </c>
      <c r="AC298" s="9">
        <f t="shared" si="49"/>
        <v>6.220930232558139</v>
      </c>
      <c r="AD298" s="9">
        <f t="shared" si="50"/>
        <v>14.668360973508507</v>
      </c>
      <c r="AE298" s="9">
        <f t="shared" si="51"/>
        <v>24.387206547490848</v>
      </c>
      <c r="AF298" s="9">
        <f t="shared" si="52"/>
        <v>4.9758022704905986</v>
      </c>
      <c r="AG298" s="9">
        <f t="shared" si="44"/>
        <v>2.7183752514611923</v>
      </c>
      <c r="AH298" s="9">
        <f t="shared" si="53"/>
        <v>0.9537667768249708</v>
      </c>
      <c r="AI298" s="9">
        <f t="shared" si="45"/>
        <v>5.1319298560994371</v>
      </c>
      <c r="AJ298" s="9">
        <f>(4*PI()*(AI298^2))/(Y298+E298)</f>
        <v>0.90986934062125624</v>
      </c>
      <c r="AK298" s="12">
        <f t="shared" si="46"/>
        <v>0.56209150326797386</v>
      </c>
      <c r="AL298" s="12" t="s">
        <v>140</v>
      </c>
      <c r="AM298" s="12" t="s">
        <v>142</v>
      </c>
      <c r="AN298" s="16">
        <v>3.7382</v>
      </c>
      <c r="AO298" s="16">
        <v>0.27850999999999998</v>
      </c>
      <c r="AP298" s="16">
        <v>4513.2</v>
      </c>
      <c r="AQ298" s="16">
        <v>3861.6</v>
      </c>
      <c r="AR298" s="16">
        <v>2.2496</v>
      </c>
      <c r="AS298" s="16">
        <v>3.9927999999999998E-2</v>
      </c>
      <c r="AT298" s="16">
        <v>0.64456999999999998</v>
      </c>
      <c r="AU298" s="16">
        <v>1.0206999999999999</v>
      </c>
      <c r="AV298" s="16">
        <v>0.42923</v>
      </c>
      <c r="AW298" s="16">
        <v>3.2763E-2</v>
      </c>
      <c r="AX298" s="16">
        <v>0.19778999999999999</v>
      </c>
      <c r="AY298" s="16">
        <v>-23.643000000000001</v>
      </c>
      <c r="AZ298" s="16">
        <v>-734.51</v>
      </c>
      <c r="BA298" s="16">
        <v>0.51315999999999995</v>
      </c>
      <c r="BB298" s="16">
        <v>2.6297999999999999</v>
      </c>
      <c r="BC298" s="16" t="s">
        <v>162</v>
      </c>
      <c r="BD298" s="34" t="s">
        <v>165</v>
      </c>
      <c r="BE298" t="s">
        <v>168</v>
      </c>
    </row>
    <row r="299" spans="1:57" x14ac:dyDescent="0.25">
      <c r="A299" s="25" t="s">
        <v>368</v>
      </c>
      <c r="B299" s="16" t="s">
        <v>26</v>
      </c>
      <c r="C299" s="16" t="s">
        <v>6</v>
      </c>
      <c r="D299" s="16">
        <v>69</v>
      </c>
      <c r="E299" s="16">
        <v>4.6974999999999998</v>
      </c>
      <c r="F299" s="16">
        <v>7.8699000000000003</v>
      </c>
      <c r="G299" s="15">
        <v>5</v>
      </c>
      <c r="H299" s="15">
        <v>4.3499999999999996</v>
      </c>
      <c r="I299" s="15">
        <v>2.56</v>
      </c>
      <c r="J299" s="15">
        <v>59.31</v>
      </c>
      <c r="K299" s="15">
        <v>58.51</v>
      </c>
      <c r="L299" s="15">
        <v>71.58</v>
      </c>
      <c r="M299" s="15">
        <v>4</v>
      </c>
      <c r="N299" s="15">
        <v>2</v>
      </c>
      <c r="O299" s="15">
        <v>2.37</v>
      </c>
      <c r="P299" s="9">
        <v>1.81626</v>
      </c>
      <c r="Q299" s="9">
        <v>1.6852499999999999</v>
      </c>
      <c r="R299" s="10">
        <v>-1.2538E-8</v>
      </c>
      <c r="S299" s="9">
        <v>0.16273099999999999</v>
      </c>
      <c r="T299" s="9">
        <v>0.185915</v>
      </c>
      <c r="U299" s="9">
        <v>4.3719000000000001E-2</v>
      </c>
      <c r="V299" s="9">
        <v>4.0615600000000001</v>
      </c>
      <c r="W299" s="9">
        <v>2.4100700000000002</v>
      </c>
      <c r="X299" s="9">
        <v>4.3773099999999996</v>
      </c>
      <c r="Y299" s="9">
        <v>46.659199999999998</v>
      </c>
      <c r="Z299" s="9">
        <v>31.131399999999999</v>
      </c>
      <c r="AA299" s="9">
        <f t="shared" si="47"/>
        <v>0.94143359375000002</v>
      </c>
      <c r="AB299" s="9">
        <f t="shared" si="48"/>
        <v>1.953125</v>
      </c>
      <c r="AC299" s="9">
        <f t="shared" si="49"/>
        <v>1.6992187499999998</v>
      </c>
      <c r="AD299" s="9">
        <f t="shared" si="50"/>
        <v>9.9327727514635438</v>
      </c>
      <c r="AE299" s="9">
        <f t="shared" si="51"/>
        <v>6.6272272485364558</v>
      </c>
      <c r="AF299" s="9">
        <f t="shared" si="52"/>
        <v>4.7148895176673342</v>
      </c>
      <c r="AG299" s="9">
        <f t="shared" si="44"/>
        <v>1.222808525627932</v>
      </c>
      <c r="AH299" s="9">
        <f t="shared" si="53"/>
        <v>0.97626813069026974</v>
      </c>
      <c r="AI299" s="9">
        <f t="shared" si="45"/>
        <v>1.951506553746885</v>
      </c>
      <c r="AJ299" s="9">
        <f>(4*PI()*(AI299^2))/(Y299+E299)</f>
        <v>0.93186453262586322</v>
      </c>
      <c r="AK299" s="12">
        <f t="shared" si="46"/>
        <v>1.0801687763713079</v>
      </c>
      <c r="AL299" s="12" t="s">
        <v>140</v>
      </c>
      <c r="AM299" s="12" t="s">
        <v>142</v>
      </c>
      <c r="AN299" s="16">
        <v>2.5537999999999998</v>
      </c>
      <c r="AO299" s="16">
        <v>9.8452999999999999E-2</v>
      </c>
      <c r="AP299" s="16">
        <v>10773</v>
      </c>
      <c r="AQ299" s="16">
        <v>9488.2000000000007</v>
      </c>
      <c r="AR299" s="16">
        <v>1.3366</v>
      </c>
      <c r="AS299" s="16">
        <v>8.1311000000000005E-3</v>
      </c>
      <c r="AT299" s="16">
        <v>0.76263999999999998</v>
      </c>
      <c r="AU299" s="16">
        <v>2.6836000000000002</v>
      </c>
      <c r="AV299" s="16">
        <v>0.78900000000000003</v>
      </c>
      <c r="AW299" s="16">
        <v>8.9583000000000006E-3</v>
      </c>
      <c r="AX299" s="16">
        <v>7.6547000000000004E-2</v>
      </c>
      <c r="AY299" s="16">
        <v>-22.302</v>
      </c>
      <c r="AZ299" s="16">
        <v>-10309</v>
      </c>
      <c r="BA299" s="16">
        <v>6.4240000000000005E-2</v>
      </c>
      <c r="BB299" s="16">
        <v>6.1558000000000002</v>
      </c>
      <c r="BC299" s="16" t="s">
        <v>162</v>
      </c>
      <c r="BD299" s="34" t="s">
        <v>165</v>
      </c>
      <c r="BE299" t="s">
        <v>168</v>
      </c>
    </row>
    <row r="300" spans="1:57" x14ac:dyDescent="0.25">
      <c r="A300" s="25" t="s">
        <v>369</v>
      </c>
      <c r="B300" s="16" t="s">
        <v>178</v>
      </c>
      <c r="C300" s="16" t="s">
        <v>14</v>
      </c>
      <c r="D300" s="16">
        <v>45</v>
      </c>
      <c r="E300" s="16">
        <v>6.3867000000000003</v>
      </c>
      <c r="F300" s="16">
        <v>9.2485999999999997</v>
      </c>
      <c r="G300" s="15">
        <v>9.31</v>
      </c>
      <c r="H300" s="15">
        <v>6.4</v>
      </c>
      <c r="I300" s="15">
        <v>2.7</v>
      </c>
      <c r="J300" s="15">
        <v>26.68</v>
      </c>
      <c r="K300" s="15">
        <v>25.12</v>
      </c>
      <c r="L300" s="15">
        <v>52.26</v>
      </c>
      <c r="M300" s="15">
        <v>5.0999999999999996</v>
      </c>
      <c r="N300" s="15">
        <v>2</v>
      </c>
      <c r="O300" s="15">
        <f>2.18+1.15</f>
        <v>3.33</v>
      </c>
      <c r="P300" s="9">
        <v>2.3310499999999998</v>
      </c>
      <c r="Q300" s="9">
        <v>2.8147000000000002</v>
      </c>
      <c r="R300" s="9">
        <v>5.11811E-2</v>
      </c>
      <c r="S300" s="9">
        <v>0.22981199999999999</v>
      </c>
      <c r="T300" s="9">
        <v>0.25580799999999998</v>
      </c>
      <c r="U300" s="9">
        <v>8.7484300000000001E-2</v>
      </c>
      <c r="V300" s="9">
        <v>7.77372</v>
      </c>
      <c r="W300" s="9">
        <v>2.7618299999999998</v>
      </c>
      <c r="X300" s="9">
        <v>6.43797</v>
      </c>
      <c r="Y300" s="9">
        <v>133.976</v>
      </c>
      <c r="Z300" s="9">
        <v>132.39099999999999</v>
      </c>
      <c r="AA300" s="9">
        <f t="shared" si="47"/>
        <v>1.0228999999999999</v>
      </c>
      <c r="AB300" s="9">
        <f t="shared" si="48"/>
        <v>3.4481481481481482</v>
      </c>
      <c r="AC300" s="9">
        <f t="shared" si="49"/>
        <v>2.3703703703703702</v>
      </c>
      <c r="AD300" s="9">
        <f t="shared" si="50"/>
        <v>20.977343542048317</v>
      </c>
      <c r="AE300" s="9">
        <f t="shared" si="51"/>
        <v>20.729171559647391</v>
      </c>
      <c r="AF300" s="9">
        <f t="shared" si="52"/>
        <v>5.1576836269163175</v>
      </c>
      <c r="AG300" s="9">
        <f t="shared" si="44"/>
        <v>1.4258154684565658</v>
      </c>
      <c r="AH300" s="9">
        <f t="shared" si="53"/>
        <v>0.96865069331095233</v>
      </c>
      <c r="AI300" s="9">
        <f t="shared" si="45"/>
        <v>3.1617191116730767</v>
      </c>
      <c r="AJ300" s="9">
        <f>(4*PI()*(AI300^2))/(Y300+E300)</f>
        <v>0.89496225471143398</v>
      </c>
      <c r="AK300" s="12">
        <f t="shared" si="46"/>
        <v>0.81081081081081086</v>
      </c>
      <c r="AL300" s="12" t="s">
        <v>140</v>
      </c>
      <c r="AM300" s="12" t="s">
        <v>142</v>
      </c>
      <c r="AN300" s="16">
        <v>1.456</v>
      </c>
      <c r="AO300" s="16">
        <v>0.12701000000000001</v>
      </c>
      <c r="AP300" s="16">
        <v>2514.5</v>
      </c>
      <c r="AQ300" s="16">
        <v>2047.4</v>
      </c>
      <c r="AR300" s="16">
        <v>0.71582000000000001</v>
      </c>
      <c r="AS300" s="16">
        <v>2.2166999999999999E-2</v>
      </c>
      <c r="AT300" s="16">
        <v>0.71701000000000004</v>
      </c>
      <c r="AU300" s="16">
        <v>2.8020999999999998</v>
      </c>
      <c r="AV300" s="16">
        <v>0.68330999999999997</v>
      </c>
      <c r="AW300" s="16">
        <v>2.2082000000000001E-2</v>
      </c>
      <c r="AX300" s="16">
        <v>7.4900999999999995E-2</v>
      </c>
      <c r="AY300" s="16">
        <v>-59.015999999999998</v>
      </c>
      <c r="AZ300" s="16">
        <v>-378.05</v>
      </c>
      <c r="BA300" s="16">
        <v>0.76004000000000005</v>
      </c>
      <c r="BB300" s="16">
        <v>5.0084</v>
      </c>
      <c r="BC300" s="16" t="s">
        <v>162</v>
      </c>
      <c r="BD300" s="34" t="s">
        <v>163</v>
      </c>
      <c r="BE300" t="s">
        <v>168</v>
      </c>
    </row>
    <row r="301" spans="1:57" x14ac:dyDescent="0.25">
      <c r="A301" s="25" t="s">
        <v>370</v>
      </c>
      <c r="B301" s="16" t="s">
        <v>5</v>
      </c>
      <c r="C301" s="16" t="s">
        <v>6</v>
      </c>
      <c r="D301" s="16">
        <v>67</v>
      </c>
      <c r="E301" s="16">
        <v>5.7493999999999996</v>
      </c>
      <c r="F301" s="16">
        <v>8.7759</v>
      </c>
      <c r="G301" s="15">
        <v>4.1100000000000003</v>
      </c>
      <c r="H301" s="15">
        <v>3.3</v>
      </c>
      <c r="I301" s="15">
        <v>4.3899999999999997</v>
      </c>
      <c r="J301" s="15">
        <v>57.7</v>
      </c>
      <c r="K301" s="15">
        <v>44.61</v>
      </c>
      <c r="L301" s="15">
        <v>58.74</v>
      </c>
      <c r="M301" s="15">
        <v>3.4</v>
      </c>
      <c r="N301" s="15">
        <v>2</v>
      </c>
      <c r="O301" s="15">
        <f>4.23+1.07</f>
        <v>5.3000000000000007</v>
      </c>
      <c r="P301" s="9">
        <v>1.2578800000000001</v>
      </c>
      <c r="Q301" s="9">
        <v>1.34701</v>
      </c>
      <c r="R301" s="9">
        <v>8.4615399999999993E-2</v>
      </c>
      <c r="S301" s="9">
        <v>0.12103800000000001</v>
      </c>
      <c r="T301" s="9">
        <v>0.131076</v>
      </c>
      <c r="U301" s="9">
        <v>1.7105800000000001E-2</v>
      </c>
      <c r="V301" s="9">
        <v>3.5581900000000002</v>
      </c>
      <c r="W301" s="9">
        <v>2.6415500000000001</v>
      </c>
      <c r="X301" s="9">
        <v>3.3227500000000001</v>
      </c>
      <c r="Y301" s="9">
        <v>35.389099999999999</v>
      </c>
      <c r="Z301" s="9">
        <v>22.675899999999999</v>
      </c>
      <c r="AA301" s="9">
        <f t="shared" si="47"/>
        <v>0.60171981776765382</v>
      </c>
      <c r="AB301" s="9">
        <f t="shared" si="48"/>
        <v>0.93621867881548992</v>
      </c>
      <c r="AC301" s="9">
        <f t="shared" si="49"/>
        <v>0.75170842824601369</v>
      </c>
      <c r="AD301" s="9">
        <f t="shared" si="50"/>
        <v>6.1552683758305218</v>
      </c>
      <c r="AE301" s="9">
        <f t="shared" si="51"/>
        <v>3.9440463352697672</v>
      </c>
      <c r="AF301" s="9">
        <f t="shared" si="52"/>
        <v>4.4173298422401208</v>
      </c>
      <c r="AG301" s="9">
        <f t="shared" si="44"/>
        <v>1.3528085081138002</v>
      </c>
      <c r="AH301" s="9">
        <f t="shared" si="53"/>
        <v>0.96855553750705525</v>
      </c>
      <c r="AI301" s="9">
        <f t="shared" si="45"/>
        <v>1.7558684469085053</v>
      </c>
      <c r="AJ301" s="9">
        <f>(4*PI()*(AI301^2))/(Y301+E301)</f>
        <v>0.94177110374211381</v>
      </c>
      <c r="AK301" s="12">
        <f t="shared" si="46"/>
        <v>0.82830188679245265</v>
      </c>
      <c r="AL301" s="12" t="s">
        <v>144</v>
      </c>
      <c r="AM301" s="12" t="s">
        <v>142</v>
      </c>
      <c r="AN301" s="16">
        <v>1.9906999999999999</v>
      </c>
      <c r="AO301" s="16">
        <v>0.35443000000000002</v>
      </c>
      <c r="AP301" s="16">
        <v>5795.7</v>
      </c>
      <c r="AQ301" s="16">
        <v>4713.1000000000004</v>
      </c>
      <c r="AR301" s="16">
        <v>1.1656</v>
      </c>
      <c r="AS301" s="16">
        <v>2.0157000000000001E-2</v>
      </c>
      <c r="AT301" s="16">
        <v>0.64792000000000005</v>
      </c>
      <c r="AU301" s="16">
        <v>1.3228</v>
      </c>
      <c r="AV301" s="16">
        <v>9.1972999999999999E-2</v>
      </c>
      <c r="AW301" s="16">
        <v>1.6213000000000002E-2</v>
      </c>
      <c r="AX301" s="16">
        <v>0.10438</v>
      </c>
      <c r="AY301" s="16">
        <v>-6.3608000000000002</v>
      </c>
      <c r="AZ301" s="16">
        <v>-454.71</v>
      </c>
      <c r="BA301" s="16">
        <v>9.5838000000000007E-2</v>
      </c>
      <c r="BB301" s="16">
        <v>12.558</v>
      </c>
      <c r="BC301" s="16" t="s">
        <v>162</v>
      </c>
      <c r="BD301" s="34" t="s">
        <v>163</v>
      </c>
      <c r="BE301" t="s">
        <v>167</v>
      </c>
    </row>
    <row r="302" spans="1:57" x14ac:dyDescent="0.25">
      <c r="A302" s="25" t="s">
        <v>371</v>
      </c>
      <c r="B302" s="16" t="s">
        <v>5</v>
      </c>
      <c r="C302" s="16" t="s">
        <v>6</v>
      </c>
      <c r="D302" s="16">
        <v>37</v>
      </c>
      <c r="E302" s="16">
        <v>7.3270999999999997</v>
      </c>
      <c r="F302" s="16">
        <v>9.7759</v>
      </c>
      <c r="G302" s="15">
        <v>5.61</v>
      </c>
      <c r="H302" s="15">
        <v>3.7</v>
      </c>
      <c r="I302" s="15">
        <v>2.91</v>
      </c>
      <c r="J302" s="15">
        <v>59.17</v>
      </c>
      <c r="K302" s="15">
        <v>32.53</v>
      </c>
      <c r="L302" s="15">
        <v>51.52</v>
      </c>
      <c r="M302" s="15">
        <v>5.3</v>
      </c>
      <c r="N302" s="15">
        <v>2</v>
      </c>
      <c r="O302" s="15">
        <f>1.76+1.88</f>
        <v>3.6399999999999997</v>
      </c>
      <c r="P302" s="9">
        <v>1.2331300000000001</v>
      </c>
      <c r="Q302" s="9">
        <v>1.3841600000000001</v>
      </c>
      <c r="R302" s="9">
        <v>0.116438</v>
      </c>
      <c r="S302" s="9">
        <v>0.16786599999999999</v>
      </c>
      <c r="T302" s="9">
        <v>0.19774700000000001</v>
      </c>
      <c r="U302" s="9">
        <v>8.6995799999999998E-2</v>
      </c>
      <c r="V302" s="9">
        <v>4.1785800000000002</v>
      </c>
      <c r="W302" s="9">
        <v>3.0188600000000001</v>
      </c>
      <c r="X302" s="9">
        <v>3.7226400000000002</v>
      </c>
      <c r="Y302" s="9">
        <v>41.2485</v>
      </c>
      <c r="Z302" s="9">
        <v>25.314399999999999</v>
      </c>
      <c r="AA302" s="9">
        <f t="shared" si="47"/>
        <v>1.0374089347079039</v>
      </c>
      <c r="AB302" s="9">
        <f t="shared" si="48"/>
        <v>1.9278350515463918</v>
      </c>
      <c r="AC302" s="9">
        <f t="shared" si="49"/>
        <v>1.2714776632302405</v>
      </c>
      <c r="AD302" s="9">
        <f t="shared" si="50"/>
        <v>5.6295805980538001</v>
      </c>
      <c r="AE302" s="9">
        <f t="shared" si="51"/>
        <v>3.4549003016200133</v>
      </c>
      <c r="AF302" s="9">
        <f t="shared" si="52"/>
        <v>4.7844248188421306</v>
      </c>
      <c r="AG302" s="9">
        <f t="shared" si="44"/>
        <v>1.5271831478435234</v>
      </c>
      <c r="AH302" s="9">
        <f t="shared" si="53"/>
        <v>0.9815540989476873</v>
      </c>
      <c r="AI302" s="9">
        <f t="shared" si="45"/>
        <v>1.8214881196556547</v>
      </c>
      <c r="AJ302" s="9">
        <f>(4*PI()*(AI302^2))/(Y302+E302)</f>
        <v>0.85831040293806293</v>
      </c>
      <c r="AK302" s="12">
        <f t="shared" si="46"/>
        <v>0.79945054945054961</v>
      </c>
      <c r="AL302" s="12" t="s">
        <v>140</v>
      </c>
      <c r="AM302" s="12" t="s">
        <v>142</v>
      </c>
      <c r="AN302" s="16">
        <v>13.609</v>
      </c>
      <c r="AO302" s="16">
        <v>0.73619000000000001</v>
      </c>
      <c r="AP302" s="16">
        <v>23879</v>
      </c>
      <c r="AQ302" s="16">
        <v>22984</v>
      </c>
      <c r="AR302" s="16">
        <v>6.5084999999999997</v>
      </c>
      <c r="AS302" s="16">
        <v>2.6610000000000002E-3</v>
      </c>
      <c r="AT302" s="16">
        <v>0.75249999999999995</v>
      </c>
      <c r="AU302" s="16">
        <v>0.24288000000000001</v>
      </c>
      <c r="AV302" s="16">
        <v>1.4475E-3</v>
      </c>
      <c r="AW302" s="16">
        <v>1.8993E-3</v>
      </c>
      <c r="AX302" s="16">
        <v>0.41621999999999998</v>
      </c>
      <c r="AY302" s="16">
        <v>-1.5984</v>
      </c>
      <c r="AZ302" s="16">
        <v>-5595</v>
      </c>
      <c r="BA302" s="16">
        <v>2.9836999999999999E-2</v>
      </c>
      <c r="BB302" s="16">
        <v>8.1607000000000003</v>
      </c>
      <c r="BC302" s="16" t="s">
        <v>162</v>
      </c>
      <c r="BD302" s="34" t="s">
        <v>165</v>
      </c>
      <c r="BE302" t="s">
        <v>167</v>
      </c>
    </row>
    <row r="303" spans="1:57" x14ac:dyDescent="0.25">
      <c r="A303" s="25" t="s">
        <v>372</v>
      </c>
      <c r="B303" s="16" t="s">
        <v>26</v>
      </c>
      <c r="C303" s="16" t="s">
        <v>6</v>
      </c>
      <c r="D303" s="16">
        <v>59</v>
      </c>
      <c r="E303" s="16">
        <v>19.39</v>
      </c>
      <c r="F303" s="16">
        <v>16.068000000000001</v>
      </c>
      <c r="G303" s="15">
        <v>11.75</v>
      </c>
      <c r="H303" s="15">
        <v>11</v>
      </c>
      <c r="I303" s="15">
        <v>2.42</v>
      </c>
      <c r="J303" s="15">
        <v>13.18</v>
      </c>
      <c r="K303" s="15">
        <v>67.34</v>
      </c>
      <c r="L303" s="15">
        <v>78.930000000000007</v>
      </c>
      <c r="M303" s="15">
        <v>6.4</v>
      </c>
      <c r="N303" s="15">
        <v>2</v>
      </c>
      <c r="O303" s="15">
        <f>2.72+1.08</f>
        <v>3.8000000000000003</v>
      </c>
      <c r="P303" s="9">
        <v>2.2378800000000001</v>
      </c>
      <c r="Q303" s="9">
        <v>1.30538</v>
      </c>
      <c r="R303" s="9">
        <v>-0.16359399999999999</v>
      </c>
      <c r="S303" s="9">
        <v>0.23255600000000001</v>
      </c>
      <c r="T303" s="9">
        <v>0.31513400000000003</v>
      </c>
      <c r="U303" s="9">
        <v>0.20229900000000001</v>
      </c>
      <c r="V303" s="9">
        <v>6.3827199999999999</v>
      </c>
      <c r="W303" s="9">
        <v>4.8895499999999998</v>
      </c>
      <c r="X303" s="9">
        <v>10.9422</v>
      </c>
      <c r="Y303" s="9">
        <v>177.75899999999999</v>
      </c>
      <c r="Z303" s="9">
        <v>178.626</v>
      </c>
      <c r="AA303" s="9">
        <f t="shared" si="47"/>
        <v>2.0204752066115703</v>
      </c>
      <c r="AB303" s="9">
        <f t="shared" si="48"/>
        <v>4.8553719008264462</v>
      </c>
      <c r="AC303" s="9">
        <f t="shared" si="49"/>
        <v>4.5454545454545459</v>
      </c>
      <c r="AD303" s="9">
        <f t="shared" si="50"/>
        <v>9.1675605982465171</v>
      </c>
      <c r="AE303" s="9">
        <f t="shared" si="51"/>
        <v>9.2122743682310464</v>
      </c>
      <c r="AF303" s="9">
        <f t="shared" si="52"/>
        <v>5.6044777546478972</v>
      </c>
      <c r="AG303" s="9">
        <f t="shared" si="44"/>
        <v>2.484356796658584</v>
      </c>
      <c r="AH303" s="9">
        <f t="shared" si="53"/>
        <v>0.97147586025373145</v>
      </c>
      <c r="AI303" s="9">
        <f t="shared" si="45"/>
        <v>3.4936979464124365</v>
      </c>
      <c r="AJ303" s="9">
        <f>(4*PI()*(AI303^2))/(Y303+E303)</f>
        <v>0.77801146099280138</v>
      </c>
      <c r="AK303" s="12">
        <f t="shared" si="46"/>
        <v>0.63684210526315788</v>
      </c>
      <c r="AL303" s="12" t="s">
        <v>140</v>
      </c>
      <c r="AM303" s="12" t="s">
        <v>142</v>
      </c>
      <c r="AN303" s="16">
        <v>2.6756000000000002</v>
      </c>
      <c r="AO303" s="16">
        <v>0.28577000000000002</v>
      </c>
      <c r="AP303" s="16">
        <v>4381.7</v>
      </c>
      <c r="AQ303" s="16">
        <v>4269.6000000000004</v>
      </c>
      <c r="AR303" s="16">
        <v>1.3858999999999999</v>
      </c>
      <c r="AS303" s="16">
        <v>2.3283000000000002E-2</v>
      </c>
      <c r="AT303" s="16">
        <v>0.70211000000000001</v>
      </c>
      <c r="AU303" s="16">
        <v>3.5929000000000002</v>
      </c>
      <c r="AV303" s="16">
        <v>0.48837999999999998</v>
      </c>
      <c r="AW303" s="16">
        <v>1.7590000000000001E-2</v>
      </c>
      <c r="AX303" s="16">
        <v>0.13003000000000001</v>
      </c>
      <c r="AY303" s="16">
        <v>-25.890999999999998</v>
      </c>
      <c r="AZ303" s="16">
        <v>-996.29</v>
      </c>
      <c r="BA303" s="16">
        <v>0.22727</v>
      </c>
      <c r="BB303" s="16">
        <v>11.624000000000001</v>
      </c>
      <c r="BC303" s="16" t="s">
        <v>162</v>
      </c>
      <c r="BD303" s="34" t="s">
        <v>165</v>
      </c>
      <c r="BE303" t="s">
        <v>167</v>
      </c>
    </row>
    <row r="304" spans="1:57" x14ac:dyDescent="0.25">
      <c r="A304" s="25" t="s">
        <v>373</v>
      </c>
      <c r="B304" s="16" t="s">
        <v>374</v>
      </c>
      <c r="C304" s="16" t="s">
        <v>6</v>
      </c>
      <c r="D304" s="16">
        <v>64</v>
      </c>
      <c r="E304" s="16">
        <v>15.122999999999999</v>
      </c>
      <c r="F304" s="16">
        <v>14.371</v>
      </c>
      <c r="G304" s="15">
        <v>6.4</v>
      </c>
      <c r="H304" s="15">
        <v>4.9000000000000004</v>
      </c>
      <c r="I304" s="15">
        <v>2.23</v>
      </c>
      <c r="J304" s="15">
        <v>153.97</v>
      </c>
      <c r="K304" s="15">
        <v>16.739999999999998</v>
      </c>
      <c r="L304" s="15">
        <v>48.89</v>
      </c>
      <c r="M304" s="15">
        <v>6</v>
      </c>
      <c r="N304" s="15">
        <v>2</v>
      </c>
      <c r="O304" s="15">
        <v>2.93</v>
      </c>
      <c r="P304" s="9">
        <v>1.1610799999999999</v>
      </c>
      <c r="Q304" s="9">
        <v>1.5094099999999999</v>
      </c>
      <c r="R304" s="9">
        <v>0.14948500000000001</v>
      </c>
      <c r="S304" s="9">
        <v>0.10993600000000001</v>
      </c>
      <c r="T304" s="9">
        <v>0.115007</v>
      </c>
      <c r="U304" s="9">
        <v>8.3103099999999996E-3</v>
      </c>
      <c r="V304" s="9">
        <v>6.41378</v>
      </c>
      <c r="W304" s="9">
        <v>4.2491899999999996</v>
      </c>
      <c r="X304" s="9">
        <v>4.9336500000000001</v>
      </c>
      <c r="Y304" s="9">
        <v>86.606499999999997</v>
      </c>
      <c r="Z304" s="9">
        <v>89.232699999999994</v>
      </c>
      <c r="AA304" s="9">
        <f t="shared" si="47"/>
        <v>1.9054663677130044</v>
      </c>
      <c r="AB304" s="9">
        <f t="shared" si="48"/>
        <v>2.8699551569506729</v>
      </c>
      <c r="AC304" s="9">
        <f t="shared" si="49"/>
        <v>2.1973094170403589</v>
      </c>
      <c r="AD304" s="9">
        <f t="shared" si="50"/>
        <v>5.7268068504926273</v>
      </c>
      <c r="AE304" s="9">
        <f t="shared" si="51"/>
        <v>5.9004628711234544</v>
      </c>
      <c r="AF304" s="9">
        <f t="shared" si="52"/>
        <v>4.3371169390000341</v>
      </c>
      <c r="AG304" s="9">
        <f t="shared" si="44"/>
        <v>2.1940374674917167</v>
      </c>
      <c r="AH304" s="9">
        <f t="shared" si="53"/>
        <v>0.95926128864696014</v>
      </c>
      <c r="AI304" s="9">
        <f t="shared" si="45"/>
        <v>2.7721186090731997</v>
      </c>
      <c r="AJ304" s="9">
        <f>(4*PI()*(AI304^2))/(Y304+E304)</f>
        <v>0.94926303744344209</v>
      </c>
      <c r="AK304" s="12">
        <f t="shared" si="46"/>
        <v>0.76109215017064846</v>
      </c>
      <c r="AL304" s="12" t="s">
        <v>144</v>
      </c>
      <c r="AM304" s="12" t="s">
        <v>142</v>
      </c>
      <c r="AN304" s="16">
        <v>0.61019000000000001</v>
      </c>
      <c r="AO304" s="16">
        <v>0.15209</v>
      </c>
      <c r="AP304" s="16">
        <v>2966.6</v>
      </c>
      <c r="AQ304" s="16">
        <v>2664.9</v>
      </c>
      <c r="AR304" s="16">
        <v>0.37483</v>
      </c>
      <c r="AS304" s="16">
        <v>2.2058999999999999E-2</v>
      </c>
      <c r="AT304" s="16">
        <v>0.70752000000000004</v>
      </c>
      <c r="AU304" s="16">
        <v>5.9493999999999998</v>
      </c>
      <c r="AV304" s="16">
        <v>0.69972000000000001</v>
      </c>
      <c r="AW304" s="16">
        <v>2.0448000000000001E-2</v>
      </c>
      <c r="AX304" s="16">
        <v>3.3155999999999998E-2</v>
      </c>
      <c r="AY304" s="16">
        <v>-173.32</v>
      </c>
      <c r="AZ304" s="16">
        <v>-112.14</v>
      </c>
      <c r="BA304" s="16">
        <v>0.73394999999999999</v>
      </c>
      <c r="BB304" s="16">
        <v>152.06</v>
      </c>
      <c r="BC304" s="16" t="s">
        <v>162</v>
      </c>
      <c r="BD304" s="34" t="s">
        <v>163</v>
      </c>
      <c r="BE304" t="s">
        <v>167</v>
      </c>
    </row>
    <row r="305" spans="1:57" x14ac:dyDescent="0.25">
      <c r="A305" s="25" t="s">
        <v>375</v>
      </c>
      <c r="B305" s="16" t="s">
        <v>26</v>
      </c>
      <c r="C305" s="16" t="s">
        <v>6</v>
      </c>
      <c r="D305" s="16">
        <v>69</v>
      </c>
      <c r="E305" s="16">
        <v>7.7865000000000002</v>
      </c>
      <c r="F305" s="16">
        <v>10.122999999999999</v>
      </c>
      <c r="G305" s="15">
        <v>5.05</v>
      </c>
      <c r="H305" s="15">
        <v>4.3</v>
      </c>
      <c r="I305" s="15">
        <v>2.04</v>
      </c>
      <c r="J305" s="15">
        <v>1.28</v>
      </c>
      <c r="K305" s="15">
        <v>50.54</v>
      </c>
      <c r="L305" s="15">
        <v>50.27</v>
      </c>
      <c r="M305" s="15">
        <v>4</v>
      </c>
      <c r="N305" s="15">
        <v>2</v>
      </c>
      <c r="O305" s="15">
        <f>2.01+1.3</f>
        <v>3.3099999999999996</v>
      </c>
      <c r="P305" s="9">
        <v>1.3746400000000001</v>
      </c>
      <c r="Q305" s="9">
        <v>1.21363</v>
      </c>
      <c r="R305" s="9">
        <v>0.198795</v>
      </c>
      <c r="S305" s="9">
        <v>0.13558200000000001</v>
      </c>
      <c r="T305" s="9">
        <v>0.147479</v>
      </c>
      <c r="U305" s="9">
        <v>2.3436800000000001E-2</v>
      </c>
      <c r="V305" s="9">
        <v>3.7467299999999999</v>
      </c>
      <c r="W305" s="9">
        <v>3.0871900000000001</v>
      </c>
      <c r="X305" s="9">
        <v>4.2437699999999996</v>
      </c>
      <c r="Y305" s="9">
        <v>42.703699999999998</v>
      </c>
      <c r="Z305" s="9">
        <v>29.210899999999999</v>
      </c>
      <c r="AA305" s="9">
        <f t="shared" si="47"/>
        <v>1.513328431372549</v>
      </c>
      <c r="AB305" s="9">
        <f t="shared" si="48"/>
        <v>2.4754901960784315</v>
      </c>
      <c r="AC305" s="9">
        <f t="shared" si="49"/>
        <v>2.107843137254902</v>
      </c>
      <c r="AD305" s="9">
        <f t="shared" si="50"/>
        <v>5.4843254350478388</v>
      </c>
      <c r="AE305" s="9">
        <f t="shared" si="51"/>
        <v>3.7514801258588579</v>
      </c>
      <c r="AF305" s="9">
        <f t="shared" si="52"/>
        <v>4.5023115800470714</v>
      </c>
      <c r="AG305" s="9">
        <f t="shared" si="44"/>
        <v>1.5743315815831449</v>
      </c>
      <c r="AH305" s="9">
        <f t="shared" si="53"/>
        <v>0.97716260614758643</v>
      </c>
      <c r="AI305" s="9">
        <f t="shared" si="45"/>
        <v>1.9105222926562297</v>
      </c>
      <c r="AJ305" s="9">
        <f>(4*PI()*(AI305^2))/(Y305+E305)</f>
        <v>0.90846247312176986</v>
      </c>
      <c r="AK305" s="12">
        <f t="shared" si="46"/>
        <v>0.61631419939577048</v>
      </c>
      <c r="AL305" s="12" t="s">
        <v>144</v>
      </c>
      <c r="AM305" s="12" t="s">
        <v>142</v>
      </c>
      <c r="AN305" s="16">
        <v>4.5339999999999998</v>
      </c>
      <c r="AO305" s="16">
        <v>0.46515000000000001</v>
      </c>
      <c r="AP305" s="16">
        <v>13829</v>
      </c>
      <c r="AQ305" s="16">
        <v>12406</v>
      </c>
      <c r="AR305" s="16">
        <v>1.9708000000000001</v>
      </c>
      <c r="AS305" s="16">
        <v>1.2496999999999999E-2</v>
      </c>
      <c r="AT305" s="16">
        <v>0.69947999999999999</v>
      </c>
      <c r="AU305" s="16">
        <v>0.80489999999999995</v>
      </c>
      <c r="AV305" s="16">
        <v>3.4044999999999999E-2</v>
      </c>
      <c r="AW305" s="16">
        <v>1.4328E-2</v>
      </c>
      <c r="AX305" s="16">
        <v>0.16148999999999999</v>
      </c>
      <c r="AY305" s="16">
        <v>-49.445</v>
      </c>
      <c r="AZ305" s="16">
        <v>-1239.3</v>
      </c>
      <c r="BA305" s="16">
        <v>0.15364</v>
      </c>
      <c r="BB305" s="16">
        <v>91.905000000000001</v>
      </c>
      <c r="BC305" s="16" t="s">
        <v>162</v>
      </c>
      <c r="BD305" s="34" t="s">
        <v>165</v>
      </c>
      <c r="BE305" t="s">
        <v>167</v>
      </c>
    </row>
    <row r="306" spans="1:57" x14ac:dyDescent="0.25">
      <c r="A306" s="25" t="s">
        <v>376</v>
      </c>
      <c r="B306" s="16" t="s">
        <v>13</v>
      </c>
      <c r="C306" s="16" t="s">
        <v>6</v>
      </c>
      <c r="D306" s="16">
        <v>69</v>
      </c>
      <c r="E306" s="16">
        <v>16.350999999999999</v>
      </c>
      <c r="F306" s="16">
        <v>15.013</v>
      </c>
      <c r="G306" s="15">
        <v>9.3800000000000008</v>
      </c>
      <c r="H306" s="15">
        <v>6.85</v>
      </c>
      <c r="I306" s="15">
        <v>1.85</v>
      </c>
      <c r="J306" s="15">
        <v>44.81</v>
      </c>
      <c r="K306" s="15">
        <v>37.520000000000003</v>
      </c>
      <c r="L306" s="15">
        <v>59.44</v>
      </c>
      <c r="M306" s="15">
        <v>7.2</v>
      </c>
      <c r="N306" s="15">
        <v>2</v>
      </c>
      <c r="O306" s="15">
        <f>1.66+1.8</f>
        <v>3.46</v>
      </c>
      <c r="P306" s="9">
        <v>1.5422100000000001</v>
      </c>
      <c r="Q306" s="9">
        <v>1.60219</v>
      </c>
      <c r="R306" s="9">
        <v>-0.262963</v>
      </c>
      <c r="S306" s="9">
        <v>0.175458</v>
      </c>
      <c r="T306" s="9">
        <v>0.19683100000000001</v>
      </c>
      <c r="U306" s="9">
        <v>6.4613900000000002E-2</v>
      </c>
      <c r="V306" s="9">
        <v>7.1159499999999998</v>
      </c>
      <c r="W306" s="9">
        <v>4.4413999999999998</v>
      </c>
      <c r="X306" s="9">
        <v>6.8495600000000003</v>
      </c>
      <c r="Y306" s="9">
        <v>138.00899999999999</v>
      </c>
      <c r="Z306" s="9">
        <v>155.18899999999999</v>
      </c>
      <c r="AA306" s="9">
        <f t="shared" si="47"/>
        <v>2.4007567567567567</v>
      </c>
      <c r="AB306" s="9">
        <f t="shared" si="48"/>
        <v>5.0702702702702709</v>
      </c>
      <c r="AC306" s="9">
        <f t="shared" si="49"/>
        <v>3.7027027027027022</v>
      </c>
      <c r="AD306" s="9">
        <f t="shared" si="50"/>
        <v>8.4404011987034426</v>
      </c>
      <c r="AE306" s="9">
        <f t="shared" si="51"/>
        <v>9.4911014616843001</v>
      </c>
      <c r="AF306" s="9">
        <f t="shared" si="52"/>
        <v>4.7789606284989929</v>
      </c>
      <c r="AG306" s="9">
        <f t="shared" si="44"/>
        <v>2.2813778619490375</v>
      </c>
      <c r="AH306" s="9">
        <f t="shared" si="53"/>
        <v>0.95479383616352298</v>
      </c>
      <c r="AI306" s="9">
        <f t="shared" si="45"/>
        <v>3.3336815267063349</v>
      </c>
      <c r="AJ306" s="9">
        <f>(4*PI()*(AI306^2))/(Y306+E306)</f>
        <v>0.90473899885255171</v>
      </c>
      <c r="AK306" s="12">
        <f t="shared" si="46"/>
        <v>0.53468208092485547</v>
      </c>
      <c r="AL306" s="12" t="s">
        <v>140</v>
      </c>
      <c r="AM306" s="12" t="s">
        <v>142</v>
      </c>
      <c r="AN306" s="16">
        <v>3.6339999999999999</v>
      </c>
      <c r="AO306" s="16">
        <v>0.53986000000000001</v>
      </c>
      <c r="AP306" s="16">
        <v>5974.8</v>
      </c>
      <c r="AQ306" s="16">
        <v>5237.8</v>
      </c>
      <c r="AR306" s="16">
        <v>1.9197</v>
      </c>
      <c r="AS306" s="16">
        <v>2.1239000000000001E-2</v>
      </c>
      <c r="AT306" s="16">
        <v>0.70276000000000005</v>
      </c>
      <c r="AU306" s="16">
        <v>1.2568999999999999</v>
      </c>
      <c r="AV306" s="16">
        <v>0.11083999999999999</v>
      </c>
      <c r="AW306" s="16">
        <v>1.7451999999999999E-2</v>
      </c>
      <c r="AX306" s="16">
        <v>0.14713000000000001</v>
      </c>
      <c r="AY306" s="16">
        <v>-29.774999999999999</v>
      </c>
      <c r="AZ306" s="16">
        <v>-498.02</v>
      </c>
      <c r="BA306" s="16">
        <v>0.34702</v>
      </c>
      <c r="BB306" s="16">
        <v>30.818999999999999</v>
      </c>
      <c r="BC306" s="16" t="s">
        <v>162</v>
      </c>
      <c r="BD306" s="34" t="s">
        <v>163</v>
      </c>
      <c r="BE306" t="s">
        <v>168</v>
      </c>
    </row>
    <row r="307" spans="1:57" x14ac:dyDescent="0.25">
      <c r="A307" s="25" t="s">
        <v>377</v>
      </c>
      <c r="B307" s="16" t="s">
        <v>13</v>
      </c>
      <c r="C307" s="16" t="s">
        <v>14</v>
      </c>
      <c r="D307" s="16">
        <v>72</v>
      </c>
      <c r="E307" s="16">
        <v>6.5149999999999997</v>
      </c>
      <c r="F307" s="16">
        <v>9.1907999999999994</v>
      </c>
      <c r="G307" s="15">
        <v>4.53</v>
      </c>
      <c r="H307" s="15">
        <v>3.55</v>
      </c>
      <c r="I307" s="15">
        <v>1.98</v>
      </c>
      <c r="J307" s="15">
        <v>19.829999999999998</v>
      </c>
      <c r="K307" s="15">
        <v>38.840000000000003</v>
      </c>
      <c r="L307" s="15">
        <v>50.93</v>
      </c>
      <c r="M307" s="15">
        <v>3.45</v>
      </c>
      <c r="N307" s="15">
        <v>2</v>
      </c>
      <c r="O307" s="15">
        <f>1.61+0.69</f>
        <v>2.2999999999999998</v>
      </c>
      <c r="P307" s="9">
        <v>1.2465200000000001</v>
      </c>
      <c r="Q307" s="9">
        <v>1.47367</v>
      </c>
      <c r="R307" s="9">
        <v>-7.1428599999999995E-2</v>
      </c>
      <c r="S307" s="9">
        <v>0.13528399999999999</v>
      </c>
      <c r="T307" s="9">
        <v>0.141762</v>
      </c>
      <c r="U307" s="9">
        <v>1.30317E-2</v>
      </c>
      <c r="V307" s="9">
        <v>4.1982499999999998</v>
      </c>
      <c r="W307" s="9">
        <v>2.84884</v>
      </c>
      <c r="X307" s="9">
        <v>3.5511400000000002</v>
      </c>
      <c r="Y307" s="9">
        <v>39.786900000000003</v>
      </c>
      <c r="Z307" s="9">
        <v>26.534500000000001</v>
      </c>
      <c r="AA307" s="9">
        <f t="shared" si="47"/>
        <v>1.4388080808080808</v>
      </c>
      <c r="AB307" s="9">
        <f t="shared" si="48"/>
        <v>2.2878787878787881</v>
      </c>
      <c r="AC307" s="9">
        <f t="shared" si="49"/>
        <v>1.7929292929292928</v>
      </c>
      <c r="AD307" s="9">
        <f t="shared" si="50"/>
        <v>6.1069685341519575</v>
      </c>
      <c r="AE307" s="9">
        <f t="shared" si="51"/>
        <v>4.0728319263238681</v>
      </c>
      <c r="AF307" s="9">
        <f t="shared" si="52"/>
        <v>4.4723195856908307</v>
      </c>
      <c r="AG307" s="9">
        <f t="shared" si="44"/>
        <v>1.4400655917309448</v>
      </c>
      <c r="AH307" s="9">
        <f t="shared" si="53"/>
        <v>0.98448437212633821</v>
      </c>
      <c r="AI307" s="9">
        <f t="shared" si="45"/>
        <v>1.8502941101634309</v>
      </c>
      <c r="AJ307" s="9">
        <f>(4*PI()*(AI307^2))/(Y307+E307)</f>
        <v>0.92916444756502825</v>
      </c>
      <c r="AK307" s="12">
        <f t="shared" si="46"/>
        <v>0.86086956521739133</v>
      </c>
      <c r="AL307" s="12" t="s">
        <v>144</v>
      </c>
      <c r="AM307" s="12" t="s">
        <v>142</v>
      </c>
      <c r="AN307" s="16">
        <v>3.6450999999999998</v>
      </c>
      <c r="AO307" s="16">
        <v>0.43525000000000003</v>
      </c>
      <c r="AP307" s="16">
        <v>6770.9</v>
      </c>
      <c r="AQ307" s="16">
        <v>6321.8</v>
      </c>
      <c r="AR307" s="16">
        <v>1.6597</v>
      </c>
      <c r="AS307" s="16">
        <v>9.1006999999999998E-3</v>
      </c>
      <c r="AT307" s="16">
        <v>0.75549999999999995</v>
      </c>
      <c r="AU307" s="16">
        <v>0.91769000000000001</v>
      </c>
      <c r="AV307" s="16">
        <v>3.7245E-2</v>
      </c>
      <c r="AW307" s="16">
        <v>6.5024000000000002E-3</v>
      </c>
      <c r="AX307" s="16">
        <v>0.15211</v>
      </c>
      <c r="AY307" s="16">
        <v>-14.704000000000001</v>
      </c>
      <c r="AZ307" s="16">
        <v>-1045.2</v>
      </c>
      <c r="BA307" s="16">
        <v>9.6790000000000001E-2</v>
      </c>
      <c r="BB307" s="16">
        <v>7.5197000000000003</v>
      </c>
      <c r="BC307" s="16" t="s">
        <v>162</v>
      </c>
      <c r="BD307" s="34" t="s">
        <v>163</v>
      </c>
      <c r="BE307" t="s">
        <v>167</v>
      </c>
    </row>
    <row r="308" spans="1:57" x14ac:dyDescent="0.25">
      <c r="A308" s="25" t="s">
        <v>378</v>
      </c>
      <c r="B308" s="16" t="s">
        <v>26</v>
      </c>
      <c r="C308" s="16" t="s">
        <v>14</v>
      </c>
      <c r="D308" s="16">
        <v>72</v>
      </c>
      <c r="E308" s="16">
        <v>9.9552999999999994</v>
      </c>
      <c r="F308" s="16">
        <v>11.523999999999999</v>
      </c>
      <c r="G308" s="15">
        <v>3.97</v>
      </c>
      <c r="H308" s="15">
        <v>2.0699999999999998</v>
      </c>
      <c r="I308" s="15">
        <v>2.21</v>
      </c>
      <c r="J308" s="15">
        <v>55.55</v>
      </c>
      <c r="K308" s="15">
        <v>20.2</v>
      </c>
      <c r="L308" s="15">
        <v>51.35</v>
      </c>
      <c r="M308" s="15">
        <v>3.45</v>
      </c>
      <c r="N308" s="15">
        <v>2</v>
      </c>
      <c r="O308" s="15">
        <f>2.44+1.05</f>
        <v>3.49</v>
      </c>
      <c r="P308" s="9">
        <v>0.58486300000000002</v>
      </c>
      <c r="Q308" s="9">
        <v>1.1231599999999999</v>
      </c>
      <c r="R308" s="9">
        <v>0.4</v>
      </c>
      <c r="S308" s="9">
        <v>2.6118300000000001E-2</v>
      </c>
      <c r="T308" s="9">
        <v>3.1403899999999998E-2</v>
      </c>
      <c r="U308" s="9">
        <v>-2.58793E-3</v>
      </c>
      <c r="V308" s="9">
        <v>3.95689</v>
      </c>
      <c r="W308" s="9">
        <v>3.52298</v>
      </c>
      <c r="X308" s="9">
        <v>2.06046</v>
      </c>
      <c r="Y308" s="9">
        <v>23.3565</v>
      </c>
      <c r="Z308" s="9">
        <v>14.309200000000001</v>
      </c>
      <c r="AA308" s="9">
        <f t="shared" si="47"/>
        <v>1.5941085972850679</v>
      </c>
      <c r="AB308" s="9">
        <f t="shared" si="48"/>
        <v>1.7963800904977376</v>
      </c>
      <c r="AC308" s="9">
        <f t="shared" si="49"/>
        <v>0.93665158371040713</v>
      </c>
      <c r="AD308" s="9">
        <f t="shared" si="50"/>
        <v>2.3461372334334478</v>
      </c>
      <c r="AE308" s="9">
        <f t="shared" si="51"/>
        <v>1.4373449318453488</v>
      </c>
      <c r="AF308" s="9">
        <f t="shared" si="52"/>
        <v>3.9627577851294133</v>
      </c>
      <c r="AG308" s="9">
        <f t="shared" si="44"/>
        <v>1.7801321327152912</v>
      </c>
      <c r="AH308" s="9">
        <f t="shared" si="53"/>
        <v>0.97057445861809954</v>
      </c>
      <c r="AI308" s="9">
        <f t="shared" si="45"/>
        <v>1.5060599101777146</v>
      </c>
      <c r="AJ308" s="9">
        <f>(4*PI()*(AI308^2))/(Y308+E308)</f>
        <v>0.85565020751038579</v>
      </c>
      <c r="AK308" s="12">
        <f t="shared" si="46"/>
        <v>0.63323782234957016</v>
      </c>
      <c r="AL308" s="12" t="s">
        <v>144</v>
      </c>
      <c r="AM308" s="12" t="s">
        <v>142</v>
      </c>
      <c r="AN308" s="16">
        <v>5.484</v>
      </c>
      <c r="AO308" s="16">
        <v>0.83884999999999998</v>
      </c>
      <c r="AP308" s="16">
        <v>7290.1</v>
      </c>
      <c r="AQ308" s="16">
        <v>7407.3</v>
      </c>
      <c r="AR308" s="16">
        <v>2.3689</v>
      </c>
      <c r="AS308" s="16">
        <v>3.7954E-3</v>
      </c>
      <c r="AT308" s="16">
        <v>0.75456999999999996</v>
      </c>
      <c r="AU308" s="16">
        <v>0.58235999999999999</v>
      </c>
      <c r="AV308" s="16">
        <v>1.2532999999999999E-3</v>
      </c>
      <c r="AW308" s="16">
        <v>3.2241000000000001E-3</v>
      </c>
      <c r="AX308" s="16">
        <v>0.18647</v>
      </c>
      <c r="AY308" s="16">
        <v>-10.718999999999999</v>
      </c>
      <c r="AZ308" s="16">
        <v>-1603.5</v>
      </c>
      <c r="BA308" s="16">
        <v>3.6563999999999999E-2</v>
      </c>
      <c r="BB308" s="16">
        <v>22.417999999999999</v>
      </c>
      <c r="BC308" s="16" t="s">
        <v>162</v>
      </c>
      <c r="BD308" s="34" t="s">
        <v>163</v>
      </c>
      <c r="BE308" t="s">
        <v>167</v>
      </c>
    </row>
    <row r="309" spans="1:57" x14ac:dyDescent="0.25">
      <c r="A309" s="25" t="s">
        <v>379</v>
      </c>
      <c r="B309" s="18" t="s">
        <v>5</v>
      </c>
      <c r="C309" s="18" t="s">
        <v>6</v>
      </c>
      <c r="D309" s="18">
        <v>56</v>
      </c>
      <c r="E309" s="18">
        <v>5.8999390943242798</v>
      </c>
      <c r="F309" s="18">
        <v>8.8450000000000006</v>
      </c>
      <c r="G309" s="15">
        <v>5.04</v>
      </c>
      <c r="H309" s="15">
        <v>3.35</v>
      </c>
      <c r="I309" s="15">
        <v>3.54</v>
      </c>
      <c r="J309" s="15">
        <v>68.06</v>
      </c>
      <c r="K309" s="15">
        <v>25.21</v>
      </c>
      <c r="L309" s="15">
        <v>20.010000000000002</v>
      </c>
      <c r="M309" s="15">
        <v>4.9000000000000004</v>
      </c>
      <c r="N309" s="15">
        <v>1</v>
      </c>
      <c r="O309" s="15">
        <v>3.09</v>
      </c>
      <c r="P309" s="9">
        <v>1.2341899999999999</v>
      </c>
      <c r="Q309" s="9">
        <v>1.92031</v>
      </c>
      <c r="R309" s="9">
        <v>8.4615399999999993E-2</v>
      </c>
      <c r="S309" s="9">
        <v>0.166383</v>
      </c>
      <c r="T309" s="9">
        <v>0.22383700000000001</v>
      </c>
      <c r="U309" s="9">
        <v>0.114311</v>
      </c>
      <c r="V309" s="9">
        <v>5.20207</v>
      </c>
      <c r="W309" s="9">
        <v>2.7089799999999999</v>
      </c>
      <c r="X309" s="9">
        <v>3.34341</v>
      </c>
      <c r="Y309" s="9">
        <v>45.256</v>
      </c>
      <c r="Z309" s="9">
        <v>27.684200000000001</v>
      </c>
      <c r="AA309" s="9">
        <f t="shared" si="47"/>
        <v>0.76524858757062142</v>
      </c>
      <c r="AB309" s="9">
        <f t="shared" si="48"/>
        <v>1.423728813559322</v>
      </c>
      <c r="AC309" s="9">
        <f t="shared" si="49"/>
        <v>0.9463276836158192</v>
      </c>
      <c r="AD309" s="9">
        <f t="shared" si="50"/>
        <v>7.6705876580210992</v>
      </c>
      <c r="AE309" s="9">
        <f t="shared" si="51"/>
        <v>4.6922857265818392</v>
      </c>
      <c r="AF309" s="9">
        <f t="shared" si="52"/>
        <v>4.9452491884751444</v>
      </c>
      <c r="AG309" s="9">
        <f t="shared" si="44"/>
        <v>1.3704046634500551</v>
      </c>
      <c r="AH309" s="9">
        <f t="shared" si="53"/>
        <v>0.97348857504576269</v>
      </c>
      <c r="AI309" s="9">
        <f t="shared" si="45"/>
        <v>1.8766406653745311</v>
      </c>
      <c r="AJ309" s="9">
        <f>(4*PI()*(AI309^2))/(Y309+E309)</f>
        <v>0.86511939444138186</v>
      </c>
      <c r="AK309" s="12">
        <f t="shared" si="46"/>
        <v>1.1456310679611652</v>
      </c>
      <c r="AL309" s="12" t="s">
        <v>140</v>
      </c>
      <c r="AM309" s="12" t="s">
        <v>143</v>
      </c>
      <c r="AN309" s="18">
        <v>9.4020617861117692</v>
      </c>
      <c r="AO309" s="18">
        <v>0.88133334175883704</v>
      </c>
      <c r="AP309" s="18">
        <v>29610.965981719801</v>
      </c>
      <c r="AQ309" s="18">
        <v>27811.868588814701</v>
      </c>
      <c r="AR309" s="18">
        <v>4.0924037899850703</v>
      </c>
      <c r="AS309" s="18">
        <v>2.8175066413831901E-2</v>
      </c>
      <c r="AT309" s="18">
        <v>0.68642373396467404</v>
      </c>
      <c r="AU309" s="18">
        <v>0.71419976339653801</v>
      </c>
      <c r="AV309" s="18">
        <v>4.3103003956647103E-2</v>
      </c>
      <c r="AW309" s="18">
        <v>2.4119270575412299E-2</v>
      </c>
      <c r="AX309" s="18">
        <v>0.228412534166585</v>
      </c>
      <c r="AY309" s="18">
        <v>3.2815119945447901</v>
      </c>
      <c r="AZ309" s="18">
        <v>2937.3955341686701</v>
      </c>
      <c r="BA309" s="18">
        <v>3.26758540226516E-2</v>
      </c>
      <c r="BB309" s="18">
        <v>8.9025517135894905</v>
      </c>
      <c r="BC309" s="18" t="s">
        <v>162</v>
      </c>
      <c r="BD309" s="35" t="s">
        <v>165</v>
      </c>
      <c r="BE309" t="s">
        <v>167</v>
      </c>
    </row>
    <row r="310" spans="1:57" x14ac:dyDescent="0.25">
      <c r="A310" s="25" t="s">
        <v>380</v>
      </c>
      <c r="B310" s="16" t="s">
        <v>13</v>
      </c>
      <c r="C310" s="16" t="s">
        <v>6</v>
      </c>
      <c r="D310" s="16">
        <v>76</v>
      </c>
      <c r="E310" s="16">
        <v>15.303000000000001</v>
      </c>
      <c r="F310" s="16">
        <v>14.409000000000001</v>
      </c>
      <c r="G310" s="15">
        <v>7.68</v>
      </c>
      <c r="H310" s="15">
        <v>5.7</v>
      </c>
      <c r="I310" s="15">
        <v>1.32</v>
      </c>
      <c r="J310" s="15">
        <v>67.98</v>
      </c>
      <c r="K310" s="15">
        <v>39.119999999999997</v>
      </c>
      <c r="L310" s="15">
        <v>59.64</v>
      </c>
      <c r="M310" s="15">
        <v>5.5</v>
      </c>
      <c r="N310" s="15">
        <v>2</v>
      </c>
      <c r="O310" s="15">
        <f>1.55+1.52</f>
        <v>3.0700000000000003</v>
      </c>
      <c r="P310" s="9">
        <v>1.32572</v>
      </c>
      <c r="Q310" s="9">
        <v>1.6730100000000001</v>
      </c>
      <c r="R310" s="9">
        <v>0.24107100000000001</v>
      </c>
      <c r="S310" s="9">
        <v>0.157272</v>
      </c>
      <c r="T310" s="9">
        <v>0.19264100000000001</v>
      </c>
      <c r="U310" s="9">
        <v>9.3710799999999997E-2</v>
      </c>
      <c r="V310" s="9">
        <v>7.1758699999999997</v>
      </c>
      <c r="W310" s="9">
        <v>4.2892000000000001</v>
      </c>
      <c r="X310" s="9">
        <v>5.6862599999999999</v>
      </c>
      <c r="Y310" s="9">
        <v>99.407700000000006</v>
      </c>
      <c r="Z310" s="9">
        <v>95.613399999999999</v>
      </c>
      <c r="AA310" s="9">
        <f t="shared" si="47"/>
        <v>3.2493939393939395</v>
      </c>
      <c r="AB310" s="9">
        <f t="shared" si="48"/>
        <v>5.8181818181818175</v>
      </c>
      <c r="AC310" s="9">
        <f t="shared" si="49"/>
        <v>4.3181818181818183</v>
      </c>
      <c r="AD310" s="9">
        <f t="shared" si="50"/>
        <v>6.4959615761615366</v>
      </c>
      <c r="AE310" s="9">
        <f t="shared" si="51"/>
        <v>6.2480167287459967</v>
      </c>
      <c r="AF310" s="9">
        <f t="shared" si="52"/>
        <v>4.7541642762645253</v>
      </c>
      <c r="AG310" s="9">
        <f t="shared" si="44"/>
        <v>2.2070560002570279</v>
      </c>
      <c r="AH310" s="9">
        <f t="shared" si="53"/>
        <v>0.96240834429436473</v>
      </c>
      <c r="AI310" s="9">
        <f t="shared" si="45"/>
        <v>2.8366780677693213</v>
      </c>
      <c r="AJ310" s="9">
        <f>(4*PI()*(AI310^2))/(Y310+E310)</f>
        <v>0.88150754892712446</v>
      </c>
      <c r="AK310" s="12">
        <f t="shared" si="46"/>
        <v>0.42996742671009769</v>
      </c>
      <c r="AL310" s="12" t="s">
        <v>140</v>
      </c>
      <c r="AM310" s="12" t="s">
        <v>142</v>
      </c>
      <c r="AN310" s="16">
        <v>14.019</v>
      </c>
      <c r="AO310" s="16">
        <v>1.1127</v>
      </c>
      <c r="AP310" s="16">
        <v>23848</v>
      </c>
      <c r="AQ310" s="16">
        <v>22425</v>
      </c>
      <c r="AR310" s="16">
        <v>6.8808999999999996</v>
      </c>
      <c r="AS310" s="16">
        <v>1.0198E-2</v>
      </c>
      <c r="AT310" s="16">
        <v>0.74295999999999995</v>
      </c>
      <c r="AU310" s="16">
        <v>0.29780000000000001</v>
      </c>
      <c r="AV310" s="16">
        <v>1.3174999999999999E-2</v>
      </c>
      <c r="AW310" s="16">
        <v>1.5916E-2</v>
      </c>
      <c r="AX310" s="16">
        <v>0.38800000000000001</v>
      </c>
      <c r="AY310" s="16">
        <v>6.6241000000000003</v>
      </c>
      <c r="AZ310" s="16">
        <v>2710</v>
      </c>
      <c r="BA310" s="16">
        <v>4.8160000000000001E-2</v>
      </c>
      <c r="BB310" s="16">
        <v>14.071999999999999</v>
      </c>
      <c r="BC310" s="16" t="s">
        <v>162</v>
      </c>
      <c r="BD310" s="34" t="s">
        <v>165</v>
      </c>
      <c r="BE310" t="s">
        <v>168</v>
      </c>
    </row>
    <row r="311" spans="1:57" x14ac:dyDescent="0.25">
      <c r="A311" s="25" t="s">
        <v>381</v>
      </c>
      <c r="B311" s="16" t="s">
        <v>26</v>
      </c>
      <c r="C311" s="16" t="s">
        <v>6</v>
      </c>
      <c r="D311" s="16">
        <v>50</v>
      </c>
      <c r="E311" s="16">
        <v>18.007000000000001</v>
      </c>
      <c r="F311" s="16">
        <v>16.286000000000001</v>
      </c>
      <c r="G311" s="15">
        <v>7.88</v>
      </c>
      <c r="H311" s="15">
        <v>5.9</v>
      </c>
      <c r="I311" s="15">
        <v>2.23</v>
      </c>
      <c r="J311" s="15">
        <v>34.71</v>
      </c>
      <c r="K311" s="15">
        <v>40.130000000000003</v>
      </c>
      <c r="L311" s="15">
        <v>69.930000000000007</v>
      </c>
      <c r="M311" s="15">
        <v>6.1</v>
      </c>
      <c r="N311" s="15">
        <v>1</v>
      </c>
      <c r="O311" s="15">
        <v>1.63</v>
      </c>
      <c r="P311" s="9">
        <v>1.3238399999999999</v>
      </c>
      <c r="Q311" s="9">
        <v>1.4045300000000001</v>
      </c>
      <c r="R311" s="9">
        <v>0.32906000000000002</v>
      </c>
      <c r="S311" s="9">
        <v>0.121993</v>
      </c>
      <c r="T311" s="9">
        <v>0.13092100000000001</v>
      </c>
      <c r="U311" s="9">
        <v>1.5283E-2</v>
      </c>
      <c r="V311" s="9">
        <v>6.27834</v>
      </c>
      <c r="W311" s="9">
        <v>4.4700699999999998</v>
      </c>
      <c r="X311" s="9">
        <v>5.9176700000000002</v>
      </c>
      <c r="Y311" s="9">
        <v>102.78</v>
      </c>
      <c r="Z311" s="9">
        <v>112.265</v>
      </c>
      <c r="AA311" s="9">
        <f t="shared" si="47"/>
        <v>2.0045156950672647</v>
      </c>
      <c r="AB311" s="9">
        <f t="shared" si="48"/>
        <v>3.5336322869955157</v>
      </c>
      <c r="AC311" s="9">
        <f t="shared" si="49"/>
        <v>2.6457399103139014</v>
      </c>
      <c r="AD311" s="9">
        <f t="shared" si="50"/>
        <v>5.7077803076581324</v>
      </c>
      <c r="AE311" s="9">
        <f t="shared" si="51"/>
        <v>6.2345199089243071</v>
      </c>
      <c r="AF311" s="9">
        <f t="shared" si="52"/>
        <v>4.4165080485114654</v>
      </c>
      <c r="AG311" s="9">
        <f t="shared" si="44"/>
        <v>2.3941190698274637</v>
      </c>
      <c r="AH311" s="9">
        <f t="shared" si="53"/>
        <v>0.92365797391491933</v>
      </c>
      <c r="AI311" s="9">
        <f t="shared" si="45"/>
        <v>2.9926224100507381</v>
      </c>
      <c r="AJ311" s="9">
        <f>(4*PI()*(AI311^2))/(Y311+E311)</f>
        <v>0.93173737508893117</v>
      </c>
      <c r="AK311" s="12">
        <f t="shared" si="46"/>
        <v>1.3680981595092025</v>
      </c>
      <c r="AL311" s="12" t="s">
        <v>144</v>
      </c>
      <c r="AM311" s="12" t="s">
        <v>142</v>
      </c>
      <c r="AN311" s="16">
        <v>0.74243000000000003</v>
      </c>
      <c r="AO311" s="16">
        <v>0.1182</v>
      </c>
      <c r="AP311" s="16">
        <v>648.61</v>
      </c>
      <c r="AQ311" s="16">
        <v>653.17999999999995</v>
      </c>
      <c r="AR311" s="16">
        <v>0.53244000000000002</v>
      </c>
      <c r="AS311" s="16">
        <v>2.1506999999999998E-2</v>
      </c>
      <c r="AT311" s="16">
        <v>0.65085999999999999</v>
      </c>
      <c r="AU311" s="16">
        <v>3.0354000000000001</v>
      </c>
      <c r="AV311" s="16">
        <v>0.61321000000000003</v>
      </c>
      <c r="AW311" s="16">
        <v>2.1309000000000002E-2</v>
      </c>
      <c r="AX311" s="16">
        <v>5.3872000000000003E-2</v>
      </c>
      <c r="AY311" s="16">
        <v>-282.70999999999998</v>
      </c>
      <c r="AZ311" s="16">
        <v>-280.19</v>
      </c>
      <c r="BA311" s="16">
        <v>0.68937000000000004</v>
      </c>
      <c r="BB311" s="16">
        <v>12.183999999999999</v>
      </c>
      <c r="BC311" s="16" t="s">
        <v>162</v>
      </c>
      <c r="BD311" s="34" t="s">
        <v>163</v>
      </c>
      <c r="BE311" t="s">
        <v>167</v>
      </c>
    </row>
    <row r="312" spans="1:57" x14ac:dyDescent="0.25">
      <c r="A312" s="12" t="s">
        <v>382</v>
      </c>
      <c r="B312" s="18" t="s">
        <v>5</v>
      </c>
      <c r="C312" s="18" t="s">
        <v>6</v>
      </c>
      <c r="D312" s="18">
        <v>470</v>
      </c>
      <c r="E312" s="18">
        <v>19.02</v>
      </c>
      <c r="F312" s="18">
        <v>16.882999999999999</v>
      </c>
      <c r="G312" s="15">
        <v>6.57</v>
      </c>
      <c r="H312" s="15">
        <v>3.4</v>
      </c>
      <c r="I312" s="15">
        <v>3.89</v>
      </c>
      <c r="J312" s="15">
        <v>81.53</v>
      </c>
      <c r="K312" s="15">
        <v>8.8000000000000007</v>
      </c>
      <c r="L312" s="15">
        <v>10.33</v>
      </c>
      <c r="M312" s="15">
        <v>6.3</v>
      </c>
      <c r="N312" s="15">
        <v>1</v>
      </c>
      <c r="O312" s="15">
        <v>3.74</v>
      </c>
      <c r="P312" s="9">
        <v>0.74459699999999995</v>
      </c>
      <c r="Q312" s="9">
        <v>1.4037500000000001</v>
      </c>
      <c r="R312" s="9">
        <v>0.31818200000000002</v>
      </c>
      <c r="S312" s="9">
        <v>6.8489800000000003E-2</v>
      </c>
      <c r="T312" s="9">
        <v>9.5572099999999993E-2</v>
      </c>
      <c r="U312" s="9">
        <v>4.3980199999999997E-2</v>
      </c>
      <c r="V312" s="9">
        <v>6.3880400000000002</v>
      </c>
      <c r="W312" s="9">
        <v>4.5507</v>
      </c>
      <c r="X312" s="9">
        <v>3.3884300000000001</v>
      </c>
      <c r="Y312" s="9">
        <v>55.428699999999999</v>
      </c>
      <c r="Z312" s="9">
        <v>47.201099999999997</v>
      </c>
      <c r="AA312" s="9">
        <f t="shared" si="47"/>
        <v>1.1698457583547557</v>
      </c>
      <c r="AB312" s="9">
        <f t="shared" si="48"/>
        <v>1.6889460154241644</v>
      </c>
      <c r="AC312" s="9">
        <f t="shared" si="49"/>
        <v>0.87403598971722363</v>
      </c>
      <c r="AD312" s="9">
        <f t="shared" si="50"/>
        <v>2.9142323869610935</v>
      </c>
      <c r="AE312" s="9">
        <f t="shared" si="51"/>
        <v>2.4816561514195583</v>
      </c>
      <c r="AF312" s="9">
        <f t="shared" si="52"/>
        <v>4.2439143758919391</v>
      </c>
      <c r="AG312" s="9">
        <f t="shared" si="44"/>
        <v>2.4605393789199348</v>
      </c>
      <c r="AH312" s="9">
        <f t="shared" si="53"/>
        <v>0.91571550514520639</v>
      </c>
      <c r="AI312" s="9">
        <f t="shared" si="45"/>
        <v>2.2419254660637438</v>
      </c>
      <c r="AJ312" s="9">
        <f>(4*PI()*(AI312^2))/(Y312+E312)</f>
        <v>0.84838911091455282</v>
      </c>
      <c r="AK312" s="12">
        <f t="shared" si="46"/>
        <v>1.0401069518716577</v>
      </c>
      <c r="AL312" s="12" t="s">
        <v>144</v>
      </c>
      <c r="AM312" s="12" t="s">
        <v>143</v>
      </c>
      <c r="AN312" s="18">
        <v>10.125</v>
      </c>
      <c r="AO312" s="18">
        <v>0.95784999999999998</v>
      </c>
      <c r="AP312" s="18">
        <v>17010</v>
      </c>
      <c r="AQ312" s="18">
        <v>16896</v>
      </c>
      <c r="AR312" s="18">
        <v>4.9931000000000001</v>
      </c>
      <c r="AS312" s="18">
        <v>3.2177E-3</v>
      </c>
      <c r="AT312" s="18">
        <v>0.77129999999999999</v>
      </c>
      <c r="AU312" s="18">
        <v>0.25030000000000002</v>
      </c>
      <c r="AV312" s="18">
        <v>1.3966E-3</v>
      </c>
      <c r="AW312" s="18">
        <v>2.3308999999999999E-3</v>
      </c>
      <c r="AX312" s="18">
        <v>0.42365000000000003</v>
      </c>
      <c r="AY312" s="18">
        <v>-6.2343000000000003E-2</v>
      </c>
      <c r="AZ312" s="18">
        <v>-2159.4</v>
      </c>
      <c r="BA312" s="18">
        <v>2.4226999999999999E-2</v>
      </c>
      <c r="BB312" s="18">
        <v>8.3484999999999996</v>
      </c>
      <c r="BC312" s="18" t="s">
        <v>162</v>
      </c>
      <c r="BD312" s="35" t="s">
        <v>163</v>
      </c>
      <c r="BE312" t="s">
        <v>167</v>
      </c>
    </row>
    <row r="313" spans="1:57" x14ac:dyDescent="0.25">
      <c r="A313" s="25" t="s">
        <v>383</v>
      </c>
      <c r="B313" s="16" t="s">
        <v>13</v>
      </c>
      <c r="C313" s="16" t="s">
        <v>6</v>
      </c>
      <c r="D313" s="16">
        <v>47</v>
      </c>
      <c r="E313" s="16">
        <v>9.8964999999999996</v>
      </c>
      <c r="F313" s="16">
        <v>11.433999999999999</v>
      </c>
      <c r="G313" s="15">
        <v>6.71</v>
      </c>
      <c r="H313" s="15">
        <v>5.95</v>
      </c>
      <c r="I313" s="15">
        <v>1.78</v>
      </c>
      <c r="J313" s="15">
        <v>64.8</v>
      </c>
      <c r="K313" s="15">
        <v>34.729999999999997</v>
      </c>
      <c r="L313" s="15">
        <v>45.49</v>
      </c>
      <c r="M313" s="15">
        <v>5.7</v>
      </c>
      <c r="N313" s="15">
        <v>2</v>
      </c>
      <c r="O313" s="15">
        <f>2.16+1.68</f>
        <v>3.84</v>
      </c>
      <c r="P313" s="9">
        <v>1.7055800000000001</v>
      </c>
      <c r="Q313" s="9">
        <v>1.27973</v>
      </c>
      <c r="R313" s="9">
        <v>-9.3220300000000006E-2</v>
      </c>
      <c r="S313" s="9">
        <v>0.191973</v>
      </c>
      <c r="T313" s="9">
        <v>0.29124299999999997</v>
      </c>
      <c r="U313" s="9">
        <v>0.23066</v>
      </c>
      <c r="V313" s="9">
        <v>4.47098</v>
      </c>
      <c r="W313" s="9">
        <v>3.4937</v>
      </c>
      <c r="X313" s="9">
        <v>5.9587700000000003</v>
      </c>
      <c r="Y313" s="9">
        <v>74.629099999999994</v>
      </c>
      <c r="Z313" s="9">
        <v>51.156100000000002</v>
      </c>
      <c r="AA313" s="9">
        <f t="shared" si="47"/>
        <v>1.962752808988764</v>
      </c>
      <c r="AB313" s="9">
        <f t="shared" si="48"/>
        <v>3.7696629213483144</v>
      </c>
      <c r="AC313" s="9">
        <f t="shared" si="49"/>
        <v>3.3426966292134832</v>
      </c>
      <c r="AD313" s="9">
        <f t="shared" si="50"/>
        <v>7.5409589248724291</v>
      </c>
      <c r="AE313" s="9">
        <f t="shared" si="51"/>
        <v>5.1691102915172031</v>
      </c>
      <c r="AF313" s="9">
        <f t="shared" si="52"/>
        <v>5.4155585113676077</v>
      </c>
      <c r="AG313" s="9">
        <f t="shared" si="44"/>
        <v>1.7748672594360075</v>
      </c>
      <c r="AH313" s="9">
        <f t="shared" si="53"/>
        <v>0.97532096262746393</v>
      </c>
      <c r="AI313" s="9">
        <f t="shared" si="45"/>
        <v>2.3028709753965235</v>
      </c>
      <c r="AJ313" s="9">
        <f>(4*PI()*(AI313^2))/(Y313+E313)</f>
        <v>0.78842577557817428</v>
      </c>
      <c r="AK313" s="12">
        <f t="shared" si="46"/>
        <v>0.46354166666666669</v>
      </c>
      <c r="AL313" s="12" t="s">
        <v>140</v>
      </c>
      <c r="AM313" s="12" t="s">
        <v>142</v>
      </c>
      <c r="AN313" s="16">
        <v>5.4458000000000002</v>
      </c>
      <c r="AO313" s="16">
        <v>0.44400000000000001</v>
      </c>
      <c r="AP313" s="16">
        <v>14331</v>
      </c>
      <c r="AQ313" s="16">
        <v>14216</v>
      </c>
      <c r="AR313" s="16">
        <v>2.7780999999999998</v>
      </c>
      <c r="AS313" s="16">
        <v>1.0735E-2</v>
      </c>
      <c r="AT313" s="16">
        <v>0.74807000000000001</v>
      </c>
      <c r="AU313" s="16">
        <v>1.1153999999999999</v>
      </c>
      <c r="AV313" s="16">
        <v>0.29509999999999997</v>
      </c>
      <c r="AW313" s="16">
        <v>9.0912000000000007E-3</v>
      </c>
      <c r="AX313" s="16">
        <v>0.16491</v>
      </c>
      <c r="AY313" s="16">
        <v>-17.382999999999999</v>
      </c>
      <c r="AZ313" s="16">
        <v>-3356.5</v>
      </c>
      <c r="BA313" s="16">
        <v>8.6553000000000005E-2</v>
      </c>
      <c r="BB313" s="16">
        <v>22.052</v>
      </c>
      <c r="BC313" s="16" t="s">
        <v>164</v>
      </c>
      <c r="BD313" s="34" t="s">
        <v>165</v>
      </c>
      <c r="BE313" t="s">
        <v>168</v>
      </c>
    </row>
    <row r="314" spans="1:57" x14ac:dyDescent="0.25">
      <c r="A314" s="25" t="s">
        <v>384</v>
      </c>
      <c r="B314" s="16" t="s">
        <v>13</v>
      </c>
      <c r="C314" s="16" t="s">
        <v>6</v>
      </c>
      <c r="D314" s="16">
        <v>45</v>
      </c>
      <c r="E314" s="16">
        <v>8.8135999999999992</v>
      </c>
      <c r="F314" s="16">
        <v>11.279</v>
      </c>
      <c r="G314" s="15">
        <v>7.27</v>
      </c>
      <c r="H314" s="15">
        <v>3.7</v>
      </c>
      <c r="I314" s="15">
        <v>1.69</v>
      </c>
      <c r="J314" s="15">
        <v>49.72</v>
      </c>
      <c r="K314" s="15">
        <v>12.16</v>
      </c>
      <c r="L314" s="15">
        <v>59.99</v>
      </c>
      <c r="M314" s="15">
        <v>4.7</v>
      </c>
      <c r="N314" s="15">
        <v>2</v>
      </c>
      <c r="O314" s="15">
        <f>1.03+1.56</f>
        <v>2.59</v>
      </c>
      <c r="P314" s="9">
        <v>1.2938499999999999</v>
      </c>
      <c r="Q314" s="9">
        <v>2.39371</v>
      </c>
      <c r="R314" s="9">
        <v>0.18055599999999999</v>
      </c>
      <c r="S314" s="9">
        <v>0.18209600000000001</v>
      </c>
      <c r="T314" s="9">
        <v>0.207343</v>
      </c>
      <c r="U314" s="9">
        <v>5.0211100000000002E-2</v>
      </c>
      <c r="V314" s="9">
        <v>6.8128200000000003</v>
      </c>
      <c r="W314" s="9">
        <v>2.84613</v>
      </c>
      <c r="X314" s="9">
        <v>3.6824599999999998</v>
      </c>
      <c r="Y314" s="9">
        <v>67.159300000000002</v>
      </c>
      <c r="Z314" s="9">
        <v>51.650700000000001</v>
      </c>
      <c r="AA314" s="9">
        <f t="shared" si="47"/>
        <v>1.6841005917159764</v>
      </c>
      <c r="AB314" s="9">
        <f t="shared" si="48"/>
        <v>4.3017751479289936</v>
      </c>
      <c r="AC314" s="9">
        <f t="shared" si="49"/>
        <v>2.1893491124260356</v>
      </c>
      <c r="AD314" s="9">
        <f t="shared" si="50"/>
        <v>7.6199623309430891</v>
      </c>
      <c r="AE314" s="9">
        <f t="shared" si="51"/>
        <v>5.8603408368884455</v>
      </c>
      <c r="AF314" s="9">
        <f t="shared" si="52"/>
        <v>4.8423408175193501</v>
      </c>
      <c r="AG314" s="9">
        <f t="shared" si="44"/>
        <v>1.6749495553208333</v>
      </c>
      <c r="AH314" s="9">
        <f t="shared" si="53"/>
        <v>0.93306307618218298</v>
      </c>
      <c r="AI314" s="9">
        <f t="shared" si="45"/>
        <v>2.3102689122255868</v>
      </c>
      <c r="AJ314" s="9">
        <f>(4*PI()*(AI314^2))/(Y314+E314)</f>
        <v>0.88282826221177668</v>
      </c>
      <c r="AK314" s="12">
        <f t="shared" si="46"/>
        <v>0.65250965250965254</v>
      </c>
      <c r="AL314" s="12" t="s">
        <v>140</v>
      </c>
      <c r="AM314" s="12" t="s">
        <v>142</v>
      </c>
      <c r="AN314" s="16">
        <v>3.2589999999999999</v>
      </c>
      <c r="AO314" s="16">
        <v>0.28072999999999998</v>
      </c>
      <c r="AP314" s="16">
        <v>8151</v>
      </c>
      <c r="AQ314" s="16">
        <v>7562.5</v>
      </c>
      <c r="AR314" s="16">
        <v>1.5769</v>
      </c>
      <c r="AS314" s="16">
        <v>1.9533999999999999E-2</v>
      </c>
      <c r="AT314" s="16">
        <v>0.69523999999999997</v>
      </c>
      <c r="AU314" s="16">
        <v>2.7606000000000002</v>
      </c>
      <c r="AV314" s="16">
        <v>0.21410000000000001</v>
      </c>
      <c r="AW314" s="16">
        <v>1.0725999999999999E-2</v>
      </c>
      <c r="AX314" s="16">
        <v>0.14601</v>
      </c>
      <c r="AY314" s="16">
        <v>-45.722999999999999</v>
      </c>
      <c r="AZ314" s="16">
        <v>-1275.7</v>
      </c>
      <c r="BA314" s="16">
        <v>0.21224999999999999</v>
      </c>
      <c r="BB314" s="16">
        <v>47.859000000000002</v>
      </c>
      <c r="BC314" s="16" t="s">
        <v>162</v>
      </c>
      <c r="BD314" s="34" t="s">
        <v>165</v>
      </c>
      <c r="BE314" t="s">
        <v>168</v>
      </c>
    </row>
    <row r="315" spans="1:57" x14ac:dyDescent="0.25">
      <c r="A315" s="25" t="s">
        <v>385</v>
      </c>
      <c r="B315" s="16" t="s">
        <v>5</v>
      </c>
      <c r="C315" s="16" t="s">
        <v>6</v>
      </c>
      <c r="D315" s="16">
        <v>50</v>
      </c>
      <c r="E315" s="16">
        <v>5.82</v>
      </c>
      <c r="F315" s="16">
        <v>8.8274000000000008</v>
      </c>
      <c r="G315" s="15">
        <v>4.45</v>
      </c>
      <c r="H315" s="15">
        <v>3.1</v>
      </c>
      <c r="I315" s="15">
        <v>3.35</v>
      </c>
      <c r="J315" s="15">
        <v>12.95</v>
      </c>
      <c r="K315" s="15">
        <v>26.11</v>
      </c>
      <c r="L315" s="15">
        <v>26.57</v>
      </c>
      <c r="M315" s="15">
        <v>3.8</v>
      </c>
      <c r="N315" s="15">
        <v>2</v>
      </c>
      <c r="O315" s="15">
        <f>3.4+0.7</f>
        <v>4.0999999999999996</v>
      </c>
      <c r="P315" s="9">
        <v>1.16422</v>
      </c>
      <c r="Q315" s="9">
        <v>1.4557</v>
      </c>
      <c r="R315" s="9">
        <v>0.1</v>
      </c>
      <c r="S315" s="9">
        <v>0.141209</v>
      </c>
      <c r="T315" s="9">
        <v>0.216525</v>
      </c>
      <c r="U315" s="9">
        <v>0.14998500000000001</v>
      </c>
      <c r="V315" s="9">
        <v>3.8754499999999998</v>
      </c>
      <c r="W315" s="9">
        <v>2.6622599999999998</v>
      </c>
      <c r="X315" s="9">
        <v>3.0994600000000001</v>
      </c>
      <c r="Y315" s="9">
        <v>31.303599999999999</v>
      </c>
      <c r="Z315" s="9">
        <v>16.151700000000002</v>
      </c>
      <c r="AA315" s="9">
        <f t="shared" si="47"/>
        <v>0.79470447761194019</v>
      </c>
      <c r="AB315" s="9">
        <f t="shared" si="48"/>
        <v>1.3283582089552239</v>
      </c>
      <c r="AC315" s="9">
        <f t="shared" si="49"/>
        <v>0.92537313432835822</v>
      </c>
      <c r="AD315" s="9">
        <f t="shared" si="50"/>
        <v>5.3786254295532645</v>
      </c>
      <c r="AE315" s="9">
        <f t="shared" si="51"/>
        <v>2.7752061855670105</v>
      </c>
      <c r="AF315" s="9">
        <f t="shared" si="52"/>
        <v>4.8990904660587651</v>
      </c>
      <c r="AG315" s="9">
        <f t="shared" si="44"/>
        <v>1.3610890997982688</v>
      </c>
      <c r="AH315" s="9">
        <f t="shared" si="53"/>
        <v>0.9687988573775711</v>
      </c>
      <c r="AI315" s="9">
        <f t="shared" si="45"/>
        <v>1.5681100686827558</v>
      </c>
      <c r="AJ315" s="9">
        <f>(4*PI()*(AI315^2))/(Y315+E315)</f>
        <v>0.83236319051675745</v>
      </c>
      <c r="AK315" s="12">
        <f t="shared" si="46"/>
        <v>0.81707317073170738</v>
      </c>
      <c r="AL315" s="12" t="s">
        <v>140</v>
      </c>
      <c r="AM315" s="12" t="s">
        <v>142</v>
      </c>
      <c r="AN315" s="16">
        <v>6.0881999999999996</v>
      </c>
      <c r="AO315" s="16">
        <v>0.62075000000000002</v>
      </c>
      <c r="AP315" s="16">
        <v>19820</v>
      </c>
      <c r="AQ315" s="16">
        <v>17926</v>
      </c>
      <c r="AR315" s="16">
        <v>3.0459000000000001</v>
      </c>
      <c r="AS315" s="16">
        <v>8.5167999999999997E-3</v>
      </c>
      <c r="AT315" s="16">
        <v>0.73675000000000002</v>
      </c>
      <c r="AU315" s="16">
        <v>0.49830000000000002</v>
      </c>
      <c r="AV315" s="16">
        <v>3.1635999999999999E-3</v>
      </c>
      <c r="AW315" s="16">
        <v>6.2807999999999996E-3</v>
      </c>
      <c r="AX315" s="16">
        <v>0.21969</v>
      </c>
      <c r="AY315" s="16">
        <v>-8.7337000000000007</v>
      </c>
      <c r="AZ315" s="16">
        <v>-1790.7</v>
      </c>
      <c r="BA315" s="16">
        <v>6.1081999999999997E-2</v>
      </c>
      <c r="BB315" s="16">
        <v>13.603</v>
      </c>
      <c r="BC315" s="16" t="s">
        <v>162</v>
      </c>
      <c r="BD315" s="34" t="s">
        <v>165</v>
      </c>
      <c r="BE315" t="s">
        <v>168</v>
      </c>
    </row>
    <row r="316" spans="1:57" x14ac:dyDescent="0.25">
      <c r="A316" s="25" t="s">
        <v>386</v>
      </c>
      <c r="B316" s="16" t="s">
        <v>26</v>
      </c>
      <c r="C316" s="16" t="s">
        <v>6</v>
      </c>
      <c r="D316" s="16">
        <v>42</v>
      </c>
      <c r="E316" s="16">
        <v>3.1368999999999998</v>
      </c>
      <c r="F316" s="16">
        <v>6.5045999999999999</v>
      </c>
      <c r="G316" s="15">
        <v>2.44</v>
      </c>
      <c r="H316" s="15">
        <v>1.4</v>
      </c>
      <c r="I316" s="15">
        <v>2.91</v>
      </c>
      <c r="J316" s="15">
        <v>65.81</v>
      </c>
      <c r="K316" s="15">
        <v>31.19</v>
      </c>
      <c r="L316" s="15">
        <v>76.239999999999995</v>
      </c>
      <c r="M316" s="15">
        <v>2.15</v>
      </c>
      <c r="N316" s="15">
        <v>2</v>
      </c>
      <c r="O316" s="15">
        <f>1.19+2.19</f>
        <v>3.38</v>
      </c>
      <c r="P316" s="9">
        <v>0.73772099999999996</v>
      </c>
      <c r="Q316" s="9">
        <v>1.07172</v>
      </c>
      <c r="R316" s="9">
        <v>0.46296300000000001</v>
      </c>
      <c r="S316" s="9">
        <v>8.8144600000000004E-2</v>
      </c>
      <c r="T316" s="9">
        <v>0.12395299999999999</v>
      </c>
      <c r="U316" s="9">
        <v>4.7110800000000001E-2</v>
      </c>
      <c r="V316" s="9">
        <v>2.09253</v>
      </c>
      <c r="W316" s="9">
        <v>1.9524999999999999</v>
      </c>
      <c r="X316" s="9">
        <v>1.4403999999999999</v>
      </c>
      <c r="Y316" s="9">
        <v>7.8696799999999998</v>
      </c>
      <c r="Z316" s="9">
        <v>2.4072200000000001</v>
      </c>
      <c r="AA316" s="9">
        <f t="shared" si="47"/>
        <v>0.67096219931271472</v>
      </c>
      <c r="AB316" s="9">
        <f t="shared" si="48"/>
        <v>0.83848797250859097</v>
      </c>
      <c r="AC316" s="9">
        <f t="shared" si="49"/>
        <v>0.48109965635738827</v>
      </c>
      <c r="AD316" s="9">
        <f t="shared" si="50"/>
        <v>2.5087443016991298</v>
      </c>
      <c r="AE316" s="9">
        <f t="shared" si="51"/>
        <v>0.76738818578851742</v>
      </c>
      <c r="AF316" s="9">
        <f t="shared" si="52"/>
        <v>4.3814031679353578</v>
      </c>
      <c r="AG316" s="9">
        <f t="shared" si="44"/>
        <v>0.99925286187727924</v>
      </c>
      <c r="AH316" s="9">
        <f t="shared" si="53"/>
        <v>0.96523858498669757</v>
      </c>
      <c r="AI316" s="9">
        <f t="shared" si="45"/>
        <v>0.83139815786820492</v>
      </c>
      <c r="AJ316" s="9">
        <f>(4*PI()*(AI316^2))/(Y316+E316)</f>
        <v>0.78917911827832798</v>
      </c>
      <c r="AK316" s="12">
        <f t="shared" si="46"/>
        <v>0.86094674556213024</v>
      </c>
      <c r="AL316" s="12" t="s">
        <v>144</v>
      </c>
      <c r="AM316" s="12" t="s">
        <v>142</v>
      </c>
      <c r="AN316" s="16">
        <v>6.8746999999999998</v>
      </c>
      <c r="AO316" s="16">
        <v>0.74426000000000003</v>
      </c>
      <c r="AP316" s="16">
        <v>29859</v>
      </c>
      <c r="AQ316" s="16">
        <v>25834</v>
      </c>
      <c r="AR316" s="16">
        <v>3.1621000000000001</v>
      </c>
      <c r="AS316" s="16">
        <v>9.5034999999999998E-3</v>
      </c>
      <c r="AT316" s="16">
        <v>0.75646999999999998</v>
      </c>
      <c r="AU316" s="16">
        <v>1.2399</v>
      </c>
      <c r="AV316" s="16">
        <v>8.0403000000000002E-2</v>
      </c>
      <c r="AW316" s="16">
        <v>5.6575000000000002E-3</v>
      </c>
      <c r="AX316" s="16">
        <v>0.16295999999999999</v>
      </c>
      <c r="AY316" s="16">
        <v>3.4399000000000002</v>
      </c>
      <c r="AZ316" s="16">
        <v>2151.1999999999998</v>
      </c>
      <c r="BA316" s="16">
        <v>1.0333999999999999E-2</v>
      </c>
      <c r="BB316" s="16">
        <v>18.521000000000001</v>
      </c>
      <c r="BC316" s="16" t="s">
        <v>162</v>
      </c>
      <c r="BD316" s="34" t="s">
        <v>165</v>
      </c>
      <c r="BE316" t="s">
        <v>167</v>
      </c>
    </row>
    <row r="317" spans="1:57" x14ac:dyDescent="0.25">
      <c r="A317" s="25" t="s">
        <v>387</v>
      </c>
      <c r="B317" s="16" t="s">
        <v>13</v>
      </c>
      <c r="C317" s="16" t="s">
        <v>6</v>
      </c>
      <c r="D317" s="16">
        <v>44</v>
      </c>
      <c r="E317" s="16">
        <v>22.167999999999999</v>
      </c>
      <c r="F317" s="16">
        <v>17.218</v>
      </c>
      <c r="G317" s="15">
        <v>8.01</v>
      </c>
      <c r="H317" s="15">
        <v>4.8</v>
      </c>
      <c r="I317" s="15">
        <v>2.29</v>
      </c>
      <c r="J317" s="15">
        <v>49.76</v>
      </c>
      <c r="K317" s="15">
        <v>33.43</v>
      </c>
      <c r="L317" s="15">
        <v>73.739999999999995</v>
      </c>
      <c r="M317" s="15">
        <v>6.6</v>
      </c>
      <c r="N317" s="15">
        <v>2</v>
      </c>
      <c r="O317" s="15">
        <f>1.74+1.82</f>
        <v>3.56</v>
      </c>
      <c r="P317" s="9">
        <v>0.92628500000000003</v>
      </c>
      <c r="Q317" s="9">
        <v>1.23868</v>
      </c>
      <c r="R317" s="9">
        <v>-2.12766E-2</v>
      </c>
      <c r="S317" s="9">
        <v>0.122722</v>
      </c>
      <c r="T317" s="9">
        <v>0.14898500000000001</v>
      </c>
      <c r="U317" s="9">
        <v>7.7180799999999994E-2</v>
      </c>
      <c r="V317" s="9">
        <v>6.4077500000000001</v>
      </c>
      <c r="W317" s="9">
        <v>5.1730600000000004</v>
      </c>
      <c r="X317" s="9">
        <v>4.7917199999999998</v>
      </c>
      <c r="Y317" s="9">
        <v>92.388199999999998</v>
      </c>
      <c r="Z317" s="9">
        <v>92.708399999999997</v>
      </c>
      <c r="AA317" s="9">
        <f t="shared" si="47"/>
        <v>2.2589781659388648</v>
      </c>
      <c r="AB317" s="9">
        <f t="shared" si="48"/>
        <v>3.4978165938864629</v>
      </c>
      <c r="AC317" s="9">
        <f t="shared" si="49"/>
        <v>2.0960698689956332</v>
      </c>
      <c r="AD317" s="9">
        <f t="shared" si="50"/>
        <v>4.1676380368098158</v>
      </c>
      <c r="AE317" s="9">
        <f t="shared" si="51"/>
        <v>4.1820822807650666</v>
      </c>
      <c r="AF317" s="9">
        <f t="shared" si="52"/>
        <v>4.5102828871125897</v>
      </c>
      <c r="AG317" s="9">
        <f t="shared" si="44"/>
        <v>2.6563684904249021</v>
      </c>
      <c r="AH317" s="9">
        <f t="shared" si="53"/>
        <v>0.96936087057106302</v>
      </c>
      <c r="AI317" s="9">
        <f t="shared" si="45"/>
        <v>2.8076533892954849</v>
      </c>
      <c r="AJ317" s="9">
        <f>(4*PI()*(AI317^2))/(Y317+E317)</f>
        <v>0.86472546672558992</v>
      </c>
      <c r="AK317" s="12">
        <f t="shared" si="46"/>
        <v>0.6432584269662921</v>
      </c>
      <c r="AL317" s="12" t="s">
        <v>140</v>
      </c>
      <c r="AM317" s="12" t="s">
        <v>142</v>
      </c>
      <c r="AN317" s="16">
        <v>10.692</v>
      </c>
      <c r="AO317" s="16">
        <v>0.65193000000000001</v>
      </c>
      <c r="AP317" s="16">
        <v>21499</v>
      </c>
      <c r="AQ317" s="16">
        <v>18475</v>
      </c>
      <c r="AR317" s="16">
        <v>5.4554999999999998</v>
      </c>
      <c r="AS317" s="16">
        <v>1.0633E-2</v>
      </c>
      <c r="AT317" s="16">
        <v>0.71108000000000005</v>
      </c>
      <c r="AU317" s="16">
        <v>0.45615</v>
      </c>
      <c r="AV317" s="16">
        <v>9.0593000000000007E-2</v>
      </c>
      <c r="AW317" s="16">
        <v>1.6201E-2</v>
      </c>
      <c r="AX317" s="16">
        <v>0.30325999999999997</v>
      </c>
      <c r="AY317" s="16">
        <v>-32.725999999999999</v>
      </c>
      <c r="AZ317" s="16">
        <v>-5414.6</v>
      </c>
      <c r="BA317" s="16">
        <v>7.2692000000000007E-2</v>
      </c>
      <c r="BB317" s="16">
        <v>60.712000000000003</v>
      </c>
      <c r="BC317" s="16" t="s">
        <v>162</v>
      </c>
      <c r="BD317" s="34" t="s">
        <v>165</v>
      </c>
      <c r="BE317" t="s">
        <v>168</v>
      </c>
    </row>
    <row r="318" spans="1:57" x14ac:dyDescent="0.25">
      <c r="A318" s="25" t="s">
        <v>388</v>
      </c>
      <c r="B318" s="18" t="s">
        <v>5</v>
      </c>
      <c r="C318" s="18" t="s">
        <v>6</v>
      </c>
      <c r="D318" s="18">
        <v>64</v>
      </c>
      <c r="E318" s="18">
        <v>4.6426166861695002</v>
      </c>
      <c r="F318" s="18">
        <v>7.883</v>
      </c>
      <c r="G318" s="15">
        <v>3.01</v>
      </c>
      <c r="H318" s="15">
        <v>1.77</v>
      </c>
      <c r="I318" s="15">
        <v>2.9</v>
      </c>
      <c r="J318" s="15">
        <f>180-96.92</f>
        <v>83.08</v>
      </c>
      <c r="K318" s="15">
        <v>20.059999999999999</v>
      </c>
      <c r="L318" s="15">
        <v>56.58</v>
      </c>
      <c r="M318" s="15">
        <v>2.65</v>
      </c>
      <c r="N318" s="15">
        <v>2</v>
      </c>
      <c r="O318" s="15">
        <f>3.14+0.76</f>
        <v>3.9000000000000004</v>
      </c>
      <c r="P318" s="9">
        <v>0.720638</v>
      </c>
      <c r="Q318" s="9">
        <v>1.12706</v>
      </c>
      <c r="R318" s="9">
        <v>0.19697000000000001</v>
      </c>
      <c r="S318" s="9">
        <v>6.9417199999999998E-2</v>
      </c>
      <c r="T318" s="9">
        <v>8.1061400000000006E-2</v>
      </c>
      <c r="U318" s="9">
        <v>5.1730200000000004E-3</v>
      </c>
      <c r="V318" s="9">
        <v>2.7228500000000002</v>
      </c>
      <c r="W318" s="9">
        <v>2.41588</v>
      </c>
      <c r="X318" s="9">
        <v>1.74098</v>
      </c>
      <c r="Y318" s="9">
        <v>13.640499999999999</v>
      </c>
      <c r="Z318" s="9">
        <v>5.9015300000000002</v>
      </c>
      <c r="AA318" s="9">
        <f t="shared" si="47"/>
        <v>0.83306206896551727</v>
      </c>
      <c r="AB318" s="9">
        <f t="shared" si="48"/>
        <v>1.0379310344827586</v>
      </c>
      <c r="AC318" s="9">
        <f t="shared" si="49"/>
        <v>0.6103448275862069</v>
      </c>
      <c r="AD318" s="9">
        <f t="shared" si="50"/>
        <v>2.9381060126362519</v>
      </c>
      <c r="AE318" s="9">
        <f t="shared" si="51"/>
        <v>1.2711646036987809</v>
      </c>
      <c r="AF318" s="9">
        <f t="shared" si="52"/>
        <v>4.1768980695018758</v>
      </c>
      <c r="AG318" s="9">
        <f t="shared" si="44"/>
        <v>1.2156441868283585</v>
      </c>
      <c r="AH318" s="9">
        <f t="shared" si="53"/>
        <v>0.96893539178462751</v>
      </c>
      <c r="AI318" s="9">
        <f t="shared" si="45"/>
        <v>1.1210509127746826</v>
      </c>
      <c r="AJ318" s="9">
        <f>(4*PI()*(AI318^2))/(Y318+E318)</f>
        <v>0.86379424500413204</v>
      </c>
      <c r="AK318" s="12">
        <f t="shared" si="46"/>
        <v>0.7435897435897435</v>
      </c>
      <c r="AL318" s="12" t="s">
        <v>140</v>
      </c>
      <c r="AM318" s="12" t="s">
        <v>142</v>
      </c>
      <c r="AN318" s="18">
        <v>16.715365711049401</v>
      </c>
      <c r="AO318" s="18">
        <v>1.3028085536760099</v>
      </c>
      <c r="AP318" s="18">
        <v>43795.721046680097</v>
      </c>
      <c r="AQ318" s="18">
        <v>40539.381148836299</v>
      </c>
      <c r="AR318" s="18">
        <v>7.9798869815921298</v>
      </c>
      <c r="AS318" s="18">
        <v>1.29214622277961E-2</v>
      </c>
      <c r="AT318" s="18">
        <v>0.74577881364538101</v>
      </c>
      <c r="AU318" s="18">
        <v>0.25585950330853502</v>
      </c>
      <c r="AV318" s="18">
        <v>8.6136614382183695E-3</v>
      </c>
      <c r="AW318" s="18">
        <v>6.11364511647562E-3</v>
      </c>
      <c r="AX318" s="18">
        <v>0.40475590478672702</v>
      </c>
      <c r="AY318" s="18">
        <v>2.4949014971219099</v>
      </c>
      <c r="AZ318" s="18">
        <v>1484.75138885865</v>
      </c>
      <c r="BA318" s="18">
        <v>1.03507408228866E-2</v>
      </c>
      <c r="BB318" s="18">
        <v>13.239300682492701</v>
      </c>
      <c r="BC318" s="18" t="s">
        <v>162</v>
      </c>
      <c r="BD318" s="35" t="s">
        <v>165</v>
      </c>
      <c r="BE318" t="s">
        <v>168</v>
      </c>
    </row>
    <row r="319" spans="1:57" x14ac:dyDescent="0.25">
      <c r="A319" s="25" t="s">
        <v>389</v>
      </c>
      <c r="B319" s="18" t="s">
        <v>13</v>
      </c>
      <c r="C319" s="18" t="s">
        <v>6</v>
      </c>
      <c r="D319" s="18">
        <v>80</v>
      </c>
      <c r="E319" s="18">
        <v>5.9441450892764598</v>
      </c>
      <c r="F319" s="18">
        <v>8.8642000000000003</v>
      </c>
      <c r="G319" s="15">
        <v>9.11</v>
      </c>
      <c r="H319" s="15">
        <v>7.7</v>
      </c>
      <c r="I319" s="15">
        <v>2</v>
      </c>
      <c r="J319" s="15">
        <v>73.37</v>
      </c>
      <c r="K319" s="15">
        <v>53.11</v>
      </c>
      <c r="L319" s="15">
        <v>52.92</v>
      </c>
      <c r="M319" s="15">
        <v>5</v>
      </c>
      <c r="N319" s="15">
        <v>2</v>
      </c>
      <c r="O319" s="15">
        <f>2.39+1.44</f>
        <v>3.83</v>
      </c>
      <c r="P319" s="9">
        <v>2.8383400000000001</v>
      </c>
      <c r="Q319" s="9">
        <v>2.5290900000000001</v>
      </c>
      <c r="R319" s="9">
        <v>-0.24834400000000001</v>
      </c>
      <c r="S319" s="9">
        <v>0.25140299999999999</v>
      </c>
      <c r="T319" s="9">
        <v>0.29985400000000001</v>
      </c>
      <c r="U319" s="9">
        <v>0.16217599999999999</v>
      </c>
      <c r="V319" s="9">
        <v>6.8150700000000004</v>
      </c>
      <c r="W319" s="9">
        <v>2.69468</v>
      </c>
      <c r="X319" s="9">
        <v>7.6483999999999996</v>
      </c>
      <c r="Y319" s="9">
        <v>112.033</v>
      </c>
      <c r="Z319" s="9">
        <v>92.382300000000001</v>
      </c>
      <c r="AA319" s="9">
        <f t="shared" si="47"/>
        <v>1.34734</v>
      </c>
      <c r="AB319" s="9">
        <f t="shared" si="48"/>
        <v>4.5549999999999997</v>
      </c>
      <c r="AC319" s="9">
        <f t="shared" si="49"/>
        <v>3.85</v>
      </c>
      <c r="AD319" s="9">
        <f t="shared" si="50"/>
        <v>18.847622041075887</v>
      </c>
      <c r="AE319" s="9">
        <f t="shared" si="51"/>
        <v>15.541730326647372</v>
      </c>
      <c r="AF319" s="9">
        <f t="shared" si="52"/>
        <v>5.4821820326604982</v>
      </c>
      <c r="AG319" s="9">
        <f t="shared" si="44"/>
        <v>1.3755290425241948</v>
      </c>
      <c r="AH319" s="9">
        <f t="shared" si="53"/>
        <v>0.9750122819416106</v>
      </c>
      <c r="AI319" s="9">
        <f t="shared" si="45"/>
        <v>2.804357566480236</v>
      </c>
      <c r="AJ319" s="9">
        <f>(4*PI()*(AI319^2))/(Y319+E319)</f>
        <v>0.83768117469649805</v>
      </c>
      <c r="AK319" s="12">
        <f t="shared" si="46"/>
        <v>0.5221932114882506</v>
      </c>
      <c r="AL319" s="12" t="s">
        <v>140</v>
      </c>
      <c r="AM319" s="12" t="s">
        <v>142</v>
      </c>
      <c r="AN319" s="18">
        <v>3.5303768867155401</v>
      </c>
      <c r="AO319" s="18">
        <v>0.27543539362883201</v>
      </c>
      <c r="AP319" s="18">
        <v>7994.1966833930801</v>
      </c>
      <c r="AQ319" s="18">
        <v>6602.1541381220004</v>
      </c>
      <c r="AR319" s="18">
        <v>1.69652915067605</v>
      </c>
      <c r="AS319" s="18">
        <v>2.8877103420154902E-2</v>
      </c>
      <c r="AT319" s="18">
        <v>0.67683851524029104</v>
      </c>
      <c r="AU319" s="18">
        <v>2.26939179811981</v>
      </c>
      <c r="AV319" s="18">
        <v>0.36472255205854998</v>
      </c>
      <c r="AW319" s="18">
        <v>2.2528117236275302E-2</v>
      </c>
      <c r="AX319" s="18">
        <v>0.153440727375661</v>
      </c>
      <c r="AY319" s="18">
        <v>1.66920421883758</v>
      </c>
      <c r="AZ319" s="18">
        <v>-119.070026039661</v>
      </c>
      <c r="BA319" s="18">
        <v>0.13529926402242101</v>
      </c>
      <c r="BB319" s="18">
        <v>4.4256007714751302</v>
      </c>
      <c r="BC319" s="18" t="s">
        <v>164</v>
      </c>
      <c r="BD319" s="35" t="s">
        <v>165</v>
      </c>
      <c r="BE319" t="s">
        <v>168</v>
      </c>
    </row>
    <row r="320" spans="1:57" x14ac:dyDescent="0.25">
      <c r="A320" s="25" t="s">
        <v>390</v>
      </c>
      <c r="B320" s="18" t="s">
        <v>26</v>
      </c>
      <c r="C320" s="18" t="s">
        <v>14</v>
      </c>
      <c r="D320" s="18">
        <v>61</v>
      </c>
      <c r="E320" s="18">
        <v>7.3731720333117501</v>
      </c>
      <c r="F320" s="18">
        <v>10.063000000000001</v>
      </c>
      <c r="G320" s="15">
        <v>9.8699999999999992</v>
      </c>
      <c r="H320" s="15">
        <v>5</v>
      </c>
      <c r="I320" s="15">
        <v>1.59</v>
      </c>
      <c r="J320" s="15">
        <v>83.17</v>
      </c>
      <c r="K320" s="15">
        <v>7.71</v>
      </c>
      <c r="L320" s="15">
        <v>64.02</v>
      </c>
      <c r="M320" s="15">
        <v>6.5</v>
      </c>
      <c r="N320" s="15">
        <v>2</v>
      </c>
      <c r="O320" s="15">
        <v>2.64</v>
      </c>
      <c r="P320" s="9">
        <v>1.6886099999999999</v>
      </c>
      <c r="Q320" s="9">
        <v>3.33595</v>
      </c>
      <c r="R320" s="9">
        <v>-5.10204E-2</v>
      </c>
      <c r="S320" s="9">
        <v>0.25186399999999998</v>
      </c>
      <c r="T320" s="9">
        <v>0.30991800000000003</v>
      </c>
      <c r="U320" s="9">
        <v>0.14285999999999999</v>
      </c>
      <c r="V320" s="9">
        <v>9.8468999999999998</v>
      </c>
      <c r="W320" s="9">
        <v>2.9517500000000001</v>
      </c>
      <c r="X320" s="9">
        <v>4.9843500000000001</v>
      </c>
      <c r="Y320" s="9">
        <v>140.34</v>
      </c>
      <c r="Z320" s="9">
        <v>126.739</v>
      </c>
      <c r="AA320" s="9">
        <f t="shared" si="47"/>
        <v>1.8564465408805031</v>
      </c>
      <c r="AB320" s="9">
        <f t="shared" si="48"/>
        <v>6.2075471698113196</v>
      </c>
      <c r="AC320" s="9">
        <f t="shared" si="49"/>
        <v>3.1446540880503142</v>
      </c>
      <c r="AD320" s="9">
        <f t="shared" si="50"/>
        <v>19.033870275364318</v>
      </c>
      <c r="AE320" s="9">
        <f t="shared" si="51"/>
        <v>17.189209668158746</v>
      </c>
      <c r="AF320" s="9">
        <f t="shared" si="52"/>
        <v>5.5621319593596343</v>
      </c>
      <c r="AG320" s="9">
        <f t="shared" si="44"/>
        <v>1.5319770072481413</v>
      </c>
      <c r="AH320" s="9">
        <f t="shared" si="53"/>
        <v>0.95654331937578008</v>
      </c>
      <c r="AI320" s="9">
        <f t="shared" si="45"/>
        <v>3.1160701225973062</v>
      </c>
      <c r="AJ320" s="9">
        <f>(4*PI()*(AI320^2))/(Y320+E320)</f>
        <v>0.82604761983341068</v>
      </c>
      <c r="AK320" s="12">
        <f t="shared" si="46"/>
        <v>0.60227272727272729</v>
      </c>
      <c r="AL320" s="12" t="s">
        <v>140</v>
      </c>
      <c r="AM320" s="12" t="s">
        <v>142</v>
      </c>
      <c r="AN320" s="18">
        <v>3.1411155093068901</v>
      </c>
      <c r="AO320" s="18">
        <v>0.21805409085948699</v>
      </c>
      <c r="AP320" s="18">
        <v>6925.4150285730402</v>
      </c>
      <c r="AQ320" s="18">
        <v>6409.1165494449797</v>
      </c>
      <c r="AR320" s="18">
        <v>1.5919927119802499</v>
      </c>
      <c r="AS320" s="18">
        <v>2.3634902796909499E-2</v>
      </c>
      <c r="AT320" s="18">
        <v>0.69781101904488596</v>
      </c>
      <c r="AU320" s="18">
        <v>2.5513495510137298</v>
      </c>
      <c r="AV320" s="18">
        <v>0.47988701633752601</v>
      </c>
      <c r="AW320" s="18">
        <v>1.83651704177774E-2</v>
      </c>
      <c r="AX320" s="18">
        <v>0.12183490724691499</v>
      </c>
      <c r="AY320" s="18">
        <v>-35.725674722611501</v>
      </c>
      <c r="AZ320" s="18">
        <v>-1570.5620902514199</v>
      </c>
      <c r="BA320" s="18">
        <v>0.35768893598150397</v>
      </c>
      <c r="BB320" s="18">
        <v>41.643865136203203</v>
      </c>
      <c r="BC320" s="18" t="s">
        <v>162</v>
      </c>
      <c r="BD320" s="35" t="s">
        <v>165</v>
      </c>
      <c r="BE320" t="s">
        <v>168</v>
      </c>
    </row>
    <row r="321" spans="1:57" x14ac:dyDescent="0.25">
      <c r="A321" s="25" t="s">
        <v>391</v>
      </c>
      <c r="B321" s="18" t="s">
        <v>13</v>
      </c>
      <c r="C321" s="18" t="s">
        <v>14</v>
      </c>
      <c r="D321" s="18">
        <v>55</v>
      </c>
      <c r="E321" s="18">
        <v>5.4999174178380104</v>
      </c>
      <c r="F321" s="18">
        <v>8.4335000000000004</v>
      </c>
      <c r="G321" s="15">
        <v>3.88</v>
      </c>
      <c r="H321" s="15">
        <v>3.3</v>
      </c>
      <c r="I321" s="15">
        <v>2.14</v>
      </c>
      <c r="J321" s="15">
        <v>33.51</v>
      </c>
      <c r="K321" s="15">
        <v>57.49</v>
      </c>
      <c r="L321" s="15">
        <v>73.63</v>
      </c>
      <c r="M321" s="15">
        <v>3.15</v>
      </c>
      <c r="N321" s="15">
        <v>2</v>
      </c>
      <c r="O321" s="15">
        <f>2.1+1.22</f>
        <v>3.3200000000000003</v>
      </c>
      <c r="P321" s="9">
        <v>1.22346</v>
      </c>
      <c r="Q321" s="9">
        <v>1.18441</v>
      </c>
      <c r="R321" s="9">
        <v>-2.3809500000000001E-2</v>
      </c>
      <c r="S321" s="9">
        <v>0.119237</v>
      </c>
      <c r="T321" s="9">
        <v>0.136326</v>
      </c>
      <c r="U321" s="9">
        <v>3.6098699999999997E-2</v>
      </c>
      <c r="V321" s="9">
        <v>3.1317699999999999</v>
      </c>
      <c r="W321" s="9">
        <v>2.6441699999999999</v>
      </c>
      <c r="X321" s="9">
        <v>3.2350300000000001</v>
      </c>
      <c r="Y321" s="9">
        <v>28.190799999999999</v>
      </c>
      <c r="Z321" s="9">
        <v>15.9762</v>
      </c>
      <c r="AA321" s="9">
        <f t="shared" si="47"/>
        <v>1.2355934579439252</v>
      </c>
      <c r="AB321" s="9">
        <f t="shared" si="48"/>
        <v>1.8130841121495325</v>
      </c>
      <c r="AC321" s="9">
        <f t="shared" si="49"/>
        <v>1.542056074766355</v>
      </c>
      <c r="AD321" s="9">
        <f t="shared" si="50"/>
        <v>5.1256769617245741</v>
      </c>
      <c r="AE321" s="9">
        <f t="shared" si="51"/>
        <v>2.904807251866004</v>
      </c>
      <c r="AF321" s="9">
        <f t="shared" si="52"/>
        <v>4.4441810311892649</v>
      </c>
      <c r="AG321" s="9">
        <f t="shared" si="44"/>
        <v>1.3231319236161845</v>
      </c>
      <c r="AH321" s="9">
        <f t="shared" si="53"/>
        <v>0.98576902376539655</v>
      </c>
      <c r="AI321" s="9">
        <f t="shared" si="45"/>
        <v>1.5624098195956697</v>
      </c>
      <c r="AJ321" s="9">
        <f>(4*PI()*(AI321^2))/(Y321+E321)</f>
        <v>0.91052007302967852</v>
      </c>
      <c r="AK321" s="12">
        <f t="shared" si="46"/>
        <v>0.64457831325301207</v>
      </c>
      <c r="AL321" s="12" t="s">
        <v>144</v>
      </c>
      <c r="AM321" s="12" t="s">
        <v>142</v>
      </c>
      <c r="AN321" s="18">
        <v>3.2728012104629798</v>
      </c>
      <c r="AO321" s="18">
        <v>0.40351497293709598</v>
      </c>
      <c r="AP321" s="18">
        <v>7017.7511424181903</v>
      </c>
      <c r="AQ321" s="18">
        <v>6766.2242739787998</v>
      </c>
      <c r="AR321" s="18">
        <v>1.47176924553471</v>
      </c>
      <c r="AS321" s="18">
        <v>1.40033656783913E-2</v>
      </c>
      <c r="AT321" s="18">
        <v>0.70060923528702401</v>
      </c>
      <c r="AU321" s="18">
        <v>1.1567575031394299</v>
      </c>
      <c r="AV321" s="18">
        <v>4.6080232728392699E-2</v>
      </c>
      <c r="AW321" s="18">
        <v>1.14678816678943E-2</v>
      </c>
      <c r="AX321" s="18">
        <v>0.13178675887264399</v>
      </c>
      <c r="AY321" s="18">
        <v>-9.4773443869120495</v>
      </c>
      <c r="AZ321" s="18">
        <v>-1153.5031520194</v>
      </c>
      <c r="BA321" s="18">
        <v>6.2846500953874201E-2</v>
      </c>
      <c r="BB321" s="18">
        <v>4.70452108416446</v>
      </c>
      <c r="BC321" s="18" t="s">
        <v>162</v>
      </c>
      <c r="BD321" s="35" t="s">
        <v>165</v>
      </c>
      <c r="BE321" t="s">
        <v>168</v>
      </c>
    </row>
    <row r="322" spans="1:57" x14ac:dyDescent="0.25">
      <c r="A322" s="25" t="s">
        <v>392</v>
      </c>
      <c r="B322" s="18" t="s">
        <v>5</v>
      </c>
      <c r="C322" s="18" t="s">
        <v>6</v>
      </c>
      <c r="D322" s="18">
        <v>72</v>
      </c>
      <c r="E322" s="18">
        <v>4.6628999999999996</v>
      </c>
      <c r="F322" s="23">
        <v>7.7851999999999997</v>
      </c>
      <c r="G322" s="15">
        <v>4.71</v>
      </c>
      <c r="H322" s="15">
        <v>3.4</v>
      </c>
      <c r="I322" s="15">
        <v>2.82</v>
      </c>
      <c r="J322" s="15">
        <v>43.56</v>
      </c>
      <c r="K322" s="15">
        <v>39.28</v>
      </c>
      <c r="L322" s="15">
        <v>74.010000000000005</v>
      </c>
      <c r="M322" s="15">
        <v>3.6</v>
      </c>
      <c r="N322" s="15">
        <v>2</v>
      </c>
      <c r="O322" s="15">
        <f>0.85+2.59</f>
        <v>3.44</v>
      </c>
      <c r="P322" s="9">
        <v>1.4613799999999999</v>
      </c>
      <c r="Q322" s="9">
        <v>1.6809799999999999</v>
      </c>
      <c r="R322" s="9">
        <v>-9.7015000000000004E-2</v>
      </c>
      <c r="S322" s="9">
        <v>0.16869600000000001</v>
      </c>
      <c r="T322" s="9">
        <v>0.182507</v>
      </c>
      <c r="U322" s="9">
        <v>3.6106100000000002E-2</v>
      </c>
      <c r="V322" s="9">
        <v>3.9155700000000002</v>
      </c>
      <c r="W322" s="9">
        <v>2.3293300000000001</v>
      </c>
      <c r="X322" s="9">
        <v>3.4040400000000002</v>
      </c>
      <c r="Y322" s="9">
        <v>35.158900000000003</v>
      </c>
      <c r="Z322" s="9">
        <v>20.491199999999999</v>
      </c>
      <c r="AA322" s="9">
        <f t="shared" si="47"/>
        <v>0.82600354609929083</v>
      </c>
      <c r="AB322" s="9">
        <f t="shared" si="48"/>
        <v>1.6702127659574468</v>
      </c>
      <c r="AC322" s="9">
        <f t="shared" si="49"/>
        <v>1.2056737588652482</v>
      </c>
      <c r="AD322" s="9">
        <f t="shared" si="50"/>
        <v>7.5401359668875605</v>
      </c>
      <c r="AE322" s="9">
        <f t="shared" si="51"/>
        <v>4.3945184327349933</v>
      </c>
      <c r="AF322" s="9">
        <f t="shared" si="52"/>
        <v>4.6952315802751432</v>
      </c>
      <c r="AG322" s="9">
        <f t="shared" ref="AG322:AG385" si="54">SQRT(E322/PI())</f>
        <v>1.2182968309432629</v>
      </c>
      <c r="AH322" s="9">
        <f t="shared" si="53"/>
        <v>0.98324831063635643</v>
      </c>
      <c r="AI322" s="9">
        <f t="shared" ref="AI322:AI385" si="55">(3*Z322/(4*PI()))^(1/3)</f>
        <v>1.6975644077874388</v>
      </c>
      <c r="AJ322" s="9">
        <f>(4*PI()*(AI322^2))/(Y322+E322)</f>
        <v>0.90937183491441131</v>
      </c>
      <c r="AK322" s="12">
        <f t="shared" si="46"/>
        <v>0.81976744186046513</v>
      </c>
      <c r="AL322" s="12" t="s">
        <v>144</v>
      </c>
      <c r="AM322" s="12" t="s">
        <v>142</v>
      </c>
      <c r="AN322" s="18">
        <v>0.47105000000000002</v>
      </c>
      <c r="AO322" s="18">
        <v>0.10911</v>
      </c>
      <c r="AP322" s="18">
        <v>1374.6</v>
      </c>
      <c r="AQ322" s="18">
        <v>1074.5</v>
      </c>
      <c r="AR322" s="18">
        <v>0.21065999999999999</v>
      </c>
      <c r="AS322" s="18">
        <v>2.2445E-2</v>
      </c>
      <c r="AT322" s="18">
        <v>0.71755000000000002</v>
      </c>
      <c r="AU322" s="18">
        <v>14.586</v>
      </c>
      <c r="AV322" s="18">
        <v>0.71343000000000001</v>
      </c>
      <c r="AW322" s="18">
        <v>1.308E-2</v>
      </c>
      <c r="AX322" s="18">
        <v>2.2386E-2</v>
      </c>
      <c r="AY322" s="18">
        <v>-170.61</v>
      </c>
      <c r="AZ322" s="18">
        <v>-160.19999999999999</v>
      </c>
      <c r="BA322" s="18">
        <v>0.44396000000000002</v>
      </c>
      <c r="BB322" s="23">
        <v>71.902147207629397</v>
      </c>
      <c r="BC322" s="18" t="s">
        <v>162</v>
      </c>
      <c r="BD322" s="35" t="s">
        <v>163</v>
      </c>
      <c r="BE322" t="s">
        <v>167</v>
      </c>
    </row>
    <row r="323" spans="1:57" x14ac:dyDescent="0.25">
      <c r="A323" s="25" t="s">
        <v>393</v>
      </c>
      <c r="B323" s="18" t="s">
        <v>5</v>
      </c>
      <c r="C323" s="18" t="s">
        <v>6</v>
      </c>
      <c r="D323" s="18">
        <v>72</v>
      </c>
      <c r="E323" s="18">
        <v>4.3821000000000003</v>
      </c>
      <c r="F323" s="18">
        <v>7.9706000000000001</v>
      </c>
      <c r="G323" s="15">
        <v>2.4</v>
      </c>
      <c r="H323" s="15">
        <v>1.32</v>
      </c>
      <c r="I323" s="15">
        <v>2.85</v>
      </c>
      <c r="J323" s="15">
        <v>76.34</v>
      </c>
      <c r="K323" s="15">
        <v>0</v>
      </c>
      <c r="L323" s="15">
        <v>76.11</v>
      </c>
      <c r="M323" s="15">
        <v>2.4</v>
      </c>
      <c r="N323" s="15">
        <v>2</v>
      </c>
      <c r="O323" s="15">
        <f>2.49+1.79</f>
        <v>4.28</v>
      </c>
      <c r="P323" s="9">
        <v>0.57197799999999999</v>
      </c>
      <c r="Q323" s="9">
        <v>1.09202</v>
      </c>
      <c r="R323" s="9">
        <v>0.46</v>
      </c>
      <c r="S323" s="9">
        <v>3.9287200000000001E-2</v>
      </c>
      <c r="T323" s="9">
        <v>8.2054500000000002E-2</v>
      </c>
      <c r="U323" s="9">
        <v>4.8359699999999999E-2</v>
      </c>
      <c r="V323" s="9">
        <v>2.5529899999999999</v>
      </c>
      <c r="W323" s="9">
        <v>2.3378700000000001</v>
      </c>
      <c r="X323" s="9">
        <v>1.33721</v>
      </c>
      <c r="Y323" s="9">
        <v>8.1180900000000005</v>
      </c>
      <c r="Z323" s="9">
        <v>2.7051699999999999</v>
      </c>
      <c r="AA323" s="9">
        <f t="shared" si="47"/>
        <v>0.82030526315789476</v>
      </c>
      <c r="AB323" s="9">
        <f t="shared" si="48"/>
        <v>0.84210526315789469</v>
      </c>
      <c r="AC323" s="9">
        <f t="shared" si="49"/>
        <v>0.4631578947368421</v>
      </c>
      <c r="AD323" s="9">
        <f t="shared" si="50"/>
        <v>1.8525569932224275</v>
      </c>
      <c r="AE323" s="9">
        <f t="shared" si="51"/>
        <v>0.61732274480272009</v>
      </c>
      <c r="AF323" s="9">
        <f t="shared" si="52"/>
        <v>4.1814234780832038</v>
      </c>
      <c r="AG323" s="9">
        <f t="shared" si="54"/>
        <v>1.1810443481283797</v>
      </c>
      <c r="AH323" s="9">
        <f t="shared" si="53"/>
        <v>0.93101152928107389</v>
      </c>
      <c r="AI323" s="9">
        <f t="shared" si="55"/>
        <v>0.86437457596430856</v>
      </c>
      <c r="AJ323" s="9">
        <f>(4*PI()*(AI323^2))/(Y323+E323)</f>
        <v>0.75109906022576733</v>
      </c>
      <c r="AK323" s="12">
        <f t="shared" ref="AK323:AK386" si="56">I323/O323</f>
        <v>0.66588785046728971</v>
      </c>
      <c r="AL323" s="12" t="s">
        <v>144</v>
      </c>
      <c r="AM323" s="12" t="s">
        <v>142</v>
      </c>
      <c r="AN323" s="18">
        <v>1.9836</v>
      </c>
      <c r="AO323" s="18">
        <v>0.48904999999999998</v>
      </c>
      <c r="AP323" s="18">
        <v>4475.5</v>
      </c>
      <c r="AQ323" s="18">
        <v>4230.5</v>
      </c>
      <c r="AR323" s="18">
        <v>1.0867</v>
      </c>
      <c r="AS323" s="18">
        <v>3.7894999999999999E-3</v>
      </c>
      <c r="AT323" s="18">
        <v>0.77698999999999996</v>
      </c>
      <c r="AU323" s="18">
        <v>1.5093000000000001</v>
      </c>
      <c r="AV323" s="18">
        <v>4.0523999999999998E-2</v>
      </c>
      <c r="AW323" s="18">
        <v>2.5152E-3</v>
      </c>
      <c r="AX323" s="18">
        <v>7.3627999999999999E-2</v>
      </c>
      <c r="AY323" s="18">
        <v>5.4223999999999997</v>
      </c>
      <c r="AZ323" s="18">
        <v>676.68</v>
      </c>
      <c r="BA323" s="18">
        <v>1.6580000000000001E-2</v>
      </c>
      <c r="BB323" s="18">
        <v>5.8842999999999996</v>
      </c>
      <c r="BC323" s="18" t="s">
        <v>162</v>
      </c>
      <c r="BD323" s="35" t="s">
        <v>163</v>
      </c>
      <c r="BE323" t="s">
        <v>167</v>
      </c>
    </row>
    <row r="324" spans="1:57" x14ac:dyDescent="0.25">
      <c r="A324" s="25" t="s">
        <v>394</v>
      </c>
      <c r="B324" s="18" t="s">
        <v>13</v>
      </c>
      <c r="C324" s="18" t="s">
        <v>14</v>
      </c>
      <c r="D324" s="18">
        <v>39</v>
      </c>
      <c r="E324" s="18">
        <v>6.9127000000000001</v>
      </c>
      <c r="F324" s="18">
        <v>9.7478999999999996</v>
      </c>
      <c r="G324" s="15">
        <v>12.58</v>
      </c>
      <c r="H324" s="15">
        <v>11</v>
      </c>
      <c r="I324" s="15">
        <v>2.21</v>
      </c>
      <c r="J324" s="15">
        <v>13.93</v>
      </c>
      <c r="K324" s="15">
        <v>60.09</v>
      </c>
      <c r="L324" s="15">
        <v>59.33</v>
      </c>
      <c r="M324" s="15">
        <v>7.4</v>
      </c>
      <c r="N324" s="15">
        <v>2</v>
      </c>
      <c r="O324" s="15">
        <f>2.04+2.26</f>
        <v>4.3</v>
      </c>
      <c r="P324" s="9">
        <v>3.8153600000000001</v>
      </c>
      <c r="Q324" s="9">
        <v>2.2180200000000001</v>
      </c>
      <c r="R324" s="9">
        <v>-5.25114E-2</v>
      </c>
      <c r="S324" s="9">
        <v>0.27052900000000002</v>
      </c>
      <c r="T324" s="9">
        <v>0.35197499999999998</v>
      </c>
      <c r="U324" s="9">
        <v>0.26444099999999998</v>
      </c>
      <c r="V324" s="9">
        <v>6.4123999999999999</v>
      </c>
      <c r="W324" s="9">
        <v>2.8910499999999999</v>
      </c>
      <c r="X324" s="9">
        <v>11.0304</v>
      </c>
      <c r="Y324" s="9">
        <v>185.40899999999999</v>
      </c>
      <c r="Z324" s="9">
        <v>175.13499999999999</v>
      </c>
      <c r="AA324" s="9">
        <f t="shared" si="47"/>
        <v>1.3081674208144796</v>
      </c>
      <c r="AB324" s="9">
        <f t="shared" si="48"/>
        <v>5.6923076923076925</v>
      </c>
      <c r="AC324" s="9">
        <f t="shared" si="49"/>
        <v>4.9773755656108598</v>
      </c>
      <c r="AD324" s="9">
        <f t="shared" si="50"/>
        <v>26.82150245200862</v>
      </c>
      <c r="AE324" s="9">
        <f t="shared" si="51"/>
        <v>25.335252506256598</v>
      </c>
      <c r="AF324" s="9">
        <f t="shared" si="52"/>
        <v>5.9230970291110534</v>
      </c>
      <c r="AG324" s="9">
        <f t="shared" si="54"/>
        <v>1.4833680427401319</v>
      </c>
      <c r="AH324" s="9">
        <f t="shared" si="53"/>
        <v>0.95613170952559401</v>
      </c>
      <c r="AI324" s="9">
        <f t="shared" si="55"/>
        <v>3.4707882015955089</v>
      </c>
      <c r="AJ324" s="9">
        <f>(4*PI()*(AI324^2))/(Y324+E324)</f>
        <v>0.78711429485604967</v>
      </c>
      <c r="AK324" s="12">
        <f t="shared" si="56"/>
        <v>0.51395348837209298</v>
      </c>
      <c r="AL324" s="12" t="s">
        <v>140</v>
      </c>
      <c r="AM324" s="12" t="s">
        <v>142</v>
      </c>
      <c r="AN324" s="18">
        <v>3.2147000000000001</v>
      </c>
      <c r="AO324" s="18">
        <v>0.29787999999999998</v>
      </c>
      <c r="AP324" s="18">
        <v>5313.9</v>
      </c>
      <c r="AQ324" s="18">
        <v>4773.8999999999996</v>
      </c>
      <c r="AR324" s="18">
        <v>1.5984</v>
      </c>
      <c r="AS324" s="18">
        <v>1.8093000000000001E-2</v>
      </c>
      <c r="AT324" s="18">
        <v>0.70048999999999995</v>
      </c>
      <c r="AU324" s="18">
        <v>2.7599</v>
      </c>
      <c r="AV324" s="18">
        <v>0.52903</v>
      </c>
      <c r="AW324" s="18">
        <v>1.4385E-2</v>
      </c>
      <c r="AX324" s="18">
        <v>0.11119</v>
      </c>
      <c r="AY324" s="18">
        <v>4.0023999999999997</v>
      </c>
      <c r="AZ324" s="18">
        <v>493.45</v>
      </c>
      <c r="BA324" s="18">
        <v>0.15848999999999999</v>
      </c>
      <c r="BB324" s="18">
        <v>7.8049999999999997</v>
      </c>
      <c r="BC324" s="18" t="s">
        <v>164</v>
      </c>
      <c r="BD324" s="35" t="s">
        <v>165</v>
      </c>
      <c r="BE324" t="s">
        <v>168</v>
      </c>
    </row>
    <row r="325" spans="1:57" x14ac:dyDescent="0.25">
      <c r="A325" s="25" t="s">
        <v>395</v>
      </c>
      <c r="B325" s="18" t="s">
        <v>26</v>
      </c>
      <c r="C325" s="18" t="s">
        <v>6</v>
      </c>
      <c r="D325" s="18">
        <v>39</v>
      </c>
      <c r="E325" s="18">
        <v>5.4772279103818802</v>
      </c>
      <c r="F325" s="18">
        <v>8.5827000000000009</v>
      </c>
      <c r="G325" s="15">
        <v>8.31</v>
      </c>
      <c r="H325" s="15">
        <v>6</v>
      </c>
      <c r="I325" s="15">
        <v>1.32</v>
      </c>
      <c r="J325" s="15">
        <v>34.409999999999997</v>
      </c>
      <c r="K325" s="15">
        <v>17.96</v>
      </c>
      <c r="L325" s="15">
        <v>48.7</v>
      </c>
      <c r="M325" s="15">
        <v>6.4</v>
      </c>
      <c r="N325" s="15">
        <v>2</v>
      </c>
      <c r="O325" s="15">
        <f>1.04+1.33</f>
        <v>2.37</v>
      </c>
      <c r="P325" s="9">
        <v>2.33839</v>
      </c>
      <c r="Q325" s="9">
        <v>2.7023700000000002</v>
      </c>
      <c r="R325" s="9">
        <v>6.7796599999999999E-2</v>
      </c>
      <c r="S325" s="9">
        <v>0.22891400000000001</v>
      </c>
      <c r="T325" s="9">
        <v>0.27861000000000002</v>
      </c>
      <c r="U325" s="9">
        <v>0.138931</v>
      </c>
      <c r="V325" s="9">
        <v>6.9224600000000001</v>
      </c>
      <c r="W325" s="9">
        <v>2.56162</v>
      </c>
      <c r="X325" s="9">
        <v>5.9900799999999998</v>
      </c>
      <c r="Y325" s="9">
        <v>115.124</v>
      </c>
      <c r="Z325" s="9">
        <v>100.645</v>
      </c>
      <c r="AA325" s="9">
        <f t="shared" ref="AA325:AA388" si="57">W325/I325</f>
        <v>1.9406212121212121</v>
      </c>
      <c r="AB325" s="9">
        <f t="shared" ref="AB325:AB388" si="58">G325/I325</f>
        <v>6.2954545454545459</v>
      </c>
      <c r="AC325" s="9">
        <f t="shared" ref="AC325:AC388" si="59">H325/I325</f>
        <v>4.545454545454545</v>
      </c>
      <c r="AD325" s="9">
        <f t="shared" ref="AD325:AD388" si="60">Y325/E325</f>
        <v>21.018661608326862</v>
      </c>
      <c r="AE325" s="9">
        <f t="shared" ref="AE325:AE388" si="61">Z325/E325</f>
        <v>18.375171098728824</v>
      </c>
      <c r="AF325" s="9">
        <f t="shared" ref="AF325:AF388" si="62">Y325/(Z325)^(2/3)</f>
        <v>5.3207281227047796</v>
      </c>
      <c r="AG325" s="9">
        <f t="shared" si="54"/>
        <v>1.3203998609346859</v>
      </c>
      <c r="AH325" s="9">
        <f t="shared" si="53"/>
        <v>0.96663252890428253</v>
      </c>
      <c r="AI325" s="9">
        <f t="shared" si="55"/>
        <v>2.8855893845033309</v>
      </c>
      <c r="AJ325" s="9">
        <f>(4*PI()*(AI325^2))/(Y325+E325)</f>
        <v>0.86761529133650972</v>
      </c>
      <c r="AK325" s="12">
        <f t="shared" si="56"/>
        <v>0.55696202531645567</v>
      </c>
      <c r="AL325" s="12" t="s">
        <v>140</v>
      </c>
      <c r="AM325" s="12" t="s">
        <v>142</v>
      </c>
      <c r="AN325" s="18">
        <v>3.11528919204678</v>
      </c>
      <c r="AO325" s="18">
        <v>0.39115018730941098</v>
      </c>
      <c r="AP325" s="18">
        <v>7960.3069187832298</v>
      </c>
      <c r="AQ325" s="18">
        <v>7113.5049988365599</v>
      </c>
      <c r="AR325" s="18">
        <v>1.53509102339293</v>
      </c>
      <c r="AS325" s="18">
        <v>2.4631103642610501E-2</v>
      </c>
      <c r="AT325" s="18">
        <v>0.70218591826313803</v>
      </c>
      <c r="AU325" s="18">
        <v>3.6260056249841099</v>
      </c>
      <c r="AV325" s="18">
        <v>0.31185128638235099</v>
      </c>
      <c r="AW325" s="18">
        <v>1.6928221111043199E-2</v>
      </c>
      <c r="AX325" s="18">
        <v>0.13271210011114201</v>
      </c>
      <c r="AY325" s="18">
        <v>-2.8446329163315198</v>
      </c>
      <c r="AZ325" s="18">
        <v>-362.12984457425</v>
      </c>
      <c r="BA325" s="18">
        <v>0.244666366598771</v>
      </c>
      <c r="BB325" s="18">
        <v>6.49584248058855</v>
      </c>
      <c r="BC325" s="18" t="s">
        <v>162</v>
      </c>
      <c r="BD325" s="35" t="s">
        <v>165</v>
      </c>
      <c r="BE325" t="s">
        <v>168</v>
      </c>
    </row>
    <row r="326" spans="1:57" x14ac:dyDescent="0.25">
      <c r="A326" s="25" t="s">
        <v>396</v>
      </c>
      <c r="B326" s="18" t="s">
        <v>13</v>
      </c>
      <c r="C326" s="18" t="s">
        <v>6</v>
      </c>
      <c r="D326" s="18">
        <v>47</v>
      </c>
      <c r="E326" s="18">
        <v>11.257</v>
      </c>
      <c r="F326" s="18">
        <v>12.528</v>
      </c>
      <c r="G326" s="15">
        <v>4.4800000000000004</v>
      </c>
      <c r="H326" s="15">
        <v>1.4</v>
      </c>
      <c r="I326" s="15">
        <v>2.29</v>
      </c>
      <c r="J326" s="15">
        <v>85.41</v>
      </c>
      <c r="K326" s="15">
        <v>0</v>
      </c>
      <c r="L326" s="15">
        <v>77.77</v>
      </c>
      <c r="M326" s="15">
        <v>4.4000000000000004</v>
      </c>
      <c r="N326" s="15">
        <v>2</v>
      </c>
      <c r="O326" s="15">
        <f>3.28+2.1</f>
        <v>5.38</v>
      </c>
      <c r="P326" s="9">
        <v>0.38626199999999999</v>
      </c>
      <c r="Q326" s="9">
        <v>1.2553300000000001</v>
      </c>
      <c r="R326" s="9">
        <v>0.34615400000000002</v>
      </c>
      <c r="S326" s="9">
        <v>5.3263999999999999E-2</v>
      </c>
      <c r="T326" s="9">
        <v>6.0765199999999998E-2</v>
      </c>
      <c r="U326" s="9">
        <v>-2.4486500000000001E-3</v>
      </c>
      <c r="V326" s="9">
        <v>4.5475000000000003</v>
      </c>
      <c r="W326" s="9">
        <v>3.62256</v>
      </c>
      <c r="X326" s="9">
        <v>1.3992599999999999</v>
      </c>
      <c r="Y326" s="9">
        <v>19.4255</v>
      </c>
      <c r="Z326" s="9">
        <v>10.3635</v>
      </c>
      <c r="AA326" s="9">
        <f t="shared" si="57"/>
        <v>1.5819039301310043</v>
      </c>
      <c r="AB326" s="9">
        <f t="shared" si="58"/>
        <v>1.9563318777292578</v>
      </c>
      <c r="AC326" s="9">
        <f t="shared" si="59"/>
        <v>0.611353711790393</v>
      </c>
      <c r="AD326" s="9">
        <f t="shared" si="60"/>
        <v>1.7256373811850405</v>
      </c>
      <c r="AE326" s="9">
        <f t="shared" si="61"/>
        <v>0.92062716531935684</v>
      </c>
      <c r="AF326" s="9">
        <f t="shared" si="62"/>
        <v>4.0866543346169557</v>
      </c>
      <c r="AG326" s="9">
        <f t="shared" si="54"/>
        <v>1.8929380308850399</v>
      </c>
      <c r="AH326" s="9">
        <f t="shared" si="53"/>
        <v>0.94936784986097855</v>
      </c>
      <c r="AI326" s="9">
        <f t="shared" si="55"/>
        <v>1.352506250412022</v>
      </c>
      <c r="AJ326" s="9">
        <f>(4*PI()*(AI326^2))/(Y326+E326)</f>
        <v>0.74919985173413062</v>
      </c>
      <c r="AK326" s="12">
        <f t="shared" si="56"/>
        <v>0.42565055762081788</v>
      </c>
      <c r="AL326" s="12" t="s">
        <v>144</v>
      </c>
      <c r="AM326" s="12" t="s">
        <v>142</v>
      </c>
      <c r="AN326" s="18">
        <v>9.5576000000000008</v>
      </c>
      <c r="AO326" s="18">
        <v>1.2721</v>
      </c>
      <c r="AP326" s="18">
        <v>16533</v>
      </c>
      <c r="AQ326" s="18">
        <v>15486</v>
      </c>
      <c r="AR326" s="18">
        <v>4.6852999999999998</v>
      </c>
      <c r="AS326" s="18">
        <v>2.7621E-3</v>
      </c>
      <c r="AT326" s="18">
        <v>0.79762999999999995</v>
      </c>
      <c r="AU326" s="18">
        <v>0.27517999999999998</v>
      </c>
      <c r="AV326" s="18">
        <v>0</v>
      </c>
      <c r="AW326" s="18">
        <v>3.7326E-3</v>
      </c>
      <c r="AX326" s="18">
        <v>0.25967000000000001</v>
      </c>
      <c r="AY326" s="18">
        <v>-3.4293</v>
      </c>
      <c r="AZ326" s="18">
        <v>-2248.5</v>
      </c>
      <c r="BA326" s="18">
        <v>1.8443000000000001E-2</v>
      </c>
      <c r="BB326" s="18">
        <v>34.883000000000003</v>
      </c>
      <c r="BC326" s="18" t="s">
        <v>162</v>
      </c>
      <c r="BD326" s="35" t="s">
        <v>165</v>
      </c>
      <c r="BE326" t="s">
        <v>167</v>
      </c>
    </row>
    <row r="327" spans="1:57" x14ac:dyDescent="0.25">
      <c r="A327" s="25" t="s">
        <v>397</v>
      </c>
      <c r="B327" s="18" t="s">
        <v>13</v>
      </c>
      <c r="C327" s="18" t="s">
        <v>6</v>
      </c>
      <c r="D327" s="18">
        <v>47</v>
      </c>
      <c r="E327" s="18">
        <v>6.6862000000000004</v>
      </c>
      <c r="F327" s="18">
        <v>9.4987999999999992</v>
      </c>
      <c r="G327" s="15">
        <v>4.2</v>
      </c>
      <c r="H327" s="15">
        <v>3.5</v>
      </c>
      <c r="I327" s="15">
        <v>1.84</v>
      </c>
      <c r="J327" s="15">
        <v>108.06</v>
      </c>
      <c r="K327" s="15">
        <v>22.87</v>
      </c>
      <c r="L327" s="15">
        <v>73.42</v>
      </c>
      <c r="M327" s="15">
        <v>3.67</v>
      </c>
      <c r="N327" s="15">
        <v>2</v>
      </c>
      <c r="O327" s="15">
        <f>2.01+1.43</f>
        <v>3.4399999999999995</v>
      </c>
      <c r="P327" s="9">
        <v>1.24054</v>
      </c>
      <c r="Q327" s="9">
        <v>1.5522499999999999</v>
      </c>
      <c r="R327" s="9">
        <v>0.108696</v>
      </c>
      <c r="S327" s="9">
        <v>0.139122</v>
      </c>
      <c r="T327" s="9">
        <v>0.16850000000000001</v>
      </c>
      <c r="U327" s="9">
        <v>7.8585699999999994E-2</v>
      </c>
      <c r="V327" s="9">
        <v>4.4120400000000002</v>
      </c>
      <c r="W327" s="9">
        <v>2.8423400000000001</v>
      </c>
      <c r="X327" s="9">
        <v>3.5260500000000001</v>
      </c>
      <c r="Y327" s="9">
        <v>35.306100000000001</v>
      </c>
      <c r="Z327" s="9">
        <v>21.1523</v>
      </c>
      <c r="AA327" s="9">
        <f t="shared" si="57"/>
        <v>1.5447500000000001</v>
      </c>
      <c r="AB327" s="9">
        <f t="shared" si="58"/>
        <v>2.2826086956521738</v>
      </c>
      <c r="AC327" s="9">
        <f t="shared" si="59"/>
        <v>1.9021739130434783</v>
      </c>
      <c r="AD327" s="9">
        <f t="shared" si="60"/>
        <v>5.2804433011276961</v>
      </c>
      <c r="AE327" s="9">
        <f t="shared" si="61"/>
        <v>3.1635757231312254</v>
      </c>
      <c r="AF327" s="9">
        <f t="shared" si="62"/>
        <v>4.6161298341527042</v>
      </c>
      <c r="AG327" s="9">
        <f t="shared" si="54"/>
        <v>1.458863791106648</v>
      </c>
      <c r="AH327" s="9">
        <f t="shared" si="53"/>
        <v>0.96499679301149632</v>
      </c>
      <c r="AI327" s="9">
        <f t="shared" si="55"/>
        <v>1.7156274883307037</v>
      </c>
      <c r="AJ327" s="9">
        <f>(4*PI()*(AI327^2))/(Y327+E327)</f>
        <v>0.88081802541838483</v>
      </c>
      <c r="AK327" s="12">
        <f t="shared" si="56"/>
        <v>0.53488372093023262</v>
      </c>
      <c r="AL327" s="12" t="s">
        <v>140</v>
      </c>
      <c r="AM327" s="12" t="s">
        <v>142</v>
      </c>
      <c r="AN327" s="18">
        <v>5.8997000000000002</v>
      </c>
      <c r="AO327" s="18">
        <v>0.66163000000000005</v>
      </c>
      <c r="AP327" s="18">
        <v>12350</v>
      </c>
      <c r="AQ327" s="18">
        <v>11979</v>
      </c>
      <c r="AR327" s="18">
        <v>2.6046999999999998</v>
      </c>
      <c r="AS327" s="18">
        <v>1.0399E-2</v>
      </c>
      <c r="AT327" s="18">
        <v>0.71736</v>
      </c>
      <c r="AU327" s="18">
        <v>0.75624000000000002</v>
      </c>
      <c r="AV327" s="18">
        <v>1.4984000000000001E-2</v>
      </c>
      <c r="AW327" s="18">
        <v>7.4304999999999996E-3</v>
      </c>
      <c r="AX327" s="18">
        <v>0.21088999999999999</v>
      </c>
      <c r="AY327" s="18">
        <v>-8.3148999999999997</v>
      </c>
      <c r="AZ327" s="18">
        <v>-1478.8</v>
      </c>
      <c r="BA327" s="18">
        <v>6.5826999999999997E-2</v>
      </c>
      <c r="BB327" s="18">
        <v>16.401</v>
      </c>
      <c r="BC327" s="18" t="s">
        <v>164</v>
      </c>
      <c r="BD327" s="35" t="s">
        <v>165</v>
      </c>
      <c r="BE327" t="s">
        <v>167</v>
      </c>
    </row>
    <row r="328" spans="1:57" x14ac:dyDescent="0.25">
      <c r="A328" s="25" t="s">
        <v>398</v>
      </c>
      <c r="B328" s="18" t="s">
        <v>13</v>
      </c>
      <c r="C328" s="18" t="s">
        <v>6</v>
      </c>
      <c r="D328" s="18">
        <v>83</v>
      </c>
      <c r="E328" s="18">
        <v>13.894</v>
      </c>
      <c r="F328" s="18">
        <v>13.654</v>
      </c>
      <c r="G328" s="15">
        <v>6.78</v>
      </c>
      <c r="H328" s="15">
        <v>5.0999999999999996</v>
      </c>
      <c r="I328" s="15">
        <v>2.06</v>
      </c>
      <c r="J328" s="15">
        <v>36.35</v>
      </c>
      <c r="K328" s="15">
        <v>44.83</v>
      </c>
      <c r="L328" s="15">
        <v>64.03</v>
      </c>
      <c r="M328" s="15">
        <v>4.8</v>
      </c>
      <c r="N328" s="15">
        <v>2</v>
      </c>
      <c r="O328" s="15">
        <f>1.79+1.86</f>
        <v>3.6500000000000004</v>
      </c>
      <c r="P328" s="9">
        <v>1.2260200000000001</v>
      </c>
      <c r="Q328" s="9">
        <v>1.1331500000000001</v>
      </c>
      <c r="R328" s="9">
        <v>0.43939400000000001</v>
      </c>
      <c r="S328" s="9">
        <v>0.14938499999999999</v>
      </c>
      <c r="T328" s="9">
        <v>0.20477600000000001</v>
      </c>
      <c r="U328" s="9">
        <v>0.171846</v>
      </c>
      <c r="V328" s="9">
        <v>4.6475799999999996</v>
      </c>
      <c r="W328" s="9">
        <v>4.1014699999999999</v>
      </c>
      <c r="X328" s="9">
        <v>5.0284899999999997</v>
      </c>
      <c r="Y328" s="9">
        <v>51.839500000000001</v>
      </c>
      <c r="Z328" s="9">
        <v>35.197699999999998</v>
      </c>
      <c r="AA328" s="9">
        <f t="shared" si="57"/>
        <v>1.991004854368932</v>
      </c>
      <c r="AB328" s="9">
        <f t="shared" si="58"/>
        <v>3.29126213592233</v>
      </c>
      <c r="AC328" s="9">
        <f t="shared" si="59"/>
        <v>2.4757281553398056</v>
      </c>
      <c r="AD328" s="9">
        <f t="shared" si="60"/>
        <v>3.7310709658845544</v>
      </c>
      <c r="AE328" s="9">
        <f t="shared" si="61"/>
        <v>2.5333021448107096</v>
      </c>
      <c r="AF328" s="9">
        <f t="shared" si="62"/>
        <v>4.8267108257502311</v>
      </c>
      <c r="AG328" s="9">
        <f t="shared" si="54"/>
        <v>2.1029972797504013</v>
      </c>
      <c r="AH328" s="9">
        <f t="shared" si="53"/>
        <v>0.96773997430543135</v>
      </c>
      <c r="AI328" s="9">
        <f t="shared" si="55"/>
        <v>2.0330211279405357</v>
      </c>
      <c r="AJ328" s="9">
        <f>(4*PI()*(AI328^2))/(Y328+E328)</f>
        <v>0.79014517241537474</v>
      </c>
      <c r="AK328" s="12">
        <f t="shared" si="56"/>
        <v>0.56438356164383563</v>
      </c>
      <c r="AL328" s="12" t="s">
        <v>140</v>
      </c>
      <c r="AM328" s="12" t="s">
        <v>142</v>
      </c>
      <c r="AN328" s="18">
        <v>5.1726999999999999</v>
      </c>
      <c r="AO328" s="18">
        <v>0.47431000000000001</v>
      </c>
      <c r="AP328" s="18">
        <v>10516</v>
      </c>
      <c r="AQ328" s="18">
        <v>10404</v>
      </c>
      <c r="AR328" s="18">
        <v>2.4218000000000002</v>
      </c>
      <c r="AS328" s="18">
        <v>1.6820999999999999E-2</v>
      </c>
      <c r="AT328" s="18">
        <v>0.71670999999999996</v>
      </c>
      <c r="AU328" s="18">
        <v>1.3052999999999999</v>
      </c>
      <c r="AV328" s="18">
        <v>0.14674000000000001</v>
      </c>
      <c r="AW328" s="18">
        <v>1.5025E-2</v>
      </c>
      <c r="AX328" s="18">
        <v>0.20230999999999999</v>
      </c>
      <c r="AY328" s="18">
        <v>-22.292000000000002</v>
      </c>
      <c r="AZ328" s="18">
        <v>-2803.1</v>
      </c>
      <c r="BA328" s="18">
        <v>5.6149999999999999E-2</v>
      </c>
      <c r="BB328" s="18">
        <v>50.527000000000001</v>
      </c>
      <c r="BC328" s="23" t="s">
        <v>164</v>
      </c>
      <c r="BD328" s="36" t="s">
        <v>165</v>
      </c>
      <c r="BE328" t="s">
        <v>168</v>
      </c>
    </row>
    <row r="329" spans="1:57" x14ac:dyDescent="0.25">
      <c r="A329" s="25" t="s">
        <v>399</v>
      </c>
      <c r="B329" s="18" t="s">
        <v>5</v>
      </c>
      <c r="C329" s="18" t="s">
        <v>6</v>
      </c>
      <c r="D329" s="18">
        <v>69</v>
      </c>
      <c r="E329" s="18">
        <v>7.9194000000000004</v>
      </c>
      <c r="F329" s="18">
        <v>10.571</v>
      </c>
      <c r="G329" s="15">
        <v>9.06</v>
      </c>
      <c r="H329" s="15">
        <v>7.5</v>
      </c>
      <c r="I329" s="15">
        <v>2.63</v>
      </c>
      <c r="J329" s="15">
        <v>49.86</v>
      </c>
      <c r="K329" s="15">
        <v>5.09</v>
      </c>
      <c r="L329" s="15">
        <v>55.77</v>
      </c>
      <c r="M329" s="15">
        <v>8.1999999999999993</v>
      </c>
      <c r="N329" s="15">
        <v>1</v>
      </c>
      <c r="O329" s="15">
        <v>3.17</v>
      </c>
      <c r="P329" s="9">
        <v>2.4580700000000002</v>
      </c>
      <c r="Q329" s="9">
        <v>2.9647600000000001</v>
      </c>
      <c r="R329" s="9">
        <v>-5.0335600000000001E-2</v>
      </c>
      <c r="S329" s="9">
        <v>0.226268</v>
      </c>
      <c r="T329" s="9">
        <v>0.25067800000000001</v>
      </c>
      <c r="U329" s="9">
        <v>8.7357599999999994E-2</v>
      </c>
      <c r="V329" s="9">
        <v>9.0877099999999995</v>
      </c>
      <c r="W329" s="9">
        <v>3.0652400000000002</v>
      </c>
      <c r="X329" s="9">
        <v>7.5345899999999997</v>
      </c>
      <c r="Y329" s="9">
        <v>168.06</v>
      </c>
      <c r="Z329" s="9">
        <v>187.92599999999999</v>
      </c>
      <c r="AA329" s="9">
        <f t="shared" si="57"/>
        <v>1.165490494296578</v>
      </c>
      <c r="AB329" s="9">
        <f t="shared" si="58"/>
        <v>3.4448669201520916</v>
      </c>
      <c r="AC329" s="9">
        <f t="shared" si="59"/>
        <v>2.8517110266159698</v>
      </c>
      <c r="AD329" s="9">
        <f t="shared" si="60"/>
        <v>21.221304644291234</v>
      </c>
      <c r="AE329" s="9">
        <f t="shared" si="61"/>
        <v>23.729828017274034</v>
      </c>
      <c r="AF329" s="9">
        <f t="shared" si="62"/>
        <v>5.1223955626213851</v>
      </c>
      <c r="AG329" s="9">
        <f t="shared" si="54"/>
        <v>1.5877100845695704</v>
      </c>
      <c r="AH329" s="9">
        <f t="shared" si="53"/>
        <v>0.9437022680378756</v>
      </c>
      <c r="AI329" s="9">
        <f t="shared" si="55"/>
        <v>3.5533071806726326</v>
      </c>
      <c r="AJ329" s="9">
        <f>(4*PI()*(AI329^2))/(Y329+E329)</f>
        <v>0.90159924311246142</v>
      </c>
      <c r="AK329" s="12">
        <f t="shared" si="56"/>
        <v>0.82965299684542582</v>
      </c>
      <c r="AL329" s="12" t="s">
        <v>140</v>
      </c>
      <c r="AM329" s="12" t="s">
        <v>143</v>
      </c>
      <c r="AN329" s="18">
        <v>4.3212000000000002</v>
      </c>
      <c r="AO329" s="18">
        <v>0.42829</v>
      </c>
      <c r="AP329" s="18">
        <v>10050</v>
      </c>
      <c r="AQ329" s="18">
        <v>9162.2000000000007</v>
      </c>
      <c r="AR329" s="18">
        <v>2.3228</v>
      </c>
      <c r="AS329" s="18">
        <v>5.6580999999999999E-2</v>
      </c>
      <c r="AT329" s="18">
        <v>0.66374999999999995</v>
      </c>
      <c r="AU329" s="18">
        <v>1.4390000000000001</v>
      </c>
      <c r="AV329" s="18">
        <v>0.21023</v>
      </c>
      <c r="AW329" s="18">
        <v>7.0386000000000004E-2</v>
      </c>
      <c r="AX329" s="18">
        <v>0.16652</v>
      </c>
      <c r="AY329" s="18">
        <v>3.1492</v>
      </c>
      <c r="AZ329" s="18">
        <v>1750.3</v>
      </c>
      <c r="BA329" s="18">
        <v>0.10908</v>
      </c>
      <c r="BB329" s="18">
        <v>4.6447000000000003</v>
      </c>
      <c r="BC329" s="18" t="s">
        <v>162</v>
      </c>
      <c r="BD329" s="35" t="s">
        <v>165</v>
      </c>
      <c r="BE329" t="s">
        <v>168</v>
      </c>
    </row>
    <row r="330" spans="1:57" x14ac:dyDescent="0.25">
      <c r="A330" s="25" t="s">
        <v>400</v>
      </c>
      <c r="B330" s="18" t="s">
        <v>26</v>
      </c>
      <c r="C330" s="18" t="s">
        <v>14</v>
      </c>
      <c r="D330" s="18">
        <v>33</v>
      </c>
      <c r="E330" s="18">
        <v>3.1266267207912</v>
      </c>
      <c r="F330" s="18">
        <v>6.5330000000000004</v>
      </c>
      <c r="G330" s="15">
        <v>4.03</v>
      </c>
      <c r="H330" s="15">
        <v>3</v>
      </c>
      <c r="I330" s="15">
        <v>2.29</v>
      </c>
      <c r="J330" s="15">
        <v>19.760000000000002</v>
      </c>
      <c r="K330" s="15">
        <v>33.65</v>
      </c>
      <c r="L330" s="15">
        <v>45.02</v>
      </c>
      <c r="M330" s="15">
        <v>3.35</v>
      </c>
      <c r="N330" s="15">
        <v>2</v>
      </c>
      <c r="O330" s="15">
        <f>2.14+1.83</f>
        <v>3.97</v>
      </c>
      <c r="P330" s="9">
        <v>1.5933200000000001</v>
      </c>
      <c r="Q330" s="9">
        <v>1.5511900000000001</v>
      </c>
      <c r="R330" s="10">
        <v>-9.0640600000000002E-9</v>
      </c>
      <c r="S330" s="9">
        <v>0.19989899999999999</v>
      </c>
      <c r="T330" s="9">
        <v>0.25311600000000001</v>
      </c>
      <c r="U330" s="9">
        <v>0.16025</v>
      </c>
      <c r="V330" s="9">
        <v>2.9085100000000002</v>
      </c>
      <c r="W330" s="9">
        <v>1.8750199999999999</v>
      </c>
      <c r="X330" s="9">
        <v>2.9875099999999999</v>
      </c>
      <c r="Y330" s="9">
        <v>25.459700000000002</v>
      </c>
      <c r="Z330" s="9">
        <v>11.0268</v>
      </c>
      <c r="AA330" s="9">
        <f t="shared" si="57"/>
        <v>0.81878602620087326</v>
      </c>
      <c r="AB330" s="9">
        <f t="shared" si="58"/>
        <v>1.759825327510917</v>
      </c>
      <c r="AC330" s="9">
        <f t="shared" si="59"/>
        <v>1.3100436681222707</v>
      </c>
      <c r="AD330" s="9">
        <f t="shared" si="60"/>
        <v>8.1428652261877197</v>
      </c>
      <c r="AE330" s="9">
        <f t="shared" si="61"/>
        <v>3.5267401531096882</v>
      </c>
      <c r="AF330" s="9">
        <f t="shared" si="62"/>
        <v>5.139098599437304</v>
      </c>
      <c r="AG330" s="9">
        <f t="shared" si="54"/>
        <v>0.99761525431112252</v>
      </c>
      <c r="AH330" s="9">
        <f t="shared" si="53"/>
        <v>0.95946755060552136</v>
      </c>
      <c r="AI330" s="9">
        <f t="shared" si="55"/>
        <v>1.3807666729395269</v>
      </c>
      <c r="AJ330" s="9">
        <f>(4*PI()*(AI330^2))/(Y330+E330)</f>
        <v>0.83809278737088166</v>
      </c>
      <c r="AK330" s="12">
        <f t="shared" si="56"/>
        <v>0.5768261964735516</v>
      </c>
      <c r="AL330" s="12" t="s">
        <v>140</v>
      </c>
      <c r="AM330" s="12" t="s">
        <v>142</v>
      </c>
      <c r="AN330" s="18">
        <v>3.2049583111681299</v>
      </c>
      <c r="AO330" s="18">
        <v>0.51476396419002302</v>
      </c>
      <c r="AP330" s="18">
        <v>12041.733303609401</v>
      </c>
      <c r="AQ330" s="18">
        <v>10201.6851178492</v>
      </c>
      <c r="AR330" s="18">
        <v>1.4134641503980101</v>
      </c>
      <c r="AS330" s="18">
        <v>1.0553693310022001E-2</v>
      </c>
      <c r="AT330" s="18">
        <v>0.75161063874275602</v>
      </c>
      <c r="AU330" s="18">
        <v>3.4167304608389601</v>
      </c>
      <c r="AV330" s="18">
        <v>0.26911575039691998</v>
      </c>
      <c r="AW330" s="18">
        <v>1.12253771030038E-2</v>
      </c>
      <c r="AX330" s="18">
        <v>9.9663192837283601E-2</v>
      </c>
      <c r="AY330" s="18">
        <v>-2.0530382536824598</v>
      </c>
      <c r="AZ330" s="18">
        <v>-275.46911056822699</v>
      </c>
      <c r="BA330" s="18">
        <v>9.4508292599355406E-2</v>
      </c>
      <c r="BB330" s="18">
        <v>13.9835433022718</v>
      </c>
      <c r="BC330" s="18" t="s">
        <v>162</v>
      </c>
      <c r="BD330" s="35" t="s">
        <v>165</v>
      </c>
      <c r="BE330" t="s">
        <v>168</v>
      </c>
    </row>
    <row r="331" spans="1:57" x14ac:dyDescent="0.25">
      <c r="A331" s="25" t="s">
        <v>401</v>
      </c>
      <c r="B331" s="18" t="s">
        <v>5</v>
      </c>
      <c r="C331" s="18" t="s">
        <v>6</v>
      </c>
      <c r="D331" s="18">
        <v>48</v>
      </c>
      <c r="E331" s="18">
        <v>3.4811999999999999</v>
      </c>
      <c r="F331" s="18">
        <v>6.9118000000000004</v>
      </c>
      <c r="G331" s="15">
        <v>5.64</v>
      </c>
      <c r="H331" s="15">
        <v>4.3</v>
      </c>
      <c r="I331" s="15">
        <v>3.17</v>
      </c>
      <c r="J331" s="15">
        <v>48.63</v>
      </c>
      <c r="K331" s="15">
        <v>36.68</v>
      </c>
      <c r="L331" s="15">
        <v>38.200000000000003</v>
      </c>
      <c r="M331" s="15">
        <v>3.85</v>
      </c>
      <c r="N331" s="15">
        <v>2</v>
      </c>
      <c r="O331" s="15">
        <f>3.42+0.82</f>
        <v>4.24</v>
      </c>
      <c r="P331" s="9">
        <v>2.1213299999999999</v>
      </c>
      <c r="Q331" s="9">
        <v>1.9654799999999999</v>
      </c>
      <c r="R331" s="9">
        <v>-0.135294</v>
      </c>
      <c r="S331" s="9">
        <v>0.21084800000000001</v>
      </c>
      <c r="T331" s="9">
        <v>0.27174999999999999</v>
      </c>
      <c r="U331" s="9">
        <v>0.15404100000000001</v>
      </c>
      <c r="V331" s="9">
        <v>4.0024300000000004</v>
      </c>
      <c r="W331" s="9">
        <v>2.0363600000000002</v>
      </c>
      <c r="X331" s="9">
        <v>4.3197999999999999</v>
      </c>
      <c r="Y331" s="9">
        <v>47.835900000000002</v>
      </c>
      <c r="Z331" s="9">
        <v>27.342600000000001</v>
      </c>
      <c r="AA331" s="9">
        <f t="shared" si="57"/>
        <v>0.64238485804416412</v>
      </c>
      <c r="AB331" s="9">
        <f t="shared" si="58"/>
        <v>1.7791798107255521</v>
      </c>
      <c r="AC331" s="9">
        <f t="shared" si="59"/>
        <v>1.3564668769716088</v>
      </c>
      <c r="AD331" s="9">
        <f t="shared" si="60"/>
        <v>13.74120992761117</v>
      </c>
      <c r="AE331" s="9">
        <f t="shared" si="61"/>
        <v>7.8543605653223034</v>
      </c>
      <c r="AF331" s="9">
        <f t="shared" si="62"/>
        <v>5.2706083198760725</v>
      </c>
      <c r="AG331" s="9">
        <f t="shared" si="54"/>
        <v>1.0526634674875974</v>
      </c>
      <c r="AH331" s="9">
        <f t="shared" si="53"/>
        <v>0.95692578377886917</v>
      </c>
      <c r="AI331" s="9">
        <f t="shared" si="55"/>
        <v>1.8688899701060098</v>
      </c>
      <c r="AJ331" s="9">
        <f>(4*PI()*(AI331^2))/(Y331+E331)</f>
        <v>0.8552936048467048</v>
      </c>
      <c r="AK331" s="12">
        <f t="shared" si="56"/>
        <v>0.74764150943396224</v>
      </c>
      <c r="AL331" s="12" t="s">
        <v>140</v>
      </c>
      <c r="AM331" s="12" t="s">
        <v>142</v>
      </c>
      <c r="AN331" s="18">
        <v>4.2804000000000002</v>
      </c>
      <c r="AO331" s="18">
        <v>0.18415999999999999</v>
      </c>
      <c r="AP331" s="18">
        <v>14251</v>
      </c>
      <c r="AQ331" s="18">
        <v>12299</v>
      </c>
      <c r="AR331" s="18">
        <v>2.0116999999999998</v>
      </c>
      <c r="AS331" s="18">
        <v>1.9394000000000002E-2</v>
      </c>
      <c r="AT331" s="18">
        <v>0.71579000000000004</v>
      </c>
      <c r="AU331" s="18">
        <v>4.9048999999999996</v>
      </c>
      <c r="AV331" s="18">
        <v>0.72235000000000005</v>
      </c>
      <c r="AW331" s="18">
        <v>1.7794999999999998E-2</v>
      </c>
      <c r="AX331" s="18">
        <v>9.1260999999999995E-2</v>
      </c>
      <c r="AY331" s="18">
        <v>-1.1241000000000001</v>
      </c>
      <c r="AZ331" s="18">
        <v>-1263.7</v>
      </c>
      <c r="BA331" s="18">
        <v>7.4278999999999998E-2</v>
      </c>
      <c r="BB331" s="18">
        <v>9.6113</v>
      </c>
      <c r="BC331" s="18" t="s">
        <v>162</v>
      </c>
      <c r="BD331" s="35" t="s">
        <v>163</v>
      </c>
      <c r="BE331" t="s">
        <v>168</v>
      </c>
    </row>
    <row r="332" spans="1:57" x14ac:dyDescent="0.25">
      <c r="A332" s="25" t="s">
        <v>402</v>
      </c>
      <c r="B332" s="18" t="s">
        <v>5</v>
      </c>
      <c r="C332" s="18" t="s">
        <v>6</v>
      </c>
      <c r="D332" s="18">
        <v>48</v>
      </c>
      <c r="E332" s="18">
        <v>7.8792999999999997</v>
      </c>
      <c r="F332" s="18">
        <v>10.298999999999999</v>
      </c>
      <c r="G332" s="15">
        <v>3.44</v>
      </c>
      <c r="H332" s="15">
        <v>1.57</v>
      </c>
      <c r="I332" s="15">
        <v>4.82</v>
      </c>
      <c r="J332" s="15">
        <v>57.67</v>
      </c>
      <c r="K332" s="15">
        <v>7</v>
      </c>
      <c r="L332" s="15">
        <v>26.57</v>
      </c>
      <c r="M332" s="15">
        <v>3.24</v>
      </c>
      <c r="N332" s="15">
        <v>1</v>
      </c>
      <c r="O332" s="15">
        <v>3.74</v>
      </c>
      <c r="P332" s="9">
        <v>0.503193</v>
      </c>
      <c r="Q332" s="9">
        <v>1.0889899999999999</v>
      </c>
      <c r="R332" s="9">
        <v>0.466667</v>
      </c>
      <c r="S332" s="9">
        <v>2.37174E-2</v>
      </c>
      <c r="T332" s="9">
        <v>3.6599199999999998E-2</v>
      </c>
      <c r="U332" s="9">
        <v>8.2188399999999998E-3</v>
      </c>
      <c r="V332" s="9">
        <v>3.4083000000000001</v>
      </c>
      <c r="W332" s="9">
        <v>3.1297899999999998</v>
      </c>
      <c r="X332" s="9">
        <v>1.5748899999999999</v>
      </c>
      <c r="Y332" s="9">
        <v>14.669700000000001</v>
      </c>
      <c r="Z332" s="9">
        <v>7.0652799999999996</v>
      </c>
      <c r="AA332" s="9">
        <f t="shared" si="57"/>
        <v>0.64933402489626546</v>
      </c>
      <c r="AB332" s="9">
        <f t="shared" si="58"/>
        <v>0.71369294605809119</v>
      </c>
      <c r="AC332" s="9">
        <f t="shared" si="59"/>
        <v>0.32572614107883818</v>
      </c>
      <c r="AD332" s="9">
        <f t="shared" si="60"/>
        <v>1.8618024443795771</v>
      </c>
      <c r="AE332" s="9">
        <f t="shared" si="61"/>
        <v>0.89668879215158703</v>
      </c>
      <c r="AF332" s="9">
        <f t="shared" si="62"/>
        <v>3.9841435757179515</v>
      </c>
      <c r="AG332" s="9">
        <f t="shared" si="54"/>
        <v>1.5836852863520396</v>
      </c>
      <c r="AH332" s="9">
        <f t="shared" si="53"/>
        <v>0.96617031968187517</v>
      </c>
      <c r="AI332" s="9">
        <f t="shared" si="55"/>
        <v>1.1903652938973779</v>
      </c>
      <c r="AJ332" s="9">
        <f>(4*PI()*(AI332^2))/(Y332+E332)</f>
        <v>0.78966536431195222</v>
      </c>
      <c r="AK332" s="12">
        <f t="shared" si="56"/>
        <v>1.2887700534759359</v>
      </c>
      <c r="AL332" s="12" t="s">
        <v>144</v>
      </c>
      <c r="AM332" s="12" t="s">
        <v>143</v>
      </c>
      <c r="AN332" s="18">
        <v>11.074999999999999</v>
      </c>
      <c r="AO332" s="18">
        <v>1.5117</v>
      </c>
      <c r="AP332" s="18">
        <v>23087</v>
      </c>
      <c r="AQ332" s="18">
        <v>22234</v>
      </c>
      <c r="AR332" s="18">
        <v>5.4301000000000004</v>
      </c>
      <c r="AS332" s="18">
        <v>7.5290000000000001E-3</v>
      </c>
      <c r="AT332" s="18">
        <v>0.74175000000000002</v>
      </c>
      <c r="AU332" s="18">
        <v>0.24607000000000001</v>
      </c>
      <c r="AV332" s="18">
        <v>0</v>
      </c>
      <c r="AW332" s="18">
        <v>3.8444E-3</v>
      </c>
      <c r="AX332" s="18">
        <v>0.34286</v>
      </c>
      <c r="AY332" s="18">
        <v>4.5570000000000004</v>
      </c>
      <c r="AZ332" s="18">
        <v>19270</v>
      </c>
      <c r="BA332" s="18">
        <v>6.0873000000000003E-3</v>
      </c>
      <c r="BB332" s="18">
        <v>4.3757999999999999</v>
      </c>
      <c r="BC332" s="18" t="s">
        <v>162</v>
      </c>
      <c r="BD332" s="35" t="s">
        <v>163</v>
      </c>
      <c r="BE332" t="s">
        <v>167</v>
      </c>
    </row>
    <row r="333" spans="1:57" x14ac:dyDescent="0.25">
      <c r="A333" s="25" t="s">
        <v>403</v>
      </c>
      <c r="B333" s="18" t="s">
        <v>5</v>
      </c>
      <c r="C333" s="18" t="s">
        <v>6</v>
      </c>
      <c r="D333" s="18">
        <v>49</v>
      </c>
      <c r="E333" s="18">
        <v>17.779</v>
      </c>
      <c r="F333" s="18">
        <v>15.436999999999999</v>
      </c>
      <c r="G333" s="15">
        <v>12.01</v>
      </c>
      <c r="H333" s="15">
        <v>11.4</v>
      </c>
      <c r="I333" s="15">
        <v>2.66</v>
      </c>
      <c r="J333" s="15">
        <v>76.09</v>
      </c>
      <c r="K333" s="15">
        <v>69.260000000000005</v>
      </c>
      <c r="L333" s="15">
        <v>41.6</v>
      </c>
      <c r="M333" s="15">
        <v>9.1999999999999993</v>
      </c>
      <c r="N333" s="15">
        <v>1</v>
      </c>
      <c r="O333" s="15">
        <v>3.56</v>
      </c>
      <c r="P333" s="9">
        <v>2.4691900000000002</v>
      </c>
      <c r="Q333" s="9">
        <v>2.0109300000000001</v>
      </c>
      <c r="R333" s="9">
        <v>0.138767</v>
      </c>
      <c r="S333" s="9">
        <v>0.21171799999999999</v>
      </c>
      <c r="T333" s="9">
        <v>0.24934400000000001</v>
      </c>
      <c r="U333" s="9">
        <v>0.10184799999999999</v>
      </c>
      <c r="V333" s="9">
        <v>9.3029899999999994</v>
      </c>
      <c r="W333" s="9">
        <v>4.6262100000000004</v>
      </c>
      <c r="X333" s="9">
        <v>11.423</v>
      </c>
      <c r="Y333" s="9">
        <v>244.05199999999999</v>
      </c>
      <c r="Z333" s="9">
        <v>329.74299999999999</v>
      </c>
      <c r="AA333" s="9">
        <f t="shared" si="57"/>
        <v>1.7391766917293234</v>
      </c>
      <c r="AB333" s="9">
        <f t="shared" si="58"/>
        <v>4.5150375939849621</v>
      </c>
      <c r="AC333" s="9">
        <f t="shared" si="59"/>
        <v>4.2857142857142856</v>
      </c>
      <c r="AD333" s="9">
        <f t="shared" si="60"/>
        <v>13.726981270037685</v>
      </c>
      <c r="AE333" s="9">
        <f t="shared" si="61"/>
        <v>18.546768659654649</v>
      </c>
      <c r="AF333" s="9">
        <f t="shared" si="62"/>
        <v>5.1132690827842824</v>
      </c>
      <c r="AG333" s="9">
        <f t="shared" si="54"/>
        <v>2.3789139258202709</v>
      </c>
      <c r="AH333" s="9">
        <f t="shared" si="53"/>
        <v>0.96826825327193333</v>
      </c>
      <c r="AI333" s="9">
        <f t="shared" si="55"/>
        <v>4.2857712961609149</v>
      </c>
      <c r="AJ333" s="9">
        <f>(4*PI()*(AI333^2))/(Y333+E333)</f>
        <v>0.88154966207545815</v>
      </c>
      <c r="AK333" s="12">
        <f t="shared" si="56"/>
        <v>0.7471910112359551</v>
      </c>
      <c r="AL333" s="12" t="s">
        <v>140</v>
      </c>
      <c r="AM333" s="12" t="s">
        <v>143</v>
      </c>
      <c r="AN333" s="18">
        <v>6.9981999999999998</v>
      </c>
      <c r="AO333" s="18">
        <v>0.53110000000000002</v>
      </c>
      <c r="AP333" s="18">
        <v>10327</v>
      </c>
      <c r="AQ333" s="18">
        <v>9245.9</v>
      </c>
      <c r="AR333" s="18">
        <v>3.9226999999999999</v>
      </c>
      <c r="AS333" s="18">
        <v>1.226E-2</v>
      </c>
      <c r="AT333" s="18">
        <v>0.74214000000000002</v>
      </c>
      <c r="AU333" s="18">
        <v>0.51997000000000004</v>
      </c>
      <c r="AV333" s="18">
        <v>9.1582999999999998E-2</v>
      </c>
      <c r="AW333" s="18">
        <v>7.8274999999999994E-3</v>
      </c>
      <c r="AX333" s="18">
        <v>0.26062000000000002</v>
      </c>
      <c r="AY333" s="18">
        <v>-0.49690000000000001</v>
      </c>
      <c r="AZ333" s="18">
        <v>-396.52</v>
      </c>
      <c r="BA333" s="18">
        <v>0.15245</v>
      </c>
      <c r="BB333" s="18">
        <v>12.34</v>
      </c>
      <c r="BC333" s="18" t="s">
        <v>162</v>
      </c>
      <c r="BD333" s="35" t="s">
        <v>165</v>
      </c>
      <c r="BE333" t="s">
        <v>168</v>
      </c>
    </row>
    <row r="334" spans="1:57" x14ac:dyDescent="0.25">
      <c r="A334" s="25" t="s">
        <v>404</v>
      </c>
      <c r="B334" s="18" t="s">
        <v>5</v>
      </c>
      <c r="C334" s="18" t="s">
        <v>6</v>
      </c>
      <c r="D334" s="18">
        <v>49</v>
      </c>
      <c r="E334" s="18">
        <v>10.228</v>
      </c>
      <c r="F334" s="18">
        <v>11.64</v>
      </c>
      <c r="G334" s="15">
        <v>4.2699999999999996</v>
      </c>
      <c r="H334" s="15">
        <v>2.25</v>
      </c>
      <c r="I334" s="15">
        <v>3.56</v>
      </c>
      <c r="J334" s="15">
        <v>48.46</v>
      </c>
      <c r="K334" s="15">
        <v>26.87</v>
      </c>
      <c r="L334" s="15">
        <v>56.81</v>
      </c>
      <c r="M334" s="15">
        <v>4.05</v>
      </c>
      <c r="N334" s="15">
        <v>1</v>
      </c>
      <c r="O334" s="15">
        <v>4.45</v>
      </c>
      <c r="P334" s="9">
        <v>0.64597099999999996</v>
      </c>
      <c r="Q334" s="9">
        <v>1.1321000000000001</v>
      </c>
      <c r="R334" s="9">
        <v>0.477273</v>
      </c>
      <c r="S334" s="9">
        <v>4.6830299999999998E-2</v>
      </c>
      <c r="T334" s="9">
        <v>6.6130999999999995E-2</v>
      </c>
      <c r="U334" s="9">
        <v>3.81844E-2</v>
      </c>
      <c r="V334" s="9">
        <v>3.9780700000000002</v>
      </c>
      <c r="W334" s="9">
        <v>3.5138799999999999</v>
      </c>
      <c r="X334" s="9">
        <v>2.2698700000000001</v>
      </c>
      <c r="Y334" s="9">
        <v>22.5032</v>
      </c>
      <c r="Z334" s="9">
        <v>12.811</v>
      </c>
      <c r="AA334" s="9">
        <f t="shared" si="57"/>
        <v>0.98704494382022467</v>
      </c>
      <c r="AB334" s="9">
        <f t="shared" si="58"/>
        <v>1.1994382022471908</v>
      </c>
      <c r="AC334" s="9">
        <f t="shared" si="59"/>
        <v>0.6320224719101124</v>
      </c>
      <c r="AD334" s="9">
        <f t="shared" si="60"/>
        <v>2.2001564333202972</v>
      </c>
      <c r="AE334" s="9">
        <f t="shared" si="61"/>
        <v>1.2525420414548298</v>
      </c>
      <c r="AF334" s="9">
        <f t="shared" si="62"/>
        <v>4.1101303228871995</v>
      </c>
      <c r="AG334" s="9">
        <f t="shared" si="54"/>
        <v>1.8043485017833476</v>
      </c>
      <c r="AH334" s="9">
        <f t="shared" si="53"/>
        <v>0.97397388276946972</v>
      </c>
      <c r="AI334" s="9">
        <f t="shared" si="55"/>
        <v>1.4515482414648571</v>
      </c>
      <c r="AJ334" s="9">
        <f>(4*PI()*(AI334^2))/(Y334+E334)</f>
        <v>0.8089298922577941</v>
      </c>
      <c r="AK334" s="12">
        <f t="shared" si="56"/>
        <v>0.79999999999999993</v>
      </c>
      <c r="AL334" s="12" t="s">
        <v>140</v>
      </c>
      <c r="AM334" s="12" t="s">
        <v>142</v>
      </c>
      <c r="AN334" s="18">
        <v>18.021000000000001</v>
      </c>
      <c r="AO334" s="18">
        <v>1.5447</v>
      </c>
      <c r="AP334" s="18">
        <v>40685</v>
      </c>
      <c r="AQ334" s="18">
        <v>33789</v>
      </c>
      <c r="AR334" s="18">
        <v>8.9222000000000001</v>
      </c>
      <c r="AS334" s="18">
        <v>6.6106000000000003E-3</v>
      </c>
      <c r="AT334" s="18">
        <v>0.76566000000000001</v>
      </c>
      <c r="AU334" s="18">
        <v>0.21618999999999999</v>
      </c>
      <c r="AV334" s="18">
        <v>4.326E-3</v>
      </c>
      <c r="AW334" s="18">
        <v>4.9459999999999999E-3</v>
      </c>
      <c r="AX334" s="18">
        <v>0.51519000000000004</v>
      </c>
      <c r="AY334" s="18">
        <v>2.0287000000000002</v>
      </c>
      <c r="AZ334" s="18">
        <v>645.42999999999995</v>
      </c>
      <c r="BA334" s="18">
        <v>9.4278999999999995E-3</v>
      </c>
      <c r="BB334" s="18">
        <v>12.766</v>
      </c>
      <c r="BC334" s="18" t="s">
        <v>162</v>
      </c>
      <c r="BD334" s="35" t="s">
        <v>165</v>
      </c>
      <c r="BE334" t="s">
        <v>167</v>
      </c>
    </row>
    <row r="335" spans="1:57" x14ac:dyDescent="0.25">
      <c r="A335" s="25" t="s">
        <v>405</v>
      </c>
      <c r="B335" s="18" t="s">
        <v>5</v>
      </c>
      <c r="C335" s="18" t="s">
        <v>6</v>
      </c>
      <c r="D335" s="18">
        <v>49</v>
      </c>
      <c r="E335" s="18">
        <v>8.2294951441437991</v>
      </c>
      <c r="F335" s="18">
        <v>10.523</v>
      </c>
      <c r="G335" s="15">
        <v>4.3</v>
      </c>
      <c r="H335" s="15">
        <v>2.1800000000000002</v>
      </c>
      <c r="I335" s="15">
        <v>3.28</v>
      </c>
      <c r="J335" s="15">
        <v>3.8</v>
      </c>
      <c r="K335" s="15">
        <v>17.88</v>
      </c>
      <c r="L335" s="15">
        <v>16.53</v>
      </c>
      <c r="M335" s="15">
        <v>4.0999999999999996</v>
      </c>
      <c r="N335" s="15">
        <v>1</v>
      </c>
      <c r="O335" s="15">
        <v>3.7</v>
      </c>
      <c r="P335" s="9">
        <v>0.69177999999999995</v>
      </c>
      <c r="Q335" s="9">
        <v>1.16212</v>
      </c>
      <c r="R335" s="9">
        <v>0.119048</v>
      </c>
      <c r="S335" s="9">
        <v>8.5596599999999995E-2</v>
      </c>
      <c r="T335" s="9">
        <v>0.124114</v>
      </c>
      <c r="U335" s="9">
        <v>8.08141E-2</v>
      </c>
      <c r="V335" s="9">
        <v>3.6821999999999999</v>
      </c>
      <c r="W335" s="9">
        <v>3.1685300000000001</v>
      </c>
      <c r="X335" s="9">
        <v>2.1919300000000002</v>
      </c>
      <c r="Y335" s="9">
        <v>24.907699999999998</v>
      </c>
      <c r="Z335" s="9">
        <v>13.550700000000001</v>
      </c>
      <c r="AA335" s="9">
        <f t="shared" si="57"/>
        <v>0.96601524390243909</v>
      </c>
      <c r="AB335" s="9">
        <f t="shared" si="58"/>
        <v>1.3109756097560976</v>
      </c>
      <c r="AC335" s="9">
        <f t="shared" si="59"/>
        <v>0.66463414634146345</v>
      </c>
      <c r="AD335" s="9">
        <f t="shared" si="60"/>
        <v>3.0266376689856358</v>
      </c>
      <c r="AE335" s="9">
        <f t="shared" si="61"/>
        <v>1.6466016156097778</v>
      </c>
      <c r="AF335" s="9">
        <f t="shared" si="62"/>
        <v>4.3822028055634092</v>
      </c>
      <c r="AG335" s="9">
        <f t="shared" si="54"/>
        <v>1.6184961114202501</v>
      </c>
      <c r="AH335" s="9">
        <f t="shared" si="53"/>
        <v>0.96638895628651622</v>
      </c>
      <c r="AI335" s="9">
        <f t="shared" si="55"/>
        <v>1.4789643550607892</v>
      </c>
      <c r="AJ335" s="9">
        <f>(4*PI()*(AI335^2))/(Y335+E335)</f>
        <v>0.8294869022514173</v>
      </c>
      <c r="AK335" s="12">
        <f t="shared" si="56"/>
        <v>0.88648648648648642</v>
      </c>
      <c r="AL335" s="12" t="s">
        <v>140</v>
      </c>
      <c r="AM335" s="12" t="s">
        <v>143</v>
      </c>
      <c r="AN335" s="18">
        <v>3.7439807982653299</v>
      </c>
      <c r="AO335" s="18">
        <v>0.24113750016957999</v>
      </c>
      <c r="AP335" s="18">
        <v>25342.786085711701</v>
      </c>
      <c r="AQ335" s="18">
        <v>19996.5438658762</v>
      </c>
      <c r="AR335" s="18">
        <v>1.92893218293077</v>
      </c>
      <c r="AS335" s="18">
        <v>1.94083367100891E-2</v>
      </c>
      <c r="AT335" s="18">
        <v>0.72377265864188201</v>
      </c>
      <c r="AU335" s="18">
        <v>1.2630339423766701</v>
      </c>
      <c r="AV335" s="18">
        <v>0.31457721575459602</v>
      </c>
      <c r="AW335" s="18">
        <v>1.52518833368746E-2</v>
      </c>
      <c r="AX335" s="18">
        <v>0.140956064018497</v>
      </c>
      <c r="AY335" s="18">
        <v>-19.540124894304299</v>
      </c>
      <c r="AZ335" s="18">
        <v>-1994.9194671985999</v>
      </c>
      <c r="BA335" s="18">
        <v>4.7306125694970301E-2</v>
      </c>
      <c r="BB335" s="18">
        <v>54.306336238297</v>
      </c>
      <c r="BC335" s="18" t="s">
        <v>162</v>
      </c>
      <c r="BD335" s="35" t="s">
        <v>165</v>
      </c>
      <c r="BE335" t="s">
        <v>167</v>
      </c>
    </row>
    <row r="336" spans="1:57" x14ac:dyDescent="0.25">
      <c r="A336" s="25" t="s">
        <v>406</v>
      </c>
      <c r="B336" s="18" t="s">
        <v>13</v>
      </c>
      <c r="C336" s="18" t="s">
        <v>14</v>
      </c>
      <c r="D336" s="18">
        <v>37</v>
      </c>
      <c r="E336" s="18">
        <v>12.1763271358571</v>
      </c>
      <c r="F336" s="18">
        <v>13.326000000000001</v>
      </c>
      <c r="G336" s="15">
        <v>14.63</v>
      </c>
      <c r="H336" s="15">
        <v>9</v>
      </c>
      <c r="I336" s="15">
        <v>1.89</v>
      </c>
      <c r="J336" s="15">
        <v>37.270000000000003</v>
      </c>
      <c r="K336" s="15">
        <v>20.329999999999998</v>
      </c>
      <c r="L336" s="15">
        <v>55.66</v>
      </c>
      <c r="M336" s="15">
        <v>10.6</v>
      </c>
      <c r="N336" s="15">
        <v>2</v>
      </c>
      <c r="O336" s="15">
        <f>1.44+1.08</f>
        <v>2.52</v>
      </c>
      <c r="P336" s="9">
        <v>2.40829</v>
      </c>
      <c r="Q336" s="9">
        <v>3.1034899999999999</v>
      </c>
      <c r="R336" s="9">
        <v>5.6179799999999998E-3</v>
      </c>
      <c r="S336" s="9">
        <v>0.245338</v>
      </c>
      <c r="T336" s="9">
        <v>0.273146</v>
      </c>
      <c r="U336" s="9">
        <v>8.0775E-2</v>
      </c>
      <c r="V336" s="9">
        <v>11.552</v>
      </c>
      <c r="W336" s="9">
        <v>3.7222499999999998</v>
      </c>
      <c r="X336" s="9">
        <v>8.9642599999999995</v>
      </c>
      <c r="Y336" s="9">
        <v>255.29900000000001</v>
      </c>
      <c r="Z336" s="9">
        <v>336.15</v>
      </c>
      <c r="AA336" s="9">
        <f t="shared" si="57"/>
        <v>1.9694444444444446</v>
      </c>
      <c r="AB336" s="9">
        <f t="shared" si="58"/>
        <v>7.7407407407407414</v>
      </c>
      <c r="AC336" s="9">
        <f t="shared" si="59"/>
        <v>4.7619047619047619</v>
      </c>
      <c r="AD336" s="9">
        <f t="shared" si="60"/>
        <v>20.966831553678468</v>
      </c>
      <c r="AE336" s="9">
        <f t="shared" si="61"/>
        <v>27.606846978519368</v>
      </c>
      <c r="AF336" s="9">
        <f t="shared" si="62"/>
        <v>5.2807268435259171</v>
      </c>
      <c r="AG336" s="9">
        <f t="shared" si="54"/>
        <v>1.9687166644165117</v>
      </c>
      <c r="AH336" s="9">
        <f t="shared" si="53"/>
        <v>0.92824640701346461</v>
      </c>
      <c r="AI336" s="9">
        <f t="shared" si="55"/>
        <v>4.3133513478637404</v>
      </c>
      <c r="AJ336" s="9">
        <f>(4*PI()*(AI336^2))/(Y336+E336)</f>
        <v>0.87408930722768197</v>
      </c>
      <c r="AK336" s="12">
        <f t="shared" si="56"/>
        <v>0.75</v>
      </c>
      <c r="AL336" s="12" t="s">
        <v>140</v>
      </c>
      <c r="AM336" s="12" t="s">
        <v>142</v>
      </c>
      <c r="AN336" s="18">
        <v>5.2254484454228098</v>
      </c>
      <c r="AO336" s="18">
        <v>0.36287729933542101</v>
      </c>
      <c r="AP336" s="18">
        <v>10081.9965224482</v>
      </c>
      <c r="AQ336" s="18">
        <v>8734.8972756972707</v>
      </c>
      <c r="AR336" s="18">
        <v>2.7131677937940202</v>
      </c>
      <c r="AS336" s="18">
        <v>4.2650761055380897E-2</v>
      </c>
      <c r="AT336" s="18">
        <v>0.66891973468148302</v>
      </c>
      <c r="AU336" s="18">
        <v>2.60046478375047</v>
      </c>
      <c r="AV336" s="18">
        <v>0.370754443817157</v>
      </c>
      <c r="AW336" s="18">
        <v>3.8905936040991303E-2</v>
      </c>
      <c r="AX336" s="18">
        <v>0.17526577025118201</v>
      </c>
      <c r="AY336" s="18">
        <v>-6.1982736525966997</v>
      </c>
      <c r="AZ336" s="18">
        <v>-1121.7980590279799</v>
      </c>
      <c r="BA336" s="18">
        <v>0.27577943471732602</v>
      </c>
      <c r="BB336" s="18">
        <v>6.4102678697270301</v>
      </c>
      <c r="BC336" s="18" t="s">
        <v>162</v>
      </c>
      <c r="BD336" s="35" t="s">
        <v>165</v>
      </c>
      <c r="BE336" t="s">
        <v>168</v>
      </c>
    </row>
    <row r="337" spans="1:57" x14ac:dyDescent="0.25">
      <c r="A337" s="25" t="s">
        <v>407</v>
      </c>
      <c r="B337" s="18" t="s">
        <v>26</v>
      </c>
      <c r="C337" s="18" t="s">
        <v>6</v>
      </c>
      <c r="D337" s="18">
        <v>44</v>
      </c>
      <c r="E337" s="18">
        <v>10.872999999999999</v>
      </c>
      <c r="F337" s="18">
        <v>12.154</v>
      </c>
      <c r="G337" s="15">
        <v>7.72</v>
      </c>
      <c r="H337" s="15">
        <v>6.8</v>
      </c>
      <c r="I337" s="15">
        <v>2.36</v>
      </c>
      <c r="J337" s="15">
        <v>42.64</v>
      </c>
      <c r="K337" s="15">
        <v>58.62</v>
      </c>
      <c r="L337" s="15">
        <v>58.53</v>
      </c>
      <c r="M337" s="15">
        <v>5.75</v>
      </c>
      <c r="N337" s="15">
        <v>2</v>
      </c>
      <c r="O337" s="15">
        <f>2.38+0.97</f>
        <v>3.3499999999999996</v>
      </c>
      <c r="P337" s="9">
        <v>1.8735900000000001</v>
      </c>
      <c r="Q337" s="9">
        <v>1.6666799999999999</v>
      </c>
      <c r="R337" s="9">
        <v>1.49254E-2</v>
      </c>
      <c r="S337" s="9">
        <v>0.191163</v>
      </c>
      <c r="T337" s="9">
        <v>0.229627</v>
      </c>
      <c r="U337" s="9">
        <v>0.123367</v>
      </c>
      <c r="V337" s="9">
        <v>6.0452899999999996</v>
      </c>
      <c r="W337" s="9">
        <v>3.6271399999999998</v>
      </c>
      <c r="X337" s="9">
        <v>6.7957799999999997</v>
      </c>
      <c r="Y337" s="9">
        <v>103.46899999999999</v>
      </c>
      <c r="Z337" s="9">
        <v>94.635900000000007</v>
      </c>
      <c r="AA337" s="9">
        <f t="shared" si="57"/>
        <v>1.5369237288135593</v>
      </c>
      <c r="AB337" s="9">
        <f t="shared" si="58"/>
        <v>3.2711864406779663</v>
      </c>
      <c r="AC337" s="9">
        <f t="shared" si="59"/>
        <v>2.8813559322033897</v>
      </c>
      <c r="AD337" s="9">
        <f t="shared" si="60"/>
        <v>9.516140899475765</v>
      </c>
      <c r="AE337" s="9">
        <f t="shared" si="61"/>
        <v>8.703752414237103</v>
      </c>
      <c r="AF337" s="9">
        <f t="shared" si="62"/>
        <v>4.9824120432862626</v>
      </c>
      <c r="AG337" s="9">
        <f t="shared" si="54"/>
        <v>1.8603718425294327</v>
      </c>
      <c r="AH337" s="9">
        <f t="shared" si="53"/>
        <v>0.96174601175510499</v>
      </c>
      <c r="AI337" s="9">
        <f t="shared" si="55"/>
        <v>2.8269780458233855</v>
      </c>
      <c r="AJ337" s="9">
        <f>(4*PI()*(AI337^2))/(Y337+E337)</f>
        <v>0.87831227277603285</v>
      </c>
      <c r="AK337" s="12">
        <f t="shared" si="56"/>
        <v>0.70447761194029856</v>
      </c>
      <c r="AL337" s="12" t="s">
        <v>140</v>
      </c>
      <c r="AM337" s="12" t="s">
        <v>142</v>
      </c>
      <c r="AN337" s="18">
        <v>3.2925</v>
      </c>
      <c r="AO337" s="18">
        <v>0.27424999999999999</v>
      </c>
      <c r="AP337" s="18">
        <v>5475</v>
      </c>
      <c r="AQ337" s="18">
        <v>4932.8999999999996</v>
      </c>
      <c r="AR337" s="18">
        <v>1.6197999999999999</v>
      </c>
      <c r="AS337" s="18">
        <v>1.2792E-2</v>
      </c>
      <c r="AT337" s="18">
        <v>0.73841999999999997</v>
      </c>
      <c r="AU337" s="18">
        <v>1.6125</v>
      </c>
      <c r="AV337" s="18">
        <v>0.40149000000000001</v>
      </c>
      <c r="AW337" s="18">
        <v>1.1287999999999999E-2</v>
      </c>
      <c r="AX337" s="18">
        <v>0.13167999999999999</v>
      </c>
      <c r="AY337" s="18">
        <v>-55.023000000000003</v>
      </c>
      <c r="AZ337" s="18">
        <v>-755.33</v>
      </c>
      <c r="BA337" s="18">
        <v>0.36237000000000003</v>
      </c>
      <c r="BB337" s="18">
        <v>36.831000000000003</v>
      </c>
      <c r="BC337" s="18" t="s">
        <v>164</v>
      </c>
      <c r="BD337" s="35" t="s">
        <v>165</v>
      </c>
      <c r="BE337" t="s">
        <v>167</v>
      </c>
    </row>
    <row r="338" spans="1:57" x14ac:dyDescent="0.25">
      <c r="A338" s="25" t="s">
        <v>408</v>
      </c>
      <c r="B338" s="18" t="s">
        <v>5</v>
      </c>
      <c r="C338" s="18" t="s">
        <v>6</v>
      </c>
      <c r="D338" s="18">
        <v>28</v>
      </c>
      <c r="E338" s="18">
        <v>7.0422000000000002</v>
      </c>
      <c r="F338" s="18">
        <v>9.6080000000000005</v>
      </c>
      <c r="G338" s="15">
        <v>3.93</v>
      </c>
      <c r="H338" s="15">
        <v>2.25</v>
      </c>
      <c r="I338" s="15">
        <v>3.56</v>
      </c>
      <c r="J338" s="15">
        <v>72.650000000000006</v>
      </c>
      <c r="K338" s="15">
        <v>22.72</v>
      </c>
      <c r="L338" s="15">
        <v>48.04</v>
      </c>
      <c r="M338" s="15">
        <v>3.6</v>
      </c>
      <c r="N338" s="15">
        <v>2</v>
      </c>
      <c r="O338" s="15">
        <f>3.24+1.14</f>
        <v>4.38</v>
      </c>
      <c r="P338" s="9">
        <v>0.77632800000000002</v>
      </c>
      <c r="Q338" s="9">
        <v>1.27441</v>
      </c>
      <c r="R338" s="9">
        <v>6.8181800000000001E-2</v>
      </c>
      <c r="S338" s="9">
        <v>6.6687999999999997E-2</v>
      </c>
      <c r="T338" s="9">
        <v>7.6524400000000006E-2</v>
      </c>
      <c r="U338" s="9">
        <v>6.3580299999999998E-3</v>
      </c>
      <c r="V338" s="9">
        <v>3.7433100000000001</v>
      </c>
      <c r="W338" s="9">
        <v>2.9372799999999999</v>
      </c>
      <c r="X338" s="9">
        <v>2.2803</v>
      </c>
      <c r="Y338" s="9">
        <v>24.568200000000001</v>
      </c>
      <c r="Z338" s="9">
        <v>14.371</v>
      </c>
      <c r="AA338" s="9">
        <f t="shared" si="57"/>
        <v>0.82507865168539318</v>
      </c>
      <c r="AB338" s="9">
        <f t="shared" si="58"/>
        <v>1.103932584269663</v>
      </c>
      <c r="AC338" s="9">
        <f t="shared" si="59"/>
        <v>0.6320224719101124</v>
      </c>
      <c r="AD338" s="9">
        <f t="shared" si="60"/>
        <v>3.4887109142029478</v>
      </c>
      <c r="AE338" s="9">
        <f t="shared" si="61"/>
        <v>2.0406975093010709</v>
      </c>
      <c r="AF338" s="9">
        <f t="shared" si="62"/>
        <v>4.1563809528630014</v>
      </c>
      <c r="AG338" s="9">
        <f t="shared" si="54"/>
        <v>1.4971980097780957</v>
      </c>
      <c r="AH338" s="9">
        <f t="shared" si="53"/>
        <v>0.97909789102583777</v>
      </c>
      <c r="AI338" s="9">
        <f t="shared" si="55"/>
        <v>1.5082249701829344</v>
      </c>
      <c r="AJ338" s="9">
        <f>(4*PI()*(AI338^2))/(Y338+E338)</f>
        <v>0.9042991569168034</v>
      </c>
      <c r="AK338" s="12">
        <f t="shared" si="56"/>
        <v>0.81278538812785395</v>
      </c>
      <c r="AL338" s="12" t="s">
        <v>144</v>
      </c>
      <c r="AM338" s="12" t="s">
        <v>142</v>
      </c>
      <c r="AN338" s="18">
        <v>16.254999999999999</v>
      </c>
      <c r="AO338" s="18">
        <v>0.89580000000000004</v>
      </c>
      <c r="AP338" s="18">
        <v>37574</v>
      </c>
      <c r="AQ338" s="18">
        <v>35761</v>
      </c>
      <c r="AR338" s="18">
        <v>7.7626999999999997</v>
      </c>
      <c r="AS338" s="18">
        <v>2.7553E-3</v>
      </c>
      <c r="AT338" s="18">
        <v>0.75822999999999996</v>
      </c>
      <c r="AU338" s="18">
        <v>0.16411000000000001</v>
      </c>
      <c r="AV338" s="18">
        <v>2.7177E-3</v>
      </c>
      <c r="AW338" s="18">
        <v>2.1315000000000001E-3</v>
      </c>
      <c r="AX338" s="18">
        <v>0.40589999999999998</v>
      </c>
      <c r="AY338" s="18">
        <v>9.2997999999999994</v>
      </c>
      <c r="AZ338" s="18">
        <v>14718</v>
      </c>
      <c r="BA338" s="18">
        <v>1.4765E-2</v>
      </c>
      <c r="BB338" s="18">
        <v>18.015999999999998</v>
      </c>
      <c r="BC338" s="18" t="s">
        <v>162</v>
      </c>
      <c r="BD338" s="35" t="s">
        <v>165</v>
      </c>
      <c r="BE338" t="s">
        <v>167</v>
      </c>
    </row>
    <row r="339" spans="1:57" x14ac:dyDescent="0.25">
      <c r="A339" s="25" t="s">
        <v>409</v>
      </c>
      <c r="B339" s="18" t="s">
        <v>13</v>
      </c>
      <c r="C339" s="18" t="s">
        <v>6</v>
      </c>
      <c r="D339" s="18">
        <v>39</v>
      </c>
      <c r="E339" s="18">
        <v>13.066000000000001</v>
      </c>
      <c r="F339" s="18">
        <v>13.073</v>
      </c>
      <c r="G339" s="15">
        <v>7.39</v>
      </c>
      <c r="H339" s="15">
        <v>4.0999999999999996</v>
      </c>
      <c r="I339" s="15">
        <v>2.02</v>
      </c>
      <c r="J339" s="15">
        <v>33.14</v>
      </c>
      <c r="K339" s="15">
        <v>12.3</v>
      </c>
      <c r="L339" s="15">
        <v>43.45</v>
      </c>
      <c r="M339" s="15">
        <v>4.0999999999999996</v>
      </c>
      <c r="N339" s="15">
        <v>2</v>
      </c>
      <c r="O339" s="15">
        <f>2.14+1.61</f>
        <v>3.75</v>
      </c>
      <c r="P339" s="9">
        <v>1.0086900000000001</v>
      </c>
      <c r="Q339" s="9">
        <v>1.7193799999999999</v>
      </c>
      <c r="R339" s="10">
        <v>1.24454E-8</v>
      </c>
      <c r="S339" s="9">
        <v>0.16329299999999999</v>
      </c>
      <c r="T339" s="9">
        <v>0.18700800000000001</v>
      </c>
      <c r="U339" s="9">
        <v>8.7547299999999995E-2</v>
      </c>
      <c r="V339" s="9">
        <v>6.9089200000000002</v>
      </c>
      <c r="W339" s="9">
        <v>4.0182700000000002</v>
      </c>
      <c r="X339" s="9">
        <v>4.0532000000000004</v>
      </c>
      <c r="Y339" s="9">
        <v>69.669700000000006</v>
      </c>
      <c r="Z339" s="9">
        <v>56.687100000000001</v>
      </c>
      <c r="AA339" s="9">
        <f t="shared" si="57"/>
        <v>1.9892425742574258</v>
      </c>
      <c r="AB339" s="9">
        <f t="shared" si="58"/>
        <v>3.6584158415841581</v>
      </c>
      <c r="AC339" s="9">
        <f t="shared" si="59"/>
        <v>2.0297029702970297</v>
      </c>
      <c r="AD339" s="9">
        <f t="shared" si="60"/>
        <v>5.3321368437165164</v>
      </c>
      <c r="AE339" s="9">
        <f t="shared" si="61"/>
        <v>4.3385198224399204</v>
      </c>
      <c r="AF339" s="9">
        <f t="shared" si="62"/>
        <v>4.7212222716769174</v>
      </c>
      <c r="AG339" s="9">
        <f t="shared" si="54"/>
        <v>2.0393717103258564</v>
      </c>
      <c r="AH339" s="9">
        <f t="shared" si="53"/>
        <v>0.9801690787269276</v>
      </c>
      <c r="AI339" s="9">
        <f t="shared" si="55"/>
        <v>2.383042988889696</v>
      </c>
      <c r="AJ339" s="9">
        <f>(4*PI()*(AI339^2))/(Y339+E339)</f>
        <v>0.86254283534626586</v>
      </c>
      <c r="AK339" s="12">
        <f t="shared" si="56"/>
        <v>0.53866666666666663</v>
      </c>
      <c r="AL339" s="12" t="s">
        <v>140</v>
      </c>
      <c r="AM339" s="12" t="s">
        <v>142</v>
      </c>
      <c r="AN339" s="18">
        <v>9.3582000000000001</v>
      </c>
      <c r="AO339" s="18">
        <v>0.93776999999999999</v>
      </c>
      <c r="AP339" s="18">
        <v>16777</v>
      </c>
      <c r="AQ339" s="18">
        <v>15270</v>
      </c>
      <c r="AR339" s="18">
        <v>4.7496</v>
      </c>
      <c r="AS339" s="18">
        <v>8.1732999999999997E-3</v>
      </c>
      <c r="AT339" s="18">
        <v>0.77125999999999995</v>
      </c>
      <c r="AU339" s="18">
        <v>0.49847999999999998</v>
      </c>
      <c r="AV339" s="18">
        <v>1.4749E-2</v>
      </c>
      <c r="AW339" s="18">
        <v>5.3674999999999999E-3</v>
      </c>
      <c r="AX339" s="18">
        <v>0.28465000000000001</v>
      </c>
      <c r="AY339" s="18">
        <v>-11.125999999999999</v>
      </c>
      <c r="AZ339" s="18">
        <v>-2383.1999999999998</v>
      </c>
      <c r="BA339" s="18">
        <v>7.8649999999999998E-2</v>
      </c>
      <c r="BB339" s="18">
        <v>14.789</v>
      </c>
      <c r="BC339" s="18" t="s">
        <v>162</v>
      </c>
      <c r="BD339" s="35" t="s">
        <v>165</v>
      </c>
      <c r="BE339" t="s">
        <v>168</v>
      </c>
    </row>
    <row r="340" spans="1:57" x14ac:dyDescent="0.25">
      <c r="A340" s="25" t="s">
        <v>410</v>
      </c>
      <c r="B340" s="18" t="s">
        <v>26</v>
      </c>
      <c r="C340" s="18" t="s">
        <v>6</v>
      </c>
      <c r="D340" s="18">
        <v>39</v>
      </c>
      <c r="E340" s="18">
        <v>2.5733000000000001</v>
      </c>
      <c r="F340" s="18">
        <v>5.8457999999999997</v>
      </c>
      <c r="G340" s="15">
        <v>2.04</v>
      </c>
      <c r="H340" s="15">
        <v>1.6</v>
      </c>
      <c r="I340" s="15">
        <v>2.85</v>
      </c>
      <c r="J340" s="15">
        <v>85.87</v>
      </c>
      <c r="K340" s="15">
        <v>30.21</v>
      </c>
      <c r="L340" s="15">
        <v>46.71</v>
      </c>
      <c r="M340" s="15">
        <v>1.92</v>
      </c>
      <c r="N340" s="15">
        <v>2</v>
      </c>
      <c r="O340" s="15">
        <f>0.83+3.01</f>
        <v>3.84</v>
      </c>
      <c r="P340" s="9">
        <v>0.89219300000000001</v>
      </c>
      <c r="Q340" s="9">
        <v>1.08202</v>
      </c>
      <c r="R340" s="9">
        <v>0.466667</v>
      </c>
      <c r="S340" s="9">
        <v>5.5522000000000002E-2</v>
      </c>
      <c r="T340" s="9">
        <v>6.7503099999999996E-2</v>
      </c>
      <c r="U340" s="9">
        <v>-1.09678E-2</v>
      </c>
      <c r="V340" s="9">
        <v>1.9094199999999999</v>
      </c>
      <c r="W340" s="9">
        <v>1.76468</v>
      </c>
      <c r="X340" s="9">
        <v>1.57443</v>
      </c>
      <c r="Y340" s="9">
        <v>7.9808199999999996</v>
      </c>
      <c r="Z340" s="9">
        <v>2.6998000000000002</v>
      </c>
      <c r="AA340" s="9">
        <f t="shared" si="57"/>
        <v>0.61918596491228073</v>
      </c>
      <c r="AB340" s="9">
        <f t="shared" si="58"/>
        <v>0.71578947368421053</v>
      </c>
      <c r="AC340" s="9">
        <f t="shared" si="59"/>
        <v>0.56140350877192979</v>
      </c>
      <c r="AD340" s="9">
        <f t="shared" si="60"/>
        <v>3.1013950957913958</v>
      </c>
      <c r="AE340" s="9">
        <f t="shared" si="61"/>
        <v>1.049158667858392</v>
      </c>
      <c r="AF340" s="9">
        <f t="shared" si="62"/>
        <v>4.1161682695310402</v>
      </c>
      <c r="AG340" s="9">
        <f t="shared" si="54"/>
        <v>0.90504520888005846</v>
      </c>
      <c r="AH340" s="9">
        <f t="shared" si="53"/>
        <v>0.9727610863814129</v>
      </c>
      <c r="AI340" s="9">
        <f t="shared" si="55"/>
        <v>0.86380224394167315</v>
      </c>
      <c r="AJ340" s="9">
        <f>(4*PI()*(AI340^2))/(Y340+E340)</f>
        <v>0.88841624677239117</v>
      </c>
      <c r="AK340" s="12">
        <f t="shared" si="56"/>
        <v>0.7421875</v>
      </c>
      <c r="AL340" s="12" t="s">
        <v>144</v>
      </c>
      <c r="AM340" s="12" t="s">
        <v>142</v>
      </c>
      <c r="AN340" s="18">
        <v>3.4350999999999998</v>
      </c>
      <c r="AO340" s="18">
        <v>0.45019999999999999</v>
      </c>
      <c r="AP340" s="18">
        <v>12285</v>
      </c>
      <c r="AQ340" s="18">
        <v>10594</v>
      </c>
      <c r="AR340" s="18">
        <v>1.2141</v>
      </c>
      <c r="AS340" s="18">
        <v>9.8341000000000001E-3</v>
      </c>
      <c r="AT340" s="18">
        <v>0.73443999999999998</v>
      </c>
      <c r="AU340" s="18">
        <v>1.4948999999999999</v>
      </c>
      <c r="AV340" s="18">
        <v>3.2226999999999999E-2</v>
      </c>
      <c r="AW340" s="18">
        <v>6.7242999999999999E-3</v>
      </c>
      <c r="AX340" s="18">
        <v>0.10256</v>
      </c>
      <c r="AY340" s="18">
        <v>-12.824999999999999</v>
      </c>
      <c r="AZ340" s="18">
        <v>-1707.1</v>
      </c>
      <c r="BA340" s="18">
        <v>3.0665000000000001E-2</v>
      </c>
      <c r="BB340" s="18">
        <v>22.88</v>
      </c>
      <c r="BC340" s="18" t="s">
        <v>162</v>
      </c>
      <c r="BD340" s="35" t="s">
        <v>163</v>
      </c>
      <c r="BE340" t="s">
        <v>167</v>
      </c>
    </row>
    <row r="341" spans="1:57" x14ac:dyDescent="0.25">
      <c r="A341" s="25" t="s">
        <v>411</v>
      </c>
      <c r="B341" s="18" t="s">
        <v>5</v>
      </c>
      <c r="C341" s="18" t="s">
        <v>6</v>
      </c>
      <c r="D341" s="18">
        <v>49</v>
      </c>
      <c r="E341" s="18">
        <v>6.9265999999999996</v>
      </c>
      <c r="F341" s="18">
        <v>9.8485999999999994</v>
      </c>
      <c r="G341" s="15">
        <v>6.82</v>
      </c>
      <c r="H341" s="15">
        <v>4.5199999999999996</v>
      </c>
      <c r="I341" s="15">
        <v>3.24</v>
      </c>
      <c r="J341" s="15">
        <v>30.19</v>
      </c>
      <c r="K341" s="15">
        <v>35.56</v>
      </c>
      <c r="L341" s="15">
        <v>18.38</v>
      </c>
      <c r="M341" s="15">
        <v>4.7</v>
      </c>
      <c r="N341" s="15">
        <v>1</v>
      </c>
      <c r="O341" s="15">
        <v>3.33</v>
      </c>
      <c r="P341" s="9">
        <v>1.57426</v>
      </c>
      <c r="Q341" s="9">
        <v>1.7062600000000001</v>
      </c>
      <c r="R341" s="9">
        <v>-5.0561799999999997E-2</v>
      </c>
      <c r="S341" s="9">
        <v>0.20514499999999999</v>
      </c>
      <c r="T341" s="9">
        <v>0.245756</v>
      </c>
      <c r="U341" s="9">
        <v>0.107971</v>
      </c>
      <c r="V341" s="9">
        <v>4.8907800000000003</v>
      </c>
      <c r="W341" s="9">
        <v>2.8663699999999999</v>
      </c>
      <c r="X341" s="9">
        <v>4.5124000000000004</v>
      </c>
      <c r="Y341" s="9">
        <v>58.173000000000002</v>
      </c>
      <c r="Z341" s="9">
        <v>38.649099999999997</v>
      </c>
      <c r="AA341" s="9">
        <f t="shared" si="57"/>
        <v>0.88468209876543202</v>
      </c>
      <c r="AB341" s="9">
        <f t="shared" si="58"/>
        <v>2.1049382716049383</v>
      </c>
      <c r="AC341" s="9">
        <f t="shared" si="59"/>
        <v>1.3950617283950615</v>
      </c>
      <c r="AD341" s="9">
        <f t="shared" si="60"/>
        <v>8.3984927670141207</v>
      </c>
      <c r="AE341" s="9">
        <f t="shared" si="61"/>
        <v>5.579808275344325</v>
      </c>
      <c r="AF341" s="9">
        <f t="shared" si="62"/>
        <v>5.0889541451940712</v>
      </c>
      <c r="AG341" s="9">
        <f t="shared" si="54"/>
        <v>1.484858665880576</v>
      </c>
      <c r="AH341" s="9">
        <f t="shared" si="53"/>
        <v>0.94730643469113551</v>
      </c>
      <c r="AI341" s="9">
        <f t="shared" si="55"/>
        <v>2.0974112444065467</v>
      </c>
      <c r="AJ341" s="9">
        <f>(4*PI()*(AI341^2))/(Y341+E341)</f>
        <v>0.84917798762969654</v>
      </c>
      <c r="AK341" s="12">
        <f t="shared" si="56"/>
        <v>0.97297297297297303</v>
      </c>
      <c r="AL341" s="12" t="s">
        <v>140</v>
      </c>
      <c r="AM341" s="12" t="s">
        <v>143</v>
      </c>
      <c r="AN341" s="18">
        <v>1.8021</v>
      </c>
      <c r="AO341" s="18">
        <v>0.25964999999999999</v>
      </c>
      <c r="AP341" s="18">
        <v>6147.7</v>
      </c>
      <c r="AQ341" s="18">
        <v>5665</v>
      </c>
      <c r="AR341" s="18">
        <v>0.88131999999999999</v>
      </c>
      <c r="AS341" s="18">
        <v>1.2130999999999999E-2</v>
      </c>
      <c r="AT341" s="18">
        <v>0.70406000000000002</v>
      </c>
      <c r="AU341" s="18">
        <v>2.6844999999999999</v>
      </c>
      <c r="AV341" s="18">
        <v>0.42177999999999999</v>
      </c>
      <c r="AW341" s="18">
        <v>1.149E-2</v>
      </c>
      <c r="AX341" s="18">
        <v>7.6938999999999994E-2</v>
      </c>
      <c r="AY341" s="18">
        <v>-7.8365999999999998</v>
      </c>
      <c r="AZ341" s="18">
        <v>-313.42</v>
      </c>
      <c r="BA341" s="18">
        <v>0.15001999999999999</v>
      </c>
      <c r="BB341" s="18">
        <v>20.977</v>
      </c>
      <c r="BC341" s="18" t="s">
        <v>164</v>
      </c>
      <c r="BD341" s="35" t="s">
        <v>165</v>
      </c>
      <c r="BE341" t="s">
        <v>167</v>
      </c>
    </row>
    <row r="342" spans="1:57" x14ac:dyDescent="0.25">
      <c r="A342" s="25" t="s">
        <v>412</v>
      </c>
      <c r="B342" s="18" t="s">
        <v>5</v>
      </c>
      <c r="C342" s="18" t="s">
        <v>6</v>
      </c>
      <c r="D342" s="18">
        <v>49</v>
      </c>
      <c r="E342" s="18">
        <v>3.9397000000000002</v>
      </c>
      <c r="F342" s="18">
        <v>7.4180000000000001</v>
      </c>
      <c r="G342" s="15">
        <v>3.49</v>
      </c>
      <c r="H342" s="15">
        <v>2.2999999999999998</v>
      </c>
      <c r="I342" s="15">
        <v>3.96</v>
      </c>
      <c r="J342" s="15">
        <v>57.45</v>
      </c>
      <c r="K342" s="15">
        <v>31.13</v>
      </c>
      <c r="L342" s="15">
        <v>21.7</v>
      </c>
      <c r="M342" s="15">
        <v>3.25</v>
      </c>
      <c r="N342" s="15">
        <v>1</v>
      </c>
      <c r="O342" s="15">
        <v>3.71</v>
      </c>
      <c r="P342" s="9">
        <v>1.1706700000000001</v>
      </c>
      <c r="Q342" s="9">
        <v>1.41229</v>
      </c>
      <c r="R342" s="9">
        <v>0.47777799999999998</v>
      </c>
      <c r="S342" s="9">
        <v>0.132101</v>
      </c>
      <c r="T342" s="9">
        <v>0.16884099999999999</v>
      </c>
      <c r="U342" s="9">
        <v>8.5807700000000001E-2</v>
      </c>
      <c r="V342" s="9">
        <v>2.7944399999999998</v>
      </c>
      <c r="W342" s="9">
        <v>1.9786600000000001</v>
      </c>
      <c r="X342" s="9">
        <v>2.3163499999999999</v>
      </c>
      <c r="Y342" s="9">
        <v>15.4857</v>
      </c>
      <c r="Z342" s="9">
        <v>6.1406000000000001</v>
      </c>
      <c r="AA342" s="9">
        <f t="shared" si="57"/>
        <v>0.4996616161616162</v>
      </c>
      <c r="AB342" s="9">
        <f t="shared" si="58"/>
        <v>0.88131313131313138</v>
      </c>
      <c r="AC342" s="9">
        <f t="shared" si="59"/>
        <v>0.58080808080808077</v>
      </c>
      <c r="AD342" s="9">
        <f t="shared" si="60"/>
        <v>3.9306800010153053</v>
      </c>
      <c r="AE342" s="9">
        <f t="shared" si="61"/>
        <v>1.558646597456659</v>
      </c>
      <c r="AF342" s="9">
        <f t="shared" si="62"/>
        <v>4.6180323338342912</v>
      </c>
      <c r="AG342" s="9">
        <f t="shared" si="54"/>
        <v>1.1198417114031252</v>
      </c>
      <c r="AH342" s="9">
        <f t="shared" si="53"/>
        <v>0.94852695975397117</v>
      </c>
      <c r="AI342" s="9">
        <f t="shared" si="55"/>
        <v>1.1359888437988126</v>
      </c>
      <c r="AJ342" s="9">
        <f>(4*PI()*(AI342^2))/(Y342+E342)</f>
        <v>0.83481073725687782</v>
      </c>
      <c r="AK342" s="12">
        <f t="shared" si="56"/>
        <v>1.0673854447439353</v>
      </c>
      <c r="AL342" s="12" t="s">
        <v>144</v>
      </c>
      <c r="AM342" s="12" t="s">
        <v>143</v>
      </c>
      <c r="AN342" s="18">
        <v>4.4016999999999999</v>
      </c>
      <c r="AO342" s="18">
        <v>0.67373000000000005</v>
      </c>
      <c r="AP342" s="18">
        <v>15179</v>
      </c>
      <c r="AQ342" s="18">
        <v>14297</v>
      </c>
      <c r="AR342" s="18">
        <v>2.0710000000000002</v>
      </c>
      <c r="AS342" s="18">
        <v>2.5281999999999999E-2</v>
      </c>
      <c r="AT342" s="18">
        <v>0.71379000000000004</v>
      </c>
      <c r="AU342" s="18">
        <v>1.4765999999999999</v>
      </c>
      <c r="AV342" s="18">
        <v>3.8517999999999997E-2</v>
      </c>
      <c r="AW342" s="18">
        <v>1.4286E-2</v>
      </c>
      <c r="AX342" s="18">
        <v>0.13192999999999999</v>
      </c>
      <c r="AY342" s="18">
        <v>7.1121999999999996</v>
      </c>
      <c r="AZ342" s="18">
        <v>1011.5</v>
      </c>
      <c r="BA342" s="18">
        <v>2.9225999999999999E-2</v>
      </c>
      <c r="BB342" s="18">
        <v>24.888999999999999</v>
      </c>
      <c r="BC342" s="18" t="s">
        <v>162</v>
      </c>
      <c r="BD342" s="35" t="s">
        <v>163</v>
      </c>
      <c r="BE342" t="s">
        <v>168</v>
      </c>
    </row>
    <row r="343" spans="1:57" x14ac:dyDescent="0.25">
      <c r="A343" s="25" t="s">
        <v>413</v>
      </c>
      <c r="B343" s="18" t="s">
        <v>5</v>
      </c>
      <c r="C343" s="18" t="s">
        <v>6</v>
      </c>
      <c r="D343" s="18">
        <v>67</v>
      </c>
      <c r="E343" s="18">
        <v>15.823</v>
      </c>
      <c r="F343" s="18">
        <v>14.616</v>
      </c>
      <c r="G343" s="15">
        <v>8.15</v>
      </c>
      <c r="H343" s="15">
        <v>5</v>
      </c>
      <c r="I343" s="15">
        <v>3.11</v>
      </c>
      <c r="J343" s="15">
        <v>62.35</v>
      </c>
      <c r="K343" s="15">
        <v>3.33</v>
      </c>
      <c r="L343" s="15">
        <v>19.82</v>
      </c>
      <c r="M343" s="15">
        <v>6</v>
      </c>
      <c r="N343" s="15">
        <v>1</v>
      </c>
      <c r="O343" s="15">
        <v>3.25</v>
      </c>
      <c r="P343" s="9">
        <v>1.14714</v>
      </c>
      <c r="Q343" s="9">
        <v>1.8597699999999999</v>
      </c>
      <c r="R343" s="9">
        <v>-8.5858599999999993E-2</v>
      </c>
      <c r="S343" s="9">
        <v>0.16319400000000001</v>
      </c>
      <c r="T343" s="9">
        <v>0.211872</v>
      </c>
      <c r="U343" s="9">
        <v>0.11330900000000001</v>
      </c>
      <c r="V343" s="9">
        <v>8.1307899999999993</v>
      </c>
      <c r="W343" s="9">
        <v>4.3719400000000004</v>
      </c>
      <c r="X343" s="9">
        <v>5.0152400000000004</v>
      </c>
      <c r="Y343" s="9">
        <v>111.324</v>
      </c>
      <c r="Z343" s="9">
        <v>109.286</v>
      </c>
      <c r="AA343" s="9">
        <f t="shared" si="57"/>
        <v>1.4057684887459809</v>
      </c>
      <c r="AB343" s="9">
        <f t="shared" si="58"/>
        <v>2.6205787781350485</v>
      </c>
      <c r="AC343" s="9">
        <f t="shared" si="59"/>
        <v>1.6077170418006432</v>
      </c>
      <c r="AD343" s="9">
        <f t="shared" si="60"/>
        <v>7.0355811160968207</v>
      </c>
      <c r="AE343" s="9">
        <f t="shared" si="61"/>
        <v>6.9067812677747584</v>
      </c>
      <c r="AF343" s="9">
        <f t="shared" si="62"/>
        <v>4.8701886281684859</v>
      </c>
      <c r="AG343" s="9">
        <f t="shared" si="54"/>
        <v>2.2442409249200765</v>
      </c>
      <c r="AH343" s="9">
        <f t="shared" si="53"/>
        <v>0.96476338295217234</v>
      </c>
      <c r="AI343" s="9">
        <f t="shared" si="55"/>
        <v>2.9659145900183428</v>
      </c>
      <c r="AJ343" s="9">
        <f>(4*PI()*(AI343^2))/(Y343+E343)</f>
        <v>0.86940278546138194</v>
      </c>
      <c r="AK343" s="12">
        <f t="shared" si="56"/>
        <v>0.95692307692307688</v>
      </c>
      <c r="AL343" s="12" t="s">
        <v>140</v>
      </c>
      <c r="AM343" s="12" t="s">
        <v>143</v>
      </c>
      <c r="AN343" s="18">
        <v>6.1989999999999998</v>
      </c>
      <c r="AO343" s="18">
        <v>0.58709</v>
      </c>
      <c r="AP343" s="18">
        <v>10864</v>
      </c>
      <c r="AQ343" s="18">
        <v>10652</v>
      </c>
      <c r="AR343" s="18">
        <v>3.3935</v>
      </c>
      <c r="AS343" s="18">
        <v>1.0285000000000001E-2</v>
      </c>
      <c r="AT343" s="18">
        <v>0.73697999999999997</v>
      </c>
      <c r="AU343" s="18">
        <v>0.88566</v>
      </c>
      <c r="AV343" s="18">
        <v>0.13311999999999999</v>
      </c>
      <c r="AW343" s="18">
        <v>5.5874000000000002E-3</v>
      </c>
      <c r="AX343" s="18">
        <v>0.27198</v>
      </c>
      <c r="AY343" s="18">
        <v>1.2336</v>
      </c>
      <c r="AZ343" s="18">
        <v>391.78</v>
      </c>
      <c r="BA343" s="18">
        <v>5.1027999999999997E-2</v>
      </c>
      <c r="BB343" s="18">
        <v>6.0087000000000002</v>
      </c>
      <c r="BC343" s="18" t="s">
        <v>162</v>
      </c>
      <c r="BD343" s="35" t="s">
        <v>165</v>
      </c>
      <c r="BE343" t="s">
        <v>167</v>
      </c>
    </row>
    <row r="344" spans="1:57" x14ac:dyDescent="0.25">
      <c r="A344" s="25" t="s">
        <v>414</v>
      </c>
      <c r="B344" s="18" t="s">
        <v>5</v>
      </c>
      <c r="C344" s="18" t="s">
        <v>6</v>
      </c>
      <c r="D344" s="18">
        <v>67</v>
      </c>
      <c r="E344" s="18">
        <v>17.861000000000001</v>
      </c>
      <c r="F344" s="18">
        <v>16.788</v>
      </c>
      <c r="G344" s="15">
        <v>6.83</v>
      </c>
      <c r="H344" s="15">
        <v>2.5</v>
      </c>
      <c r="I344" s="15">
        <v>4.25</v>
      </c>
      <c r="J344" s="15">
        <v>80.33</v>
      </c>
      <c r="K344" s="15">
        <v>2.83</v>
      </c>
      <c r="L344" s="15">
        <v>4.24</v>
      </c>
      <c r="M344" s="15">
        <v>6.5</v>
      </c>
      <c r="N344" s="15">
        <v>1</v>
      </c>
      <c r="O344" s="15">
        <v>4.2300000000000004</v>
      </c>
      <c r="P344" s="9">
        <v>0.59409000000000001</v>
      </c>
      <c r="Q344" s="9">
        <v>1.6283700000000001</v>
      </c>
      <c r="R344" s="9">
        <v>0.214286</v>
      </c>
      <c r="S344" s="9">
        <v>8.1253300000000001E-2</v>
      </c>
      <c r="T344" s="9">
        <v>0.10487200000000001</v>
      </c>
      <c r="U344" s="9">
        <v>5.1913800000000003E-2</v>
      </c>
      <c r="V344" s="9">
        <v>6.8718000000000004</v>
      </c>
      <c r="W344" s="9">
        <v>4.2200600000000001</v>
      </c>
      <c r="X344" s="9">
        <v>2.5070999999999999</v>
      </c>
      <c r="Y344" s="9">
        <v>47.894399999999997</v>
      </c>
      <c r="Z344" s="9">
        <v>37.328800000000001</v>
      </c>
      <c r="AA344" s="9">
        <f t="shared" si="57"/>
        <v>0.99295529411764705</v>
      </c>
      <c r="AB344" s="9">
        <f t="shared" si="58"/>
        <v>1.6070588235294119</v>
      </c>
      <c r="AC344" s="9">
        <f t="shared" si="59"/>
        <v>0.58823529411764708</v>
      </c>
      <c r="AD344" s="9">
        <f t="shared" si="60"/>
        <v>2.6815071944459996</v>
      </c>
      <c r="AE344" s="9">
        <f t="shared" si="61"/>
        <v>2.0899613683444378</v>
      </c>
      <c r="AF344" s="9">
        <f t="shared" si="62"/>
        <v>4.2880059994701343</v>
      </c>
      <c r="AG344" s="9">
        <f t="shared" si="54"/>
        <v>2.3843936078442849</v>
      </c>
      <c r="AH344" s="9">
        <f t="shared" si="53"/>
        <v>0.89239855154515935</v>
      </c>
      <c r="AI344" s="9">
        <f t="shared" si="55"/>
        <v>2.073250632572031</v>
      </c>
      <c r="AJ344" s="9">
        <f>(4*PI()*(AI344^2))/(Y344+E344)</f>
        <v>0.82145173864754861</v>
      </c>
      <c r="AK344" s="12">
        <f t="shared" si="56"/>
        <v>1.0047281323877069</v>
      </c>
      <c r="AL344" s="12" t="s">
        <v>144</v>
      </c>
      <c r="AM344" s="12" t="s">
        <v>143</v>
      </c>
      <c r="AN344" s="18">
        <v>8.3420000000000005</v>
      </c>
      <c r="AO344" s="18">
        <v>1.0894999999999999</v>
      </c>
      <c r="AP344" s="18">
        <v>11872</v>
      </c>
      <c r="AQ344" s="18">
        <v>11505</v>
      </c>
      <c r="AR344" s="18">
        <v>4.3867000000000003</v>
      </c>
      <c r="AS344" s="18">
        <v>5.1285000000000002E-3</v>
      </c>
      <c r="AT344" s="18">
        <v>0.74858999999999998</v>
      </c>
      <c r="AU344" s="18">
        <v>0.35465999999999998</v>
      </c>
      <c r="AV344" s="18">
        <v>2.5991E-3</v>
      </c>
      <c r="AW344" s="18">
        <v>5.3888E-3</v>
      </c>
      <c r="AX344" s="18">
        <v>0.31614999999999999</v>
      </c>
      <c r="AY344" s="18">
        <v>-3.0407999999999999</v>
      </c>
      <c r="AZ344" s="18">
        <v>-2221.3000000000002</v>
      </c>
      <c r="BA344" s="18">
        <v>3.1622999999999998E-2</v>
      </c>
      <c r="BB344" s="18">
        <v>10.494</v>
      </c>
      <c r="BC344" s="18" t="s">
        <v>162</v>
      </c>
      <c r="BD344" s="35" t="s">
        <v>163</v>
      </c>
      <c r="BE344" t="s">
        <v>167</v>
      </c>
    </row>
    <row r="345" spans="1:57" x14ac:dyDescent="0.25">
      <c r="A345" s="25" t="s">
        <v>415</v>
      </c>
      <c r="B345" s="18" t="s">
        <v>5</v>
      </c>
      <c r="C345" s="18" t="s">
        <v>6</v>
      </c>
      <c r="D345" s="18">
        <v>67</v>
      </c>
      <c r="E345" s="18">
        <v>4.8259250029890204</v>
      </c>
      <c r="F345" s="18">
        <v>8.1258999999999997</v>
      </c>
      <c r="G345" s="15">
        <v>3.39</v>
      </c>
      <c r="H345" s="15">
        <v>2.2999999999999998</v>
      </c>
      <c r="I345" s="15">
        <v>1.54</v>
      </c>
      <c r="J345" s="15">
        <v>29.68</v>
      </c>
      <c r="K345" s="15">
        <v>33.090000000000003</v>
      </c>
      <c r="L345" s="15">
        <v>35.31</v>
      </c>
      <c r="M345" s="15">
        <v>3.05</v>
      </c>
      <c r="N345" s="15">
        <v>1</v>
      </c>
      <c r="O345" s="15">
        <v>1.94</v>
      </c>
      <c r="P345" s="9">
        <v>0.96246699999999996</v>
      </c>
      <c r="Q345" s="9">
        <v>1.17641</v>
      </c>
      <c r="R345" s="9">
        <v>0.47777799999999998</v>
      </c>
      <c r="S345" s="9">
        <v>9.5726800000000001E-2</v>
      </c>
      <c r="T345" s="9">
        <v>0.125725</v>
      </c>
      <c r="U345" s="9">
        <v>6.5215599999999999E-2</v>
      </c>
      <c r="V345" s="9">
        <v>2.83561</v>
      </c>
      <c r="W345" s="9">
        <v>2.4104000000000001</v>
      </c>
      <c r="X345" s="9">
        <v>2.3199299999999998</v>
      </c>
      <c r="Y345" s="9">
        <v>16.183599999999998</v>
      </c>
      <c r="Z345" s="9">
        <v>7.0773799999999998</v>
      </c>
      <c r="AA345" s="9">
        <f t="shared" si="57"/>
        <v>1.5651948051948052</v>
      </c>
      <c r="AB345" s="9">
        <f t="shared" si="58"/>
        <v>2.2012987012987013</v>
      </c>
      <c r="AC345" s="9">
        <f t="shared" si="59"/>
        <v>1.4935064935064934</v>
      </c>
      <c r="AD345" s="9">
        <f t="shared" si="60"/>
        <v>3.3534710941376846</v>
      </c>
      <c r="AE345" s="9">
        <f t="shared" si="61"/>
        <v>1.4665333579814237</v>
      </c>
      <c r="AF345" s="9">
        <f t="shared" si="62"/>
        <v>4.3902925369157559</v>
      </c>
      <c r="AG345" s="9">
        <f t="shared" si="54"/>
        <v>1.2394110046441191</v>
      </c>
      <c r="AH345" s="9">
        <f t="shared" si="53"/>
        <v>0.95834910766027392</v>
      </c>
      <c r="AI345" s="9">
        <f t="shared" si="55"/>
        <v>1.1910444462894054</v>
      </c>
      <c r="AJ345" s="9">
        <f>(4*PI()*(AI345^2))/(Y345+E345)</f>
        <v>0.84849554631575896</v>
      </c>
      <c r="AK345" s="12">
        <f t="shared" si="56"/>
        <v>0.79381443298969079</v>
      </c>
      <c r="AL345" s="12" t="s">
        <v>144</v>
      </c>
      <c r="AM345" s="12" t="s">
        <v>143</v>
      </c>
      <c r="AN345" s="18">
        <v>16.873848435315299</v>
      </c>
      <c r="AO345" s="18">
        <v>0.99019290006417904</v>
      </c>
      <c r="AP345" s="18">
        <v>35646.258370766402</v>
      </c>
      <c r="AQ345" s="18">
        <v>34161.095805645396</v>
      </c>
      <c r="AR345" s="18">
        <v>7.9391887972208499</v>
      </c>
      <c r="AS345" s="18">
        <v>4.1862232043667503E-3</v>
      </c>
      <c r="AT345" s="18">
        <v>0.76610952325793702</v>
      </c>
      <c r="AU345" s="18">
        <v>0.22721693188740499</v>
      </c>
      <c r="AV345" s="18">
        <v>7.0733404713111897E-3</v>
      </c>
      <c r="AW345" s="18">
        <v>3.818040354748E-3</v>
      </c>
      <c r="AX345" s="18">
        <v>0.37182550574231199</v>
      </c>
      <c r="AY345" s="18">
        <v>0.56839296666876604</v>
      </c>
      <c r="AZ345" s="18">
        <v>-1496.9111884935101</v>
      </c>
      <c r="BA345" s="18">
        <v>1.3437472147700901E-2</v>
      </c>
      <c r="BB345" s="18">
        <v>9.8410647035965404</v>
      </c>
      <c r="BC345" s="18" t="s">
        <v>162</v>
      </c>
      <c r="BD345" s="35" t="s">
        <v>165</v>
      </c>
      <c r="BE345" t="s">
        <v>167</v>
      </c>
    </row>
    <row r="346" spans="1:57" x14ac:dyDescent="0.25">
      <c r="A346" s="25" t="s">
        <v>416</v>
      </c>
      <c r="B346" s="18" t="s">
        <v>5</v>
      </c>
      <c r="C346" s="18" t="s">
        <v>6</v>
      </c>
      <c r="D346" s="18">
        <v>59</v>
      </c>
      <c r="E346" s="18">
        <v>7.3555999999999999</v>
      </c>
      <c r="F346" s="18">
        <v>10.177</v>
      </c>
      <c r="G346" s="15">
        <v>5.46</v>
      </c>
      <c r="H346" s="15">
        <v>2.95</v>
      </c>
      <c r="I346" s="15">
        <v>3.26</v>
      </c>
      <c r="J346" s="15">
        <v>90.51</v>
      </c>
      <c r="K346" s="15">
        <v>25.44</v>
      </c>
      <c r="L346" s="15">
        <v>50.53</v>
      </c>
      <c r="M346" s="15">
        <v>4.5999999999999996</v>
      </c>
      <c r="N346" s="15">
        <v>2</v>
      </c>
      <c r="O346" s="15">
        <f>0.54+4.04</f>
        <v>4.58</v>
      </c>
      <c r="P346" s="9">
        <v>1.00691</v>
      </c>
      <c r="Q346" s="9">
        <v>1.38374</v>
      </c>
      <c r="R346" s="9">
        <v>-0.12069000000000001</v>
      </c>
      <c r="S346" s="9">
        <v>0.153396</v>
      </c>
      <c r="T346" s="9">
        <v>0.20253499999999999</v>
      </c>
      <c r="U346" s="9">
        <v>0.11291</v>
      </c>
      <c r="V346" s="9">
        <v>4.0953200000000001</v>
      </c>
      <c r="W346" s="9">
        <v>2.9596100000000001</v>
      </c>
      <c r="X346" s="9">
        <v>2.9800499999999999</v>
      </c>
      <c r="Y346" s="9">
        <v>33.244799999999998</v>
      </c>
      <c r="Z346" s="9">
        <v>18.152699999999999</v>
      </c>
      <c r="AA346" s="9">
        <f t="shared" si="57"/>
        <v>0.90785582822085897</v>
      </c>
      <c r="AB346" s="9">
        <f t="shared" si="58"/>
        <v>1.6748466257668713</v>
      </c>
      <c r="AC346" s="9">
        <f t="shared" si="59"/>
        <v>0.9049079754601228</v>
      </c>
      <c r="AD346" s="9">
        <f t="shared" si="60"/>
        <v>4.5196584914894773</v>
      </c>
      <c r="AE346" s="9">
        <f t="shared" si="61"/>
        <v>2.4678748164663658</v>
      </c>
      <c r="AF346" s="9">
        <f t="shared" si="62"/>
        <v>4.8131519339902082</v>
      </c>
      <c r="AG346" s="9">
        <f t="shared" si="54"/>
        <v>1.530150384378441</v>
      </c>
      <c r="AH346" s="9">
        <f t="shared" si="53"/>
        <v>0.94470063996283948</v>
      </c>
      <c r="AI346" s="9">
        <f t="shared" si="55"/>
        <v>1.6303626105837663</v>
      </c>
      <c r="AJ346" s="9">
        <f>(4*PI()*(AI346^2))/(Y346+E346)</f>
        <v>0.8227122534824034</v>
      </c>
      <c r="AK346" s="12">
        <f t="shared" si="56"/>
        <v>0.71179039301310043</v>
      </c>
      <c r="AL346" s="12" t="s">
        <v>140</v>
      </c>
      <c r="AM346" s="12" t="s">
        <v>142</v>
      </c>
      <c r="AN346" s="18">
        <v>10.028</v>
      </c>
      <c r="AO346" s="18">
        <v>0.80903999999999998</v>
      </c>
      <c r="AP346" s="18">
        <v>20835</v>
      </c>
      <c r="AQ346" s="18">
        <v>18822</v>
      </c>
      <c r="AR346" s="18">
        <v>5.0320999999999998</v>
      </c>
      <c r="AS346" s="18">
        <v>6.4056E-3</v>
      </c>
      <c r="AT346" s="18">
        <v>0.75099000000000005</v>
      </c>
      <c r="AU346" s="18">
        <v>0.46300000000000002</v>
      </c>
      <c r="AV346" s="18">
        <v>4.7685999999999999E-2</v>
      </c>
      <c r="AW346" s="18">
        <v>4.1517000000000004E-3</v>
      </c>
      <c r="AX346" s="18">
        <v>0.32007000000000002</v>
      </c>
      <c r="AY346" s="18">
        <v>0.47294999999999998</v>
      </c>
      <c r="AZ346" s="18">
        <v>-1271.5999999999999</v>
      </c>
      <c r="BA346" s="18">
        <v>2.7146E-2</v>
      </c>
      <c r="BB346" s="18">
        <v>18.161000000000001</v>
      </c>
      <c r="BC346" s="18" t="s">
        <v>162</v>
      </c>
      <c r="BD346" s="35" t="s">
        <v>163</v>
      </c>
      <c r="BE346" t="s">
        <v>167</v>
      </c>
    </row>
    <row r="347" spans="1:57" x14ac:dyDescent="0.25">
      <c r="A347" s="25" t="s">
        <v>417</v>
      </c>
      <c r="B347" s="18" t="s">
        <v>5</v>
      </c>
      <c r="C347" s="18" t="s">
        <v>14</v>
      </c>
      <c r="D347" s="18">
        <v>40</v>
      </c>
      <c r="E347" s="18">
        <v>18.379000000000001</v>
      </c>
      <c r="F347" s="18">
        <v>16.201000000000001</v>
      </c>
      <c r="G347" s="15">
        <v>8.99</v>
      </c>
      <c r="H347" s="15">
        <v>7.4</v>
      </c>
      <c r="I347" s="15">
        <v>3.69</v>
      </c>
      <c r="J347" s="15">
        <v>37.450000000000003</v>
      </c>
      <c r="K347" s="15">
        <v>50.79</v>
      </c>
      <c r="L347" s="15">
        <v>78.599999999999994</v>
      </c>
      <c r="M347" s="15">
        <v>6.9</v>
      </c>
      <c r="N347" s="15">
        <v>2</v>
      </c>
      <c r="O347" s="15">
        <f>2.73+3.71</f>
        <v>6.4399999999999995</v>
      </c>
      <c r="P347" s="9">
        <v>1.6559999999999999</v>
      </c>
      <c r="Q347" s="9">
        <v>1.64141</v>
      </c>
      <c r="R347" s="9">
        <v>-0.10544199999999999</v>
      </c>
      <c r="S347" s="9">
        <v>0.15640799999999999</v>
      </c>
      <c r="T347" s="9">
        <v>0.15981400000000001</v>
      </c>
      <c r="U347" s="9">
        <v>5.1427599999999997E-3</v>
      </c>
      <c r="V347" s="9">
        <v>7.3673000000000002</v>
      </c>
      <c r="W347" s="9">
        <v>4.4884000000000004</v>
      </c>
      <c r="X347" s="9">
        <v>7.4327699999999997</v>
      </c>
      <c r="Y347" s="9">
        <v>161.32499999999999</v>
      </c>
      <c r="Z347" s="9">
        <v>209.84800000000001</v>
      </c>
      <c r="AA347" s="9">
        <f t="shared" si="57"/>
        <v>1.2163685636856369</v>
      </c>
      <c r="AB347" s="9">
        <f t="shared" si="58"/>
        <v>2.4363143631436315</v>
      </c>
      <c r="AC347" s="9">
        <f t="shared" si="59"/>
        <v>2.0054200542005423</v>
      </c>
      <c r="AD347" s="9">
        <f t="shared" si="60"/>
        <v>8.7776810490233412</v>
      </c>
      <c r="AE347" s="9">
        <f t="shared" si="61"/>
        <v>11.417813809238805</v>
      </c>
      <c r="AF347" s="9">
        <f t="shared" si="62"/>
        <v>4.5684104626356898</v>
      </c>
      <c r="AG347" s="9">
        <f t="shared" si="54"/>
        <v>2.4187222656129599</v>
      </c>
      <c r="AH347" s="9">
        <f t="shared" si="53"/>
        <v>0.93804581207625881</v>
      </c>
      <c r="AI347" s="9">
        <f t="shared" si="55"/>
        <v>3.6864250486542445</v>
      </c>
      <c r="AJ347" s="9">
        <f>(4*PI()*(AI347^2))/(Y347+E347)</f>
        <v>0.95030483014822453</v>
      </c>
      <c r="AK347" s="12">
        <f t="shared" si="56"/>
        <v>0.57298136645962738</v>
      </c>
      <c r="AL347" s="12" t="s">
        <v>144</v>
      </c>
      <c r="AM347" s="12" t="s">
        <v>142</v>
      </c>
      <c r="AN347" s="18">
        <v>5.5110000000000001</v>
      </c>
      <c r="AO347" s="18">
        <v>0.66366999999999998</v>
      </c>
      <c r="AP347" s="18">
        <v>6616.1</v>
      </c>
      <c r="AQ347" s="18">
        <v>5876.4</v>
      </c>
      <c r="AR347" s="18">
        <v>3.0693000000000001</v>
      </c>
      <c r="AS347" s="18">
        <v>1.2125E-2</v>
      </c>
      <c r="AT347" s="18">
        <v>0.72289000000000003</v>
      </c>
      <c r="AU347" s="18">
        <v>0.44596000000000002</v>
      </c>
      <c r="AV347" s="18">
        <v>8.5737999999999995E-3</v>
      </c>
      <c r="AW347" s="18">
        <v>1.7520999999999998E-2</v>
      </c>
      <c r="AX347" s="18">
        <v>0.24851000000000001</v>
      </c>
      <c r="AY347" s="18">
        <v>-9.6279000000000003</v>
      </c>
      <c r="AZ347" s="18">
        <v>-796</v>
      </c>
      <c r="BA347" s="18">
        <v>0.22087000000000001</v>
      </c>
      <c r="BB347" s="18">
        <v>16.72</v>
      </c>
      <c r="BC347" s="18" t="s">
        <v>162</v>
      </c>
      <c r="BD347" s="35" t="s">
        <v>163</v>
      </c>
      <c r="BE347" t="s">
        <v>167</v>
      </c>
    </row>
    <row r="348" spans="1:57" x14ac:dyDescent="0.25">
      <c r="A348" s="25" t="s">
        <v>418</v>
      </c>
      <c r="B348" s="18" t="s">
        <v>13</v>
      </c>
      <c r="C348" s="18" t="s">
        <v>14</v>
      </c>
      <c r="D348" s="18">
        <v>55</v>
      </c>
      <c r="E348" s="18">
        <v>18.725000000000001</v>
      </c>
      <c r="F348" s="18">
        <v>16.044</v>
      </c>
      <c r="G348" s="15">
        <v>7.07</v>
      </c>
      <c r="H348" s="15">
        <v>5.53</v>
      </c>
      <c r="I348" s="15">
        <v>2.5299999999999998</v>
      </c>
      <c r="J348" s="15">
        <v>32.799999999999997</v>
      </c>
      <c r="K348" s="15">
        <v>51.6</v>
      </c>
      <c r="L348" s="15">
        <v>72.63</v>
      </c>
      <c r="M348" s="15">
        <v>5.65</v>
      </c>
      <c r="N348" s="15">
        <v>2</v>
      </c>
      <c r="O348" s="15">
        <f>1.68+2.37</f>
        <v>4.05</v>
      </c>
      <c r="P348" s="9">
        <v>1.21855</v>
      </c>
      <c r="Q348" s="9">
        <v>1.25596</v>
      </c>
      <c r="R348" s="9">
        <v>0.44690299999999999</v>
      </c>
      <c r="S348" s="9">
        <v>0.11332</v>
      </c>
      <c r="T348" s="9">
        <v>0.125358</v>
      </c>
      <c r="U348" s="9">
        <v>3.4416299999999997E-2</v>
      </c>
      <c r="V348" s="9">
        <v>5.9090800000000003</v>
      </c>
      <c r="W348" s="9">
        <v>4.7048199999999998</v>
      </c>
      <c r="X348" s="9">
        <v>5.73306</v>
      </c>
      <c r="Y348" s="9">
        <v>92.551299999999998</v>
      </c>
      <c r="Z348" s="9">
        <v>96.851900000000001</v>
      </c>
      <c r="AA348" s="9">
        <f t="shared" si="57"/>
        <v>1.859612648221344</v>
      </c>
      <c r="AB348" s="9">
        <f t="shared" si="58"/>
        <v>2.7944664031620556</v>
      </c>
      <c r="AC348" s="9">
        <f t="shared" si="59"/>
        <v>2.1857707509881426</v>
      </c>
      <c r="AD348" s="9">
        <f t="shared" si="60"/>
        <v>4.9426595460614147</v>
      </c>
      <c r="AE348" s="9">
        <f t="shared" si="61"/>
        <v>5.1723311081441921</v>
      </c>
      <c r="AF348" s="9">
        <f t="shared" si="62"/>
        <v>4.3884426452303593</v>
      </c>
      <c r="AG348" s="9">
        <f t="shared" si="54"/>
        <v>2.4413833412210137</v>
      </c>
      <c r="AH348" s="9">
        <f t="shared" si="53"/>
        <v>0.95609972193672899</v>
      </c>
      <c r="AI348" s="9">
        <f t="shared" si="55"/>
        <v>2.8488735858161851</v>
      </c>
      <c r="AJ348" s="9">
        <f>(4*PI()*(AI348^2))/(Y348+E348)</f>
        <v>0.91654447633764446</v>
      </c>
      <c r="AK348" s="12">
        <f t="shared" si="56"/>
        <v>0.62469135802469133</v>
      </c>
      <c r="AL348" s="12" t="s">
        <v>144</v>
      </c>
      <c r="AM348" s="12" t="s">
        <v>142</v>
      </c>
      <c r="AN348" s="18">
        <v>9.1777999999999995</v>
      </c>
      <c r="AO348" s="18">
        <v>0.76514000000000004</v>
      </c>
      <c r="AP348" s="18">
        <v>14690</v>
      </c>
      <c r="AQ348" s="18">
        <v>14091</v>
      </c>
      <c r="AR348" s="18">
        <v>4.8441000000000001</v>
      </c>
      <c r="AS348" s="18">
        <v>2.9898999999999998E-2</v>
      </c>
      <c r="AT348" s="18">
        <v>0.66076999999999997</v>
      </c>
      <c r="AU348" s="18">
        <v>0.34411999999999998</v>
      </c>
      <c r="AV348" s="18">
        <v>1.0792E-2</v>
      </c>
      <c r="AW348" s="18">
        <v>2.9231E-2</v>
      </c>
      <c r="AX348" s="18">
        <v>0.34858</v>
      </c>
      <c r="AY348" s="18">
        <v>4.9448999999999996</v>
      </c>
      <c r="AZ348" s="18">
        <v>509.66</v>
      </c>
      <c r="BA348" s="18">
        <v>6.0103999999999998E-2</v>
      </c>
      <c r="BB348" s="18">
        <v>23.814</v>
      </c>
      <c r="BC348" s="18" t="s">
        <v>162</v>
      </c>
      <c r="BD348" s="35" t="s">
        <v>165</v>
      </c>
      <c r="BE348" t="s">
        <v>168</v>
      </c>
    </row>
    <row r="349" spans="1:57" x14ac:dyDescent="0.25">
      <c r="A349" s="25" t="s">
        <v>419</v>
      </c>
      <c r="B349" s="18" t="s">
        <v>26</v>
      </c>
      <c r="C349" s="18" t="s">
        <v>14</v>
      </c>
      <c r="D349" s="18">
        <v>51</v>
      </c>
      <c r="E349" s="18">
        <v>24.405999999999999</v>
      </c>
      <c r="F349" s="18">
        <v>18.094000000000001</v>
      </c>
      <c r="G349" s="15">
        <v>6.82</v>
      </c>
      <c r="H349" s="15">
        <v>3.82</v>
      </c>
      <c r="I349" s="15">
        <v>2.23</v>
      </c>
      <c r="J349" s="15">
        <v>72.13</v>
      </c>
      <c r="K349" s="15">
        <v>19.34</v>
      </c>
      <c r="L349" s="15">
        <v>70.319999999999993</v>
      </c>
      <c r="M349" s="15">
        <v>5.8</v>
      </c>
      <c r="N349" s="15">
        <v>2</v>
      </c>
      <c r="O349" s="15">
        <f>2.5+2.11</f>
        <v>4.6099999999999994</v>
      </c>
      <c r="P349" s="9">
        <v>0.70313999999999999</v>
      </c>
      <c r="Q349" s="9">
        <v>1.1905699999999999</v>
      </c>
      <c r="R349" s="9">
        <v>0.14000000000000001</v>
      </c>
      <c r="S349" s="9">
        <v>4.5781500000000003E-2</v>
      </c>
      <c r="T349" s="9">
        <v>5.2655E-2</v>
      </c>
      <c r="U349" s="9">
        <v>6.8598299999999999E-3</v>
      </c>
      <c r="V349" s="9">
        <v>6.5096499999999997</v>
      </c>
      <c r="W349" s="9">
        <v>5.4676900000000002</v>
      </c>
      <c r="X349" s="9">
        <v>3.8445499999999999</v>
      </c>
      <c r="Y349" s="9">
        <v>77.8352</v>
      </c>
      <c r="Z349" s="9">
        <v>84.200500000000005</v>
      </c>
      <c r="AA349" s="9">
        <f t="shared" si="57"/>
        <v>2.4518789237668162</v>
      </c>
      <c r="AB349" s="9">
        <f t="shared" si="58"/>
        <v>3.0582959641255605</v>
      </c>
      <c r="AC349" s="9">
        <f t="shared" si="59"/>
        <v>1.7130044843049326</v>
      </c>
      <c r="AD349" s="9">
        <f t="shared" si="60"/>
        <v>3.1891829877898878</v>
      </c>
      <c r="AE349" s="9">
        <f t="shared" si="61"/>
        <v>3.4499918052937808</v>
      </c>
      <c r="AF349" s="9">
        <f t="shared" si="62"/>
        <v>4.0516594234034589</v>
      </c>
      <c r="AG349" s="9">
        <f t="shared" si="54"/>
        <v>2.7872335894577609</v>
      </c>
      <c r="AH349" s="9">
        <f t="shared" si="53"/>
        <v>0.96787361207905509</v>
      </c>
      <c r="AI349" s="9">
        <f t="shared" si="55"/>
        <v>2.7189967410273574</v>
      </c>
      <c r="AJ349" s="9">
        <f>(4*PI()*(AI349^2))/(Y349+E349)</f>
        <v>0.90865976884790101</v>
      </c>
      <c r="AK349" s="12">
        <f t="shared" si="56"/>
        <v>0.48373101952277664</v>
      </c>
      <c r="AL349" s="12" t="s">
        <v>144</v>
      </c>
      <c r="AM349" s="12" t="s">
        <v>142</v>
      </c>
      <c r="AN349" s="18">
        <v>7.8800999999999997</v>
      </c>
      <c r="AO349" s="18">
        <v>0.85738999999999999</v>
      </c>
      <c r="AP349" s="18">
        <v>11328</v>
      </c>
      <c r="AQ349" s="18">
        <v>10114</v>
      </c>
      <c r="AR349" s="18">
        <v>4.0381999999999998</v>
      </c>
      <c r="AS349" s="18">
        <v>6.7813999999999999E-3</v>
      </c>
      <c r="AT349" s="18">
        <v>0.73906000000000005</v>
      </c>
      <c r="AU349" s="18">
        <v>0.44235999999999998</v>
      </c>
      <c r="AV349" s="18">
        <v>7.2503999999999997E-3</v>
      </c>
      <c r="AW349" s="18">
        <v>1.0541E-2</v>
      </c>
      <c r="AX349" s="18">
        <v>0.26017000000000001</v>
      </c>
      <c r="AY349" s="18">
        <v>-6.8487999999999998</v>
      </c>
      <c r="AZ349" s="18">
        <v>-1064.7</v>
      </c>
      <c r="BA349" s="18">
        <v>6.5435999999999994E-2</v>
      </c>
      <c r="BB349" s="18">
        <v>43.680999999999997</v>
      </c>
      <c r="BC349" s="18" t="s">
        <v>162</v>
      </c>
      <c r="BD349" s="35" t="s">
        <v>165</v>
      </c>
      <c r="BE349" t="s">
        <v>167</v>
      </c>
    </row>
    <row r="350" spans="1:57" x14ac:dyDescent="0.25">
      <c r="A350" s="25" t="s">
        <v>420</v>
      </c>
      <c r="B350" s="18" t="s">
        <v>26</v>
      </c>
      <c r="C350" s="18" t="s">
        <v>14</v>
      </c>
      <c r="D350" s="18">
        <v>51</v>
      </c>
      <c r="E350" s="18">
        <v>17.195</v>
      </c>
      <c r="F350" s="18">
        <v>15.141</v>
      </c>
      <c r="G350" s="15">
        <v>5.43</v>
      </c>
      <c r="H350" s="15">
        <v>2.5</v>
      </c>
      <c r="I350" s="15">
        <v>2.16</v>
      </c>
      <c r="J350" s="15">
        <v>102.42</v>
      </c>
      <c r="K350" s="15">
        <v>6.98</v>
      </c>
      <c r="L350" s="15">
        <v>40.99</v>
      </c>
      <c r="M350" s="15">
        <v>4.25</v>
      </c>
      <c r="N350" s="15">
        <v>2</v>
      </c>
      <c r="O350" s="15">
        <f>1.44+1.77</f>
        <v>3.21</v>
      </c>
      <c r="P350" s="9">
        <v>0.54785499999999998</v>
      </c>
      <c r="Q350" s="9">
        <v>1.1938899999999999</v>
      </c>
      <c r="R350" s="9">
        <v>0.41836699999999999</v>
      </c>
      <c r="S350" s="9">
        <v>2.30911E-2</v>
      </c>
      <c r="T350" s="9">
        <v>3.00659E-2</v>
      </c>
      <c r="U350" s="9">
        <v>6.0508000000000003E-3</v>
      </c>
      <c r="V350" s="9">
        <v>5.4638600000000004</v>
      </c>
      <c r="W350" s="9">
        <v>4.5765099999999999</v>
      </c>
      <c r="X350" s="9">
        <v>2.50726</v>
      </c>
      <c r="Y350" s="9">
        <v>36.829099999999997</v>
      </c>
      <c r="Z350" s="9">
        <v>28.391500000000001</v>
      </c>
      <c r="AA350" s="9">
        <f t="shared" si="57"/>
        <v>2.1187546296296293</v>
      </c>
      <c r="AB350" s="9">
        <f t="shared" si="58"/>
        <v>2.5138888888888884</v>
      </c>
      <c r="AC350" s="9">
        <f t="shared" si="59"/>
        <v>1.1574074074074074</v>
      </c>
      <c r="AD350" s="9">
        <f t="shared" si="60"/>
        <v>2.141849374818261</v>
      </c>
      <c r="AE350" s="9">
        <f t="shared" si="61"/>
        <v>1.6511485897063101</v>
      </c>
      <c r="AF350" s="9">
        <f t="shared" si="62"/>
        <v>3.9572991397644182</v>
      </c>
      <c r="AG350" s="9">
        <f t="shared" si="54"/>
        <v>2.3395167220881925</v>
      </c>
      <c r="AH350" s="9">
        <f t="shared" si="53"/>
        <v>0.9708484970692477</v>
      </c>
      <c r="AI350" s="9">
        <f t="shared" si="55"/>
        <v>1.8924884730100162</v>
      </c>
      <c r="AJ350" s="9">
        <f>(4*PI()*(AI350^2))/(Y350+E350)</f>
        <v>0.833084030069976</v>
      </c>
      <c r="AK350" s="12">
        <f t="shared" si="56"/>
        <v>0.67289719626168232</v>
      </c>
      <c r="AL350" s="12" t="s">
        <v>144</v>
      </c>
      <c r="AM350" s="12" t="s">
        <v>142</v>
      </c>
      <c r="AN350" s="18">
        <v>4.4733999999999998</v>
      </c>
      <c r="AO350" s="18">
        <v>0.48503000000000002</v>
      </c>
      <c r="AP350" s="18">
        <v>6434</v>
      </c>
      <c r="AQ350" s="18">
        <v>5897.3</v>
      </c>
      <c r="AR350" s="18">
        <v>2.6423000000000001</v>
      </c>
      <c r="AS350" s="18">
        <v>5.5497000000000003E-3</v>
      </c>
      <c r="AT350" s="18">
        <v>0.72641</v>
      </c>
      <c r="AU350" s="18">
        <v>0.51895999999999998</v>
      </c>
      <c r="AV350" s="18">
        <v>9.0974000000000003E-3</v>
      </c>
      <c r="AW350" s="18">
        <v>6.9785000000000003E-3</v>
      </c>
      <c r="AX350" s="18">
        <v>0.15587000000000001</v>
      </c>
      <c r="AY350" s="18">
        <v>-43.499000000000002</v>
      </c>
      <c r="AZ350" s="18">
        <v>-1941.6</v>
      </c>
      <c r="BA350" s="18">
        <v>6.2347E-2</v>
      </c>
      <c r="BB350" s="18">
        <v>59.451999999999998</v>
      </c>
      <c r="BC350" s="23" t="s">
        <v>162</v>
      </c>
      <c r="BD350" s="36" t="s">
        <v>163</v>
      </c>
      <c r="BE350" t="s">
        <v>167</v>
      </c>
    </row>
    <row r="351" spans="1:57" x14ac:dyDescent="0.25">
      <c r="A351" s="25" t="s">
        <v>421</v>
      </c>
      <c r="B351" s="18" t="s">
        <v>13</v>
      </c>
      <c r="C351" s="18" t="s">
        <v>6</v>
      </c>
      <c r="D351" s="18">
        <v>54</v>
      </c>
      <c r="E351" s="18">
        <v>18.794</v>
      </c>
      <c r="F351" s="18">
        <v>16.893000000000001</v>
      </c>
      <c r="G351" s="15">
        <v>6.49</v>
      </c>
      <c r="H351" s="15">
        <v>2.95</v>
      </c>
      <c r="I351" s="15">
        <v>2.2999999999999998</v>
      </c>
      <c r="J351" s="15">
        <v>86.17</v>
      </c>
      <c r="K351" s="15">
        <v>7.82</v>
      </c>
      <c r="L351" s="15">
        <v>88.69</v>
      </c>
      <c r="M351" s="15">
        <v>5.5</v>
      </c>
      <c r="N351" s="15">
        <v>2</v>
      </c>
      <c r="O351" s="15">
        <f>2.13+2.69</f>
        <v>4.82</v>
      </c>
      <c r="P351" s="9">
        <v>0.77291699999999997</v>
      </c>
      <c r="Q351" s="9">
        <v>1.42028</v>
      </c>
      <c r="R351" s="9">
        <v>0.367647</v>
      </c>
      <c r="S351" s="9">
        <v>7.7081499999999997E-2</v>
      </c>
      <c r="T351" s="9">
        <v>0.115757</v>
      </c>
      <c r="U351" s="9">
        <v>7.6062099999999994E-2</v>
      </c>
      <c r="V351" s="9">
        <v>6.4080899999999996</v>
      </c>
      <c r="W351" s="9">
        <v>4.5118400000000003</v>
      </c>
      <c r="X351" s="9">
        <v>3.4872800000000002</v>
      </c>
      <c r="Y351" s="9">
        <v>56.869500000000002</v>
      </c>
      <c r="Z351" s="9">
        <v>47.420400000000001</v>
      </c>
      <c r="AA351" s="9">
        <f t="shared" si="57"/>
        <v>1.9616695652173917</v>
      </c>
      <c r="AB351" s="9">
        <f t="shared" si="58"/>
        <v>2.821739130434783</v>
      </c>
      <c r="AC351" s="9">
        <f t="shared" si="59"/>
        <v>1.2826086956521741</v>
      </c>
      <c r="AD351" s="9">
        <f t="shared" si="60"/>
        <v>3.025939129509418</v>
      </c>
      <c r="AE351" s="9">
        <f t="shared" si="61"/>
        <v>2.5231669681813345</v>
      </c>
      <c r="AF351" s="9">
        <f t="shared" si="62"/>
        <v>4.3407949175126381</v>
      </c>
      <c r="AG351" s="9">
        <f t="shared" si="54"/>
        <v>2.4458773478934224</v>
      </c>
      <c r="AH351" s="9">
        <f t="shared" si="53"/>
        <v>0.90972003879993624</v>
      </c>
      <c r="AI351" s="9">
        <f t="shared" si="55"/>
        <v>2.2453921564065649</v>
      </c>
      <c r="AJ351" s="9">
        <f>(4*PI()*(AI351^2))/(Y351+E351)</f>
        <v>0.83735157150666784</v>
      </c>
      <c r="AK351" s="12">
        <f t="shared" si="56"/>
        <v>0.47717842323651444</v>
      </c>
      <c r="AL351" s="12" t="s">
        <v>140</v>
      </c>
      <c r="AM351" s="12" t="s">
        <v>142</v>
      </c>
      <c r="AN351" s="18">
        <v>10.776999999999999</v>
      </c>
      <c r="AO351" s="18">
        <v>1.3044</v>
      </c>
      <c r="AP351" s="18">
        <v>20769</v>
      </c>
      <c r="AQ351" s="18">
        <v>20895</v>
      </c>
      <c r="AR351" s="18">
        <v>5.4261999999999997</v>
      </c>
      <c r="AS351" s="18">
        <v>4.2008999999999996E-3</v>
      </c>
      <c r="AT351" s="18">
        <v>0.72914000000000001</v>
      </c>
      <c r="AU351" s="18">
        <v>0.29339999999999999</v>
      </c>
      <c r="AV351" s="18">
        <v>2.9212999999999999E-3</v>
      </c>
      <c r="AW351" s="18">
        <v>2.8229000000000001E-3</v>
      </c>
      <c r="AX351" s="18">
        <v>0.35014000000000001</v>
      </c>
      <c r="AY351" s="18">
        <v>-1.4531000000000001</v>
      </c>
      <c r="AZ351" s="18">
        <v>-1684.7</v>
      </c>
      <c r="BA351" s="18">
        <v>3.7463999999999997E-2</v>
      </c>
      <c r="BB351" s="18">
        <v>17.715</v>
      </c>
      <c r="BC351" s="18" t="s">
        <v>162</v>
      </c>
      <c r="BD351" s="35" t="s">
        <v>165</v>
      </c>
      <c r="BE351" t="s">
        <v>168</v>
      </c>
    </row>
    <row r="352" spans="1:57" x14ac:dyDescent="0.25">
      <c r="A352" s="25" t="s">
        <v>422</v>
      </c>
      <c r="B352" s="18" t="s">
        <v>26</v>
      </c>
      <c r="C352" s="18" t="s">
        <v>6</v>
      </c>
      <c r="D352" s="18">
        <v>54</v>
      </c>
      <c r="E352" s="18">
        <v>5.9657999999999998</v>
      </c>
      <c r="F352" s="18">
        <v>8.8765999999999998</v>
      </c>
      <c r="G352" s="15">
        <v>3.34</v>
      </c>
      <c r="H352" s="15">
        <v>1.88</v>
      </c>
      <c r="I352" s="15">
        <v>2.88</v>
      </c>
      <c r="J352" s="15">
        <v>67.53</v>
      </c>
      <c r="K352" s="15">
        <v>11.63</v>
      </c>
      <c r="L352" s="15">
        <v>45.46</v>
      </c>
      <c r="M352" s="15">
        <v>3</v>
      </c>
      <c r="N352" s="15">
        <v>2</v>
      </c>
      <c r="O352" s="15">
        <f>3.1+1.2</f>
        <v>4.3</v>
      </c>
      <c r="P352" s="9">
        <v>0.69839799999999996</v>
      </c>
      <c r="Q352" s="9">
        <v>1.1739200000000001</v>
      </c>
      <c r="R352" s="9">
        <v>0.27777800000000002</v>
      </c>
      <c r="S352" s="9">
        <v>3.48136E-2</v>
      </c>
      <c r="T352" s="9">
        <v>4.4469000000000002E-2</v>
      </c>
      <c r="U352" s="9">
        <v>-2.6704200000000002E-3</v>
      </c>
      <c r="V352" s="9">
        <v>3.17211</v>
      </c>
      <c r="W352" s="9">
        <v>2.7021600000000001</v>
      </c>
      <c r="X352" s="9">
        <v>1.8871800000000001</v>
      </c>
      <c r="Y352" s="9">
        <v>15.937799999999999</v>
      </c>
      <c r="Z352" s="9">
        <v>7.9030899999999997</v>
      </c>
      <c r="AA352" s="9">
        <f t="shared" si="57"/>
        <v>0.93825000000000003</v>
      </c>
      <c r="AB352" s="9">
        <f t="shared" si="58"/>
        <v>1.1597222222222223</v>
      </c>
      <c r="AC352" s="9">
        <f t="shared" si="59"/>
        <v>0.65277777777777779</v>
      </c>
      <c r="AD352" s="9">
        <f t="shared" si="60"/>
        <v>2.6715277079352306</v>
      </c>
      <c r="AE352" s="9">
        <f t="shared" si="61"/>
        <v>1.3247326427302291</v>
      </c>
      <c r="AF352" s="9">
        <f t="shared" si="62"/>
        <v>4.0169561188052532</v>
      </c>
      <c r="AG352" s="9">
        <f t="shared" si="54"/>
        <v>1.3780323359759228</v>
      </c>
      <c r="AH352" s="9">
        <f t="shared" si="53"/>
        <v>0.97542218036436035</v>
      </c>
      <c r="AI352" s="9">
        <f t="shared" si="55"/>
        <v>1.2356707680306545</v>
      </c>
      <c r="AJ352" s="9">
        <f>(4*PI()*(AI352^2))/(Y352+E352)</f>
        <v>0.87599153563129151</v>
      </c>
      <c r="AK352" s="12">
        <f t="shared" si="56"/>
        <v>0.66976744186046511</v>
      </c>
      <c r="AL352" s="12" t="s">
        <v>144</v>
      </c>
      <c r="AM352" s="12" t="s">
        <v>142</v>
      </c>
      <c r="AN352" s="18">
        <v>8.3552</v>
      </c>
      <c r="AO352" s="18">
        <v>0.81145999999999996</v>
      </c>
      <c r="AP352" s="18">
        <v>15913</v>
      </c>
      <c r="AQ352" s="18">
        <v>15983</v>
      </c>
      <c r="AR352" s="18">
        <v>3.6463000000000001</v>
      </c>
      <c r="AS352" s="18">
        <v>2.7777000000000001E-3</v>
      </c>
      <c r="AT352" s="18">
        <v>0.76532</v>
      </c>
      <c r="AU352" s="18">
        <v>0.42591000000000001</v>
      </c>
      <c r="AV352" s="18">
        <v>5.8371999999999999E-3</v>
      </c>
      <c r="AW352" s="18">
        <v>2.0967E-3</v>
      </c>
      <c r="AX352" s="18">
        <v>0.27167999999999998</v>
      </c>
      <c r="AY352" s="18">
        <v>-7.2211999999999998E-2</v>
      </c>
      <c r="AZ352" s="18">
        <v>-2323.8000000000002</v>
      </c>
      <c r="BA352" s="18">
        <v>1.5008000000000001E-2</v>
      </c>
      <c r="BB352" s="18">
        <v>4.2123999999999997</v>
      </c>
      <c r="BC352" s="18" t="s">
        <v>162</v>
      </c>
      <c r="BD352" s="35" t="s">
        <v>163</v>
      </c>
      <c r="BE352" t="s">
        <v>167</v>
      </c>
    </row>
    <row r="353" spans="1:57" x14ac:dyDescent="0.25">
      <c r="A353" s="25" t="s">
        <v>423</v>
      </c>
      <c r="B353" s="18" t="s">
        <v>5</v>
      </c>
      <c r="C353" s="18" t="s">
        <v>14</v>
      </c>
      <c r="D353" s="18">
        <v>27</v>
      </c>
      <c r="E353" s="18">
        <v>4.6357999999999997</v>
      </c>
      <c r="F353" s="18">
        <v>7.9734999999999996</v>
      </c>
      <c r="G353" s="15">
        <v>4.79</v>
      </c>
      <c r="H353" s="15">
        <v>4.5</v>
      </c>
      <c r="I353" s="15">
        <v>2.98</v>
      </c>
      <c r="J353" s="15">
        <v>7.89</v>
      </c>
      <c r="K353" s="15">
        <v>68.5</v>
      </c>
      <c r="L353" s="15">
        <v>68.53</v>
      </c>
      <c r="M353" s="15">
        <v>3.5</v>
      </c>
      <c r="N353" s="15">
        <v>2</v>
      </c>
      <c r="O353" s="15">
        <f>2.11+1.79</f>
        <v>3.9</v>
      </c>
      <c r="P353" s="9">
        <v>1.8805400000000001</v>
      </c>
      <c r="Q353" s="9">
        <v>1.5232600000000001</v>
      </c>
      <c r="R353" s="9">
        <v>-0.106742</v>
      </c>
      <c r="S353" s="9">
        <v>0.21259800000000001</v>
      </c>
      <c r="T353" s="9">
        <v>0.27559899999999998</v>
      </c>
      <c r="U353" s="9">
        <v>0.181953</v>
      </c>
      <c r="V353" s="9">
        <v>3.66127</v>
      </c>
      <c r="W353" s="9">
        <v>2.4035799999999998</v>
      </c>
      <c r="X353" s="9">
        <v>4.5200199999999997</v>
      </c>
      <c r="Y353" s="9">
        <v>42.810400000000001</v>
      </c>
      <c r="Z353" s="9">
        <v>22.965800000000002</v>
      </c>
      <c r="AA353" s="9">
        <f t="shared" si="57"/>
        <v>0.80657046979865765</v>
      </c>
      <c r="AB353" s="9">
        <f t="shared" si="58"/>
        <v>1.6073825503355705</v>
      </c>
      <c r="AC353" s="9">
        <f t="shared" si="59"/>
        <v>1.5100671140939597</v>
      </c>
      <c r="AD353" s="9">
        <f t="shared" si="60"/>
        <v>9.2347383407394634</v>
      </c>
      <c r="AE353" s="9">
        <f t="shared" si="61"/>
        <v>4.9540100953449251</v>
      </c>
      <c r="AF353" s="9">
        <f t="shared" si="62"/>
        <v>5.2986052658054152</v>
      </c>
      <c r="AG353" s="9">
        <f t="shared" si="54"/>
        <v>1.2147514027037865</v>
      </c>
      <c r="AH353" s="9">
        <f t="shared" si="53"/>
        <v>0.95723435948381819</v>
      </c>
      <c r="AI353" s="9">
        <f t="shared" si="55"/>
        <v>1.763319416505011</v>
      </c>
      <c r="AJ353" s="9">
        <f>(4*PI()*(AI353^2))/(Y353+E353)</f>
        <v>0.82351290306428859</v>
      </c>
      <c r="AK353" s="12">
        <f t="shared" si="56"/>
        <v>0.76410256410256416</v>
      </c>
      <c r="AL353" s="12" t="s">
        <v>140</v>
      </c>
      <c r="AM353" s="12" t="s">
        <v>142</v>
      </c>
      <c r="AN353" s="18">
        <v>2.7423999999999999</v>
      </c>
      <c r="AO353" s="18">
        <v>0.26727000000000001</v>
      </c>
      <c r="AP353" s="18">
        <v>10118</v>
      </c>
      <c r="AQ353" s="18">
        <v>8788.7999999999993</v>
      </c>
      <c r="AR353" s="18">
        <v>1.2736000000000001</v>
      </c>
      <c r="AS353" s="18">
        <v>2.8875999999999999E-2</v>
      </c>
      <c r="AT353" s="18">
        <v>0.69703000000000004</v>
      </c>
      <c r="AU353" s="18">
        <v>6.0434999999999999</v>
      </c>
      <c r="AV353" s="18">
        <v>0.58889999999999998</v>
      </c>
      <c r="AW353" s="18">
        <v>2.3987999999999999E-2</v>
      </c>
      <c r="AX353" s="18">
        <v>8.5599999999999996E-2</v>
      </c>
      <c r="AY353" s="18">
        <v>1.5084</v>
      </c>
      <c r="AZ353" s="18">
        <v>-127.75</v>
      </c>
      <c r="BA353" s="18">
        <v>4.3225E-2</v>
      </c>
      <c r="BB353" s="18">
        <v>3.4731000000000001</v>
      </c>
      <c r="BC353" s="18" t="s">
        <v>164</v>
      </c>
      <c r="BD353" s="35" t="s">
        <v>163</v>
      </c>
      <c r="BE353" t="s">
        <v>167</v>
      </c>
    </row>
    <row r="354" spans="1:57" x14ac:dyDescent="0.25">
      <c r="A354" s="25" t="s">
        <v>424</v>
      </c>
      <c r="B354" s="18" t="s">
        <v>13</v>
      </c>
      <c r="C354" s="18" t="s">
        <v>6</v>
      </c>
      <c r="D354" s="18">
        <v>83</v>
      </c>
      <c r="E354" s="18">
        <v>11.103999999999999</v>
      </c>
      <c r="F354" s="18">
        <v>12.073</v>
      </c>
      <c r="G354" s="15">
        <v>6.55</v>
      </c>
      <c r="H354" s="15">
        <v>4.4000000000000004</v>
      </c>
      <c r="I354" s="15">
        <v>2.02</v>
      </c>
      <c r="J354" s="15">
        <v>51.85</v>
      </c>
      <c r="K354" s="15">
        <v>22.87</v>
      </c>
      <c r="L354" s="15">
        <v>64.209999999999994</v>
      </c>
      <c r="M354" s="15">
        <v>4.25</v>
      </c>
      <c r="N354" s="15">
        <v>2</v>
      </c>
      <c r="O354" s="15">
        <f>1.9+2.08</f>
        <v>3.98</v>
      </c>
      <c r="P354" s="9">
        <v>1.2105399999999999</v>
      </c>
      <c r="Q354" s="9">
        <v>1.71008</v>
      </c>
      <c r="R354" s="9">
        <v>0.15116299999999999</v>
      </c>
      <c r="S354" s="9">
        <v>0.161162</v>
      </c>
      <c r="T354" s="9">
        <v>0.20180699999999999</v>
      </c>
      <c r="U354" s="9">
        <v>0.105361</v>
      </c>
      <c r="V354" s="9">
        <v>6.1914899999999999</v>
      </c>
      <c r="W354" s="9">
        <v>3.62059</v>
      </c>
      <c r="X354" s="9">
        <v>4.3828800000000001</v>
      </c>
      <c r="Y354" s="9">
        <v>67.979699999999994</v>
      </c>
      <c r="Z354" s="9">
        <v>53.152099999999997</v>
      </c>
      <c r="AA354" s="9">
        <f t="shared" si="57"/>
        <v>1.7923712871287127</v>
      </c>
      <c r="AB354" s="9">
        <f t="shared" si="58"/>
        <v>3.2425742574257423</v>
      </c>
      <c r="AC354" s="9">
        <f t="shared" si="59"/>
        <v>2.1782178217821784</v>
      </c>
      <c r="AD354" s="9">
        <f t="shared" si="60"/>
        <v>6.1220911383285301</v>
      </c>
      <c r="AE354" s="9">
        <f t="shared" si="61"/>
        <v>4.7867525216138329</v>
      </c>
      <c r="AF354" s="9">
        <f t="shared" si="62"/>
        <v>4.8087510237539224</v>
      </c>
      <c r="AG354" s="9">
        <f t="shared" si="54"/>
        <v>1.8800300466175566</v>
      </c>
      <c r="AH354" s="9">
        <f t="shared" ref="AH354:AH417" si="63">(2*PI()*AG354)/F354</f>
        <v>0.97842931880755268</v>
      </c>
      <c r="AI354" s="9">
        <f t="shared" si="55"/>
        <v>2.3324406738553591</v>
      </c>
      <c r="AJ354" s="9">
        <f>(4*PI()*(AI354^2))/(Y354+E354)</f>
        <v>0.86445839541764824</v>
      </c>
      <c r="AK354" s="12">
        <f t="shared" si="56"/>
        <v>0.50753768844221103</v>
      </c>
      <c r="AL354" s="12" t="s">
        <v>140</v>
      </c>
      <c r="AM354" s="12" t="s">
        <v>142</v>
      </c>
      <c r="AN354" s="18">
        <v>9.5470000000000006</v>
      </c>
      <c r="AO354" s="18">
        <v>0.77176</v>
      </c>
      <c r="AP354" s="18">
        <v>17357</v>
      </c>
      <c r="AQ354" s="18">
        <v>16419</v>
      </c>
      <c r="AR354" s="18">
        <v>4.2778</v>
      </c>
      <c r="AS354" s="18">
        <v>6.0832000000000004E-3</v>
      </c>
      <c r="AT354" s="18">
        <v>0.74222999999999995</v>
      </c>
      <c r="AU354" s="18">
        <v>0.38815</v>
      </c>
      <c r="AV354" s="18">
        <v>9.7937000000000007E-3</v>
      </c>
      <c r="AW354" s="18">
        <v>3.9337E-3</v>
      </c>
      <c r="AX354" s="18">
        <v>0.32379000000000002</v>
      </c>
      <c r="AY354" s="18">
        <v>-7.4195000000000002</v>
      </c>
      <c r="AZ354" s="18">
        <v>-2502.6999999999998</v>
      </c>
      <c r="BA354" s="18">
        <v>7.8933000000000003E-2</v>
      </c>
      <c r="BB354" s="18">
        <v>13.629</v>
      </c>
      <c r="BC354" s="18" t="s">
        <v>162</v>
      </c>
      <c r="BD354" s="35" t="s">
        <v>165</v>
      </c>
      <c r="BE354" t="s">
        <v>168</v>
      </c>
    </row>
    <row r="355" spans="1:57" x14ac:dyDescent="0.25">
      <c r="A355" s="25" t="s">
        <v>425</v>
      </c>
      <c r="B355" s="18" t="s">
        <v>13</v>
      </c>
      <c r="C355" s="18" t="s">
        <v>6</v>
      </c>
      <c r="D355" s="18">
        <v>74</v>
      </c>
      <c r="E355" s="18">
        <v>15.815</v>
      </c>
      <c r="F355" s="18">
        <v>14.957000000000001</v>
      </c>
      <c r="G355" s="15">
        <v>5.71</v>
      </c>
      <c r="H355" s="15">
        <v>2.5</v>
      </c>
      <c r="I355" s="15">
        <v>1.9</v>
      </c>
      <c r="J355" s="15">
        <v>73.650000000000006</v>
      </c>
      <c r="K355" s="15">
        <v>8.64</v>
      </c>
      <c r="L355" s="15">
        <v>87.25</v>
      </c>
      <c r="M355" s="15">
        <v>4.5999999999999996</v>
      </c>
      <c r="N355" s="15">
        <v>2</v>
      </c>
      <c r="O355" s="15">
        <f>1.84+1.89</f>
        <v>3.73</v>
      </c>
      <c r="P355" s="9">
        <v>0.58696199999999998</v>
      </c>
      <c r="Q355" s="9">
        <v>1.26834</v>
      </c>
      <c r="R355" s="9">
        <v>0.37755100000000003</v>
      </c>
      <c r="S355" s="9">
        <v>5.3019499999999997E-2</v>
      </c>
      <c r="T355" s="9">
        <v>8.0180899999999999E-2</v>
      </c>
      <c r="U355" s="9">
        <v>6.0645400000000002E-2</v>
      </c>
      <c r="V355" s="9">
        <v>5.4289100000000001</v>
      </c>
      <c r="W355" s="9">
        <v>4.2803100000000001</v>
      </c>
      <c r="X355" s="9">
        <v>2.5123799999999998</v>
      </c>
      <c r="Y355" s="9">
        <v>35.8889</v>
      </c>
      <c r="Z355" s="9">
        <v>25.222200000000001</v>
      </c>
      <c r="AA355" s="9">
        <f t="shared" si="57"/>
        <v>2.2527947368421053</v>
      </c>
      <c r="AB355" s="9">
        <f t="shared" si="58"/>
        <v>3.0052631578947371</v>
      </c>
      <c r="AC355" s="9">
        <f t="shared" si="59"/>
        <v>1.3157894736842106</v>
      </c>
      <c r="AD355" s="9">
        <f t="shared" si="60"/>
        <v>2.2692949731267786</v>
      </c>
      <c r="AE355" s="9">
        <f t="shared" si="61"/>
        <v>1.5948276952260514</v>
      </c>
      <c r="AF355" s="9">
        <f t="shared" si="62"/>
        <v>4.1729018569908884</v>
      </c>
      <c r="AG355" s="9">
        <f t="shared" si="54"/>
        <v>2.2436735168015534</v>
      </c>
      <c r="AH355" s="9">
        <f t="shared" si="63"/>
        <v>0.94252968341749488</v>
      </c>
      <c r="AI355" s="9">
        <f t="shared" si="55"/>
        <v>1.8192740239923186</v>
      </c>
      <c r="AJ355" s="9">
        <f>(4*PI()*(AI355^2))/(Y355+E355)</f>
        <v>0.80441988611699256</v>
      </c>
      <c r="AK355" s="12">
        <f t="shared" si="56"/>
        <v>0.5093833780160858</v>
      </c>
      <c r="AL355" s="12" t="s">
        <v>140</v>
      </c>
      <c r="AM355" s="12" t="s">
        <v>142</v>
      </c>
      <c r="AN355" s="18">
        <v>8.4997000000000007</v>
      </c>
      <c r="AO355" s="18">
        <v>0.96794000000000002</v>
      </c>
      <c r="AP355" s="18">
        <v>14379</v>
      </c>
      <c r="AQ355" s="18">
        <v>14119</v>
      </c>
      <c r="AR355" s="18">
        <v>4.1943000000000001</v>
      </c>
      <c r="AS355" s="18">
        <v>1.5202E-3</v>
      </c>
      <c r="AT355" s="18">
        <v>0.77434999999999998</v>
      </c>
      <c r="AU355" s="18">
        <v>0.34049000000000001</v>
      </c>
      <c r="AV355" s="18">
        <v>0</v>
      </c>
      <c r="AW355" s="18">
        <v>5.9966000000000004E-3</v>
      </c>
      <c r="AX355" s="18">
        <v>0.23191000000000001</v>
      </c>
      <c r="AY355" s="18">
        <v>15.259</v>
      </c>
      <c r="AZ355" s="18">
        <v>4500.6000000000004</v>
      </c>
      <c r="BA355" s="18">
        <v>2.1977E-2</v>
      </c>
      <c r="BB355" s="18">
        <v>36.039000000000001</v>
      </c>
      <c r="BC355" s="18" t="s">
        <v>162</v>
      </c>
      <c r="BD355" s="35" t="s">
        <v>165</v>
      </c>
      <c r="BE355" t="s">
        <v>167</v>
      </c>
    </row>
    <row r="356" spans="1:57" x14ac:dyDescent="0.25">
      <c r="A356" s="25" t="s">
        <v>426</v>
      </c>
      <c r="B356" s="18" t="s">
        <v>5</v>
      </c>
      <c r="C356" s="18" t="s">
        <v>6</v>
      </c>
      <c r="D356" s="18">
        <v>27</v>
      </c>
      <c r="E356" s="18">
        <v>5.915</v>
      </c>
      <c r="F356" s="18">
        <v>8.8867999999999991</v>
      </c>
      <c r="G356" s="15">
        <v>5.2</v>
      </c>
      <c r="H356" s="15">
        <v>3.97</v>
      </c>
      <c r="I356" s="15">
        <v>2.88</v>
      </c>
      <c r="J356" s="15">
        <v>85.88</v>
      </c>
      <c r="K356" s="15">
        <v>43.63</v>
      </c>
      <c r="L356" s="15">
        <v>48.38</v>
      </c>
      <c r="M356" s="15">
        <v>3.5</v>
      </c>
      <c r="N356" s="15">
        <v>2</v>
      </c>
      <c r="O356" s="15">
        <f>1.21+3.06</f>
        <v>4.2699999999999996</v>
      </c>
      <c r="P356" s="9">
        <v>1.47742</v>
      </c>
      <c r="Q356" s="9">
        <v>1.4256500000000001</v>
      </c>
      <c r="R356" s="9">
        <v>-7.6923099999999994E-2</v>
      </c>
      <c r="S356" s="9">
        <v>0.17508499999999999</v>
      </c>
      <c r="T356" s="9">
        <v>0.22264900000000001</v>
      </c>
      <c r="U356" s="9">
        <v>0.14372199999999999</v>
      </c>
      <c r="V356" s="9">
        <v>3.8505799999999999</v>
      </c>
      <c r="W356" s="9">
        <v>2.70092</v>
      </c>
      <c r="X356" s="9">
        <v>3.9904099999999998</v>
      </c>
      <c r="Y356" s="9">
        <v>40.293700000000001</v>
      </c>
      <c r="Z356" s="9">
        <v>23.311499999999999</v>
      </c>
      <c r="AA356" s="9">
        <f t="shared" si="57"/>
        <v>0.93781944444444443</v>
      </c>
      <c r="AB356" s="9">
        <f t="shared" si="58"/>
        <v>1.8055555555555556</v>
      </c>
      <c r="AC356" s="9">
        <f t="shared" si="59"/>
        <v>1.3784722222222223</v>
      </c>
      <c r="AD356" s="9">
        <f t="shared" si="60"/>
        <v>6.8121217244294172</v>
      </c>
      <c r="AE356" s="9">
        <f t="shared" si="61"/>
        <v>3.9410819949281484</v>
      </c>
      <c r="AF356" s="9">
        <f t="shared" si="62"/>
        <v>4.9376882783669069</v>
      </c>
      <c r="AG356" s="9">
        <f t="shared" si="54"/>
        <v>1.3721526798345445</v>
      </c>
      <c r="AH356" s="9">
        <f t="shared" si="63"/>
        <v>0.97014555938509994</v>
      </c>
      <c r="AI356" s="9">
        <f t="shared" si="55"/>
        <v>1.7721230319815455</v>
      </c>
      <c r="AJ356" s="9">
        <f>(4*PI()*(AI356^2))/(Y356+E356)</f>
        <v>0.8540314294370065</v>
      </c>
      <c r="AK356" s="12">
        <f t="shared" si="56"/>
        <v>0.67447306791569095</v>
      </c>
      <c r="AL356" s="12" t="s">
        <v>144</v>
      </c>
      <c r="AM356" s="12" t="s">
        <v>142</v>
      </c>
      <c r="AN356" s="18">
        <v>6.5251000000000001</v>
      </c>
      <c r="AO356" s="18">
        <v>0.65234999999999999</v>
      </c>
      <c r="AP356" s="18">
        <v>13200</v>
      </c>
      <c r="AQ356" s="18">
        <v>12277</v>
      </c>
      <c r="AR356" s="18">
        <v>3.0152999999999999</v>
      </c>
      <c r="AS356" s="18">
        <v>2.8246E-2</v>
      </c>
      <c r="AT356" s="18">
        <v>0.69979999999999998</v>
      </c>
      <c r="AU356" s="18">
        <v>1.0874999999999999</v>
      </c>
      <c r="AV356" s="18">
        <v>0.11910999999999999</v>
      </c>
      <c r="AW356" s="18">
        <v>2.1697000000000001E-2</v>
      </c>
      <c r="AX356" s="18">
        <v>0.20377999999999999</v>
      </c>
      <c r="AY356" s="18">
        <v>2.2545999999999999</v>
      </c>
      <c r="AZ356" s="18">
        <v>151.6</v>
      </c>
      <c r="BA356" s="18">
        <v>3.5326000000000003E-2</v>
      </c>
      <c r="BB356" s="18">
        <v>8.6753999999999998</v>
      </c>
      <c r="BC356" s="18" t="s">
        <v>162</v>
      </c>
      <c r="BD356" s="35" t="s">
        <v>163</v>
      </c>
      <c r="BE356" t="s">
        <v>167</v>
      </c>
    </row>
    <row r="357" spans="1:57" x14ac:dyDescent="0.25">
      <c r="A357" s="25" t="s">
        <v>427</v>
      </c>
      <c r="B357" s="18" t="s">
        <v>26</v>
      </c>
      <c r="C357" s="18" t="s">
        <v>14</v>
      </c>
      <c r="D357" s="18">
        <v>64</v>
      </c>
      <c r="E357" s="18">
        <v>31.816773927343899</v>
      </c>
      <c r="F357" s="18">
        <v>21.61</v>
      </c>
      <c r="G357" s="15">
        <v>11.67</v>
      </c>
      <c r="H357" s="15">
        <v>9.4499999999999993</v>
      </c>
      <c r="I357" s="15">
        <v>2.71</v>
      </c>
      <c r="J357" s="15">
        <v>45.79</v>
      </c>
      <c r="K357" s="15">
        <v>51.64</v>
      </c>
      <c r="L357" s="15">
        <v>2</v>
      </c>
      <c r="M357" s="15">
        <v>8.5</v>
      </c>
      <c r="N357" s="15">
        <v>2</v>
      </c>
      <c r="O357" s="15">
        <f>2.12+2.09</f>
        <v>4.21</v>
      </c>
      <c r="P357" s="9">
        <v>1.5915699999999999</v>
      </c>
      <c r="Q357" s="9">
        <v>1.71102</v>
      </c>
      <c r="R357" s="9">
        <v>-0.109626</v>
      </c>
      <c r="S357" s="9">
        <v>0.16864899999999999</v>
      </c>
      <c r="T357" s="9">
        <v>0.21157799999999999</v>
      </c>
      <c r="U357" s="9">
        <v>0.134515</v>
      </c>
      <c r="V357" s="9">
        <v>10.142200000000001</v>
      </c>
      <c r="W357" s="9">
        <v>5.9276099999999996</v>
      </c>
      <c r="X357" s="9">
        <v>9.4341899999999992</v>
      </c>
      <c r="Y357" s="9">
        <v>246.124</v>
      </c>
      <c r="Z357" s="9">
        <v>359.46600000000001</v>
      </c>
      <c r="AA357" s="9">
        <f t="shared" si="57"/>
        <v>2.1873099630996307</v>
      </c>
      <c r="AB357" s="9">
        <f t="shared" si="58"/>
        <v>4.3062730627306269</v>
      </c>
      <c r="AC357" s="9">
        <f t="shared" si="59"/>
        <v>3.4870848708487081</v>
      </c>
      <c r="AD357" s="9">
        <f t="shared" si="60"/>
        <v>7.7356680021061681</v>
      </c>
      <c r="AE357" s="9">
        <f t="shared" si="61"/>
        <v>11.298002771144203</v>
      </c>
      <c r="AF357" s="9">
        <f t="shared" si="62"/>
        <v>4.868353271848056</v>
      </c>
      <c r="AG357" s="9">
        <f t="shared" si="54"/>
        <v>3.182388047920655</v>
      </c>
      <c r="AH357" s="9">
        <f t="shared" si="63"/>
        <v>0.92529078317626023</v>
      </c>
      <c r="AI357" s="9">
        <f t="shared" si="55"/>
        <v>4.410857931651889</v>
      </c>
      <c r="AJ357" s="9">
        <f>(4*PI()*(AI357^2))/(Y357+E357)</f>
        <v>0.87963751171925009</v>
      </c>
      <c r="AK357" s="12">
        <f t="shared" si="56"/>
        <v>0.6437054631828979</v>
      </c>
      <c r="AL357" s="12" t="s">
        <v>140</v>
      </c>
      <c r="AM357" s="12" t="s">
        <v>142</v>
      </c>
      <c r="AN357" s="18">
        <v>2.4944521397991801</v>
      </c>
      <c r="AO357" s="18">
        <v>0.35632859237703002</v>
      </c>
      <c r="AP357" s="18">
        <v>2238.7941165635202</v>
      </c>
      <c r="AQ357" s="18">
        <v>2165.6649267032099</v>
      </c>
      <c r="AR357" s="18">
        <v>1.5927268602839899</v>
      </c>
      <c r="AS357" s="18">
        <v>3.1120430436965899E-2</v>
      </c>
      <c r="AT357" s="18">
        <v>0.66118172717289803</v>
      </c>
      <c r="AU357" s="18">
        <v>1.24129474822587</v>
      </c>
      <c r="AV357" s="18">
        <v>0.14705192992022301</v>
      </c>
      <c r="AW357" s="18">
        <v>2.7101971418087799E-2</v>
      </c>
      <c r="AX357" s="18">
        <v>0.14146945220479201</v>
      </c>
      <c r="AY357" s="18">
        <v>-28.6559157480864</v>
      </c>
      <c r="AZ357" s="18">
        <v>-394.430258973082</v>
      </c>
      <c r="BA357" s="18">
        <v>0.40917757677458899</v>
      </c>
      <c r="BB357" s="18">
        <v>14.539695906187299</v>
      </c>
      <c r="BC357" s="18" t="s">
        <v>164</v>
      </c>
      <c r="BD357" s="35" t="s">
        <v>165</v>
      </c>
      <c r="BE357" t="s">
        <v>167</v>
      </c>
    </row>
    <row r="358" spans="1:57" x14ac:dyDescent="0.25">
      <c r="A358" s="25" t="s">
        <v>428</v>
      </c>
      <c r="B358" s="18" t="s">
        <v>40</v>
      </c>
      <c r="C358" s="18" t="s">
        <v>6</v>
      </c>
      <c r="D358" s="18">
        <v>41</v>
      </c>
      <c r="E358" s="18">
        <v>4.3562119460070203</v>
      </c>
      <c r="F358" s="18">
        <v>7.5552000000000001</v>
      </c>
      <c r="G358" s="15">
        <v>3.58</v>
      </c>
      <c r="H358" s="15">
        <v>2.4500000000000002</v>
      </c>
      <c r="I358" s="15">
        <v>2.57</v>
      </c>
      <c r="J358" s="15">
        <v>26.56</v>
      </c>
      <c r="K358" s="15">
        <v>23.39</v>
      </c>
      <c r="L358" s="15">
        <v>53.99</v>
      </c>
      <c r="M358" s="15">
        <v>3.2</v>
      </c>
      <c r="N358" s="15">
        <v>4</v>
      </c>
      <c r="O358" s="15">
        <f>1.11+2.07+1.22+1.4</f>
        <v>5.7999999999999989</v>
      </c>
      <c r="P358" s="9">
        <v>1.0707199999999999</v>
      </c>
      <c r="Q358" s="9">
        <v>1.5169600000000001</v>
      </c>
      <c r="R358" s="9">
        <v>-2.0833299999999999E-2</v>
      </c>
      <c r="S358" s="9">
        <v>0.12862100000000001</v>
      </c>
      <c r="T358" s="9">
        <v>0.15673599999999999</v>
      </c>
      <c r="U358" s="9">
        <v>5.0542900000000002E-2</v>
      </c>
      <c r="V358" s="9">
        <v>3.4712200000000002</v>
      </c>
      <c r="W358" s="9">
        <v>2.2882699999999998</v>
      </c>
      <c r="X358" s="9">
        <v>2.4500899999999999</v>
      </c>
      <c r="Y358" s="9">
        <v>23.447099999999999</v>
      </c>
      <c r="Z358" s="9">
        <v>11.6914</v>
      </c>
      <c r="AA358" s="9">
        <f t="shared" si="57"/>
        <v>0.89037743190661478</v>
      </c>
      <c r="AB358" s="9">
        <f t="shared" si="58"/>
        <v>1.3929961089494165</v>
      </c>
      <c r="AC358" s="9">
        <f t="shared" si="59"/>
        <v>0.95330739299610912</v>
      </c>
      <c r="AD358" s="9">
        <f t="shared" si="60"/>
        <v>5.3824516094750665</v>
      </c>
      <c r="AE358" s="9">
        <f t="shared" si="61"/>
        <v>2.6838455394064424</v>
      </c>
      <c r="AF358" s="9">
        <f t="shared" si="62"/>
        <v>4.5517470850783264</v>
      </c>
      <c r="AG358" s="9">
        <f t="shared" si="54"/>
        <v>1.1775505631292289</v>
      </c>
      <c r="AH358" s="9">
        <f t="shared" si="63"/>
        <v>0.97929484285189261</v>
      </c>
      <c r="AI358" s="9">
        <f t="shared" si="55"/>
        <v>1.4079675212330276</v>
      </c>
      <c r="AJ358" s="9">
        <f>(4*PI()*(AI358^2))/(Y358+E358)</f>
        <v>0.8959805972896282</v>
      </c>
      <c r="AK358" s="12">
        <f t="shared" si="56"/>
        <v>0.44310344827586212</v>
      </c>
      <c r="AL358" s="12" t="s">
        <v>144</v>
      </c>
      <c r="AM358" s="12" t="s">
        <v>142</v>
      </c>
      <c r="AN358" s="18">
        <v>2.2616616674027301</v>
      </c>
      <c r="AO358" s="18">
        <v>0.33698714938632901</v>
      </c>
      <c r="AP358" s="18">
        <v>8399.1603647800403</v>
      </c>
      <c r="AQ358" s="18">
        <v>7211.8288645647399</v>
      </c>
      <c r="AR358" s="18">
        <v>1.0117743741832299</v>
      </c>
      <c r="AS358" s="18">
        <v>9.4224009379744993E-3</v>
      </c>
      <c r="AT358" s="18">
        <v>0.740684099126941</v>
      </c>
      <c r="AU358" s="18">
        <v>2.15965481598269</v>
      </c>
      <c r="AV358" s="18">
        <v>0.106694440691606</v>
      </c>
      <c r="AW358" s="18">
        <v>8.7502977660158E-3</v>
      </c>
      <c r="AX358" s="18">
        <v>8.8364462977907496E-2</v>
      </c>
      <c r="AY358" s="18">
        <v>-21.344586054881098</v>
      </c>
      <c r="AZ358" s="18">
        <v>-822.71279516361301</v>
      </c>
      <c r="BA358" s="18">
        <v>8.8130555424602505E-2</v>
      </c>
      <c r="BB358" s="18">
        <v>17.2136876262412</v>
      </c>
      <c r="BC358" s="18" t="s">
        <v>164</v>
      </c>
      <c r="BD358" s="35" t="s">
        <v>165</v>
      </c>
      <c r="BE358" t="s">
        <v>168</v>
      </c>
    </row>
    <row r="359" spans="1:57" x14ac:dyDescent="0.25">
      <c r="A359" s="25" t="s">
        <v>429</v>
      </c>
      <c r="B359" s="18" t="s">
        <v>26</v>
      </c>
      <c r="C359" s="18" t="s">
        <v>6</v>
      </c>
      <c r="D359" s="18">
        <v>71</v>
      </c>
      <c r="E359" s="18">
        <v>25.4773302141386</v>
      </c>
      <c r="F359" s="18">
        <v>18.920999999999999</v>
      </c>
      <c r="G359" s="15">
        <v>10.43</v>
      </c>
      <c r="H359" s="15">
        <v>6</v>
      </c>
      <c r="I359" s="15">
        <v>2.52</v>
      </c>
      <c r="J359" s="15">
        <v>103.22</v>
      </c>
      <c r="K359" s="15">
        <v>10.25</v>
      </c>
      <c r="L359" s="15">
        <v>68.59</v>
      </c>
      <c r="M359" s="15">
        <v>8.9</v>
      </c>
      <c r="N359" s="15">
        <v>2</v>
      </c>
      <c r="O359" s="15">
        <v>4.18</v>
      </c>
      <c r="P359" s="9">
        <v>1.1172299999999999</v>
      </c>
      <c r="Q359" s="9">
        <v>1.9223699999999999</v>
      </c>
      <c r="R359" s="9">
        <v>-0.144068</v>
      </c>
      <c r="S359" s="9">
        <v>0.15745400000000001</v>
      </c>
      <c r="T359" s="9">
        <v>0.18790000000000001</v>
      </c>
      <c r="U359" s="9">
        <v>5.8033300000000003E-2</v>
      </c>
      <c r="V359" s="9">
        <v>10.297499999999999</v>
      </c>
      <c r="W359" s="9">
        <v>5.3567</v>
      </c>
      <c r="X359" s="9">
        <v>5.98468</v>
      </c>
      <c r="Y359" s="9">
        <v>183.28700000000001</v>
      </c>
      <c r="Z359" s="9">
        <v>241.49</v>
      </c>
      <c r="AA359" s="9">
        <f t="shared" si="57"/>
        <v>2.1256746031746032</v>
      </c>
      <c r="AB359" s="9">
        <f t="shared" si="58"/>
        <v>4.1388888888888884</v>
      </c>
      <c r="AC359" s="9">
        <f t="shared" si="59"/>
        <v>2.3809523809523809</v>
      </c>
      <c r="AD359" s="9">
        <f t="shared" si="60"/>
        <v>7.1941211445414792</v>
      </c>
      <c r="AE359" s="9">
        <f t="shared" si="61"/>
        <v>9.4786226802518563</v>
      </c>
      <c r="AF359" s="9">
        <f t="shared" si="62"/>
        <v>4.7264190982140279</v>
      </c>
      <c r="AG359" s="9">
        <f t="shared" si="54"/>
        <v>2.8477510566637156</v>
      </c>
      <c r="AH359" s="9">
        <f t="shared" si="63"/>
        <v>0.94566606404178433</v>
      </c>
      <c r="AI359" s="9">
        <f t="shared" si="55"/>
        <v>3.863107978815691</v>
      </c>
      <c r="AJ359" s="9">
        <f>(4*PI()*(AI359^2))/(Y359+E359)</f>
        <v>0.8983121265211228</v>
      </c>
      <c r="AK359" s="12">
        <f t="shared" si="56"/>
        <v>0.60287081339712922</v>
      </c>
      <c r="AL359" s="12" t="s">
        <v>140</v>
      </c>
      <c r="AM359" s="12" t="s">
        <v>142</v>
      </c>
      <c r="AN359" s="18">
        <v>2.1019024738627201</v>
      </c>
      <c r="AO359" s="18">
        <v>0.255990235556874</v>
      </c>
      <c r="AP359" s="18">
        <v>4113.4137043781502</v>
      </c>
      <c r="AQ359" s="18">
        <v>3479.1685556750999</v>
      </c>
      <c r="AR359" s="18">
        <v>1.2567471790878399</v>
      </c>
      <c r="AS359" s="18">
        <v>1.7067072078314399E-2</v>
      </c>
      <c r="AT359" s="18">
        <v>0.70093160306560298</v>
      </c>
      <c r="AU359" s="18">
        <v>2.1746347355647999</v>
      </c>
      <c r="AV359" s="18">
        <v>0.42400888818742299</v>
      </c>
      <c r="AW359" s="18">
        <v>1.3109722102010999E-2</v>
      </c>
      <c r="AX359" s="18">
        <v>0.107622810888196</v>
      </c>
      <c r="AY359" s="18">
        <v>-45.013220826098298</v>
      </c>
      <c r="AZ359" s="18">
        <v>-448.299344359119</v>
      </c>
      <c r="BA359" s="18">
        <v>0.37196488034261399</v>
      </c>
      <c r="BB359" s="18">
        <v>38.351059572119503</v>
      </c>
      <c r="BC359" s="18" t="s">
        <v>162</v>
      </c>
      <c r="BD359" s="35" t="s">
        <v>165</v>
      </c>
      <c r="BE359" t="s">
        <v>167</v>
      </c>
    </row>
    <row r="360" spans="1:57" x14ac:dyDescent="0.25">
      <c r="A360" s="26" t="s">
        <v>430</v>
      </c>
      <c r="B360" s="18" t="s">
        <v>5</v>
      </c>
      <c r="C360" s="18" t="s">
        <v>6</v>
      </c>
      <c r="D360" s="18">
        <v>70</v>
      </c>
      <c r="E360" s="18">
        <v>102.41503910281401</v>
      </c>
      <c r="F360" s="18">
        <v>38.090000000000003</v>
      </c>
      <c r="G360" s="15">
        <v>35.700000000000003</v>
      </c>
      <c r="H360" s="15">
        <v>28.1</v>
      </c>
      <c r="I360" s="15">
        <v>2.8</v>
      </c>
      <c r="J360" s="15">
        <v>47.48</v>
      </c>
      <c r="K360" s="15">
        <v>51.14</v>
      </c>
      <c r="L360" s="15">
        <v>18.989999999999998</v>
      </c>
      <c r="M360" s="15">
        <v>15</v>
      </c>
      <c r="N360" s="15">
        <v>1</v>
      </c>
      <c r="O360" s="15">
        <v>2.97</v>
      </c>
      <c r="P360" s="9">
        <v>2.5202599999999999</v>
      </c>
      <c r="Q360" s="9">
        <v>1.7487200000000001</v>
      </c>
      <c r="R360" s="9">
        <v>0.186833</v>
      </c>
      <c r="S360" s="9">
        <v>0.248173</v>
      </c>
      <c r="T360" s="9">
        <v>0.28620499999999999</v>
      </c>
      <c r="U360" s="9">
        <v>0.11627</v>
      </c>
      <c r="V360" s="9">
        <v>19.552700000000002</v>
      </c>
      <c r="W360" s="9">
        <v>11.181100000000001</v>
      </c>
      <c r="X360" s="9">
        <v>28.179300000000001</v>
      </c>
      <c r="Y360" s="9">
        <v>1462.77</v>
      </c>
      <c r="Z360" s="9">
        <v>4486.58</v>
      </c>
      <c r="AA360" s="9">
        <f t="shared" si="57"/>
        <v>3.9932500000000006</v>
      </c>
      <c r="AB360" s="9">
        <f t="shared" si="58"/>
        <v>12.750000000000002</v>
      </c>
      <c r="AC360" s="9">
        <f t="shared" si="59"/>
        <v>10.035714285714286</v>
      </c>
      <c r="AD360" s="9">
        <f t="shared" si="60"/>
        <v>14.282765625188421</v>
      </c>
      <c r="AE360" s="9">
        <f t="shared" si="61"/>
        <v>43.807823922187268</v>
      </c>
      <c r="AF360" s="9">
        <f t="shared" si="62"/>
        <v>5.3773185844456668</v>
      </c>
      <c r="AG360" s="9">
        <f t="shared" si="54"/>
        <v>5.7096164004532906</v>
      </c>
      <c r="AH360" s="9">
        <f t="shared" si="63"/>
        <v>0.9418371718813261</v>
      </c>
      <c r="AI360" s="9">
        <f t="shared" si="55"/>
        <v>10.231569742259222</v>
      </c>
      <c r="AJ360" s="9">
        <f>(4*PI()*(AI360^2))/(Y360+E360)</f>
        <v>0.84048257462846887</v>
      </c>
      <c r="AK360" s="12">
        <f t="shared" si="56"/>
        <v>0.94276094276094269</v>
      </c>
      <c r="AL360" s="12" t="s">
        <v>140</v>
      </c>
      <c r="AM360" s="12" t="s">
        <v>143</v>
      </c>
      <c r="AN360" s="18">
        <v>0.19501673972425701</v>
      </c>
      <c r="AO360" s="18">
        <v>3.51316300808001E-2</v>
      </c>
      <c r="AP360" s="18">
        <v>197.52076479000399</v>
      </c>
      <c r="AQ360" s="18">
        <v>161.16591954296399</v>
      </c>
      <c r="AR360" s="18">
        <v>0.19025556463474799</v>
      </c>
      <c r="AS360" s="18">
        <v>6.3928881159727599E-2</v>
      </c>
      <c r="AT360" s="18">
        <v>0.64117152438272995</v>
      </c>
      <c r="AU360" s="18">
        <v>1300.2317446303</v>
      </c>
      <c r="AV360" s="18">
        <v>0.94341924826185397</v>
      </c>
      <c r="AW360" s="18">
        <v>4.7720608533938003E-2</v>
      </c>
      <c r="AX360" s="18">
        <v>2.7229891352516401E-2</v>
      </c>
      <c r="AY360" s="18">
        <v>-12.6865227277248</v>
      </c>
      <c r="AZ360" s="18">
        <v>-36.558010348345697</v>
      </c>
      <c r="BA360" s="18">
        <v>1.2803706595214299</v>
      </c>
      <c r="BB360" s="18">
        <v>5.1270409943962099</v>
      </c>
      <c r="BC360" s="18" t="s">
        <v>162</v>
      </c>
      <c r="BD360" s="35" t="s">
        <v>163</v>
      </c>
      <c r="BE360" t="s">
        <v>167</v>
      </c>
    </row>
    <row r="361" spans="1:57" x14ac:dyDescent="0.25">
      <c r="A361" s="25" t="s">
        <v>431</v>
      </c>
      <c r="B361" s="18" t="s">
        <v>13</v>
      </c>
      <c r="C361" s="18" t="s">
        <v>6</v>
      </c>
      <c r="D361" s="18">
        <v>70</v>
      </c>
      <c r="E361" s="18">
        <v>3.7245207037835399</v>
      </c>
      <c r="F361" s="18">
        <v>7.2634999999999996</v>
      </c>
      <c r="G361" s="15">
        <v>3.97</v>
      </c>
      <c r="H361" s="15">
        <v>3.4</v>
      </c>
      <c r="I361" s="15">
        <v>1.65</v>
      </c>
      <c r="J361" s="15">
        <v>50.64</v>
      </c>
      <c r="K361" s="15">
        <v>47.74</v>
      </c>
      <c r="L361" s="15">
        <v>83.47</v>
      </c>
      <c r="M361" s="15">
        <v>2.95</v>
      </c>
      <c r="N361" s="15">
        <v>2</v>
      </c>
      <c r="O361" s="15">
        <f>0.83+1.22</f>
        <v>2.0499999999999998</v>
      </c>
      <c r="P361" s="9">
        <v>1.6359999999999999</v>
      </c>
      <c r="Q361" s="9">
        <v>1.53789</v>
      </c>
      <c r="R361" s="9">
        <v>-6.0606100000000003E-2</v>
      </c>
      <c r="S361" s="9">
        <v>0.16910800000000001</v>
      </c>
      <c r="T361" s="9">
        <v>0.189808</v>
      </c>
      <c r="U361" s="9">
        <v>5.43318E-2</v>
      </c>
      <c r="V361" s="9">
        <v>3.19415</v>
      </c>
      <c r="W361" s="9">
        <v>2.0769700000000002</v>
      </c>
      <c r="X361" s="9">
        <v>3.3979300000000001</v>
      </c>
      <c r="Y361" s="9">
        <v>29.439499999999999</v>
      </c>
      <c r="Z361" s="9">
        <v>15.490600000000001</v>
      </c>
      <c r="AA361" s="9">
        <f t="shared" si="57"/>
        <v>1.2587696969696971</v>
      </c>
      <c r="AB361" s="9">
        <f t="shared" si="58"/>
        <v>2.4060606060606062</v>
      </c>
      <c r="AC361" s="9">
        <f t="shared" si="59"/>
        <v>2.0606060606060606</v>
      </c>
      <c r="AD361" s="9">
        <f t="shared" si="60"/>
        <v>7.9042385158697055</v>
      </c>
      <c r="AE361" s="9">
        <f t="shared" si="61"/>
        <v>4.1590854856207224</v>
      </c>
      <c r="AF361" s="9">
        <f t="shared" si="62"/>
        <v>4.7375259649576575</v>
      </c>
      <c r="AG361" s="9">
        <f t="shared" si="54"/>
        <v>1.0888304557232549</v>
      </c>
      <c r="AH361" s="9">
        <f t="shared" si="63"/>
        <v>0.94187699062573249</v>
      </c>
      <c r="AI361" s="9">
        <f t="shared" si="55"/>
        <v>1.5464167441536651</v>
      </c>
      <c r="AJ361" s="9">
        <f>(4*PI()*(AI361^2))/(Y361+E361)</f>
        <v>0.90614098342032656</v>
      </c>
      <c r="AK361" s="12">
        <f t="shared" si="56"/>
        <v>0.80487804878048785</v>
      </c>
      <c r="AL361" s="12" t="s">
        <v>144</v>
      </c>
      <c r="AM361" s="12" t="s">
        <v>142</v>
      </c>
      <c r="AN361" s="18">
        <v>6.2872061424323196</v>
      </c>
      <c r="AO361" s="18">
        <v>0.37987522939666002</v>
      </c>
      <c r="AP361" s="18">
        <v>16590.255599948701</v>
      </c>
      <c r="AQ361" s="18">
        <v>15777.071665236101</v>
      </c>
      <c r="AR361" s="18">
        <v>2.9239432293841001</v>
      </c>
      <c r="AS361" s="18">
        <v>7.8827189849002902E-3</v>
      </c>
      <c r="AT361" s="18">
        <v>0.75556311949183497</v>
      </c>
      <c r="AU361" s="18">
        <v>0.62569954834695696</v>
      </c>
      <c r="AV361" s="18">
        <v>4.1737216927544597E-2</v>
      </c>
      <c r="AW361" s="18">
        <v>6.04400207159176E-3</v>
      </c>
      <c r="AX361" s="18">
        <v>0.18927158323316501</v>
      </c>
      <c r="AY361" s="18">
        <v>-3.8880026623422599</v>
      </c>
      <c r="AZ361" s="18">
        <v>-1036.1825868149999</v>
      </c>
      <c r="BA361" s="18">
        <v>6.5570152976927198E-2</v>
      </c>
      <c r="BB361" s="18">
        <v>43.833206786349798</v>
      </c>
      <c r="BC361" s="18" t="s">
        <v>162</v>
      </c>
      <c r="BD361" s="35" t="s">
        <v>163</v>
      </c>
      <c r="BE361" t="s">
        <v>168</v>
      </c>
    </row>
    <row r="362" spans="1:57" x14ac:dyDescent="0.25">
      <c r="A362" s="25" t="s">
        <v>432</v>
      </c>
      <c r="B362" s="18" t="s">
        <v>26</v>
      </c>
      <c r="C362" s="18" t="s">
        <v>6</v>
      </c>
      <c r="D362" s="18">
        <v>65</v>
      </c>
      <c r="E362" s="18">
        <v>20.4136009609966</v>
      </c>
      <c r="F362" s="18">
        <v>16.277000000000001</v>
      </c>
      <c r="G362" s="15">
        <v>7.21</v>
      </c>
      <c r="H362" s="15">
        <v>5.55</v>
      </c>
      <c r="I362" s="15">
        <v>2.2799999999999998</v>
      </c>
      <c r="J362" s="15">
        <v>57.7</v>
      </c>
      <c r="K362" s="15">
        <v>41.31</v>
      </c>
      <c r="L362" s="15">
        <v>55.16</v>
      </c>
      <c r="M362" s="15">
        <v>5.6</v>
      </c>
      <c r="N362" s="15">
        <v>2</v>
      </c>
      <c r="O362" s="15">
        <f>2.5+1.26</f>
        <v>3.76</v>
      </c>
      <c r="P362" s="9">
        <v>1.10571</v>
      </c>
      <c r="Q362" s="9">
        <v>1.4066000000000001</v>
      </c>
      <c r="R362" s="9">
        <v>0.21818199999999999</v>
      </c>
      <c r="S362" s="9">
        <v>0.105986</v>
      </c>
      <c r="T362" s="9">
        <v>0.115733</v>
      </c>
      <c r="U362" s="9">
        <v>2.54069E-2</v>
      </c>
      <c r="V362" s="9">
        <v>7.1104399999999996</v>
      </c>
      <c r="W362" s="9">
        <v>5.0550699999999997</v>
      </c>
      <c r="X362" s="9">
        <v>5.5894599999999999</v>
      </c>
      <c r="Y362" s="9">
        <v>98.241799999999998</v>
      </c>
      <c r="Z362" s="9">
        <v>107.673</v>
      </c>
      <c r="AA362" s="9">
        <f t="shared" si="57"/>
        <v>2.2171359649122806</v>
      </c>
      <c r="AB362" s="9">
        <f t="shared" si="58"/>
        <v>3.1622807017543861</v>
      </c>
      <c r="AC362" s="9">
        <f t="shared" si="59"/>
        <v>2.4342105263157898</v>
      </c>
      <c r="AD362" s="9">
        <f t="shared" si="60"/>
        <v>4.8125659058245738</v>
      </c>
      <c r="AE362" s="9">
        <f t="shared" si="61"/>
        <v>5.2745716057508041</v>
      </c>
      <c r="AF362" s="9">
        <f t="shared" si="62"/>
        <v>4.3406866467609735</v>
      </c>
      <c r="AG362" s="9">
        <f t="shared" si="54"/>
        <v>2.5490882680864835</v>
      </c>
      <c r="AH362" s="9">
        <f t="shared" si="63"/>
        <v>0.98398930716623778</v>
      </c>
      <c r="AI362" s="9">
        <f t="shared" si="55"/>
        <v>2.9512504621657705</v>
      </c>
      <c r="AJ362" s="9">
        <f>(4*PI()*(AI362^2))/(Y362+E362)</f>
        <v>0.92243227264386596</v>
      </c>
      <c r="AK362" s="12">
        <f t="shared" si="56"/>
        <v>0.60638297872340419</v>
      </c>
      <c r="AL362" s="12" t="s">
        <v>144</v>
      </c>
      <c r="AM362" s="12" t="s">
        <v>142</v>
      </c>
      <c r="AN362" s="18">
        <v>8.2363794447015</v>
      </c>
      <c r="AO362" s="18">
        <v>0.64007009249894897</v>
      </c>
      <c r="AP362" s="18">
        <v>8539.9321209592199</v>
      </c>
      <c r="AQ362" s="18">
        <v>7694.42709823931</v>
      </c>
      <c r="AR362" s="18">
        <v>3.9449953255063499</v>
      </c>
      <c r="AS362" s="18">
        <v>1.07944222775062E-2</v>
      </c>
      <c r="AT362" s="18">
        <v>0.72107649163322296</v>
      </c>
      <c r="AU362" s="18">
        <v>0.52342480189879803</v>
      </c>
      <c r="AV362" s="18">
        <v>6.9700398152351295E-2</v>
      </c>
      <c r="AW362" s="18">
        <v>1.3669676976747799E-2</v>
      </c>
      <c r="AX362" s="18">
        <v>0.243820465286615</v>
      </c>
      <c r="AY362" s="18">
        <v>-33.147731171502002</v>
      </c>
      <c r="AZ362" s="18">
        <v>-2321.15309347625</v>
      </c>
      <c r="BA362" s="18">
        <v>0.12818208438957801</v>
      </c>
      <c r="BB362" s="18">
        <v>78.307163389177802</v>
      </c>
      <c r="BC362" s="18" t="s">
        <v>162</v>
      </c>
      <c r="BD362" s="35" t="s">
        <v>163</v>
      </c>
      <c r="BE362" t="s">
        <v>167</v>
      </c>
    </row>
    <row r="363" spans="1:57" x14ac:dyDescent="0.25">
      <c r="A363" s="25" t="s">
        <v>433</v>
      </c>
      <c r="B363" s="18" t="s">
        <v>13</v>
      </c>
      <c r="C363" s="18" t="s">
        <v>14</v>
      </c>
      <c r="D363" s="18">
        <v>49</v>
      </c>
      <c r="E363" s="18">
        <v>10.873742243276199</v>
      </c>
      <c r="F363" s="18">
        <v>13.956</v>
      </c>
      <c r="G363" s="15">
        <v>5.86</v>
      </c>
      <c r="H363" s="15">
        <v>1.55</v>
      </c>
      <c r="I363" s="15">
        <v>1.74</v>
      </c>
      <c r="J363" s="15">
        <v>80.19</v>
      </c>
      <c r="K363" s="15">
        <v>5.58</v>
      </c>
      <c r="L363" s="15">
        <v>87.64</v>
      </c>
      <c r="M363" s="15">
        <v>2.35</v>
      </c>
      <c r="N363" s="15">
        <v>2</v>
      </c>
      <c r="O363" s="15">
        <f>1.43+1.49</f>
        <v>2.92</v>
      </c>
      <c r="P363" s="9">
        <v>0.51215599999999994</v>
      </c>
      <c r="Q363" s="9">
        <v>1.86121</v>
      </c>
      <c r="R363" s="9">
        <v>0.36666700000000002</v>
      </c>
      <c r="S363" s="9">
        <v>0.10866000000000001</v>
      </c>
      <c r="T363" s="9">
        <v>0.124041</v>
      </c>
      <c r="U363" s="9">
        <v>2.4772200000000001E-2</v>
      </c>
      <c r="V363" s="9">
        <v>5.7482199999999999</v>
      </c>
      <c r="W363" s="9">
        <v>3.0884299999999998</v>
      </c>
      <c r="X363" s="9">
        <v>1.5817600000000001</v>
      </c>
      <c r="Y363" s="9">
        <v>23.2682</v>
      </c>
      <c r="Z363" s="9">
        <v>12.236599999999999</v>
      </c>
      <c r="AA363" s="9">
        <f t="shared" si="57"/>
        <v>1.7749597701149424</v>
      </c>
      <c r="AB363" s="9">
        <f t="shared" si="58"/>
        <v>3.367816091954023</v>
      </c>
      <c r="AC363" s="9">
        <f t="shared" si="59"/>
        <v>0.8908045977011495</v>
      </c>
      <c r="AD363" s="9">
        <f t="shared" si="60"/>
        <v>2.1398520839858919</v>
      </c>
      <c r="AE363" s="9">
        <f t="shared" si="61"/>
        <v>1.1253347491813617</v>
      </c>
      <c r="AF363" s="9">
        <f t="shared" si="62"/>
        <v>4.3818308866409499</v>
      </c>
      <c r="AG363" s="9">
        <f t="shared" si="54"/>
        <v>1.8604353404107126</v>
      </c>
      <c r="AH363" s="9">
        <f t="shared" si="63"/>
        <v>0.837593866138309</v>
      </c>
      <c r="AI363" s="9">
        <f t="shared" si="55"/>
        <v>1.4295215875557574</v>
      </c>
      <c r="AJ363" s="9">
        <f>(4*PI()*(AI363^2))/(Y363+E363)</f>
        <v>0.75214760500102207</v>
      </c>
      <c r="AK363" s="12">
        <f t="shared" si="56"/>
        <v>0.59589041095890416</v>
      </c>
      <c r="AL363" s="12" t="s">
        <v>140</v>
      </c>
      <c r="AM363" s="12" t="s">
        <v>142</v>
      </c>
      <c r="AN363" s="18">
        <v>9.5877085722276298</v>
      </c>
      <c r="AO363" s="18">
        <v>1.10164484923769</v>
      </c>
      <c r="AP363" s="18">
        <v>19334.6191676694</v>
      </c>
      <c r="AQ363" s="18">
        <v>18489.2857325697</v>
      </c>
      <c r="AR363" s="18">
        <v>4.6489824538511701</v>
      </c>
      <c r="AS363" s="18">
        <v>7.0471293356290203E-3</v>
      </c>
      <c r="AT363" s="18">
        <v>0.74742493550565403</v>
      </c>
      <c r="AU363" s="18">
        <v>0.454874799611245</v>
      </c>
      <c r="AV363" s="18">
        <v>7.1323383917518196E-3</v>
      </c>
      <c r="AW363" s="18">
        <v>4.7047949545561797E-3</v>
      </c>
      <c r="AX363" s="18">
        <v>0.24084278510340801</v>
      </c>
      <c r="AY363" s="18">
        <v>-3.0448979951172102</v>
      </c>
      <c r="AZ363" s="18">
        <v>-1913.68293544895</v>
      </c>
      <c r="BA363" s="18">
        <v>1.8028884904475701E-2</v>
      </c>
      <c r="BB363" s="18">
        <v>36.131668995691903</v>
      </c>
      <c r="BC363" s="18" t="s">
        <v>162</v>
      </c>
      <c r="BD363" s="35" t="s">
        <v>165</v>
      </c>
      <c r="BE363" t="s">
        <v>167</v>
      </c>
    </row>
    <row r="364" spans="1:57" x14ac:dyDescent="0.25">
      <c r="A364" s="25" t="s">
        <v>434</v>
      </c>
      <c r="B364" s="18" t="s">
        <v>13</v>
      </c>
      <c r="C364" s="18" t="s">
        <v>14</v>
      </c>
      <c r="D364" s="18">
        <v>49</v>
      </c>
      <c r="E364" s="18">
        <v>5.8343596930241999</v>
      </c>
      <c r="F364" s="18">
        <v>8.9168000000000003</v>
      </c>
      <c r="G364" s="15">
        <v>4.08</v>
      </c>
      <c r="H364" s="15">
        <v>2.85</v>
      </c>
      <c r="I364" s="15">
        <v>2.2599999999999998</v>
      </c>
      <c r="J364" s="15">
        <v>93.6</v>
      </c>
      <c r="K364" s="15">
        <v>1.54</v>
      </c>
      <c r="L364" s="15">
        <v>74.22</v>
      </c>
      <c r="M364" s="15">
        <v>4.05</v>
      </c>
      <c r="N364" s="15">
        <v>2</v>
      </c>
      <c r="O364" s="15">
        <f>1.15+1.78</f>
        <v>2.9299999999999997</v>
      </c>
      <c r="P364" s="9">
        <v>1.1109199999999999</v>
      </c>
      <c r="Q364" s="9">
        <v>1.59151</v>
      </c>
      <c r="R364" s="9">
        <v>9.0909200000000006E-3</v>
      </c>
      <c r="S364" s="9">
        <v>0.12102599999999999</v>
      </c>
      <c r="T364" s="9">
        <v>0.129358</v>
      </c>
      <c r="U364" s="9">
        <v>1.00923E-2</v>
      </c>
      <c r="V364" s="9">
        <v>4.0801499999999997</v>
      </c>
      <c r="W364" s="9">
        <v>2.5636999999999999</v>
      </c>
      <c r="X364" s="9">
        <v>2.8480599999999998</v>
      </c>
      <c r="Y364" s="9">
        <v>32.160899999999998</v>
      </c>
      <c r="Z364" s="9">
        <v>19.703299999999999</v>
      </c>
      <c r="AA364" s="9">
        <f t="shared" si="57"/>
        <v>1.1343805309734514</v>
      </c>
      <c r="AB364" s="9">
        <f t="shared" si="58"/>
        <v>1.8053097345132745</v>
      </c>
      <c r="AC364" s="9">
        <f t="shared" si="59"/>
        <v>1.2610619469026549</v>
      </c>
      <c r="AD364" s="9">
        <f t="shared" si="60"/>
        <v>5.5123272633418354</v>
      </c>
      <c r="AE364" s="9">
        <f t="shared" si="61"/>
        <v>3.3771143770169112</v>
      </c>
      <c r="AF364" s="9">
        <f t="shared" si="62"/>
        <v>4.4086154036017211</v>
      </c>
      <c r="AG364" s="9">
        <f t="shared" si="54"/>
        <v>1.3627671737467957</v>
      </c>
      <c r="AH364" s="9">
        <f t="shared" si="63"/>
        <v>0.96026810999377765</v>
      </c>
      <c r="AI364" s="9">
        <f t="shared" si="55"/>
        <v>1.675521944456926</v>
      </c>
      <c r="AJ364" s="9">
        <f>(4*PI()*(AI364^2))/(Y364+E364)</f>
        <v>0.92849738986972452</v>
      </c>
      <c r="AK364" s="12">
        <f t="shared" si="56"/>
        <v>0.77133105802047786</v>
      </c>
      <c r="AL364" s="12" t="s">
        <v>144</v>
      </c>
      <c r="AM364" s="12" t="s">
        <v>142</v>
      </c>
      <c r="AN364" s="18">
        <v>4.5139458314741301</v>
      </c>
      <c r="AO364" s="18">
        <v>0.75216367711696597</v>
      </c>
      <c r="AP364" s="18">
        <v>11988.640238989101</v>
      </c>
      <c r="AQ364" s="18">
        <v>10690.903873182</v>
      </c>
      <c r="AR364" s="18">
        <v>2.2720369030410499</v>
      </c>
      <c r="AS364" s="18">
        <v>2.1071108234324998E-2</v>
      </c>
      <c r="AT364" s="18">
        <v>0.72927257612854102</v>
      </c>
      <c r="AU364" s="18">
        <v>1.33679492263496</v>
      </c>
      <c r="AV364" s="18">
        <v>5.24430316081703E-2</v>
      </c>
      <c r="AW364" s="18">
        <v>1.08158616364673E-2</v>
      </c>
      <c r="AX364" s="18">
        <v>0.16640561171920501</v>
      </c>
      <c r="AY364" s="18">
        <v>5.3628471066108201</v>
      </c>
      <c r="AZ364" s="18">
        <v>753.25733973521005</v>
      </c>
      <c r="BA364" s="18">
        <v>4.9454681472795997E-2</v>
      </c>
      <c r="BB364" s="18">
        <v>19.374105405911401</v>
      </c>
      <c r="BC364" s="18" t="s">
        <v>162</v>
      </c>
      <c r="BD364" s="35" t="s">
        <v>163</v>
      </c>
      <c r="BE364" t="s">
        <v>168</v>
      </c>
    </row>
    <row r="365" spans="1:57" x14ac:dyDescent="0.25">
      <c r="A365" s="25" t="s">
        <v>435</v>
      </c>
      <c r="B365" s="18" t="s">
        <v>13</v>
      </c>
      <c r="C365" s="18" t="s">
        <v>14</v>
      </c>
      <c r="D365" s="18">
        <v>53</v>
      </c>
      <c r="E365" s="18">
        <v>21.1636439683334</v>
      </c>
      <c r="F365" s="18">
        <v>16.689</v>
      </c>
      <c r="G365" s="15">
        <v>6.52</v>
      </c>
      <c r="H365" s="15">
        <v>4.4000000000000004</v>
      </c>
      <c r="I365" s="15">
        <v>2.33</v>
      </c>
      <c r="J365" s="15">
        <v>44.72</v>
      </c>
      <c r="K365" s="15">
        <v>36.31</v>
      </c>
      <c r="L365" s="15">
        <v>85.76</v>
      </c>
      <c r="M365" s="15">
        <v>5.45</v>
      </c>
      <c r="N365" s="15">
        <v>2</v>
      </c>
      <c r="O365" s="15">
        <v>3.83</v>
      </c>
      <c r="P365" s="9">
        <v>0.85561600000000004</v>
      </c>
      <c r="Q365" s="9">
        <v>1.1053500000000001</v>
      </c>
      <c r="R365" s="9">
        <v>0.26744200000000001</v>
      </c>
      <c r="S365" s="9">
        <v>7.4291200000000002E-2</v>
      </c>
      <c r="T365" s="9">
        <v>8.8819099999999998E-2</v>
      </c>
      <c r="U365" s="9">
        <v>3.99254E-2</v>
      </c>
      <c r="V365" s="9">
        <v>5.6559600000000003</v>
      </c>
      <c r="W365" s="9">
        <v>5.1169099999999998</v>
      </c>
      <c r="X365" s="9">
        <v>4.3781100000000004</v>
      </c>
      <c r="Y365" s="9">
        <v>63.945300000000003</v>
      </c>
      <c r="Z365" s="9">
        <v>59.143700000000003</v>
      </c>
      <c r="AA365" s="9">
        <f t="shared" si="57"/>
        <v>2.1960987124463518</v>
      </c>
      <c r="AB365" s="9">
        <f t="shared" si="58"/>
        <v>2.7982832618025748</v>
      </c>
      <c r="AC365" s="9">
        <f t="shared" si="59"/>
        <v>1.8884120171673822</v>
      </c>
      <c r="AD365" s="9">
        <f t="shared" si="60"/>
        <v>3.021469275124816</v>
      </c>
      <c r="AE365" s="9">
        <f t="shared" si="61"/>
        <v>2.7945896315632202</v>
      </c>
      <c r="AF365" s="9">
        <f t="shared" si="62"/>
        <v>4.212464969599985</v>
      </c>
      <c r="AG365" s="9">
        <f t="shared" si="54"/>
        <v>2.5954955408928124</v>
      </c>
      <c r="AH365" s="9">
        <f t="shared" si="63"/>
        <v>0.97716935990100373</v>
      </c>
      <c r="AI365" s="9">
        <f t="shared" si="55"/>
        <v>2.4169813186046296</v>
      </c>
      <c r="AJ365" s="9">
        <f>(4*PI()*(AI365^2))/(Y365+E365)</f>
        <v>0.86254398217743722</v>
      </c>
      <c r="AK365" s="12">
        <f t="shared" si="56"/>
        <v>0.60835509138381205</v>
      </c>
      <c r="AL365" s="12" t="s">
        <v>144</v>
      </c>
      <c r="AM365" s="12" t="s">
        <v>142</v>
      </c>
      <c r="AN365" s="18">
        <v>12.390028409218401</v>
      </c>
      <c r="AO365" s="18">
        <v>0.60331585576045699</v>
      </c>
      <c r="AP365" s="18">
        <v>14802.318790821</v>
      </c>
      <c r="AQ365" s="18">
        <v>14453.186534069</v>
      </c>
      <c r="AR365" s="18">
        <v>6.1631647506229399</v>
      </c>
      <c r="AS365" s="18">
        <v>2.6383476492157398E-3</v>
      </c>
      <c r="AT365" s="18">
        <v>0.75965036609647596</v>
      </c>
      <c r="AU365" s="18">
        <v>0.233542444533578</v>
      </c>
      <c r="AV365" s="18">
        <v>4.1805505508335297E-3</v>
      </c>
      <c r="AW365" s="18">
        <v>2.1928322662669998E-3</v>
      </c>
      <c r="AX365" s="18">
        <v>0.423904178364989</v>
      </c>
      <c r="AY365" s="18">
        <v>-5.7741288923634402</v>
      </c>
      <c r="AZ365" s="18">
        <v>-7360.9067122346796</v>
      </c>
      <c r="BA365" s="18">
        <v>2.91112136794568E-2</v>
      </c>
      <c r="BB365" s="18">
        <v>10.4220598100373</v>
      </c>
      <c r="BC365" s="18" t="s">
        <v>162</v>
      </c>
      <c r="BD365" s="35" t="s">
        <v>165</v>
      </c>
      <c r="BE365" t="s">
        <v>167</v>
      </c>
    </row>
    <row r="366" spans="1:57" x14ac:dyDescent="0.25">
      <c r="A366" s="25" t="s">
        <v>436</v>
      </c>
      <c r="B366" s="18" t="s">
        <v>13</v>
      </c>
      <c r="C366" s="18" t="s">
        <v>14</v>
      </c>
      <c r="D366" s="18">
        <v>45</v>
      </c>
      <c r="E366" s="18">
        <v>17.796456177061501</v>
      </c>
      <c r="F366" s="18">
        <v>15.776</v>
      </c>
      <c r="G366" s="15">
        <v>9.73</v>
      </c>
      <c r="H366" s="15">
        <v>6.35</v>
      </c>
      <c r="I366" s="15">
        <v>2.25</v>
      </c>
      <c r="J366" s="15">
        <v>49.65</v>
      </c>
      <c r="K366" s="15">
        <v>32.840000000000003</v>
      </c>
      <c r="L366" s="15">
        <v>73.72</v>
      </c>
      <c r="M366" s="15">
        <v>8.75</v>
      </c>
      <c r="N366" s="15">
        <v>2</v>
      </c>
      <c r="O366" s="15">
        <f>1.86*2</f>
        <v>3.72</v>
      </c>
      <c r="P366" s="9">
        <v>1.4009</v>
      </c>
      <c r="Q366" s="9">
        <v>1.96841</v>
      </c>
      <c r="R366" s="9">
        <v>-3.9682599999999998E-2</v>
      </c>
      <c r="S366" s="9">
        <v>0.17674400000000001</v>
      </c>
      <c r="T366" s="9">
        <v>0.199295</v>
      </c>
      <c r="U366" s="9">
        <v>5.5924300000000003E-2</v>
      </c>
      <c r="V366" s="9">
        <v>8.9228400000000008</v>
      </c>
      <c r="W366" s="9">
        <v>4.53301</v>
      </c>
      <c r="X366" s="9">
        <v>6.3502799999999997</v>
      </c>
      <c r="Y366" s="9">
        <v>155.935</v>
      </c>
      <c r="Z366" s="9">
        <v>185.53</v>
      </c>
      <c r="AA366" s="9">
        <f t="shared" si="57"/>
        <v>2.0146711111111113</v>
      </c>
      <c r="AB366" s="9">
        <f t="shared" si="58"/>
        <v>4.3244444444444445</v>
      </c>
      <c r="AC366" s="9">
        <f t="shared" si="59"/>
        <v>2.822222222222222</v>
      </c>
      <c r="AD366" s="9">
        <f t="shared" si="60"/>
        <v>8.7621377227332644</v>
      </c>
      <c r="AE366" s="9">
        <f t="shared" si="61"/>
        <v>10.425109255130039</v>
      </c>
      <c r="AF366" s="9">
        <f t="shared" si="62"/>
        <v>4.7936630977409989</v>
      </c>
      <c r="AG366" s="9">
        <f t="shared" si="54"/>
        <v>2.3800814986456378</v>
      </c>
      <c r="AH366" s="9">
        <f t="shared" si="63"/>
        <v>0.94792679400229729</v>
      </c>
      <c r="AI366" s="9">
        <f t="shared" si="55"/>
        <v>3.5381413441835732</v>
      </c>
      <c r="AJ366" s="9">
        <f>(4*PI()*(AI366^2))/(Y366+E366)</f>
        <v>0.9054860440064223</v>
      </c>
      <c r="AK366" s="12">
        <f t="shared" si="56"/>
        <v>0.60483870967741937</v>
      </c>
      <c r="AL366" s="12" t="s">
        <v>144</v>
      </c>
      <c r="AM366" s="12" t="s">
        <v>142</v>
      </c>
      <c r="AN366" s="18">
        <v>7.1525395545151103</v>
      </c>
      <c r="AO366" s="18">
        <v>0.52201108649122296</v>
      </c>
      <c r="AP366" s="18">
        <v>8745.8614040645807</v>
      </c>
      <c r="AQ366" s="18">
        <v>7845.1696522116599</v>
      </c>
      <c r="AR366" s="18">
        <v>3.7753560797440202</v>
      </c>
      <c r="AS366" s="18">
        <v>9.9853211185128993E-3</v>
      </c>
      <c r="AT366" s="18">
        <v>0.72411477635229504</v>
      </c>
      <c r="AU366" s="18">
        <v>0.47528072598198201</v>
      </c>
      <c r="AV366" s="18">
        <v>5.5057949625537297E-2</v>
      </c>
      <c r="AW366" s="18">
        <v>1.0560247347495401E-2</v>
      </c>
      <c r="AX366" s="18">
        <v>0.25719469544780399</v>
      </c>
      <c r="AY366" s="18">
        <v>-10.5743044747715</v>
      </c>
      <c r="AZ366" s="18">
        <v>-1453.7641314535499</v>
      </c>
      <c r="BA366" s="18">
        <v>0.16455292427461199</v>
      </c>
      <c r="BB366" s="18">
        <v>9.1099266116142203</v>
      </c>
      <c r="BC366" s="18" t="s">
        <v>162</v>
      </c>
      <c r="BD366" s="35" t="s">
        <v>163</v>
      </c>
      <c r="BE366" t="s">
        <v>168</v>
      </c>
    </row>
    <row r="367" spans="1:57" x14ac:dyDescent="0.25">
      <c r="A367" s="25" t="s">
        <v>437</v>
      </c>
      <c r="B367" s="18" t="s">
        <v>13</v>
      </c>
      <c r="C367" s="18" t="s">
        <v>14</v>
      </c>
      <c r="D367" s="18">
        <v>52</v>
      </c>
      <c r="E367" s="18">
        <v>4.6750135948548897</v>
      </c>
      <c r="F367" s="18">
        <v>8.3173999999999992</v>
      </c>
      <c r="G367" s="15">
        <v>4.3600000000000003</v>
      </c>
      <c r="H367" s="15">
        <v>3.3</v>
      </c>
      <c r="I367" s="15">
        <v>1.79</v>
      </c>
      <c r="J367" s="15">
        <v>36.64</v>
      </c>
      <c r="K367" s="15">
        <v>44.42</v>
      </c>
      <c r="L367" s="15">
        <v>43.87</v>
      </c>
      <c r="M367" s="15">
        <v>4</v>
      </c>
      <c r="N367" s="15">
        <v>2</v>
      </c>
      <c r="O367" s="15">
        <f>2.73</f>
        <v>2.73</v>
      </c>
      <c r="P367" s="9">
        <v>1.4315599999999999</v>
      </c>
      <c r="Q367" s="9">
        <v>1.6887000000000001</v>
      </c>
      <c r="R367" s="9">
        <v>4.6875E-2</v>
      </c>
      <c r="S367" s="9">
        <v>0.171072</v>
      </c>
      <c r="T367" s="9">
        <v>0.188694</v>
      </c>
      <c r="U367" s="9">
        <v>2.4488599999999999E-2</v>
      </c>
      <c r="V367" s="9">
        <v>3.8660999999999999</v>
      </c>
      <c r="W367" s="9">
        <v>2.2894000000000001</v>
      </c>
      <c r="X367" s="9">
        <v>3.2774200000000002</v>
      </c>
      <c r="Y367" s="9">
        <v>32.499899999999997</v>
      </c>
      <c r="Z367" s="9">
        <v>18.004799999999999</v>
      </c>
      <c r="AA367" s="9">
        <f t="shared" si="57"/>
        <v>1.2789944134078213</v>
      </c>
      <c r="AB367" s="9">
        <f t="shared" si="58"/>
        <v>2.4357541899441344</v>
      </c>
      <c r="AC367" s="9">
        <f t="shared" si="59"/>
        <v>1.8435754189944134</v>
      </c>
      <c r="AD367" s="9">
        <f t="shared" si="60"/>
        <v>6.9518300515249685</v>
      </c>
      <c r="AE367" s="9">
        <f t="shared" si="61"/>
        <v>3.8512829181534949</v>
      </c>
      <c r="AF367" s="9">
        <f t="shared" si="62"/>
        <v>4.7310385881637043</v>
      </c>
      <c r="AG367" s="9">
        <f t="shared" si="54"/>
        <v>1.2198782911774166</v>
      </c>
      <c r="AH367" s="9">
        <f t="shared" si="63"/>
        <v>0.92152852522101691</v>
      </c>
      <c r="AI367" s="9">
        <f t="shared" si="55"/>
        <v>1.6259227111928185</v>
      </c>
      <c r="AJ367" s="9">
        <f>(4*PI()*(AI367^2))/(Y367+E367)</f>
        <v>0.89363401458608094</v>
      </c>
      <c r="AK367" s="12">
        <f t="shared" si="56"/>
        <v>0.65567765567765568</v>
      </c>
      <c r="AL367" s="12" t="s">
        <v>144</v>
      </c>
      <c r="AM367" s="12" t="s">
        <v>142</v>
      </c>
      <c r="AN367" s="18">
        <v>3.53276840969062</v>
      </c>
      <c r="AO367" s="18">
        <v>0.34585994243025098</v>
      </c>
      <c r="AP367" s="18">
        <v>9203.2645779248796</v>
      </c>
      <c r="AQ367" s="18">
        <v>8395.2521485812995</v>
      </c>
      <c r="AR367" s="18">
        <v>1.6032966291413899</v>
      </c>
      <c r="AS367" s="18">
        <v>1.2085889049193501E-2</v>
      </c>
      <c r="AT367" s="18">
        <v>0.75238196195219798</v>
      </c>
      <c r="AU367" s="18">
        <v>1.4946371670663301</v>
      </c>
      <c r="AV367" s="18">
        <v>0.11176908056176101</v>
      </c>
      <c r="AW367" s="18">
        <v>6.1549507795457398E-3</v>
      </c>
      <c r="AX367" s="18">
        <v>0.12719312989245099</v>
      </c>
      <c r="AY367" s="18">
        <v>-37.153526293407801</v>
      </c>
      <c r="AZ367" s="18">
        <v>-1297.3660926963</v>
      </c>
      <c r="BA367" s="18">
        <v>0.13470157032326599</v>
      </c>
      <c r="BB367" s="18">
        <v>20.645672581640699</v>
      </c>
      <c r="BC367" s="18" t="s">
        <v>162</v>
      </c>
      <c r="BD367" s="35" t="s">
        <v>163</v>
      </c>
      <c r="BE367" t="s">
        <v>168</v>
      </c>
    </row>
    <row r="368" spans="1:57" x14ac:dyDescent="0.25">
      <c r="A368" s="25" t="s">
        <v>438</v>
      </c>
      <c r="B368" s="18" t="s">
        <v>5</v>
      </c>
      <c r="C368" s="18" t="s">
        <v>6</v>
      </c>
      <c r="D368" s="18">
        <v>61</v>
      </c>
      <c r="E368" s="18">
        <v>4.7617000000000003</v>
      </c>
      <c r="F368" s="18">
        <v>8.4903999999999993</v>
      </c>
      <c r="G368" s="15">
        <v>12.53</v>
      </c>
      <c r="H368" s="15">
        <v>9.0500000000000007</v>
      </c>
      <c r="I368" s="15">
        <v>2.63</v>
      </c>
      <c r="J368" s="15">
        <v>37.22</v>
      </c>
      <c r="K368" s="15">
        <v>44.02</v>
      </c>
      <c r="L368" s="15">
        <v>43.97</v>
      </c>
      <c r="M368" s="15">
        <v>10.1</v>
      </c>
      <c r="N368" s="15">
        <v>2</v>
      </c>
      <c r="O368" s="15">
        <f>0.62+2.65</f>
        <v>3.27</v>
      </c>
      <c r="P368" s="9">
        <v>4.2460599999999999</v>
      </c>
      <c r="Q368" s="9">
        <v>3.4960900000000001</v>
      </c>
      <c r="R368" s="9">
        <v>0.17724899999999999</v>
      </c>
      <c r="S368" s="9">
        <v>0.28183799999999998</v>
      </c>
      <c r="T368" s="9">
        <v>0.32163799999999998</v>
      </c>
      <c r="U368" s="9">
        <v>0.15645700000000001</v>
      </c>
      <c r="V368" s="9">
        <v>7.8603100000000001</v>
      </c>
      <c r="W368" s="9">
        <v>2.24831</v>
      </c>
      <c r="X368" s="9">
        <v>9.5464699999999993</v>
      </c>
      <c r="Y368" s="9">
        <v>174.535</v>
      </c>
      <c r="Z368" s="9">
        <v>171.31899999999999</v>
      </c>
      <c r="AA368" s="9">
        <f t="shared" si="57"/>
        <v>0.85487072243346007</v>
      </c>
      <c r="AB368" s="9">
        <f t="shared" si="58"/>
        <v>4.7642585551330798</v>
      </c>
      <c r="AC368" s="9">
        <f t="shared" si="59"/>
        <v>3.4410646387832702</v>
      </c>
      <c r="AD368" s="9">
        <f t="shared" si="60"/>
        <v>36.653926118823108</v>
      </c>
      <c r="AE368" s="9">
        <f t="shared" si="61"/>
        <v>35.978537077094309</v>
      </c>
      <c r="AF368" s="9">
        <f t="shared" si="62"/>
        <v>5.6582071502458735</v>
      </c>
      <c r="AG368" s="9">
        <f t="shared" si="54"/>
        <v>1.2311361358685546</v>
      </c>
      <c r="AH368" s="9">
        <f t="shared" si="63"/>
        <v>0.91108269104248962</v>
      </c>
      <c r="AI368" s="9">
        <f t="shared" si="55"/>
        <v>3.4453946404644671</v>
      </c>
      <c r="AJ368" s="9">
        <f>(4*PI()*(AI368^2))/(Y368+E368)</f>
        <v>0.83198503622272368</v>
      </c>
      <c r="AK368" s="12">
        <f t="shared" si="56"/>
        <v>0.80428134556574915</v>
      </c>
      <c r="AL368" s="12" t="s">
        <v>140</v>
      </c>
      <c r="AM368" s="12" t="s">
        <v>142</v>
      </c>
      <c r="AN368" s="18">
        <v>5.9089</v>
      </c>
      <c r="AO368" s="18">
        <v>0.18776000000000001</v>
      </c>
      <c r="AP368" s="18">
        <v>14524</v>
      </c>
      <c r="AQ368" s="18">
        <v>12538</v>
      </c>
      <c r="AR368" s="18">
        <v>2.9761000000000002</v>
      </c>
      <c r="AS368" s="18">
        <v>3.0578000000000001E-2</v>
      </c>
      <c r="AT368" s="18">
        <v>0.67998000000000003</v>
      </c>
      <c r="AU368" s="18">
        <v>1.0699000000000001</v>
      </c>
      <c r="AV368" s="18">
        <v>0.64744000000000002</v>
      </c>
      <c r="AW368" s="18">
        <v>3.0085000000000001E-2</v>
      </c>
      <c r="AX368" s="18">
        <v>0.18975</v>
      </c>
      <c r="AY368" s="18">
        <v>3.5535999999999999</v>
      </c>
      <c r="AZ368" s="18">
        <v>5041</v>
      </c>
      <c r="BA368" s="18">
        <v>0.10904</v>
      </c>
      <c r="BB368" s="18">
        <v>5.3609</v>
      </c>
      <c r="BC368" s="18" t="s">
        <v>162</v>
      </c>
      <c r="BD368" s="35" t="s">
        <v>163</v>
      </c>
      <c r="BE368" t="s">
        <v>168</v>
      </c>
    </row>
    <row r="369" spans="1:57" x14ac:dyDescent="0.25">
      <c r="A369" s="25" t="s">
        <v>439</v>
      </c>
      <c r="B369" s="18" t="s">
        <v>5</v>
      </c>
      <c r="C369" s="18" t="s">
        <v>6</v>
      </c>
      <c r="D369" s="18">
        <v>64</v>
      </c>
      <c r="E369" s="18">
        <v>16.920214783944601</v>
      </c>
      <c r="F369" s="18">
        <v>15.135</v>
      </c>
      <c r="G369" s="15">
        <v>5.6</v>
      </c>
      <c r="H369" s="15">
        <v>3.25</v>
      </c>
      <c r="I369" s="15">
        <v>4.7699999999999996</v>
      </c>
      <c r="J369" s="15">
        <v>68.64</v>
      </c>
      <c r="K369" s="15">
        <f>180-155.4</f>
        <v>24.599999999999994</v>
      </c>
      <c r="L369" s="15">
        <v>24.85</v>
      </c>
      <c r="M369" s="15">
        <v>4.9000000000000004</v>
      </c>
      <c r="N369" s="15">
        <v>2</v>
      </c>
      <c r="O369" s="15">
        <f>0.91+3.36</f>
        <v>4.2699999999999996</v>
      </c>
      <c r="P369" s="9">
        <v>0.71504299999999998</v>
      </c>
      <c r="Q369" s="9">
        <v>1.1046800000000001</v>
      </c>
      <c r="R369" s="9">
        <v>0.421875</v>
      </c>
      <c r="S369" s="9">
        <v>5.16847E-2</v>
      </c>
      <c r="T369" s="9">
        <v>6.2164299999999999E-2</v>
      </c>
      <c r="U369" s="9">
        <v>1.6393399999999999E-2</v>
      </c>
      <c r="V369" s="9">
        <v>5.0330399999999997</v>
      </c>
      <c r="W369" s="9">
        <v>4.5560999999999998</v>
      </c>
      <c r="X369" s="9">
        <v>3.2578100000000001</v>
      </c>
      <c r="Y369" s="9">
        <v>44.629300000000001</v>
      </c>
      <c r="Z369" s="9">
        <v>36.008899999999997</v>
      </c>
      <c r="AA369" s="9">
        <f t="shared" si="57"/>
        <v>0.95515723270440256</v>
      </c>
      <c r="AB369" s="9">
        <f t="shared" si="58"/>
        <v>1.1740041928721174</v>
      </c>
      <c r="AC369" s="9">
        <f t="shared" si="59"/>
        <v>0.68134171907756824</v>
      </c>
      <c r="AD369" s="9">
        <f t="shared" si="60"/>
        <v>2.6376320023046183</v>
      </c>
      <c r="AE369" s="9">
        <f t="shared" si="61"/>
        <v>2.1281585641671894</v>
      </c>
      <c r="AF369" s="9">
        <f t="shared" si="62"/>
        <v>4.0927338670910389</v>
      </c>
      <c r="AG369" s="9">
        <f t="shared" si="54"/>
        <v>2.3207480781167735</v>
      </c>
      <c r="AH369" s="9">
        <f t="shared" si="63"/>
        <v>0.96344170638180204</v>
      </c>
      <c r="AI369" s="9">
        <f t="shared" si="55"/>
        <v>2.0485209752508928</v>
      </c>
      <c r="AJ369" s="9">
        <f>(4*PI()*(AI369^2))/(Y369+E369)</f>
        <v>0.85677356988392794</v>
      </c>
      <c r="AK369" s="12">
        <f t="shared" si="56"/>
        <v>1.1170960187353629</v>
      </c>
      <c r="AL369" s="12" t="s">
        <v>144</v>
      </c>
      <c r="AM369" s="12" t="s">
        <v>143</v>
      </c>
      <c r="AN369" s="18">
        <v>8.2030975720308703</v>
      </c>
      <c r="AO369" s="18">
        <v>0.963554637141111</v>
      </c>
      <c r="AP369" s="18">
        <v>10720.716940435599</v>
      </c>
      <c r="AQ369" s="18">
        <v>11792.6024045007</v>
      </c>
      <c r="AR369" s="18">
        <v>4.0097851009841001</v>
      </c>
      <c r="AS369" s="18">
        <v>7.2495958584277596E-3</v>
      </c>
      <c r="AT369" s="18">
        <v>0.74398419683360695</v>
      </c>
      <c r="AU369" s="18">
        <v>0.36028758689588603</v>
      </c>
      <c r="AV369" s="18">
        <v>2.4846048655954201E-3</v>
      </c>
      <c r="AW369" s="18">
        <v>3.4447619265954299E-3</v>
      </c>
      <c r="AX369" s="18">
        <v>0.331295311637194</v>
      </c>
      <c r="AY369" s="18">
        <v>3.7498975792271998</v>
      </c>
      <c r="AZ369" s="18">
        <v>3544.7515322842301</v>
      </c>
      <c r="BA369" s="18">
        <v>1.7782529221875999E-2</v>
      </c>
      <c r="BB369" s="18">
        <v>4.4345540149138403</v>
      </c>
      <c r="BC369" s="18" t="s">
        <v>162</v>
      </c>
      <c r="BD369" s="35" t="s">
        <v>163</v>
      </c>
      <c r="BE369" t="s">
        <v>167</v>
      </c>
    </row>
    <row r="370" spans="1:57" x14ac:dyDescent="0.25">
      <c r="A370" s="25" t="s">
        <v>440</v>
      </c>
      <c r="B370" s="18" t="s">
        <v>5</v>
      </c>
      <c r="C370" s="18" t="s">
        <v>6</v>
      </c>
      <c r="D370" s="18">
        <v>45</v>
      </c>
      <c r="E370" s="18">
        <v>8.7064615742566005</v>
      </c>
      <c r="F370" s="18">
        <v>11.803000000000001</v>
      </c>
      <c r="G370" s="15">
        <v>8.67</v>
      </c>
      <c r="H370" s="15">
        <v>4.75</v>
      </c>
      <c r="I370" s="15">
        <v>2.71</v>
      </c>
      <c r="J370" s="15">
        <v>57.52</v>
      </c>
      <c r="K370" s="15">
        <v>10.26</v>
      </c>
      <c r="L370" s="15">
        <v>72.67</v>
      </c>
      <c r="M370" s="15">
        <v>6.4</v>
      </c>
      <c r="N370" s="15">
        <v>2</v>
      </c>
      <c r="O370" s="15">
        <f>2.07+1.58</f>
        <v>3.65</v>
      </c>
      <c r="P370" s="9">
        <v>1.59727</v>
      </c>
      <c r="Q370" s="9">
        <v>2.79359</v>
      </c>
      <c r="R370" s="9">
        <v>0.170213</v>
      </c>
      <c r="S370" s="9">
        <v>0.21568399999999999</v>
      </c>
      <c r="T370" s="9">
        <v>0.26185999999999998</v>
      </c>
      <c r="U370" s="9">
        <v>0.115636</v>
      </c>
      <c r="V370" s="9">
        <v>8.3430700000000009</v>
      </c>
      <c r="W370" s="9">
        <v>2.9864999999999999</v>
      </c>
      <c r="X370" s="9">
        <v>4.7702499999999999</v>
      </c>
      <c r="Y370" s="9">
        <v>111.553</v>
      </c>
      <c r="Z370" s="9">
        <v>99.361099999999993</v>
      </c>
      <c r="AA370" s="9">
        <f t="shared" si="57"/>
        <v>1.1020295202952028</v>
      </c>
      <c r="AB370" s="9">
        <f t="shared" si="58"/>
        <v>3.1992619926199262</v>
      </c>
      <c r="AC370" s="9">
        <f t="shared" si="59"/>
        <v>1.7527675276752768</v>
      </c>
      <c r="AD370" s="9">
        <f t="shared" si="60"/>
        <v>12.812667815572933</v>
      </c>
      <c r="AE370" s="9">
        <f t="shared" si="61"/>
        <v>11.412340036484215</v>
      </c>
      <c r="AF370" s="9">
        <f t="shared" si="62"/>
        <v>5.2000037927820948</v>
      </c>
      <c r="AG370" s="9">
        <f t="shared" si="54"/>
        <v>1.6647380553003424</v>
      </c>
      <c r="AH370" s="9">
        <f t="shared" si="63"/>
        <v>0.88620331181613377</v>
      </c>
      <c r="AI370" s="9">
        <f t="shared" si="55"/>
        <v>2.8732666178495205</v>
      </c>
      <c r="AJ370" s="9">
        <f>(4*PI()*(AI370^2))/(Y370+E370)</f>
        <v>0.86266556621706936</v>
      </c>
      <c r="AK370" s="12">
        <f t="shared" si="56"/>
        <v>0.74246575342465759</v>
      </c>
      <c r="AL370" s="12" t="s">
        <v>140</v>
      </c>
      <c r="AM370" s="12" t="s">
        <v>142</v>
      </c>
      <c r="AN370" s="18">
        <v>2.7152319572391699</v>
      </c>
      <c r="AO370" s="18">
        <v>0.24478208367142501</v>
      </c>
      <c r="AP370" s="18">
        <v>7021.9766200424501</v>
      </c>
      <c r="AQ370" s="18">
        <v>6040.3420653204303</v>
      </c>
      <c r="AR370" s="18">
        <v>1.4169519029605</v>
      </c>
      <c r="AS370" s="18">
        <v>3.2587340172081897E-2</v>
      </c>
      <c r="AT370" s="18">
        <v>0.64982856942433498</v>
      </c>
      <c r="AU370" s="18">
        <v>2.0689289199255501</v>
      </c>
      <c r="AV370" s="18">
        <v>0.378018939003124</v>
      </c>
      <c r="AW370" s="18">
        <v>2.8846529763048301E-2</v>
      </c>
      <c r="AX370" s="18">
        <v>0.13163993245116701</v>
      </c>
      <c r="AY370" s="18">
        <v>-14.5203393248102</v>
      </c>
      <c r="AZ370" s="18">
        <v>-649.25465631167197</v>
      </c>
      <c r="BA370" s="18">
        <v>0.269862689842783</v>
      </c>
      <c r="BB370" s="18">
        <v>6.9814440058824498</v>
      </c>
      <c r="BC370" s="18" t="s">
        <v>164</v>
      </c>
      <c r="BD370" s="35" t="s">
        <v>165</v>
      </c>
      <c r="BE370" t="s">
        <v>167</v>
      </c>
    </row>
    <row r="371" spans="1:57" x14ac:dyDescent="0.25">
      <c r="A371" s="25" t="s">
        <v>441</v>
      </c>
      <c r="B371" s="16" t="s">
        <v>5</v>
      </c>
      <c r="C371" s="16" t="s">
        <v>6</v>
      </c>
      <c r="D371" s="16">
        <v>45</v>
      </c>
      <c r="E371" s="16">
        <v>3.8294999999999999</v>
      </c>
      <c r="F371" s="16">
        <v>7.1379000000000001</v>
      </c>
      <c r="G371" s="15">
        <v>2.21</v>
      </c>
      <c r="H371" s="15">
        <v>1.25</v>
      </c>
      <c r="I371" s="15">
        <v>3.48</v>
      </c>
      <c r="J371" s="15">
        <v>49.18</v>
      </c>
      <c r="K371" s="15">
        <v>0</v>
      </c>
      <c r="L371" s="15">
        <v>9.9499999999999993</v>
      </c>
      <c r="M371" s="15">
        <v>2.21</v>
      </c>
      <c r="N371" s="15">
        <v>1</v>
      </c>
      <c r="O371" s="15">
        <v>3.31</v>
      </c>
      <c r="P371" s="9">
        <v>0.58393700000000004</v>
      </c>
      <c r="Q371" s="9">
        <v>1.0387500000000001</v>
      </c>
      <c r="R371" s="9">
        <v>0.45833299999999999</v>
      </c>
      <c r="S371" s="9">
        <v>2.1733100000000002E-2</v>
      </c>
      <c r="T371" s="9">
        <v>4.2028000000000003E-2</v>
      </c>
      <c r="U371" s="9">
        <v>5.8080900000000001E-3</v>
      </c>
      <c r="V371" s="9">
        <v>2.2534800000000001</v>
      </c>
      <c r="W371" s="9">
        <v>2.1694100000000001</v>
      </c>
      <c r="X371" s="9">
        <v>1.2667999999999999</v>
      </c>
      <c r="Y371" s="9">
        <v>7.6030199999999999</v>
      </c>
      <c r="Z371" s="9">
        <v>2.61395</v>
      </c>
      <c r="AA371" s="9">
        <f t="shared" si="57"/>
        <v>0.62339367816091951</v>
      </c>
      <c r="AB371" s="9">
        <f t="shared" si="58"/>
        <v>0.63505747126436785</v>
      </c>
      <c r="AC371" s="9">
        <f t="shared" si="59"/>
        <v>0.35919540229885055</v>
      </c>
      <c r="AD371" s="9">
        <f t="shared" si="60"/>
        <v>1.9853819036427733</v>
      </c>
      <c r="AE371" s="9">
        <f t="shared" si="61"/>
        <v>0.68258258258258264</v>
      </c>
      <c r="AF371" s="9">
        <f t="shared" si="62"/>
        <v>4.0067103589935611</v>
      </c>
      <c r="AG371" s="9">
        <f t="shared" si="54"/>
        <v>1.1040687067120536</v>
      </c>
      <c r="AH371" s="9">
        <f t="shared" si="63"/>
        <v>0.97186403229660578</v>
      </c>
      <c r="AI371" s="9">
        <f t="shared" si="55"/>
        <v>0.8545475281058259</v>
      </c>
      <c r="AJ371" s="9">
        <f>(4*PI()*(AI371^2))/(Y371+E371)</f>
        <v>0.80267611266938088</v>
      </c>
      <c r="AK371" s="12">
        <f t="shared" si="56"/>
        <v>1.0513595166163141</v>
      </c>
      <c r="AL371" s="12" t="s">
        <v>144</v>
      </c>
      <c r="AM371" s="12" t="s">
        <v>143</v>
      </c>
      <c r="AN371" s="16">
        <v>13.648</v>
      </c>
      <c r="AO371" s="16">
        <v>1.1635</v>
      </c>
      <c r="AP371" s="16">
        <v>28388</v>
      </c>
      <c r="AQ371" s="16">
        <v>29121</v>
      </c>
      <c r="AR371" s="16">
        <v>6.1515000000000004</v>
      </c>
      <c r="AS371" s="16">
        <v>1.0487E-2</v>
      </c>
      <c r="AT371" s="16">
        <v>0.75234000000000001</v>
      </c>
      <c r="AU371" s="16">
        <v>0.32408999999999999</v>
      </c>
      <c r="AV371" s="16">
        <v>2.4538000000000001E-2</v>
      </c>
      <c r="AW371" s="16">
        <v>4.9721000000000001E-3</v>
      </c>
      <c r="AX371" s="16">
        <v>0.35381000000000001</v>
      </c>
      <c r="AY371" s="16">
        <v>5.0552000000000001</v>
      </c>
      <c r="AZ371" s="16">
        <v>24063</v>
      </c>
      <c r="BA371" s="16">
        <v>5.1482999999999998E-3</v>
      </c>
      <c r="BB371" s="16">
        <v>6.6353</v>
      </c>
      <c r="BC371" s="16" t="s">
        <v>162</v>
      </c>
      <c r="BD371" s="34" t="s">
        <v>163</v>
      </c>
      <c r="BE371" t="s">
        <v>167</v>
      </c>
    </row>
    <row r="372" spans="1:57" x14ac:dyDescent="0.25">
      <c r="A372" s="25" t="s">
        <v>442</v>
      </c>
      <c r="B372" s="16" t="s">
        <v>5</v>
      </c>
      <c r="C372" s="16" t="s">
        <v>6</v>
      </c>
      <c r="D372" s="16">
        <v>68</v>
      </c>
      <c r="E372" s="16">
        <v>7.8766999999999996</v>
      </c>
      <c r="F372" s="16">
        <v>10.249000000000001</v>
      </c>
      <c r="G372" s="15">
        <v>6.08</v>
      </c>
      <c r="H372" s="15">
        <v>4.07</v>
      </c>
      <c r="I372" s="15">
        <v>3.65</v>
      </c>
      <c r="J372" s="15">
        <v>30.17</v>
      </c>
      <c r="K372" s="15">
        <v>32.590000000000003</v>
      </c>
      <c r="L372" s="15">
        <v>32.4</v>
      </c>
      <c r="M372" s="15">
        <v>4.8</v>
      </c>
      <c r="N372" s="15">
        <v>1</v>
      </c>
      <c r="O372" s="15">
        <v>4.46</v>
      </c>
      <c r="P372" s="9">
        <v>1.34185</v>
      </c>
      <c r="Q372" s="9">
        <v>1.67984</v>
      </c>
      <c r="R372" s="9">
        <v>-1.21951E-2</v>
      </c>
      <c r="S372" s="9">
        <v>0.17171800000000001</v>
      </c>
      <c r="T372" s="9">
        <v>0.21817800000000001</v>
      </c>
      <c r="U372" s="9">
        <v>0.11099199999999999</v>
      </c>
      <c r="V372" s="9">
        <v>5.2109800000000002</v>
      </c>
      <c r="W372" s="9">
        <v>3.1020699999999999</v>
      </c>
      <c r="X372" s="9">
        <v>4.1625100000000002</v>
      </c>
      <c r="Y372" s="9">
        <v>59.343400000000003</v>
      </c>
      <c r="Z372" s="9">
        <v>42.025199999999998</v>
      </c>
      <c r="AA372" s="9">
        <f t="shared" si="57"/>
        <v>0.84988219178082192</v>
      </c>
      <c r="AB372" s="9">
        <f t="shared" si="58"/>
        <v>1.6657534246575343</v>
      </c>
      <c r="AC372" s="9">
        <f t="shared" si="59"/>
        <v>1.1150684931506851</v>
      </c>
      <c r="AD372" s="9">
        <f t="shared" si="60"/>
        <v>7.5340434445897397</v>
      </c>
      <c r="AE372" s="9">
        <f t="shared" si="61"/>
        <v>5.3353815684233243</v>
      </c>
      <c r="AF372" s="9">
        <f t="shared" si="62"/>
        <v>4.9094468841945771</v>
      </c>
      <c r="AG372" s="9">
        <f t="shared" si="54"/>
        <v>1.5834239737050415</v>
      </c>
      <c r="AH372" s="9">
        <f t="shared" si="63"/>
        <v>0.97072360685134462</v>
      </c>
      <c r="AI372" s="9">
        <f t="shared" si="55"/>
        <v>2.1567860202763569</v>
      </c>
      <c r="AJ372" s="9">
        <f>(4*PI()*(AI372^2))/(Y372+E372)</f>
        <v>0.86961060938663415</v>
      </c>
      <c r="AK372" s="12">
        <f t="shared" si="56"/>
        <v>0.81838565022421528</v>
      </c>
      <c r="AL372" s="12" t="s">
        <v>140</v>
      </c>
      <c r="AM372" s="12" t="s">
        <v>143</v>
      </c>
      <c r="AN372" s="16">
        <v>7.3811</v>
      </c>
      <c r="AO372" s="16">
        <v>0.65797000000000005</v>
      </c>
      <c r="AP372" s="16">
        <v>13474</v>
      </c>
      <c r="AQ372" s="16">
        <v>13556</v>
      </c>
      <c r="AR372" s="16">
        <v>3.879</v>
      </c>
      <c r="AS372" s="16">
        <v>3.4308999999999999E-2</v>
      </c>
      <c r="AT372" s="16">
        <v>0.68225000000000002</v>
      </c>
      <c r="AU372" s="16">
        <v>0.48381000000000002</v>
      </c>
      <c r="AV372" s="16">
        <v>2.8579E-2</v>
      </c>
      <c r="AW372" s="16">
        <v>3.0442E-2</v>
      </c>
      <c r="AX372" s="16">
        <v>0.24690000000000001</v>
      </c>
      <c r="AY372" s="16">
        <v>-5.1261000000000001</v>
      </c>
      <c r="AZ372" s="16">
        <v>-2258</v>
      </c>
      <c r="BA372" s="16">
        <v>6.7928000000000002E-2</v>
      </c>
      <c r="BB372" s="16">
        <v>14.648999999999999</v>
      </c>
      <c r="BC372" s="16" t="s">
        <v>162</v>
      </c>
      <c r="BD372" s="34" t="s">
        <v>163</v>
      </c>
      <c r="BE372" t="s">
        <v>167</v>
      </c>
    </row>
    <row r="373" spans="1:57" x14ac:dyDescent="0.25">
      <c r="A373" s="25" t="s">
        <v>443</v>
      </c>
      <c r="B373" s="18" t="s">
        <v>13</v>
      </c>
      <c r="C373" s="18" t="s">
        <v>6</v>
      </c>
      <c r="D373" s="18">
        <v>55</v>
      </c>
      <c r="E373" s="18">
        <v>10.813096219732</v>
      </c>
      <c r="F373" s="18">
        <v>12.634</v>
      </c>
      <c r="G373" s="15">
        <v>6.67</v>
      </c>
      <c r="H373" s="15">
        <v>4.05</v>
      </c>
      <c r="I373" s="15">
        <v>1.81</v>
      </c>
      <c r="J373" s="15">
        <v>75.260000000000005</v>
      </c>
      <c r="K373" s="15">
        <v>29.82</v>
      </c>
      <c r="L373" s="15">
        <v>76</v>
      </c>
      <c r="M373" s="15">
        <v>4.4000000000000004</v>
      </c>
      <c r="N373" s="15">
        <v>2</v>
      </c>
      <c r="O373" s="15">
        <f>1.46+1.38</f>
        <v>2.84</v>
      </c>
      <c r="P373" s="9">
        <v>1.19018</v>
      </c>
      <c r="Q373" s="9">
        <v>1.54166</v>
      </c>
      <c r="R373" s="9">
        <v>0.35</v>
      </c>
      <c r="S373" s="9">
        <v>0.16942699999999999</v>
      </c>
      <c r="T373" s="9">
        <v>0.200521</v>
      </c>
      <c r="U373" s="9">
        <v>0.109093</v>
      </c>
      <c r="V373" s="9">
        <v>5.2829499999999996</v>
      </c>
      <c r="W373" s="9">
        <v>3.4268000000000001</v>
      </c>
      <c r="X373" s="9">
        <v>4.0785</v>
      </c>
      <c r="Y373" s="9">
        <v>52.908700000000003</v>
      </c>
      <c r="Z373" s="9">
        <v>36.5839</v>
      </c>
      <c r="AA373" s="9">
        <f t="shared" si="57"/>
        <v>1.8932596685082872</v>
      </c>
      <c r="AB373" s="9">
        <f t="shared" si="58"/>
        <v>3.6850828729281768</v>
      </c>
      <c r="AC373" s="9">
        <f t="shared" si="59"/>
        <v>2.2375690607734806</v>
      </c>
      <c r="AD373" s="9">
        <f t="shared" si="60"/>
        <v>4.8930203639038119</v>
      </c>
      <c r="AE373" s="9">
        <f t="shared" si="61"/>
        <v>3.3832955202267425</v>
      </c>
      <c r="AF373" s="9">
        <f t="shared" si="62"/>
        <v>4.8010226692379785</v>
      </c>
      <c r="AG373" s="9">
        <f t="shared" si="54"/>
        <v>1.8552399917523528</v>
      </c>
      <c r="AH373" s="9">
        <f t="shared" si="63"/>
        <v>0.92265447660838684</v>
      </c>
      <c r="AI373" s="9">
        <f t="shared" si="55"/>
        <v>2.0593672282692648</v>
      </c>
      <c r="AJ373" s="9">
        <f>(4*PI()*(AI373^2))/(Y373+E373)</f>
        <v>0.83635267300494753</v>
      </c>
      <c r="AK373" s="12">
        <f t="shared" si="56"/>
        <v>0.63732394366197187</v>
      </c>
      <c r="AL373" s="12" t="s">
        <v>140</v>
      </c>
      <c r="AM373" s="12" t="s">
        <v>142</v>
      </c>
      <c r="AN373" s="18">
        <v>5.2688283349710296</v>
      </c>
      <c r="AO373" s="18">
        <v>0.62038148999291598</v>
      </c>
      <c r="AP373" s="18">
        <v>10065.8779922168</v>
      </c>
      <c r="AQ373" s="18">
        <v>9437.6757790240899</v>
      </c>
      <c r="AR373" s="18">
        <v>2.58069746944191</v>
      </c>
      <c r="AS373" s="18">
        <v>1.09830089726496E-2</v>
      </c>
      <c r="AT373" s="18">
        <v>0.75234877658192201</v>
      </c>
      <c r="AU373" s="18">
        <v>1.05866370619022</v>
      </c>
      <c r="AV373" s="18">
        <v>0.124860485510534</v>
      </c>
      <c r="AW373" s="18">
        <v>9.7390601962903008E-3</v>
      </c>
      <c r="AX373" s="18">
        <v>0.180411648469123</v>
      </c>
      <c r="AY373" s="18">
        <v>13.400709015915901</v>
      </c>
      <c r="AZ373" s="18">
        <v>4356.0920038677205</v>
      </c>
      <c r="BA373" s="18">
        <v>3.3507059206837303E-2</v>
      </c>
      <c r="BB373" s="18">
        <v>14.0335730808552</v>
      </c>
      <c r="BC373" s="18" t="s">
        <v>162</v>
      </c>
      <c r="BD373" s="35" t="s">
        <v>165</v>
      </c>
      <c r="BE373" t="s">
        <v>168</v>
      </c>
    </row>
    <row r="374" spans="1:57" x14ac:dyDescent="0.25">
      <c r="A374" s="25" t="s">
        <v>444</v>
      </c>
      <c r="B374" s="18" t="s">
        <v>5</v>
      </c>
      <c r="C374" s="18" t="s">
        <v>6</v>
      </c>
      <c r="D374" s="18">
        <v>47</v>
      </c>
      <c r="E374" s="18">
        <v>10.341678057663399</v>
      </c>
      <c r="F374" s="18">
        <v>11.755000000000001</v>
      </c>
      <c r="G374" s="15">
        <v>5.27</v>
      </c>
      <c r="H374" s="15">
        <v>4.4000000000000004</v>
      </c>
      <c r="I374" s="15">
        <v>2.79</v>
      </c>
      <c r="J374" s="15">
        <v>33.29</v>
      </c>
      <c r="K374" s="15">
        <v>53.85</v>
      </c>
      <c r="L374" s="15">
        <v>5.73</v>
      </c>
      <c r="M374" s="15">
        <v>3.9</v>
      </c>
      <c r="N374" s="15">
        <v>2</v>
      </c>
      <c r="O374" s="15">
        <f>1.81+3.27</f>
        <v>5.08</v>
      </c>
      <c r="P374" s="9">
        <v>1.2493799999999999</v>
      </c>
      <c r="Q374" s="9">
        <v>1.2615099999999999</v>
      </c>
      <c r="R374" s="9">
        <v>0.12069000000000001</v>
      </c>
      <c r="S374" s="9">
        <v>0.12848499999999999</v>
      </c>
      <c r="T374" s="9">
        <v>0.14537700000000001</v>
      </c>
      <c r="U374" s="9">
        <v>3.5252199999999997E-2</v>
      </c>
      <c r="V374" s="9">
        <v>4.47187</v>
      </c>
      <c r="W374" s="9">
        <v>3.5448599999999999</v>
      </c>
      <c r="X374" s="9">
        <v>4.4288600000000002</v>
      </c>
      <c r="Y374" s="9">
        <v>53.330100000000002</v>
      </c>
      <c r="Z374" s="9">
        <v>40.917499999999997</v>
      </c>
      <c r="AA374" s="9">
        <f t="shared" si="57"/>
        <v>1.2705591397849463</v>
      </c>
      <c r="AB374" s="9">
        <f t="shared" si="58"/>
        <v>1.8888888888888886</v>
      </c>
      <c r="AC374" s="9">
        <f t="shared" si="59"/>
        <v>1.5770609318996416</v>
      </c>
      <c r="AD374" s="9">
        <f t="shared" si="60"/>
        <v>5.1568130145456701</v>
      </c>
      <c r="AE374" s="9">
        <f t="shared" si="61"/>
        <v>3.9565629264275226</v>
      </c>
      <c r="AF374" s="9">
        <f t="shared" si="62"/>
        <v>4.491240766076241</v>
      </c>
      <c r="AG374" s="9">
        <f t="shared" si="54"/>
        <v>1.8143479174304584</v>
      </c>
      <c r="AH374" s="9">
        <f t="shared" si="63"/>
        <v>0.9697902319788122</v>
      </c>
      <c r="AI374" s="9">
        <f t="shared" si="55"/>
        <v>2.1376675299997738</v>
      </c>
      <c r="AJ374" s="9">
        <f>(4*PI()*(AI374^2))/(Y374+E374)</f>
        <v>0.90186847709563922</v>
      </c>
      <c r="AK374" s="12">
        <f t="shared" si="56"/>
        <v>0.54921259842519687</v>
      </c>
      <c r="AL374" s="12" t="s">
        <v>144</v>
      </c>
      <c r="AM374" s="12" t="s">
        <v>142</v>
      </c>
      <c r="AN374" s="18">
        <v>13.3324717104343</v>
      </c>
      <c r="AO374" s="18">
        <v>0.99898168772887297</v>
      </c>
      <c r="AP374" s="18">
        <v>27498.4137182831</v>
      </c>
      <c r="AQ374" s="18">
        <v>26019.3432143682</v>
      </c>
      <c r="AR374" s="18">
        <v>6.2956389542572602</v>
      </c>
      <c r="AS374" s="18">
        <v>2.1367276489553999E-2</v>
      </c>
      <c r="AT374" s="18">
        <v>0.70499909460158805</v>
      </c>
      <c r="AU374" s="18">
        <v>0.282491199320971</v>
      </c>
      <c r="AV374" s="18">
        <v>4.5984628952944698E-3</v>
      </c>
      <c r="AW374" s="18">
        <v>1.51178087264408E-2</v>
      </c>
      <c r="AX374" s="18">
        <v>0.39579928773252199</v>
      </c>
      <c r="AY374" s="18">
        <v>-2.9665181210148401</v>
      </c>
      <c r="AZ374" s="18">
        <v>-2393.7377022498499</v>
      </c>
      <c r="BA374" s="18">
        <v>5.3977769227446501E-2</v>
      </c>
      <c r="BB374" s="18">
        <v>26.138805773310501</v>
      </c>
      <c r="BC374" s="18" t="s">
        <v>162</v>
      </c>
      <c r="BD374" s="35" t="s">
        <v>163</v>
      </c>
      <c r="BE374" t="s">
        <v>168</v>
      </c>
    </row>
    <row r="375" spans="1:57" x14ac:dyDescent="0.25">
      <c r="A375" s="25" t="s">
        <v>445</v>
      </c>
      <c r="B375" s="18" t="s">
        <v>13</v>
      </c>
      <c r="C375" s="18" t="s">
        <v>14</v>
      </c>
      <c r="D375" s="18">
        <v>50</v>
      </c>
      <c r="E375" s="18">
        <v>7.4522691611502703</v>
      </c>
      <c r="F375" s="18">
        <v>10.346</v>
      </c>
      <c r="G375" s="15">
        <v>5.6</v>
      </c>
      <c r="H375" s="15">
        <v>4.5999999999999996</v>
      </c>
      <c r="I375" s="15">
        <v>2.29</v>
      </c>
      <c r="J375" s="15">
        <v>22.5</v>
      </c>
      <c r="K375" s="15">
        <v>46.2</v>
      </c>
      <c r="L375" s="15">
        <v>41.95</v>
      </c>
      <c r="M375" s="15">
        <v>4.8</v>
      </c>
      <c r="N375" s="15">
        <v>2</v>
      </c>
      <c r="O375" s="15">
        <f>1.66+1.51</f>
        <v>3.17</v>
      </c>
      <c r="P375" s="9">
        <v>1.58525</v>
      </c>
      <c r="Q375" s="9">
        <v>1.2704500000000001</v>
      </c>
      <c r="R375" s="9">
        <v>0.236264</v>
      </c>
      <c r="S375" s="9">
        <v>0.18135299999999999</v>
      </c>
      <c r="T375" s="9">
        <v>0.22251099999999999</v>
      </c>
      <c r="U375" s="9">
        <v>0.13781499999999999</v>
      </c>
      <c r="V375" s="9">
        <v>3.6918600000000001</v>
      </c>
      <c r="W375" s="9">
        <v>2.9059400000000002</v>
      </c>
      <c r="X375" s="9">
        <v>4.6066500000000001</v>
      </c>
      <c r="Y375" s="9">
        <v>43.362000000000002</v>
      </c>
      <c r="Z375" s="9">
        <v>26.031199999999998</v>
      </c>
      <c r="AA375" s="9">
        <f t="shared" si="57"/>
        <v>1.2689694323144105</v>
      </c>
      <c r="AB375" s="9">
        <f t="shared" si="58"/>
        <v>2.445414847161572</v>
      </c>
      <c r="AC375" s="9">
        <f t="shared" si="59"/>
        <v>2.0087336244541483</v>
      </c>
      <c r="AD375" s="9">
        <f t="shared" si="60"/>
        <v>5.8186304147536996</v>
      </c>
      <c r="AE375" s="9">
        <f t="shared" si="61"/>
        <v>3.4930568712821475</v>
      </c>
      <c r="AF375" s="9">
        <f t="shared" si="62"/>
        <v>4.936811129729648</v>
      </c>
      <c r="AG375" s="9">
        <f t="shared" si="54"/>
        <v>1.5401723762282959</v>
      </c>
      <c r="AH375" s="9">
        <f t="shared" si="63"/>
        <v>0.93535554270650489</v>
      </c>
      <c r="AI375" s="9">
        <f t="shared" si="55"/>
        <v>1.8385207108303157</v>
      </c>
      <c r="AJ375" s="9">
        <f>(4*PI()*(AI375^2))/(Y375+E375)</f>
        <v>0.83591329646220724</v>
      </c>
      <c r="AK375" s="12">
        <f t="shared" si="56"/>
        <v>0.72239747634069407</v>
      </c>
      <c r="AL375" s="12" t="s">
        <v>144</v>
      </c>
      <c r="AM375" s="12" t="s">
        <v>142</v>
      </c>
      <c r="AN375" s="18">
        <v>9.0874097365567401</v>
      </c>
      <c r="AO375" s="18">
        <v>0.55677244485791999</v>
      </c>
      <c r="AP375" s="18">
        <v>24631.1167892958</v>
      </c>
      <c r="AQ375" s="18">
        <v>23116.667459117099</v>
      </c>
      <c r="AR375" s="18">
        <v>4.5403303011004601</v>
      </c>
      <c r="AS375" s="18">
        <v>1.8316945050202999E-2</v>
      </c>
      <c r="AT375" s="18">
        <v>0.71958023696136797</v>
      </c>
      <c r="AU375" s="18">
        <v>1.4025672132042299</v>
      </c>
      <c r="AV375" s="18">
        <v>0.32407964525892902</v>
      </c>
      <c r="AW375" s="18">
        <v>1.14394174690971E-2</v>
      </c>
      <c r="AX375" s="18">
        <v>0.23695690628677701</v>
      </c>
      <c r="AY375" s="18">
        <v>-1.3082994220481301</v>
      </c>
      <c r="AZ375" s="18">
        <v>-2514.4746841226702</v>
      </c>
      <c r="BA375" s="18">
        <v>3.4469636377495699E-2</v>
      </c>
      <c r="BB375" s="18">
        <v>12.2425748539893</v>
      </c>
      <c r="BC375" s="18" t="s">
        <v>162</v>
      </c>
      <c r="BD375" s="35" t="s">
        <v>165</v>
      </c>
      <c r="BE375" t="s">
        <v>168</v>
      </c>
    </row>
    <row r="376" spans="1:57" x14ac:dyDescent="0.25">
      <c r="A376" s="25" t="s">
        <v>446</v>
      </c>
      <c r="B376" s="16" t="s">
        <v>5</v>
      </c>
      <c r="C376" s="16" t="s">
        <v>6</v>
      </c>
      <c r="D376" s="16">
        <v>37</v>
      </c>
      <c r="E376" s="16">
        <v>8.2775999999999996</v>
      </c>
      <c r="F376" s="16">
        <v>10.541</v>
      </c>
      <c r="G376" s="15">
        <v>3.86</v>
      </c>
      <c r="H376" s="15">
        <v>2.35</v>
      </c>
      <c r="I376" s="15">
        <v>2.85</v>
      </c>
      <c r="J376" s="15">
        <v>55.27</v>
      </c>
      <c r="K376" s="15">
        <v>32.26</v>
      </c>
      <c r="L376" s="15">
        <v>29.64</v>
      </c>
      <c r="M376" s="15">
        <v>3.5</v>
      </c>
      <c r="N376" s="15">
        <v>1</v>
      </c>
      <c r="O376" s="15">
        <v>3.6</v>
      </c>
      <c r="P376" s="9">
        <v>0.74036299999999999</v>
      </c>
      <c r="Q376" s="9">
        <v>1.1064000000000001</v>
      </c>
      <c r="R376" s="9">
        <v>0.39130399999999999</v>
      </c>
      <c r="S376" s="9">
        <v>5.0883999999999999E-2</v>
      </c>
      <c r="T376" s="9">
        <v>7.3477000000000001E-2</v>
      </c>
      <c r="U376" s="9">
        <v>3.9740299999999999E-2</v>
      </c>
      <c r="V376" s="9">
        <v>3.5388899999999999</v>
      </c>
      <c r="W376" s="9">
        <v>3.1985700000000001</v>
      </c>
      <c r="X376" s="9">
        <v>2.3681000000000001</v>
      </c>
      <c r="Y376" s="9">
        <v>22.388300000000001</v>
      </c>
      <c r="Z376" s="9">
        <v>12.5633</v>
      </c>
      <c r="AA376" s="9">
        <f t="shared" si="57"/>
        <v>1.1223052631578947</v>
      </c>
      <c r="AB376" s="9">
        <f t="shared" si="58"/>
        <v>1.3543859649122807</v>
      </c>
      <c r="AC376" s="9">
        <f t="shared" si="59"/>
        <v>0.82456140350877194</v>
      </c>
      <c r="AD376" s="9">
        <f t="shared" si="60"/>
        <v>2.7046849328307725</v>
      </c>
      <c r="AE376" s="9">
        <f t="shared" si="61"/>
        <v>1.5177466898617957</v>
      </c>
      <c r="AF376" s="9">
        <f t="shared" si="62"/>
        <v>4.1427172952919689</v>
      </c>
      <c r="AG376" s="9">
        <f t="shared" si="54"/>
        <v>1.6232196135689545</v>
      </c>
      <c r="AH376" s="9">
        <f t="shared" si="63"/>
        <v>0.96755427628329194</v>
      </c>
      <c r="AI376" s="9">
        <f t="shared" si="55"/>
        <v>1.4421320886802842</v>
      </c>
      <c r="AJ376" s="9">
        <f>(4*PI()*(AI376^2))/(Y376+E376)</f>
        <v>0.85224454412889616</v>
      </c>
      <c r="AK376" s="12">
        <f t="shared" si="56"/>
        <v>0.79166666666666663</v>
      </c>
      <c r="AL376" s="12" t="s">
        <v>144</v>
      </c>
      <c r="AM376" s="12" t="s">
        <v>143</v>
      </c>
      <c r="AN376" s="16">
        <v>11.364000000000001</v>
      </c>
      <c r="AO376" s="16">
        <v>1.1826000000000001</v>
      </c>
      <c r="AP376" s="16">
        <v>20314</v>
      </c>
      <c r="AQ376" s="16">
        <v>21159</v>
      </c>
      <c r="AR376" s="16">
        <v>5.4374000000000002</v>
      </c>
      <c r="AS376" s="16">
        <v>3.5473000000000002E-3</v>
      </c>
      <c r="AT376" s="16">
        <v>0.76109000000000004</v>
      </c>
      <c r="AU376" s="16">
        <v>0.25679000000000002</v>
      </c>
      <c r="AV376" s="21">
        <v>6.4461E-4</v>
      </c>
      <c r="AW376" s="16">
        <v>2.5317999999999998E-3</v>
      </c>
      <c r="AX376" s="16">
        <v>0.29921999999999999</v>
      </c>
      <c r="AY376" s="16">
        <v>2.9180000000000001</v>
      </c>
      <c r="AZ376" s="16">
        <v>2683.3</v>
      </c>
      <c r="BA376" s="16">
        <v>1.5990999999999998E-2</v>
      </c>
      <c r="BB376" s="16">
        <v>12.449</v>
      </c>
      <c r="BC376" s="16" t="s">
        <v>162</v>
      </c>
      <c r="BD376" s="34" t="s">
        <v>163</v>
      </c>
      <c r="BE376" t="s">
        <v>167</v>
      </c>
    </row>
    <row r="377" spans="1:57" x14ac:dyDescent="0.25">
      <c r="A377" s="25" t="s">
        <v>447</v>
      </c>
      <c r="B377" s="16" t="s">
        <v>5</v>
      </c>
      <c r="C377" s="16" t="s">
        <v>6</v>
      </c>
      <c r="D377" s="16">
        <v>37</v>
      </c>
      <c r="E377" s="16">
        <v>25.327999999999999</v>
      </c>
      <c r="F377" s="16">
        <v>19.099</v>
      </c>
      <c r="G377" s="15">
        <v>7.89</v>
      </c>
      <c r="H377" s="15">
        <v>3.13</v>
      </c>
      <c r="I377" s="15">
        <v>3.14</v>
      </c>
      <c r="J377" s="15">
        <v>106.59</v>
      </c>
      <c r="K377" s="15">
        <v>14.27</v>
      </c>
      <c r="L377" s="15">
        <v>12.79</v>
      </c>
      <c r="M377" s="15">
        <v>7.3</v>
      </c>
      <c r="N377" s="15">
        <v>1</v>
      </c>
      <c r="O377" s="15">
        <v>3.43</v>
      </c>
      <c r="P377" s="9">
        <v>0.58646399999999999</v>
      </c>
      <c r="Q377" s="9">
        <v>1.33256</v>
      </c>
      <c r="R377" s="9">
        <v>0.46721299999999999</v>
      </c>
      <c r="S377" s="9">
        <v>7.73504E-2</v>
      </c>
      <c r="T377" s="9">
        <v>0.15102099999999999</v>
      </c>
      <c r="U377" s="9">
        <v>9.8499299999999998E-2</v>
      </c>
      <c r="V377" s="9">
        <v>7.1489799999999999</v>
      </c>
      <c r="W377" s="9">
        <v>5.3648400000000001</v>
      </c>
      <c r="X377" s="9">
        <v>3.14629</v>
      </c>
      <c r="Y377" s="9">
        <v>61.930900000000001</v>
      </c>
      <c r="Z377" s="9">
        <v>50.698500000000003</v>
      </c>
      <c r="AA377" s="9">
        <f t="shared" si="57"/>
        <v>1.7085477707006369</v>
      </c>
      <c r="AB377" s="9">
        <f t="shared" si="58"/>
        <v>2.5127388535031847</v>
      </c>
      <c r="AC377" s="9">
        <f t="shared" si="59"/>
        <v>0.99681528662420371</v>
      </c>
      <c r="AD377" s="9">
        <f t="shared" si="60"/>
        <v>2.4451555590650664</v>
      </c>
      <c r="AE377" s="9">
        <f t="shared" si="61"/>
        <v>2.0016779848389135</v>
      </c>
      <c r="AF377" s="9">
        <f t="shared" si="62"/>
        <v>4.5210986620828555</v>
      </c>
      <c r="AG377" s="9">
        <f t="shared" si="54"/>
        <v>2.8393930332490163</v>
      </c>
      <c r="AH377" s="9">
        <f t="shared" si="63"/>
        <v>0.93410296810400018</v>
      </c>
      <c r="AI377" s="9">
        <f t="shared" si="55"/>
        <v>2.2959838750094659</v>
      </c>
      <c r="AJ377" s="9">
        <f>(4*PI()*(AI377^2))/(Y377+E377)</f>
        <v>0.75916783167013124</v>
      </c>
      <c r="AK377" s="12">
        <f t="shared" si="56"/>
        <v>0.91545189504373181</v>
      </c>
      <c r="AL377" s="12" t="s">
        <v>144</v>
      </c>
      <c r="AM377" s="12" t="s">
        <v>143</v>
      </c>
      <c r="AN377" s="16">
        <v>8.5656999999999996</v>
      </c>
      <c r="AO377" s="16">
        <v>0.96574000000000004</v>
      </c>
      <c r="AP377" s="16">
        <v>14868</v>
      </c>
      <c r="AQ377" s="16">
        <v>13714</v>
      </c>
      <c r="AR377" s="16">
        <v>4.5807000000000002</v>
      </c>
      <c r="AS377" s="16">
        <v>2.8367000000000002E-3</v>
      </c>
      <c r="AT377" s="16">
        <v>0.7712</v>
      </c>
      <c r="AU377" s="16">
        <v>0.29421000000000003</v>
      </c>
      <c r="AV377" s="16">
        <v>2.9908000000000001E-3</v>
      </c>
      <c r="AW377" s="16">
        <v>1.9732E-3</v>
      </c>
      <c r="AX377" s="16">
        <v>0.31872</v>
      </c>
      <c r="AY377" s="16">
        <v>-9.3270999999999996E-3</v>
      </c>
      <c r="AZ377" s="16">
        <v>-1778.3</v>
      </c>
      <c r="BA377" s="16">
        <v>2.6988000000000002E-2</v>
      </c>
      <c r="BB377" s="16">
        <v>12.507</v>
      </c>
      <c r="BC377" s="16" t="s">
        <v>162</v>
      </c>
      <c r="BD377" s="34" t="s">
        <v>165</v>
      </c>
      <c r="BE377" t="s">
        <v>167</v>
      </c>
    </row>
    <row r="378" spans="1:57" x14ac:dyDescent="0.25">
      <c r="A378" s="25" t="s">
        <v>448</v>
      </c>
      <c r="B378" s="18" t="s">
        <v>13</v>
      </c>
      <c r="C378" s="18" t="s">
        <v>6</v>
      </c>
      <c r="D378" s="18">
        <v>59</v>
      </c>
      <c r="E378" s="18">
        <v>14.1538775433011</v>
      </c>
      <c r="F378" s="18">
        <v>13.688000000000001</v>
      </c>
      <c r="G378" s="15">
        <v>5.29</v>
      </c>
      <c r="H378" s="15">
        <v>3.35</v>
      </c>
      <c r="I378" s="15">
        <v>2.23</v>
      </c>
      <c r="J378" s="15">
        <v>90.12</v>
      </c>
      <c r="K378" s="15">
        <v>20.329999999999998</v>
      </c>
      <c r="L378" s="15">
        <v>69.94</v>
      </c>
      <c r="M378" s="15">
        <v>5.0999999999999996</v>
      </c>
      <c r="N378" s="15">
        <v>2</v>
      </c>
      <c r="O378" s="15">
        <f>2.14+1.9</f>
        <v>4.04</v>
      </c>
      <c r="P378" s="9">
        <v>0.80443399999999998</v>
      </c>
      <c r="Q378" s="9">
        <v>1.2629900000000001</v>
      </c>
      <c r="R378" s="9">
        <v>0.1</v>
      </c>
      <c r="S378" s="9">
        <v>6.6671400000000006E-2</v>
      </c>
      <c r="T378" s="9">
        <v>7.46116E-2</v>
      </c>
      <c r="U378" s="9">
        <v>9.75906E-3</v>
      </c>
      <c r="V378" s="9">
        <v>5.22675</v>
      </c>
      <c r="W378" s="9">
        <v>4.1383999999999999</v>
      </c>
      <c r="X378" s="9">
        <v>3.3290700000000002</v>
      </c>
      <c r="Y378" s="9">
        <v>52.064100000000003</v>
      </c>
      <c r="Z378" s="9">
        <v>44.471499999999999</v>
      </c>
      <c r="AA378" s="9">
        <f t="shared" si="57"/>
        <v>1.8557847533632286</v>
      </c>
      <c r="AB378" s="9">
        <f t="shared" si="58"/>
        <v>2.3721973094170403</v>
      </c>
      <c r="AC378" s="9">
        <f t="shared" si="59"/>
        <v>1.5022421524663678</v>
      </c>
      <c r="AD378" s="9">
        <f t="shared" si="60"/>
        <v>3.6784336900414587</v>
      </c>
      <c r="AE378" s="9">
        <f t="shared" si="61"/>
        <v>3.1420011840534787</v>
      </c>
      <c r="AF378" s="9">
        <f t="shared" si="62"/>
        <v>4.1477940085550049</v>
      </c>
      <c r="AG378" s="9">
        <f t="shared" si="54"/>
        <v>2.1225737089362724</v>
      </c>
      <c r="AH378" s="9">
        <f t="shared" si="63"/>
        <v>0.97432232184351741</v>
      </c>
      <c r="AI378" s="9">
        <f t="shared" si="55"/>
        <v>2.1978483493225838</v>
      </c>
      <c r="AJ378" s="9">
        <f>(4*PI()*(AI378^2))/(Y378+E378)</f>
        <v>0.91670457279918083</v>
      </c>
      <c r="AK378" s="12">
        <f t="shared" si="56"/>
        <v>0.55198019801980203</v>
      </c>
      <c r="AL378" s="12" t="s">
        <v>144</v>
      </c>
      <c r="AM378" s="12" t="s">
        <v>142</v>
      </c>
      <c r="AN378" s="18">
        <v>10.0165329696146</v>
      </c>
      <c r="AO378" s="18">
        <v>1.36230010116272</v>
      </c>
      <c r="AP378" s="18">
        <v>13442.678847731901</v>
      </c>
      <c r="AQ378" s="18">
        <v>12898.2409089994</v>
      </c>
      <c r="AR378" s="18">
        <v>4.9467482277016499</v>
      </c>
      <c r="AS378" s="18">
        <v>1.9360320633773E-3</v>
      </c>
      <c r="AT378" s="18">
        <v>0.75861925200087699</v>
      </c>
      <c r="AU378" s="19">
        <v>0.255182894281753</v>
      </c>
      <c r="AV378" s="19">
        <v>4.4485809309453199E-4</v>
      </c>
      <c r="AW378" s="19">
        <v>2.64725979874831E-3</v>
      </c>
      <c r="AX378" s="18">
        <v>0.33333712931169401</v>
      </c>
      <c r="AY378" s="18">
        <v>0.88100091862878904</v>
      </c>
      <c r="AZ378" s="18">
        <v>-425.69183325303101</v>
      </c>
      <c r="BA378" s="19">
        <v>4.3686881595179E-2</v>
      </c>
      <c r="BB378" s="18">
        <v>12.150482603027401</v>
      </c>
      <c r="BC378" s="18" t="s">
        <v>162</v>
      </c>
      <c r="BD378" s="35" t="s">
        <v>165</v>
      </c>
      <c r="BE378" t="s">
        <v>167</v>
      </c>
    </row>
    <row r="379" spans="1:57" x14ac:dyDescent="0.25">
      <c r="A379" s="25" t="s">
        <v>449</v>
      </c>
      <c r="B379" s="16" t="s">
        <v>5</v>
      </c>
      <c r="C379" s="16" t="s">
        <v>6</v>
      </c>
      <c r="D379" s="16">
        <v>37</v>
      </c>
      <c r="E379" s="16">
        <v>15.994999999999999</v>
      </c>
      <c r="F379" s="16">
        <v>14.394</v>
      </c>
      <c r="G379" s="15">
        <v>5.09</v>
      </c>
      <c r="H379" s="15">
        <v>3.06</v>
      </c>
      <c r="I379" s="15">
        <v>3.04</v>
      </c>
      <c r="J379" s="15">
        <v>98.17</v>
      </c>
      <c r="K379" s="15">
        <v>11.06</v>
      </c>
      <c r="L379" s="15">
        <v>14.39</v>
      </c>
      <c r="M379" s="15">
        <v>5.85</v>
      </c>
      <c r="N379" s="15">
        <v>1</v>
      </c>
      <c r="O379" s="15">
        <v>3.7</v>
      </c>
      <c r="P379" s="9">
        <v>0.80810300000000002</v>
      </c>
      <c r="Q379" s="9">
        <v>1.1281099999999999</v>
      </c>
      <c r="R379" s="9">
        <v>0.302817</v>
      </c>
      <c r="S379" s="9">
        <v>4.7316299999999999E-2</v>
      </c>
      <c r="T379" s="9">
        <v>5.4555300000000001E-2</v>
      </c>
      <c r="U379" s="9">
        <v>6.6722700000000001E-3</v>
      </c>
      <c r="V379" s="9">
        <v>5.07348</v>
      </c>
      <c r="W379" s="9">
        <v>4.4973099999999997</v>
      </c>
      <c r="X379" s="9">
        <v>3.63429</v>
      </c>
      <c r="Y379" s="9">
        <v>50.996000000000002</v>
      </c>
      <c r="Z379" s="9">
        <v>44.519100000000002</v>
      </c>
      <c r="AA379" s="9">
        <f t="shared" si="57"/>
        <v>1.479378289473684</v>
      </c>
      <c r="AB379" s="9">
        <f t="shared" si="58"/>
        <v>1.6743421052631577</v>
      </c>
      <c r="AC379" s="9">
        <f t="shared" si="59"/>
        <v>1.006578947368421</v>
      </c>
      <c r="AD379" s="9">
        <f t="shared" si="60"/>
        <v>3.1882463269771808</v>
      </c>
      <c r="AE379" s="9">
        <f t="shared" si="61"/>
        <v>2.7833135354798375</v>
      </c>
      <c r="AF379" s="9">
        <f t="shared" si="62"/>
        <v>4.0598051961939499</v>
      </c>
      <c r="AG379" s="9">
        <f t="shared" si="54"/>
        <v>2.2564056881486829</v>
      </c>
      <c r="AH379" s="9">
        <f t="shared" si="63"/>
        <v>0.98495311010228204</v>
      </c>
      <c r="AI379" s="9">
        <f t="shared" si="55"/>
        <v>2.1986322242226333</v>
      </c>
      <c r="AJ379" s="9">
        <f>(4*PI()*(AI379^2))/(Y379+E379)</f>
        <v>0.90677300208267131</v>
      </c>
      <c r="AK379" s="12">
        <f t="shared" si="56"/>
        <v>0.82162162162162156</v>
      </c>
      <c r="AL379" s="12" t="s">
        <v>144</v>
      </c>
      <c r="AM379" s="12" t="s">
        <v>143</v>
      </c>
      <c r="AN379" s="16">
        <v>11.422000000000001</v>
      </c>
      <c r="AO379" s="16">
        <v>0.82057000000000002</v>
      </c>
      <c r="AP379" s="16">
        <v>10589</v>
      </c>
      <c r="AQ379" s="16">
        <v>11377</v>
      </c>
      <c r="AR379" s="16">
        <v>5.4196999999999997</v>
      </c>
      <c r="AS379" s="16">
        <v>1.4195E-3</v>
      </c>
      <c r="AT379" s="16">
        <v>0.78178999999999998</v>
      </c>
      <c r="AU379" s="16">
        <v>0.23279</v>
      </c>
      <c r="AV379" s="16">
        <v>1.738E-3</v>
      </c>
      <c r="AW379" s="16">
        <v>1.3705E-3</v>
      </c>
      <c r="AX379" s="16">
        <v>0.38056000000000001</v>
      </c>
      <c r="AY379" s="16">
        <v>1.4988999999999999</v>
      </c>
      <c r="AZ379" s="16">
        <v>578.86</v>
      </c>
      <c r="BA379" s="16">
        <v>2.3428999999999998E-2</v>
      </c>
      <c r="BB379" s="16">
        <v>8.9469999999999992</v>
      </c>
      <c r="BC379" s="16" t="s">
        <v>162</v>
      </c>
      <c r="BD379" s="34" t="s">
        <v>163</v>
      </c>
      <c r="BE379" t="s">
        <v>167</v>
      </c>
    </row>
    <row r="380" spans="1:57" x14ac:dyDescent="0.25">
      <c r="A380" s="25" t="s">
        <v>450</v>
      </c>
      <c r="B380" s="18" t="s">
        <v>5</v>
      </c>
      <c r="C380" s="18" t="s">
        <v>6</v>
      </c>
      <c r="D380" s="18">
        <v>41</v>
      </c>
      <c r="E380" s="18">
        <v>8.6393000000000004</v>
      </c>
      <c r="F380" s="18">
        <v>10.657</v>
      </c>
      <c r="G380" s="15">
        <v>6.14</v>
      </c>
      <c r="H380" s="15">
        <v>5.0999999999999996</v>
      </c>
      <c r="I380" s="15">
        <v>3.42</v>
      </c>
      <c r="J380" s="15">
        <v>73.03</v>
      </c>
      <c r="K380" s="15">
        <v>50.23</v>
      </c>
      <c r="L380" s="15">
        <v>54.91</v>
      </c>
      <c r="M380" s="15">
        <v>4.8</v>
      </c>
      <c r="N380" s="15">
        <v>2</v>
      </c>
      <c r="O380" s="15">
        <f>2.6+2.57</f>
        <v>5.17</v>
      </c>
      <c r="P380" s="9">
        <v>1.56477</v>
      </c>
      <c r="Q380" s="9">
        <v>1.3368599999999999</v>
      </c>
      <c r="R380" s="9">
        <v>-3.4653499999999997E-2</v>
      </c>
      <c r="S380" s="9">
        <v>0.157138</v>
      </c>
      <c r="T380" s="9">
        <v>0.176761</v>
      </c>
      <c r="U380" s="9">
        <v>5.4059000000000003E-2</v>
      </c>
      <c r="V380" s="9">
        <v>4.37378</v>
      </c>
      <c r="W380" s="9">
        <v>3.2716699999999999</v>
      </c>
      <c r="X380" s="9">
        <v>5.1194300000000004</v>
      </c>
      <c r="Y380" s="9">
        <v>61.454300000000003</v>
      </c>
      <c r="Z380" s="9">
        <v>47.852600000000002</v>
      </c>
      <c r="AA380" s="9">
        <f t="shared" si="57"/>
        <v>0.95662865497076022</v>
      </c>
      <c r="AB380" s="9">
        <f t="shared" si="58"/>
        <v>1.7953216374269005</v>
      </c>
      <c r="AC380" s="9">
        <f t="shared" si="59"/>
        <v>1.4912280701754386</v>
      </c>
      <c r="AD380" s="9">
        <f t="shared" si="60"/>
        <v>7.113342516176079</v>
      </c>
      <c r="AE380" s="9">
        <f t="shared" si="61"/>
        <v>5.5389441274177305</v>
      </c>
      <c r="AF380" s="9">
        <f t="shared" si="62"/>
        <v>4.6624614051809647</v>
      </c>
      <c r="AG380" s="9">
        <f t="shared" si="54"/>
        <v>1.6583047366837083</v>
      </c>
      <c r="AH380" s="9">
        <f t="shared" si="63"/>
        <v>0.97770816893660395</v>
      </c>
      <c r="AI380" s="9">
        <f t="shared" si="55"/>
        <v>2.2521932026810036</v>
      </c>
      <c r="AJ380" s="9">
        <f>(4*PI()*(AI380^2))/(Y380+E380)</f>
        <v>0.9093745273593975</v>
      </c>
      <c r="AK380" s="12">
        <f t="shared" si="56"/>
        <v>0.66150870406189555</v>
      </c>
      <c r="AL380" s="12" t="s">
        <v>144</v>
      </c>
      <c r="AM380" s="12" t="s">
        <v>142</v>
      </c>
      <c r="AN380" s="18">
        <v>3.9704000000000002</v>
      </c>
      <c r="AO380" s="18">
        <v>0.42447000000000001</v>
      </c>
      <c r="AP380" s="18">
        <v>6220.5</v>
      </c>
      <c r="AQ380" s="18">
        <v>6074.4</v>
      </c>
      <c r="AR380" s="18">
        <v>1.8918999999999999</v>
      </c>
      <c r="AS380" s="18">
        <v>2.4504000000000001E-2</v>
      </c>
      <c r="AT380" s="18">
        <v>0.67767999999999995</v>
      </c>
      <c r="AU380" s="18">
        <v>1.2786999999999999</v>
      </c>
      <c r="AV380" s="18">
        <v>0.10101</v>
      </c>
      <c r="AW380" s="18">
        <v>1.6369000000000002E-2</v>
      </c>
      <c r="AX380" s="18">
        <v>0.18185000000000001</v>
      </c>
      <c r="AY380" s="18">
        <v>1.4171</v>
      </c>
      <c r="AZ380" s="18">
        <v>-164.56</v>
      </c>
      <c r="BA380" s="18">
        <v>5.5648000000000003E-2</v>
      </c>
      <c r="BB380" s="18">
        <v>5.1510999999999996</v>
      </c>
      <c r="BC380" s="18" t="s">
        <v>162</v>
      </c>
      <c r="BD380" s="35" t="s">
        <v>163</v>
      </c>
      <c r="BE380" t="s">
        <v>167</v>
      </c>
    </row>
    <row r="381" spans="1:57" x14ac:dyDescent="0.25">
      <c r="A381" s="25" t="s">
        <v>451</v>
      </c>
      <c r="B381" s="18" t="s">
        <v>13</v>
      </c>
      <c r="C381" s="18" t="s">
        <v>6</v>
      </c>
      <c r="D381" s="18">
        <v>68</v>
      </c>
      <c r="E381" s="18">
        <v>8.5129894839382807</v>
      </c>
      <c r="F381" s="18">
        <v>10.75</v>
      </c>
      <c r="G381" s="15">
        <v>5.28</v>
      </c>
      <c r="H381" s="15">
        <v>3.2</v>
      </c>
      <c r="I381" s="15">
        <v>1.98</v>
      </c>
      <c r="J381" s="15">
        <v>95.65</v>
      </c>
      <c r="K381" s="15">
        <v>3.14</v>
      </c>
      <c r="L381" s="15">
        <v>87.8</v>
      </c>
      <c r="M381" s="15">
        <v>4.5999999999999996</v>
      </c>
      <c r="N381" s="15">
        <v>2</v>
      </c>
      <c r="O381" s="15">
        <f>1.6+1.79</f>
        <v>3.39</v>
      </c>
      <c r="P381" s="9">
        <v>0.99669600000000003</v>
      </c>
      <c r="Q381" s="9">
        <v>1.64381</v>
      </c>
      <c r="R381" s="9">
        <v>6.4516100000000007E-2</v>
      </c>
      <c r="S381" s="9">
        <v>0.126137</v>
      </c>
      <c r="T381" s="9">
        <v>0.141268</v>
      </c>
      <c r="U381" s="9">
        <v>3.0634499999999999E-2</v>
      </c>
      <c r="V381" s="9">
        <v>5.2739200000000004</v>
      </c>
      <c r="W381" s="9">
        <v>3.2083599999999999</v>
      </c>
      <c r="X381" s="9">
        <v>3.1977600000000002</v>
      </c>
      <c r="Y381" s="9">
        <v>48.8001</v>
      </c>
      <c r="Z381" s="9">
        <v>36.0749</v>
      </c>
      <c r="AA381" s="9">
        <f t="shared" si="57"/>
        <v>1.6203838383838383</v>
      </c>
      <c r="AB381" s="9">
        <f t="shared" si="58"/>
        <v>2.666666666666667</v>
      </c>
      <c r="AC381" s="9">
        <f t="shared" si="59"/>
        <v>1.6161616161616164</v>
      </c>
      <c r="AD381" s="9">
        <f t="shared" si="60"/>
        <v>5.7324280844082622</v>
      </c>
      <c r="AE381" s="9">
        <f t="shared" si="61"/>
        <v>4.2376300438363774</v>
      </c>
      <c r="AF381" s="9">
        <f t="shared" si="62"/>
        <v>4.4697574270261642</v>
      </c>
      <c r="AG381" s="9">
        <f t="shared" si="54"/>
        <v>1.6461375136106342</v>
      </c>
      <c r="AH381" s="9">
        <f t="shared" si="63"/>
        <v>0.96213832922004394</v>
      </c>
      <c r="AI381" s="9">
        <f t="shared" si="55"/>
        <v>2.0497717758873844</v>
      </c>
      <c r="AJ381" s="9">
        <f>(4*PI()*(AI381^2))/(Y381+E381)</f>
        <v>0.92122785644226546</v>
      </c>
      <c r="AK381" s="12">
        <f t="shared" si="56"/>
        <v>0.58407079646017701</v>
      </c>
      <c r="AL381" s="12" t="s">
        <v>140</v>
      </c>
      <c r="AM381" s="12" t="s">
        <v>142</v>
      </c>
      <c r="AN381" s="18">
        <v>5.2449981847949898</v>
      </c>
      <c r="AO381" s="18">
        <v>0.72310860656555198</v>
      </c>
      <c r="AP381" s="18">
        <v>13328.0772381963</v>
      </c>
      <c r="AQ381" s="18">
        <v>12340.0642924446</v>
      </c>
      <c r="AR381" s="18">
        <v>2.77352613165748</v>
      </c>
      <c r="AS381" s="18">
        <v>9.2424113162895803E-3</v>
      </c>
      <c r="AT381" s="18">
        <v>0.759468993081856</v>
      </c>
      <c r="AU381" s="18">
        <v>0.64604797635476396</v>
      </c>
      <c r="AV381" s="18">
        <v>1.14203684717875E-2</v>
      </c>
      <c r="AW381" s="18">
        <v>8.9148258154074997E-3</v>
      </c>
      <c r="AX381" s="18">
        <v>0.187897090068461</v>
      </c>
      <c r="AY381" s="18">
        <v>-4.5517230517156797</v>
      </c>
      <c r="AZ381" s="18">
        <v>-696.649178143006</v>
      </c>
      <c r="BA381" s="18">
        <v>8.3508873994686303E-2</v>
      </c>
      <c r="BB381" s="18">
        <v>22.7214189822549</v>
      </c>
      <c r="BC381" s="18" t="s">
        <v>162</v>
      </c>
      <c r="BD381" s="35" t="s">
        <v>165</v>
      </c>
      <c r="BE381" t="s">
        <v>167</v>
      </c>
    </row>
    <row r="382" spans="1:57" x14ac:dyDescent="0.25">
      <c r="A382" s="25" t="s">
        <v>452</v>
      </c>
      <c r="B382" s="16" t="s">
        <v>5</v>
      </c>
      <c r="C382" s="16" t="s">
        <v>6</v>
      </c>
      <c r="D382" s="16">
        <v>42</v>
      </c>
      <c r="E382" s="16">
        <v>4.9615</v>
      </c>
      <c r="F382" s="16">
        <v>8.2173999999999996</v>
      </c>
      <c r="G382" s="15">
        <v>4.26</v>
      </c>
      <c r="H382" s="15">
        <v>3.45</v>
      </c>
      <c r="I382" s="15">
        <v>3.08</v>
      </c>
      <c r="J382" s="15">
        <v>33.93</v>
      </c>
      <c r="K382" s="15">
        <v>49.77</v>
      </c>
      <c r="L382" s="15">
        <v>23.52</v>
      </c>
      <c r="M382" s="15">
        <v>3.3</v>
      </c>
      <c r="N382" s="15">
        <v>1</v>
      </c>
      <c r="O382" s="15">
        <v>2.73</v>
      </c>
      <c r="P382" s="9">
        <v>1.3986400000000001</v>
      </c>
      <c r="Q382" s="9">
        <v>1.39663</v>
      </c>
      <c r="R382" s="9">
        <v>4.41176E-2</v>
      </c>
      <c r="S382" s="9">
        <v>0.13983400000000001</v>
      </c>
      <c r="T382" s="9">
        <v>0.151392</v>
      </c>
      <c r="U382" s="9">
        <v>2.2444499999999999E-2</v>
      </c>
      <c r="V382" s="9">
        <v>3.4644200000000001</v>
      </c>
      <c r="W382" s="9">
        <v>2.4805600000000001</v>
      </c>
      <c r="X382" s="9">
        <v>3.4694099999999999</v>
      </c>
      <c r="Y382" s="9">
        <v>33.597200000000001</v>
      </c>
      <c r="Z382" s="9">
        <v>20.244399999999999</v>
      </c>
      <c r="AA382" s="9">
        <f t="shared" si="57"/>
        <v>0.80537662337662341</v>
      </c>
      <c r="AB382" s="9">
        <f t="shared" si="58"/>
        <v>1.383116883116883</v>
      </c>
      <c r="AC382" s="9">
        <f t="shared" si="59"/>
        <v>1.1201298701298701</v>
      </c>
      <c r="AD382" s="9">
        <f t="shared" si="60"/>
        <v>6.7715811750478689</v>
      </c>
      <c r="AE382" s="9">
        <f t="shared" si="61"/>
        <v>4.0802982968860224</v>
      </c>
      <c r="AF382" s="9">
        <f t="shared" si="62"/>
        <v>4.5230682899877515</v>
      </c>
      <c r="AG382" s="9">
        <f t="shared" si="54"/>
        <v>1.256699844951402</v>
      </c>
      <c r="AH382" s="9">
        <f t="shared" si="63"/>
        <v>0.96089736429205264</v>
      </c>
      <c r="AI382" s="9">
        <f t="shared" si="55"/>
        <v>1.6907215964149931</v>
      </c>
      <c r="AJ382" s="9">
        <f>(4*PI()*(AI382^2))/(Y382+E382)</f>
        <v>0.93160472166298236</v>
      </c>
      <c r="AK382" s="12">
        <f t="shared" si="56"/>
        <v>1.1282051282051282</v>
      </c>
      <c r="AL382" s="12" t="s">
        <v>144</v>
      </c>
      <c r="AM382" s="12" t="s">
        <v>143</v>
      </c>
      <c r="AN382" s="16">
        <v>5.1864999999999997</v>
      </c>
      <c r="AO382" s="16">
        <v>0.60355999999999999</v>
      </c>
      <c r="AP382" s="16">
        <v>11257</v>
      </c>
      <c r="AQ382" s="16">
        <v>11689</v>
      </c>
      <c r="AR382" s="16">
        <v>2.5247000000000002</v>
      </c>
      <c r="AS382" s="16">
        <v>9.7356000000000005E-3</v>
      </c>
      <c r="AT382" s="16">
        <v>0.73192999999999997</v>
      </c>
      <c r="AU382" s="16">
        <v>0.79942000000000002</v>
      </c>
      <c r="AV382" s="16">
        <v>4.9008999999999997E-2</v>
      </c>
      <c r="AW382" s="16">
        <v>6.6331999999999997E-3</v>
      </c>
      <c r="AX382" s="16">
        <v>0.17363999999999999</v>
      </c>
      <c r="AY382" s="16">
        <v>2.3403</v>
      </c>
      <c r="AZ382" s="16">
        <v>1168.7</v>
      </c>
      <c r="BA382" s="16">
        <v>3.4183999999999999E-2</v>
      </c>
      <c r="BB382" s="16">
        <v>7.4775999999999998</v>
      </c>
      <c r="BC382" s="16" t="s">
        <v>162</v>
      </c>
      <c r="BD382" s="34" t="s">
        <v>163</v>
      </c>
      <c r="BE382" t="s">
        <v>167</v>
      </c>
    </row>
    <row r="383" spans="1:57" x14ac:dyDescent="0.25">
      <c r="A383" s="25" t="s">
        <v>453</v>
      </c>
      <c r="B383" s="16" t="s">
        <v>5</v>
      </c>
      <c r="C383" s="16" t="s">
        <v>6</v>
      </c>
      <c r="D383" s="16">
        <v>42</v>
      </c>
      <c r="E383" s="16">
        <v>13.715</v>
      </c>
      <c r="F383" s="16">
        <v>13.596</v>
      </c>
      <c r="G383" s="15">
        <v>5.97</v>
      </c>
      <c r="H383" s="15">
        <v>4.5999999999999996</v>
      </c>
      <c r="I383" s="15">
        <v>3.03</v>
      </c>
      <c r="J383" s="15">
        <v>38.68</v>
      </c>
      <c r="K383" s="15">
        <v>42.4</v>
      </c>
      <c r="L383" s="15">
        <v>27.37</v>
      </c>
      <c r="M383" s="15">
        <v>4.5</v>
      </c>
      <c r="N383" s="15">
        <v>1</v>
      </c>
      <c r="O383" s="15">
        <v>2.99</v>
      </c>
      <c r="P383" s="9">
        <v>1.1327499999999999</v>
      </c>
      <c r="Q383" s="9">
        <v>1.3604499999999999</v>
      </c>
      <c r="R383" s="9">
        <v>1.6483500000000002E-2</v>
      </c>
      <c r="S383" s="9">
        <v>0.105337</v>
      </c>
      <c r="T383" s="9">
        <v>0.124311</v>
      </c>
      <c r="U383" s="9">
        <v>3.3658800000000003E-2</v>
      </c>
      <c r="V383" s="9">
        <v>5.5736100000000004</v>
      </c>
      <c r="W383" s="9">
        <v>4.0968900000000001</v>
      </c>
      <c r="X383" s="9">
        <v>4.6407400000000001</v>
      </c>
      <c r="Y383" s="9">
        <v>71.949799999999996</v>
      </c>
      <c r="Z383" s="9">
        <v>66.505600000000001</v>
      </c>
      <c r="AA383" s="9">
        <f t="shared" si="57"/>
        <v>1.3521089108910893</v>
      </c>
      <c r="AB383" s="9">
        <f t="shared" si="58"/>
        <v>1.9702970297029703</v>
      </c>
      <c r="AC383" s="9">
        <f t="shared" si="59"/>
        <v>1.5181518151815181</v>
      </c>
      <c r="AD383" s="9">
        <f t="shared" si="60"/>
        <v>5.2460663507109002</v>
      </c>
      <c r="AE383" s="9">
        <f t="shared" si="61"/>
        <v>4.8491141086401752</v>
      </c>
      <c r="AF383" s="9">
        <f t="shared" si="62"/>
        <v>4.3831948831323162</v>
      </c>
      <c r="AG383" s="9">
        <f t="shared" si="54"/>
        <v>2.0894066356290462</v>
      </c>
      <c r="AH383" s="9">
        <f t="shared" si="63"/>
        <v>0.96558760471520699</v>
      </c>
      <c r="AI383" s="9">
        <f t="shared" si="55"/>
        <v>2.5133706283653416</v>
      </c>
      <c r="AJ383" s="9">
        <f>(4*PI()*(AI383^2))/(Y383+E383)</f>
        <v>0.92666024123420709</v>
      </c>
      <c r="AK383" s="12">
        <f t="shared" si="56"/>
        <v>1.0133779264214045</v>
      </c>
      <c r="AL383" s="12" t="s">
        <v>144</v>
      </c>
      <c r="AM383" s="12" t="s">
        <v>143</v>
      </c>
      <c r="AN383" s="16">
        <v>4.0523999999999996</v>
      </c>
      <c r="AO383" s="16">
        <v>0.45900999999999997</v>
      </c>
      <c r="AP383" s="16">
        <v>5574.4</v>
      </c>
      <c r="AQ383" s="16">
        <v>5240.3999999999996</v>
      </c>
      <c r="AR383" s="16">
        <v>2.2181000000000002</v>
      </c>
      <c r="AS383" s="16">
        <v>1.1049E-2</v>
      </c>
      <c r="AT383" s="16">
        <v>0.70957000000000003</v>
      </c>
      <c r="AU383" s="16">
        <v>0.66703000000000001</v>
      </c>
      <c r="AV383" s="16">
        <v>0.11191</v>
      </c>
      <c r="AW383" s="16">
        <v>6.8450999999999998E-3</v>
      </c>
      <c r="AX383" s="16">
        <v>0.21084</v>
      </c>
      <c r="AY383" s="16">
        <v>-0.74565999999999999</v>
      </c>
      <c r="AZ383" s="16">
        <v>-469.84</v>
      </c>
      <c r="BA383" s="16">
        <v>6.9408999999999998E-2</v>
      </c>
      <c r="BB383" s="16">
        <v>8.5922000000000001</v>
      </c>
      <c r="BC383" s="16" t="s">
        <v>162</v>
      </c>
      <c r="BD383" s="34" t="s">
        <v>163</v>
      </c>
      <c r="BE383" t="s">
        <v>167</v>
      </c>
    </row>
    <row r="384" spans="1:57" x14ac:dyDescent="0.25">
      <c r="A384" s="25" t="s">
        <v>454</v>
      </c>
      <c r="B384" s="18" t="s">
        <v>13</v>
      </c>
      <c r="C384" s="18" t="s">
        <v>14</v>
      </c>
      <c r="D384" s="18">
        <v>54</v>
      </c>
      <c r="E384" s="18">
        <v>17.251490125844899</v>
      </c>
      <c r="F384" s="18">
        <v>16.093</v>
      </c>
      <c r="G384" s="15">
        <v>7.34</v>
      </c>
      <c r="H384" s="15">
        <v>4.2</v>
      </c>
      <c r="I384" s="15">
        <v>2.2200000000000002</v>
      </c>
      <c r="J384" s="15">
        <v>63.18</v>
      </c>
      <c r="K384" s="15">
        <v>20.86</v>
      </c>
      <c r="L384" s="15">
        <v>85.89</v>
      </c>
      <c r="M384" s="15">
        <v>6.75</v>
      </c>
      <c r="N384" s="15">
        <v>2</v>
      </c>
      <c r="O384" s="15">
        <f>1.76+1.82</f>
        <v>3.58</v>
      </c>
      <c r="P384" s="9">
        <v>0.96590500000000001</v>
      </c>
      <c r="Q384" s="9">
        <v>1.4260200000000001</v>
      </c>
      <c r="R384" s="9">
        <v>0.48780499999999999</v>
      </c>
      <c r="S384" s="9">
        <v>0.12432699999999999</v>
      </c>
      <c r="T384" s="9">
        <v>0.21065999999999999</v>
      </c>
      <c r="U384" s="9">
        <v>0.18374499999999999</v>
      </c>
      <c r="V384" s="9">
        <v>6.1857199999999999</v>
      </c>
      <c r="W384" s="9">
        <v>4.3377499999999998</v>
      </c>
      <c r="X384" s="9">
        <v>4.1898499999999999</v>
      </c>
      <c r="Y384" s="9">
        <v>66.241500000000002</v>
      </c>
      <c r="Z384" s="9">
        <v>50.278199999999998</v>
      </c>
      <c r="AA384" s="9">
        <f t="shared" si="57"/>
        <v>1.9539414414414411</v>
      </c>
      <c r="AB384" s="9">
        <f t="shared" si="58"/>
        <v>3.3063063063063058</v>
      </c>
      <c r="AC384" s="9">
        <f t="shared" si="59"/>
        <v>1.8918918918918919</v>
      </c>
      <c r="AD384" s="9">
        <f t="shared" si="60"/>
        <v>3.8397552626924623</v>
      </c>
      <c r="AE384" s="9">
        <f t="shared" si="61"/>
        <v>2.9144265007390255</v>
      </c>
      <c r="AF384" s="9">
        <f t="shared" si="62"/>
        <v>4.8626947799187095</v>
      </c>
      <c r="AG384" s="9">
        <f t="shared" si="54"/>
        <v>2.3433565367776366</v>
      </c>
      <c r="AH384" s="9">
        <f t="shared" si="63"/>
        <v>0.91491601077266427</v>
      </c>
      <c r="AI384" s="9">
        <f t="shared" si="55"/>
        <v>2.2896215496618546</v>
      </c>
      <c r="AJ384" s="9">
        <f>(4*PI()*(AI384^2))/(Y384+E384)</f>
        <v>0.78901862919350785</v>
      </c>
      <c r="AK384" s="12">
        <f t="shared" si="56"/>
        <v>0.62011173184357549</v>
      </c>
      <c r="AL384" s="12" t="s">
        <v>140</v>
      </c>
      <c r="AM384" s="12" t="s">
        <v>142</v>
      </c>
      <c r="AN384" s="18">
        <v>16.934857185444201</v>
      </c>
      <c r="AO384" s="18">
        <v>1.0109953742062801</v>
      </c>
      <c r="AP384" s="18">
        <v>29231.1178420084</v>
      </c>
      <c r="AQ384" s="18">
        <v>29559.6380636166</v>
      </c>
      <c r="AR384" s="18">
        <v>8.1944191275090397</v>
      </c>
      <c r="AS384" s="18">
        <v>2.9193958499432499E-3</v>
      </c>
      <c r="AT384" s="18">
        <v>0.749424982722808</v>
      </c>
      <c r="AU384" s="18">
        <v>0.22157190775420599</v>
      </c>
      <c r="AV384" s="18">
        <v>8.2640335870534706E-3</v>
      </c>
      <c r="AW384" s="18">
        <v>2.3770471451193798E-3</v>
      </c>
      <c r="AX384" s="18">
        <v>0.41406675055949799</v>
      </c>
      <c r="AY384" s="18">
        <v>-5.4052799421645998</v>
      </c>
      <c r="AZ384" s="18">
        <v>-6984.1922232503302</v>
      </c>
      <c r="BA384" s="18">
        <v>3.1953507319539103E-2</v>
      </c>
      <c r="BB384" s="18">
        <v>15.752615482045901</v>
      </c>
      <c r="BC384" s="18" t="s">
        <v>162</v>
      </c>
      <c r="BD384" s="35" t="s">
        <v>165</v>
      </c>
      <c r="BE384" t="s">
        <v>168</v>
      </c>
    </row>
    <row r="385" spans="1:57" x14ac:dyDescent="0.25">
      <c r="A385" s="25" t="s">
        <v>455</v>
      </c>
      <c r="B385" s="16" t="s">
        <v>26</v>
      </c>
      <c r="C385" s="16" t="s">
        <v>6</v>
      </c>
      <c r="D385" s="16">
        <v>48</v>
      </c>
      <c r="E385" s="16">
        <v>53.930999999999997</v>
      </c>
      <c r="F385" s="16">
        <v>28.48</v>
      </c>
      <c r="G385" s="15">
        <v>18.61</v>
      </c>
      <c r="H385" s="15">
        <v>14.1</v>
      </c>
      <c r="I385" s="15">
        <v>2.73</v>
      </c>
      <c r="J385" s="15">
        <v>88.14</v>
      </c>
      <c r="K385" s="15">
        <v>12.62</v>
      </c>
      <c r="L385" s="15">
        <v>27.79</v>
      </c>
      <c r="M385" s="15">
        <v>16</v>
      </c>
      <c r="N385" s="15">
        <v>1</v>
      </c>
      <c r="O385" s="15">
        <v>2.59</v>
      </c>
      <c r="P385" s="9">
        <v>1.8036300000000001</v>
      </c>
      <c r="Q385" s="9">
        <v>2.3178399999999999</v>
      </c>
      <c r="R385" s="9">
        <v>3.5211399999999999E-3</v>
      </c>
      <c r="S385" s="9">
        <v>0.16770599999999999</v>
      </c>
      <c r="T385" s="9">
        <v>0.17219899999999999</v>
      </c>
      <c r="U385" s="9">
        <v>5.8647300000000003E-3</v>
      </c>
      <c r="V385" s="9">
        <v>18.3368</v>
      </c>
      <c r="W385" s="9">
        <v>7.9111500000000001</v>
      </c>
      <c r="X385" s="9">
        <v>14.268800000000001</v>
      </c>
      <c r="Y385" s="9">
        <v>769.64099999999996</v>
      </c>
      <c r="Z385" s="9">
        <v>2138.5100000000002</v>
      </c>
      <c r="AA385" s="9">
        <f t="shared" si="57"/>
        <v>2.8978571428571431</v>
      </c>
      <c r="AB385" s="9">
        <f t="shared" si="58"/>
        <v>6.8168498168498166</v>
      </c>
      <c r="AC385" s="9">
        <f t="shared" si="59"/>
        <v>5.1648351648351651</v>
      </c>
      <c r="AD385" s="9">
        <f t="shared" si="60"/>
        <v>14.270846081103633</v>
      </c>
      <c r="AE385" s="9">
        <f t="shared" si="61"/>
        <v>39.652704381524543</v>
      </c>
      <c r="AF385" s="9">
        <f t="shared" si="62"/>
        <v>4.6367534621985351</v>
      </c>
      <c r="AG385" s="9">
        <f t="shared" si="54"/>
        <v>4.1432801584949592</v>
      </c>
      <c r="AH385" s="9">
        <f t="shared" si="63"/>
        <v>0.91407995138287346</v>
      </c>
      <c r="AI385" s="9">
        <f t="shared" si="55"/>
        <v>7.992345052700542</v>
      </c>
      <c r="AJ385" s="9">
        <f>(4*PI()*(AI385^2))/(Y385+E385)</f>
        <v>0.97466807663342103</v>
      </c>
      <c r="AK385" s="12">
        <f t="shared" si="56"/>
        <v>1.0540540540540542</v>
      </c>
      <c r="AL385" s="12" t="s">
        <v>144</v>
      </c>
      <c r="AM385" s="12" t="s">
        <v>143</v>
      </c>
      <c r="AN385" s="16">
        <v>3.9660000000000002</v>
      </c>
      <c r="AO385" s="16">
        <v>0.25892999999999999</v>
      </c>
      <c r="AP385" s="16">
        <v>3148.7</v>
      </c>
      <c r="AQ385" s="16">
        <v>2553.4</v>
      </c>
      <c r="AR385" s="16">
        <v>2.8168000000000002</v>
      </c>
      <c r="AS385" s="16">
        <v>2.7158999999999999E-2</v>
      </c>
      <c r="AT385" s="16">
        <v>0.71765999999999996</v>
      </c>
      <c r="AU385" s="16">
        <v>0.77383999999999997</v>
      </c>
      <c r="AV385" s="16">
        <v>0.38492999999999999</v>
      </c>
      <c r="AW385" s="16">
        <v>4.3963000000000002E-2</v>
      </c>
      <c r="AX385" s="16">
        <v>0.16832</v>
      </c>
      <c r="AY385" s="16">
        <v>1.5353E-2</v>
      </c>
      <c r="AZ385" s="16">
        <v>-111.47</v>
      </c>
      <c r="BA385" s="16">
        <v>0.21129000000000001</v>
      </c>
      <c r="BB385" s="16">
        <v>2.8468</v>
      </c>
      <c r="BC385" s="16" t="s">
        <v>162</v>
      </c>
      <c r="BD385" s="34" t="s">
        <v>163</v>
      </c>
      <c r="BE385" t="s">
        <v>167</v>
      </c>
    </row>
    <row r="386" spans="1:57" x14ac:dyDescent="0.25">
      <c r="A386" s="25" t="s">
        <v>456</v>
      </c>
      <c r="B386" s="16" t="s">
        <v>5</v>
      </c>
      <c r="C386" s="16" t="s">
        <v>6</v>
      </c>
      <c r="D386" s="16">
        <v>48</v>
      </c>
      <c r="E386" s="16">
        <v>3.5737999999999999</v>
      </c>
      <c r="F386" s="16">
        <v>7.0865</v>
      </c>
      <c r="G386" s="15">
        <v>2.4500000000000002</v>
      </c>
      <c r="H386" s="15">
        <v>1.21</v>
      </c>
      <c r="I386" s="15">
        <v>3.91</v>
      </c>
      <c r="J386" s="15">
        <v>89.85</v>
      </c>
      <c r="K386" s="15">
        <v>0</v>
      </c>
      <c r="L386" s="15">
        <v>19.55</v>
      </c>
      <c r="M386" s="15">
        <v>2.4500000000000002</v>
      </c>
      <c r="N386" s="15">
        <v>1</v>
      </c>
      <c r="O386" s="15">
        <v>4.1900000000000004</v>
      </c>
      <c r="P386" s="9">
        <v>0.57174199999999997</v>
      </c>
      <c r="Q386" s="9">
        <v>1.1382099999999999</v>
      </c>
      <c r="R386" s="9">
        <v>0.45454499999999998</v>
      </c>
      <c r="S386" s="9">
        <v>4.8121299999999999E-2</v>
      </c>
      <c r="T386" s="9">
        <v>6.6348000000000004E-2</v>
      </c>
      <c r="U386" s="9">
        <v>-1.5922200000000001E-2</v>
      </c>
      <c r="V386" s="9">
        <v>2.3796499999999998</v>
      </c>
      <c r="W386" s="9">
        <v>2.0907</v>
      </c>
      <c r="X386" s="9">
        <v>1.1953400000000001</v>
      </c>
      <c r="Y386" s="9">
        <v>6.4379600000000003</v>
      </c>
      <c r="Z386" s="9">
        <v>1.9596899999999999</v>
      </c>
      <c r="AA386" s="9">
        <f t="shared" si="57"/>
        <v>0.53470588235294114</v>
      </c>
      <c r="AB386" s="9">
        <f t="shared" si="58"/>
        <v>0.62659846547314579</v>
      </c>
      <c r="AC386" s="9">
        <f t="shared" si="59"/>
        <v>0.30946291560102301</v>
      </c>
      <c r="AD386" s="9">
        <f t="shared" si="60"/>
        <v>1.8014326487212493</v>
      </c>
      <c r="AE386" s="9">
        <f t="shared" si="61"/>
        <v>0.54834909620012307</v>
      </c>
      <c r="AF386" s="9">
        <f t="shared" si="62"/>
        <v>4.1110872097053921</v>
      </c>
      <c r="AG386" s="9">
        <f t="shared" ref="AG386:AG449" si="64">SQRT(E386/PI())</f>
        <v>1.0665720187796186</v>
      </c>
      <c r="AH386" s="9">
        <f t="shared" si="63"/>
        <v>0.94566706236435039</v>
      </c>
      <c r="AI386" s="9">
        <f t="shared" ref="AI386:AI449" si="65">(3*Z386/(4*PI()))^(1/3)</f>
        <v>0.77630596352801839</v>
      </c>
      <c r="AJ386" s="9">
        <f>(4*PI()*(AI386^2))/(Y386+E386)</f>
        <v>0.75642396305389259</v>
      </c>
      <c r="AK386" s="12">
        <f t="shared" si="56"/>
        <v>0.93317422434367536</v>
      </c>
      <c r="AL386" s="12" t="s">
        <v>144</v>
      </c>
      <c r="AM386" s="12" t="s">
        <v>143</v>
      </c>
      <c r="AN386" s="16">
        <v>12.43</v>
      </c>
      <c r="AO386" s="16">
        <v>1.2666999999999999</v>
      </c>
      <c r="AP386" s="16">
        <v>34081</v>
      </c>
      <c r="AQ386" s="16">
        <v>31177</v>
      </c>
      <c r="AR386" s="16">
        <v>4.9739000000000004</v>
      </c>
      <c r="AS386" s="16">
        <v>7.6685E-3</v>
      </c>
      <c r="AT386" s="16">
        <v>0.74300999999999995</v>
      </c>
      <c r="AU386" s="16">
        <v>0.31889000000000001</v>
      </c>
      <c r="AV386" s="21">
        <v>8.2667000000000005E-4</v>
      </c>
      <c r="AW386" s="16">
        <v>5.7505999999999998E-3</v>
      </c>
      <c r="AX386" s="16">
        <v>0.27356000000000003</v>
      </c>
      <c r="AY386" s="16">
        <v>2.3885000000000001</v>
      </c>
      <c r="AZ386" s="16">
        <v>3191.9</v>
      </c>
      <c r="BA386" s="16">
        <v>6.4511999999999998E-3</v>
      </c>
      <c r="BB386" s="16">
        <v>9.9893999999999998</v>
      </c>
      <c r="BC386" s="16" t="s">
        <v>162</v>
      </c>
      <c r="BD386" s="34" t="s">
        <v>163</v>
      </c>
      <c r="BE386" t="s">
        <v>167</v>
      </c>
    </row>
    <row r="387" spans="1:57" x14ac:dyDescent="0.25">
      <c r="A387" s="25" t="s">
        <v>457</v>
      </c>
      <c r="B387" s="18" t="s">
        <v>40</v>
      </c>
      <c r="C387" s="18" t="s">
        <v>6</v>
      </c>
      <c r="D387" s="18">
        <v>67</v>
      </c>
      <c r="E387" s="18">
        <v>39.953284378322103</v>
      </c>
      <c r="F387" s="18">
        <v>23.024000000000001</v>
      </c>
      <c r="G387" s="15">
        <v>8.99</v>
      </c>
      <c r="H387" s="15">
        <v>5.65</v>
      </c>
      <c r="I387" s="15">
        <v>3.3</v>
      </c>
      <c r="J387" s="15">
        <v>91.52</v>
      </c>
      <c r="K387" s="15">
        <v>2</v>
      </c>
      <c r="L387" s="15">
        <v>80.239999999999995</v>
      </c>
      <c r="M387" s="15">
        <v>8.1999999999999993</v>
      </c>
      <c r="N387" s="15">
        <v>4</v>
      </c>
      <c r="O387" s="15">
        <f>2.53+1.51+1.63+2.82</f>
        <v>8.49</v>
      </c>
      <c r="P387" s="9">
        <v>0.80840699999999999</v>
      </c>
      <c r="Q387" s="9">
        <v>1.27606</v>
      </c>
      <c r="R387" s="9">
        <v>-2.6785699999999999E-2</v>
      </c>
      <c r="S387" s="9">
        <v>7.6073399999999999E-2</v>
      </c>
      <c r="T387" s="9">
        <v>8.4876599999999996E-2</v>
      </c>
      <c r="U387" s="9">
        <v>1.93137E-2</v>
      </c>
      <c r="V387" s="9">
        <v>8.9769400000000008</v>
      </c>
      <c r="W387" s="9">
        <v>7.03491</v>
      </c>
      <c r="X387" s="9">
        <v>5.6870700000000003</v>
      </c>
      <c r="Y387" s="9">
        <v>151.90199999999999</v>
      </c>
      <c r="Z387" s="9">
        <v>217.94800000000001</v>
      </c>
      <c r="AA387" s="9">
        <f t="shared" si="57"/>
        <v>2.1317909090909093</v>
      </c>
      <c r="AB387" s="9">
        <f t="shared" si="58"/>
        <v>2.7242424242424246</v>
      </c>
      <c r="AC387" s="9">
        <f t="shared" si="59"/>
        <v>1.7121212121212124</v>
      </c>
      <c r="AD387" s="9">
        <f t="shared" si="60"/>
        <v>3.8019903085218982</v>
      </c>
      <c r="AE387" s="9">
        <f t="shared" si="61"/>
        <v>5.4550709257398244</v>
      </c>
      <c r="AF387" s="9">
        <f t="shared" si="62"/>
        <v>4.1943200512141408</v>
      </c>
      <c r="AG387" s="9">
        <f t="shared" si="64"/>
        <v>3.566163961896919</v>
      </c>
      <c r="AH387" s="9">
        <f t="shared" si="63"/>
        <v>0.97319618695205279</v>
      </c>
      <c r="AI387" s="9">
        <f t="shared" si="65"/>
        <v>3.7332587607767653</v>
      </c>
      <c r="AJ387" s="9">
        <f>(4*PI()*(AI387^2))/(Y387+E387)</f>
        <v>0.9128770399654933</v>
      </c>
      <c r="AK387" s="12">
        <f t="shared" ref="AK387:AK450" si="66">I387/O387</f>
        <v>0.38869257950530034</v>
      </c>
      <c r="AL387" s="12" t="s">
        <v>144</v>
      </c>
      <c r="AM387" s="12" t="s">
        <v>142</v>
      </c>
      <c r="AN387" s="18">
        <v>1.89901871784273</v>
      </c>
      <c r="AO387" s="18">
        <v>0.50695420213037601</v>
      </c>
      <c r="AP387" s="18">
        <v>2324.3193568382999</v>
      </c>
      <c r="AQ387" s="18">
        <v>2119.0542333349299</v>
      </c>
      <c r="AR387" s="18">
        <v>1.395636859104</v>
      </c>
      <c r="AS387" s="18">
        <v>1.72323449219535E-2</v>
      </c>
      <c r="AT387" s="18">
        <v>0.75777430435663096</v>
      </c>
      <c r="AU387" s="18">
        <v>1.4081385508025901</v>
      </c>
      <c r="AV387" s="18">
        <v>1.9044157559823399E-2</v>
      </c>
      <c r="AW387" s="18">
        <v>1.8453358285915E-2</v>
      </c>
      <c r="AX387" s="18">
        <v>0.113347820764035</v>
      </c>
      <c r="AY387" s="18">
        <v>-30.264847359993599</v>
      </c>
      <c r="AZ387" s="18">
        <v>-325.908352805307</v>
      </c>
      <c r="BA387" s="18">
        <v>0.23422198138605199</v>
      </c>
      <c r="BB387" s="18">
        <v>45.9364864983689</v>
      </c>
      <c r="BC387" s="18" t="s">
        <v>162</v>
      </c>
      <c r="BD387" s="35" t="s">
        <v>165</v>
      </c>
      <c r="BE387" t="s">
        <v>167</v>
      </c>
    </row>
    <row r="388" spans="1:57" x14ac:dyDescent="0.25">
      <c r="A388" s="25" t="s">
        <v>458</v>
      </c>
      <c r="B388" s="18" t="s">
        <v>26</v>
      </c>
      <c r="C388" s="18" t="s">
        <v>14</v>
      </c>
      <c r="D388" s="18">
        <v>37</v>
      </c>
      <c r="E388" s="18">
        <v>22.370999999999999</v>
      </c>
      <c r="F388" s="18">
        <v>17.663</v>
      </c>
      <c r="G388" s="15">
        <v>9.7100000000000009</v>
      </c>
      <c r="H388" s="15">
        <v>8</v>
      </c>
      <c r="I388" s="15">
        <v>2.7</v>
      </c>
      <c r="J388" s="15">
        <v>21.4</v>
      </c>
      <c r="K388" s="15">
        <v>52.93</v>
      </c>
      <c r="L388" s="15">
        <v>79.08</v>
      </c>
      <c r="M388" s="15">
        <v>6.9</v>
      </c>
      <c r="N388" s="15">
        <v>2</v>
      </c>
      <c r="O388" s="15">
        <f>2.04+1.74</f>
        <v>3.7800000000000002</v>
      </c>
      <c r="P388" s="9">
        <v>1.5454399999999999</v>
      </c>
      <c r="Q388" s="9">
        <v>1.4359299999999999</v>
      </c>
      <c r="R388" s="9">
        <v>0.26729599999999998</v>
      </c>
      <c r="S388" s="9">
        <v>0.14071700000000001</v>
      </c>
      <c r="T388" s="9">
        <v>0.14535999999999999</v>
      </c>
      <c r="U388" s="9">
        <v>7.4910999999999997E-3</v>
      </c>
      <c r="V388" s="9">
        <v>7.44224</v>
      </c>
      <c r="W388" s="9">
        <v>5.1828599999999998</v>
      </c>
      <c r="X388" s="9">
        <v>8.0098000000000003</v>
      </c>
      <c r="Y388" s="9">
        <v>161.86799999999999</v>
      </c>
      <c r="Z388" s="9">
        <v>216.374</v>
      </c>
      <c r="AA388" s="9">
        <f t="shared" si="57"/>
        <v>1.9195777777777776</v>
      </c>
      <c r="AB388" s="9">
        <f t="shared" si="58"/>
        <v>3.5962962962962965</v>
      </c>
      <c r="AC388" s="9">
        <f t="shared" si="59"/>
        <v>2.9629629629629628</v>
      </c>
      <c r="AD388" s="9">
        <f t="shared" si="60"/>
        <v>7.2356175405659116</v>
      </c>
      <c r="AE388" s="9">
        <f t="shared" si="61"/>
        <v>9.6720754548299137</v>
      </c>
      <c r="AF388" s="9">
        <f t="shared" si="62"/>
        <v>4.4911505988544276</v>
      </c>
      <c r="AG388" s="9">
        <f t="shared" si="64"/>
        <v>2.6685034127423521</v>
      </c>
      <c r="AH388" s="9">
        <f t="shared" si="63"/>
        <v>0.94925558710872038</v>
      </c>
      <c r="AI388" s="9">
        <f t="shared" si="65"/>
        <v>3.724249957476276</v>
      </c>
      <c r="AJ388" s="9">
        <f>(4*PI()*(AI388^2))/(Y388+E388)</f>
        <v>0.94603224479288694</v>
      </c>
      <c r="AK388" s="12">
        <f t="shared" si="66"/>
        <v>0.7142857142857143</v>
      </c>
      <c r="AL388" s="12" t="s">
        <v>144</v>
      </c>
      <c r="AM388" s="12" t="s">
        <v>142</v>
      </c>
      <c r="AN388" s="18">
        <v>1.7113</v>
      </c>
      <c r="AO388" s="18">
        <v>0.19288</v>
      </c>
      <c r="AP388" s="18">
        <v>2792.6</v>
      </c>
      <c r="AQ388" s="18">
        <v>2435.1</v>
      </c>
      <c r="AR388" s="18">
        <v>1.0634999999999999</v>
      </c>
      <c r="AS388" s="18">
        <v>3.3352E-2</v>
      </c>
      <c r="AT388" s="18">
        <v>0.65058000000000005</v>
      </c>
      <c r="AU388" s="18">
        <v>2.6936</v>
      </c>
      <c r="AV388" s="18">
        <v>0.51970000000000005</v>
      </c>
      <c r="AW388" s="18">
        <v>2.4409E-2</v>
      </c>
      <c r="AX388" s="18">
        <v>7.9887E-2</v>
      </c>
      <c r="AY388" s="18">
        <v>-249.47</v>
      </c>
      <c r="AZ388" s="18">
        <v>-371.29</v>
      </c>
      <c r="BA388" s="18">
        <v>1.034</v>
      </c>
      <c r="BB388" s="18">
        <v>95.951999999999998</v>
      </c>
      <c r="BC388" s="18" t="s">
        <v>162</v>
      </c>
      <c r="BD388" s="35" t="s">
        <v>165</v>
      </c>
      <c r="BE388" t="s">
        <v>168</v>
      </c>
    </row>
    <row r="389" spans="1:57" x14ac:dyDescent="0.25">
      <c r="A389" s="25" t="s">
        <v>459</v>
      </c>
      <c r="B389" s="18" t="s">
        <v>26</v>
      </c>
      <c r="C389" s="18" t="s">
        <v>6</v>
      </c>
      <c r="D389" s="18">
        <v>51</v>
      </c>
      <c r="E389" s="18">
        <v>5.9669422936898897</v>
      </c>
      <c r="F389" s="18">
        <v>8.9075000000000006</v>
      </c>
      <c r="G389" s="15">
        <v>2.89</v>
      </c>
      <c r="H389" s="15">
        <v>1.35</v>
      </c>
      <c r="I389" s="15">
        <v>2.73</v>
      </c>
      <c r="J389" s="15">
        <v>62.86</v>
      </c>
      <c r="K389" s="15">
        <v>0</v>
      </c>
      <c r="L389" s="15">
        <v>56.29</v>
      </c>
      <c r="M389" s="15">
        <v>2.89</v>
      </c>
      <c r="N389" s="15">
        <v>2</v>
      </c>
      <c r="O389" s="15">
        <f>2.78+1.93</f>
        <v>4.71</v>
      </c>
      <c r="P389" s="9">
        <v>0.496832</v>
      </c>
      <c r="Q389" s="9">
        <v>1.06463</v>
      </c>
      <c r="R389" s="9">
        <v>0.46</v>
      </c>
      <c r="S389" s="9">
        <v>1.49905E-2</v>
      </c>
      <c r="T389" s="9">
        <v>1.8445799999999998E-2</v>
      </c>
      <c r="U389" s="9">
        <v>-1.7753499999999998E-2</v>
      </c>
      <c r="V389" s="9">
        <v>2.8745699999999998</v>
      </c>
      <c r="W389" s="9">
        <v>2.7000600000000001</v>
      </c>
      <c r="X389" s="9">
        <v>1.3414699999999999</v>
      </c>
      <c r="Y389" s="9">
        <v>10.884600000000001</v>
      </c>
      <c r="Z389" s="9">
        <v>4.6438600000000001</v>
      </c>
      <c r="AA389" s="9">
        <f t="shared" ref="AA389:AA452" si="67">W389/I389</f>
        <v>0.98903296703296706</v>
      </c>
      <c r="AB389" s="9">
        <f t="shared" ref="AB389:AB452" si="68">G389/I389</f>
        <v>1.0586080586080586</v>
      </c>
      <c r="AC389" s="9">
        <f t="shared" ref="AC389:AC452" si="69">H389/I389</f>
        <v>0.49450549450549453</v>
      </c>
      <c r="AD389" s="9">
        <f t="shared" ref="AD389:AD452" si="70">Y389/E389</f>
        <v>1.8241503712061353</v>
      </c>
      <c r="AE389" s="9">
        <f t="shared" ref="AE389:AE452" si="71">Z389/E389</f>
        <v>0.77826460713570766</v>
      </c>
      <c r="AF389" s="9">
        <f t="shared" ref="AF389:AF452" si="72">Y389/(Z389)^(2/3)</f>
        <v>3.9104469159608986</v>
      </c>
      <c r="AG389" s="9">
        <f t="shared" si="64"/>
        <v>1.3781642581237099</v>
      </c>
      <c r="AH389" s="9">
        <f t="shared" si="63"/>
        <v>0.97213150912410307</v>
      </c>
      <c r="AI389" s="9">
        <f t="shared" si="65"/>
        <v>1.0349757393677246</v>
      </c>
      <c r="AJ389" s="9">
        <f>(4*PI()*(AI389^2))/(Y389+E389)</f>
        <v>0.79878619162614262</v>
      </c>
      <c r="AK389" s="12">
        <f t="shared" si="66"/>
        <v>0.57961783439490444</v>
      </c>
      <c r="AL389" s="12" t="s">
        <v>144</v>
      </c>
      <c r="AM389" s="12" t="s">
        <v>142</v>
      </c>
      <c r="AN389" s="18">
        <v>18.462944562477201</v>
      </c>
      <c r="AO389" s="18">
        <v>1.0220639659576001</v>
      </c>
      <c r="AP389" s="18">
        <v>25089.0853416481</v>
      </c>
      <c r="AQ389" s="18">
        <v>26821.579699437199</v>
      </c>
      <c r="AR389" s="18">
        <v>9.7177545244686208</v>
      </c>
      <c r="AS389" s="19">
        <v>7.1202496228479602E-4</v>
      </c>
      <c r="AT389" s="18">
        <v>0.76646832301495704</v>
      </c>
      <c r="AU389" s="18">
        <v>0.118572240120115</v>
      </c>
      <c r="AV389" s="18">
        <v>0</v>
      </c>
      <c r="AW389" s="19">
        <v>7.4393817718563897E-4</v>
      </c>
      <c r="AX389" s="18">
        <v>0.46882884411397402</v>
      </c>
      <c r="AY389" s="18">
        <v>4.3175950028656302</v>
      </c>
      <c r="AZ389" s="18">
        <v>9335.4317336607</v>
      </c>
      <c r="BA389" s="18">
        <v>6.7731278402754797E-3</v>
      </c>
      <c r="BB389" s="18">
        <v>13.4800678261689</v>
      </c>
      <c r="BC389" s="18" t="s">
        <v>162</v>
      </c>
      <c r="BD389" s="35" t="s">
        <v>165</v>
      </c>
      <c r="BE389" t="s">
        <v>167</v>
      </c>
    </row>
    <row r="390" spans="1:57" x14ac:dyDescent="0.25">
      <c r="A390" s="25" t="s">
        <v>460</v>
      </c>
      <c r="B390" s="18" t="s">
        <v>13</v>
      </c>
      <c r="C390" s="18" t="s">
        <v>6</v>
      </c>
      <c r="D390" s="18">
        <v>49</v>
      </c>
      <c r="E390" s="18">
        <v>5.18964912116469</v>
      </c>
      <c r="F390" s="18">
        <v>8.3789999999999996</v>
      </c>
      <c r="G390" s="15">
        <v>4.8899999999999997</v>
      </c>
      <c r="H390" s="15">
        <v>4</v>
      </c>
      <c r="I390" s="15">
        <v>0.99</v>
      </c>
      <c r="J390" s="15">
        <v>28</v>
      </c>
      <c r="K390" s="15">
        <v>53.19</v>
      </c>
      <c r="L390" s="15">
        <v>75.010000000000005</v>
      </c>
      <c r="M390" s="15">
        <v>3.3</v>
      </c>
      <c r="N390" s="15">
        <v>4</v>
      </c>
      <c r="O390" s="15">
        <f>0.74+0.42+1.03+0.87</f>
        <v>3.06</v>
      </c>
      <c r="P390" s="9">
        <v>1.5823799999999999</v>
      </c>
      <c r="Q390" s="9">
        <v>1.28102</v>
      </c>
      <c r="R390" s="9">
        <v>0.217949</v>
      </c>
      <c r="S390" s="9">
        <v>0.164687</v>
      </c>
      <c r="T390" s="9">
        <v>0.184779</v>
      </c>
      <c r="U390" s="9">
        <v>6.2716300000000003E-2</v>
      </c>
      <c r="V390" s="9">
        <v>3.2020599999999999</v>
      </c>
      <c r="W390" s="9">
        <v>2.4996200000000002</v>
      </c>
      <c r="X390" s="9">
        <v>3.9553600000000002</v>
      </c>
      <c r="Y390" s="9">
        <v>33.503799999999998</v>
      </c>
      <c r="Z390" s="9">
        <v>18.982099999999999</v>
      </c>
      <c r="AA390" s="9">
        <f t="shared" si="67"/>
        <v>2.5248686868686869</v>
      </c>
      <c r="AB390" s="9">
        <f t="shared" si="68"/>
        <v>4.9393939393939394</v>
      </c>
      <c r="AC390" s="9">
        <f t="shared" si="69"/>
        <v>4.0404040404040407</v>
      </c>
      <c r="AD390" s="9">
        <f t="shared" si="70"/>
        <v>6.455889255279919</v>
      </c>
      <c r="AE390" s="9">
        <f t="shared" si="71"/>
        <v>3.6576846636097682</v>
      </c>
      <c r="AF390" s="9">
        <f t="shared" si="72"/>
        <v>4.7083047238948952</v>
      </c>
      <c r="AG390" s="9">
        <f t="shared" si="64"/>
        <v>1.2852690850914223</v>
      </c>
      <c r="AH390" s="9">
        <f t="shared" si="63"/>
        <v>0.96378849877295325</v>
      </c>
      <c r="AI390" s="9">
        <f t="shared" si="65"/>
        <v>1.6548242731852461</v>
      </c>
      <c r="AJ390" s="9">
        <f>(4*PI()*(AI390^2))/(Y390+E390)</f>
        <v>0.88935711702708431</v>
      </c>
      <c r="AK390" s="12">
        <f t="shared" si="66"/>
        <v>0.3235294117647059</v>
      </c>
      <c r="AL390" s="12" t="s">
        <v>144</v>
      </c>
      <c r="AM390" s="12" t="s">
        <v>142</v>
      </c>
      <c r="AN390" s="18">
        <v>2.4870335236451901</v>
      </c>
      <c r="AO390" s="18">
        <v>0.15433707432187899</v>
      </c>
      <c r="AP390" s="18">
        <v>6820.6790033453499</v>
      </c>
      <c r="AQ390" s="18">
        <v>6136.6985847486703</v>
      </c>
      <c r="AR390" s="18">
        <v>1.07980428112988</v>
      </c>
      <c r="AS390" s="18">
        <v>1.56233880177644E-2</v>
      </c>
      <c r="AT390" s="18">
        <v>0.73968680081191096</v>
      </c>
      <c r="AU390" s="18">
        <v>3.6048065271361902</v>
      </c>
      <c r="AV390" s="18">
        <v>0.57568923977031405</v>
      </c>
      <c r="AW390" s="18">
        <v>1.0505646050718199E-2</v>
      </c>
      <c r="AX390" s="18">
        <v>0.10963039825279</v>
      </c>
      <c r="AY390" s="18">
        <v>-22.772134597224301</v>
      </c>
      <c r="AZ390" s="18">
        <v>-3331.8180599930502</v>
      </c>
      <c r="BA390" s="18">
        <v>6.7374600322272202E-2</v>
      </c>
      <c r="BB390" s="18">
        <v>4.7409716011065797</v>
      </c>
      <c r="BC390" s="18" t="s">
        <v>162</v>
      </c>
      <c r="BD390" s="35" t="s">
        <v>165</v>
      </c>
      <c r="BE390" t="s">
        <v>168</v>
      </c>
    </row>
    <row r="391" spans="1:57" x14ac:dyDescent="0.25">
      <c r="A391" s="25" t="s">
        <v>461</v>
      </c>
      <c r="B391" s="18" t="s">
        <v>178</v>
      </c>
      <c r="C391" s="18" t="s">
        <v>6</v>
      </c>
      <c r="D391" s="18">
        <v>51</v>
      </c>
      <c r="E391" s="18">
        <v>10.764073639914599</v>
      </c>
      <c r="F391" s="18">
        <v>12.712999999999999</v>
      </c>
      <c r="G391" s="15">
        <v>5.18</v>
      </c>
      <c r="H391" s="15">
        <v>3.68</v>
      </c>
      <c r="I391" s="15">
        <v>3.35</v>
      </c>
      <c r="J391" s="15">
        <v>60.56</v>
      </c>
      <c r="K391" s="15">
        <v>7.5</v>
      </c>
      <c r="L391" s="15">
        <v>34.46</v>
      </c>
      <c r="M391" s="15">
        <v>4.7</v>
      </c>
      <c r="N391" s="15">
        <v>2</v>
      </c>
      <c r="O391" s="15">
        <f>3.35+0.82</f>
        <v>4.17</v>
      </c>
      <c r="P391" s="9">
        <v>1.0627500000000001</v>
      </c>
      <c r="Q391" s="9">
        <v>1.4953099999999999</v>
      </c>
      <c r="R391" s="9">
        <v>0.152778</v>
      </c>
      <c r="S391" s="9">
        <v>0.103558</v>
      </c>
      <c r="T391" s="9">
        <v>0.116728</v>
      </c>
      <c r="U391" s="9">
        <v>2.6810400000000002E-2</v>
      </c>
      <c r="V391" s="9">
        <v>5.2032400000000001</v>
      </c>
      <c r="W391" s="9">
        <v>3.4797199999999999</v>
      </c>
      <c r="X391" s="9">
        <v>3.69808</v>
      </c>
      <c r="Y391" s="9">
        <v>50.723500000000001</v>
      </c>
      <c r="Z391" s="9">
        <v>39.879100000000001</v>
      </c>
      <c r="AA391" s="9">
        <f t="shared" si="67"/>
        <v>1.0387223880597014</v>
      </c>
      <c r="AB391" s="9">
        <f t="shared" si="68"/>
        <v>1.5462686567164179</v>
      </c>
      <c r="AC391" s="9">
        <f t="shared" si="69"/>
        <v>1.0985074626865672</v>
      </c>
      <c r="AD391" s="9">
        <f t="shared" si="70"/>
        <v>4.7122958925058445</v>
      </c>
      <c r="AE391" s="9">
        <f t="shared" si="71"/>
        <v>3.7048334426218581</v>
      </c>
      <c r="AF391" s="9">
        <f t="shared" si="72"/>
        <v>4.3455589647995252</v>
      </c>
      <c r="AG391" s="9">
        <f t="shared" si="64"/>
        <v>1.8510297283391095</v>
      </c>
      <c r="AH391" s="9">
        <f t="shared" si="63"/>
        <v>0.91484014727073981</v>
      </c>
      <c r="AI391" s="9">
        <f t="shared" si="65"/>
        <v>2.1194291981568329</v>
      </c>
      <c r="AJ391" s="9">
        <f>(4*PI()*(AI391^2))/(Y391+E391)</f>
        <v>0.91803731573829983</v>
      </c>
      <c r="AK391" s="12">
        <f t="shared" si="66"/>
        <v>0.80335731414868106</v>
      </c>
      <c r="AL391" s="12" t="s">
        <v>144</v>
      </c>
      <c r="AM391" s="12" t="s">
        <v>142</v>
      </c>
      <c r="AN391" s="18">
        <v>1.4636</v>
      </c>
      <c r="AO391" s="18">
        <v>0.25779999999999997</v>
      </c>
      <c r="AP391" s="18">
        <v>3788.1</v>
      </c>
      <c r="AQ391" s="18">
        <v>3474.9</v>
      </c>
      <c r="AR391" s="18">
        <v>0.87753000000000003</v>
      </c>
      <c r="AS391" s="18">
        <v>1.6993999999999999E-2</v>
      </c>
      <c r="AT391" s="18">
        <v>0.72802999999999995</v>
      </c>
      <c r="AU391" s="18">
        <v>2.5817000000000001</v>
      </c>
      <c r="AV391" s="18">
        <v>0.32263999999999998</v>
      </c>
      <c r="AW391" s="19">
        <v>1.6074000000000001E-2</v>
      </c>
      <c r="AX391" s="18">
        <v>6.4086000000000004E-2</v>
      </c>
      <c r="AY391" s="18">
        <v>-97.102999999999994</v>
      </c>
      <c r="AZ391" s="18">
        <v>-270.05</v>
      </c>
      <c r="BA391" s="18">
        <v>0.36477999999999999</v>
      </c>
      <c r="BB391" s="18">
        <v>126.01</v>
      </c>
      <c r="BC391" s="18" t="s">
        <v>162</v>
      </c>
      <c r="BD391" s="35" t="s">
        <v>163</v>
      </c>
      <c r="BE391" t="s">
        <v>167</v>
      </c>
    </row>
    <row r="392" spans="1:57" x14ac:dyDescent="0.25">
      <c r="A392" s="25" t="s">
        <v>462</v>
      </c>
      <c r="B392" s="16" t="s">
        <v>5</v>
      </c>
      <c r="C392" s="16" t="s">
        <v>6</v>
      </c>
      <c r="D392" s="16">
        <v>51</v>
      </c>
      <c r="E392" s="16">
        <v>5.7760999999999996</v>
      </c>
      <c r="F392" s="16">
        <v>8.8158999999999992</v>
      </c>
      <c r="G392" s="15">
        <v>4.6500000000000004</v>
      </c>
      <c r="H392" s="15">
        <v>3.5</v>
      </c>
      <c r="I392" s="15">
        <v>2.7</v>
      </c>
      <c r="J392" s="15">
        <v>23.24</v>
      </c>
      <c r="K392" s="15">
        <v>36.299999999999997</v>
      </c>
      <c r="L392" s="15">
        <v>22.19</v>
      </c>
      <c r="M392" s="15">
        <v>3.6</v>
      </c>
      <c r="N392" s="15">
        <v>1</v>
      </c>
      <c r="O392" s="15">
        <v>2.88</v>
      </c>
      <c r="P392" s="9">
        <v>1.33501</v>
      </c>
      <c r="Q392" s="9">
        <v>1.3480700000000001</v>
      </c>
      <c r="R392" s="9">
        <v>-4.41176E-2</v>
      </c>
      <c r="S392" s="9">
        <v>0.14181199999999999</v>
      </c>
      <c r="T392" s="9">
        <v>0.16331999999999999</v>
      </c>
      <c r="U392" s="9">
        <v>4.5403300000000001E-2</v>
      </c>
      <c r="V392" s="9">
        <v>3.52549</v>
      </c>
      <c r="W392" s="9">
        <v>2.6152199999999999</v>
      </c>
      <c r="X392" s="9">
        <v>3.4913400000000001</v>
      </c>
      <c r="Y392" s="9">
        <v>34.896299999999997</v>
      </c>
      <c r="Z392" s="9">
        <v>20.979500000000002</v>
      </c>
      <c r="AA392" s="9">
        <f t="shared" si="67"/>
        <v>0.96859999999999991</v>
      </c>
      <c r="AB392" s="9">
        <f t="shared" si="68"/>
        <v>1.7222222222222223</v>
      </c>
      <c r="AC392" s="9">
        <f t="shared" si="69"/>
        <v>1.2962962962962963</v>
      </c>
      <c r="AD392" s="9">
        <f t="shared" si="70"/>
        <v>6.0414985890133481</v>
      </c>
      <c r="AE392" s="9">
        <f t="shared" si="71"/>
        <v>3.6321220200481301</v>
      </c>
      <c r="AF392" s="9">
        <f t="shared" si="72"/>
        <v>4.5875691771474969</v>
      </c>
      <c r="AG392" s="9">
        <f t="shared" si="64"/>
        <v>1.3559460658839617</v>
      </c>
      <c r="AH392" s="9">
        <f t="shared" si="63"/>
        <v>0.96639712320807536</v>
      </c>
      <c r="AI392" s="9">
        <f t="shared" si="65"/>
        <v>1.7109428691990103</v>
      </c>
      <c r="AJ392" s="9">
        <f>(4*PI()*(AI392^2))/(Y392+E392)</f>
        <v>0.90444274650036416</v>
      </c>
      <c r="AK392" s="12">
        <f t="shared" si="66"/>
        <v>0.93750000000000011</v>
      </c>
      <c r="AL392" s="12" t="s">
        <v>144</v>
      </c>
      <c r="AM392" s="12" t="s">
        <v>143</v>
      </c>
      <c r="AN392" s="16">
        <v>7.0517000000000003</v>
      </c>
      <c r="AO392" s="16">
        <v>0.62643000000000004</v>
      </c>
      <c r="AP392" s="16">
        <v>18744</v>
      </c>
      <c r="AQ392" s="16">
        <v>17190</v>
      </c>
      <c r="AR392" s="16">
        <v>3.4519000000000002</v>
      </c>
      <c r="AS392" s="16">
        <v>4.3226999999999996E-3</v>
      </c>
      <c r="AT392" s="16">
        <v>0.76563999999999999</v>
      </c>
      <c r="AU392" s="16">
        <v>0.48887999999999998</v>
      </c>
      <c r="AV392" s="16">
        <v>8.8462000000000002E-3</v>
      </c>
      <c r="AW392" s="16">
        <v>3.7696000000000001E-3</v>
      </c>
      <c r="AX392" s="16">
        <v>0.20782</v>
      </c>
      <c r="AY392" s="16">
        <v>1.0949</v>
      </c>
      <c r="AZ392" s="16">
        <v>452.52</v>
      </c>
      <c r="BA392" s="16">
        <v>2.9547E-2</v>
      </c>
      <c r="BB392" s="16">
        <v>5.7718999999999996</v>
      </c>
      <c r="BC392" s="16" t="s">
        <v>162</v>
      </c>
      <c r="BD392" s="34" t="s">
        <v>163</v>
      </c>
      <c r="BE392" t="s">
        <v>167</v>
      </c>
    </row>
    <row r="393" spans="1:57" x14ac:dyDescent="0.25">
      <c r="A393" s="26" t="s">
        <v>463</v>
      </c>
      <c r="B393" s="18" t="s">
        <v>26</v>
      </c>
      <c r="C393" s="18" t="s">
        <v>6</v>
      </c>
      <c r="D393" s="18">
        <v>48</v>
      </c>
      <c r="E393" s="18">
        <v>19.942155563209798</v>
      </c>
      <c r="F393" s="18">
        <v>16.167999999999999</v>
      </c>
      <c r="G393" s="15">
        <v>6.16</v>
      </c>
      <c r="H393" s="15">
        <v>3.25</v>
      </c>
      <c r="I393" s="15">
        <v>2.65</v>
      </c>
      <c r="J393" s="15">
        <v>99.03</v>
      </c>
      <c r="K393" s="15">
        <v>1.08</v>
      </c>
      <c r="L393" s="15">
        <v>72.17</v>
      </c>
      <c r="M393" s="15">
        <v>6</v>
      </c>
      <c r="N393" s="15">
        <v>2</v>
      </c>
      <c r="O393" s="15">
        <f>1.72+2.1</f>
        <v>3.8200000000000003</v>
      </c>
      <c r="P393" s="9">
        <v>0.65713699999999997</v>
      </c>
      <c r="Q393" s="9">
        <v>1.2384299999999999</v>
      </c>
      <c r="R393" s="9">
        <v>0.21875</v>
      </c>
      <c r="S393" s="9">
        <v>4.4001600000000002E-2</v>
      </c>
      <c r="T393" s="9">
        <v>4.8839800000000003E-2</v>
      </c>
      <c r="U393" s="9">
        <v>2.7856999999999999E-3</v>
      </c>
      <c r="V393" s="9">
        <v>6.1480600000000001</v>
      </c>
      <c r="W393" s="9">
        <v>4.9643800000000002</v>
      </c>
      <c r="X393" s="9">
        <v>3.2622800000000001</v>
      </c>
      <c r="Y393" s="9">
        <v>59.279800000000002</v>
      </c>
      <c r="Z393" s="9">
        <v>56.302700000000002</v>
      </c>
      <c r="AA393" s="9">
        <f t="shared" si="67"/>
        <v>1.8733509433962265</v>
      </c>
      <c r="AB393" s="9">
        <f t="shared" si="68"/>
        <v>2.3245283018867924</v>
      </c>
      <c r="AC393" s="9">
        <f t="shared" si="69"/>
        <v>1.2264150943396226</v>
      </c>
      <c r="AD393" s="9">
        <f t="shared" si="70"/>
        <v>2.9725873821464961</v>
      </c>
      <c r="AE393" s="9">
        <f t="shared" si="71"/>
        <v>2.8233006116886279</v>
      </c>
      <c r="AF393" s="9">
        <f t="shared" si="72"/>
        <v>4.0354061211141872</v>
      </c>
      <c r="AG393" s="9">
        <f t="shared" si="64"/>
        <v>2.5194811504722074</v>
      </c>
      <c r="AH393" s="9">
        <f t="shared" si="63"/>
        <v>0.97911720351081732</v>
      </c>
      <c r="AI393" s="9">
        <f t="shared" si="65"/>
        <v>2.3776442288767656</v>
      </c>
      <c r="AJ393" s="9">
        <f>(4*PI()*(AI393^2))/(Y393+E393)</f>
        <v>0.89672245926303507</v>
      </c>
      <c r="AK393" s="12">
        <f t="shared" si="66"/>
        <v>0.69371727748691092</v>
      </c>
      <c r="AL393" s="12" t="s">
        <v>144</v>
      </c>
      <c r="AM393" s="12" t="s">
        <v>142</v>
      </c>
      <c r="AN393" s="18">
        <v>11.4636814154132</v>
      </c>
      <c r="AO393" s="18">
        <v>0.95706913454827403</v>
      </c>
      <c r="AP393" s="18">
        <v>14509.1193102827</v>
      </c>
      <c r="AQ393" s="18">
        <v>15058.589516911399</v>
      </c>
      <c r="AR393" s="18">
        <v>5.8715912736762998</v>
      </c>
      <c r="AS393" s="19">
        <v>7.3956657186526704E-4</v>
      </c>
      <c r="AT393" s="18">
        <v>0.79876945390979803</v>
      </c>
      <c r="AU393" s="18">
        <v>0.196611393079828</v>
      </c>
      <c r="AV393" s="18">
        <v>0</v>
      </c>
      <c r="AW393" s="18">
        <v>1.70149128869707E-3</v>
      </c>
      <c r="AX393" s="18">
        <v>0.42868866376664999</v>
      </c>
      <c r="AY393" s="18">
        <v>0.581371129137913</v>
      </c>
      <c r="AZ393" s="18">
        <v>-1423.75990171799</v>
      </c>
      <c r="BA393" s="18">
        <v>2.7927322677497101E-2</v>
      </c>
      <c r="BB393" s="18">
        <v>8.1115599901111306</v>
      </c>
      <c r="BC393" s="18" t="s">
        <v>162</v>
      </c>
      <c r="BD393" s="35" t="s">
        <v>165</v>
      </c>
      <c r="BE393" t="s">
        <v>167</v>
      </c>
    </row>
    <row r="394" spans="1:57" x14ac:dyDescent="0.25">
      <c r="A394" s="26" t="s">
        <v>464</v>
      </c>
      <c r="B394" s="18" t="s">
        <v>5</v>
      </c>
      <c r="C394" s="18" t="s">
        <v>6</v>
      </c>
      <c r="D394" s="18">
        <v>71</v>
      </c>
      <c r="E394" s="18">
        <v>66.098998408886303</v>
      </c>
      <c r="F394" s="18">
        <v>30.405999999999999</v>
      </c>
      <c r="G394" s="15">
        <v>16.350000000000001</v>
      </c>
      <c r="H394" s="15">
        <v>14.5</v>
      </c>
      <c r="I394" s="15">
        <v>3.11</v>
      </c>
      <c r="J394" s="15">
        <v>114.86</v>
      </c>
      <c r="K394" s="15">
        <v>22.56</v>
      </c>
      <c r="L394" s="15">
        <v>43.05</v>
      </c>
      <c r="M394" s="15">
        <v>15.5</v>
      </c>
      <c r="N394" s="15">
        <v>2</v>
      </c>
      <c r="O394" s="15">
        <v>3.9</v>
      </c>
      <c r="P394" s="9">
        <v>1.64228</v>
      </c>
      <c r="Q394" s="9">
        <v>1.82674</v>
      </c>
      <c r="R394" s="9">
        <v>-2.7777799999999998E-2</v>
      </c>
      <c r="S394" s="9">
        <v>0.147651</v>
      </c>
      <c r="T394" s="9">
        <v>0.15424199999999999</v>
      </c>
      <c r="U394" s="9">
        <v>1.5322499999999999E-2</v>
      </c>
      <c r="V394" s="9">
        <v>16.114799999999999</v>
      </c>
      <c r="W394" s="9">
        <v>8.8216000000000001</v>
      </c>
      <c r="X394" s="9">
        <v>14.4876</v>
      </c>
      <c r="Y394" s="9">
        <v>640.90200000000004</v>
      </c>
      <c r="Z394" s="9">
        <v>1678.2</v>
      </c>
      <c r="AA394" s="9">
        <f t="shared" si="67"/>
        <v>2.8365273311897106</v>
      </c>
      <c r="AB394" s="9">
        <f t="shared" si="68"/>
        <v>5.2572347266881039</v>
      </c>
      <c r="AC394" s="9">
        <f t="shared" si="69"/>
        <v>4.662379421221865</v>
      </c>
      <c r="AD394" s="9">
        <f t="shared" si="70"/>
        <v>9.69609245869961</v>
      </c>
      <c r="AE394" s="9">
        <f t="shared" si="71"/>
        <v>25.389189555017282</v>
      </c>
      <c r="AF394" s="9">
        <f t="shared" si="72"/>
        <v>4.538327321718902</v>
      </c>
      <c r="AG394" s="9">
        <f t="shared" si="64"/>
        <v>4.5869341242702797</v>
      </c>
      <c r="AH394" s="9">
        <f t="shared" si="63"/>
        <v>0.94785756411943978</v>
      </c>
      <c r="AI394" s="9">
        <f t="shared" si="65"/>
        <v>7.3719950649687478</v>
      </c>
      <c r="AJ394" s="9">
        <f>(4*PI()*(AI394^2))/(Y394+E394)</f>
        <v>0.96596170313198337</v>
      </c>
      <c r="AK394" s="12">
        <f t="shared" si="66"/>
        <v>0.79743589743589738</v>
      </c>
      <c r="AL394" s="12" t="s">
        <v>144</v>
      </c>
      <c r="AM394" s="12" t="s">
        <v>142</v>
      </c>
      <c r="AN394" s="18">
        <v>0.599909309677778</v>
      </c>
      <c r="AO394" s="18">
        <v>8.8689705042207204E-2</v>
      </c>
      <c r="AP394" s="18">
        <v>729.95082581402005</v>
      </c>
      <c r="AQ394" s="18">
        <v>670.82235893355403</v>
      </c>
      <c r="AR394" s="18">
        <v>0.63580294690563799</v>
      </c>
      <c r="AS394" s="18">
        <v>4.4748602330166198E-2</v>
      </c>
      <c r="AT394" s="18">
        <v>0.65058317207333805</v>
      </c>
      <c r="AU394" s="18">
        <v>3.1033769801102999</v>
      </c>
      <c r="AV394" s="18">
        <v>0.72432386421052597</v>
      </c>
      <c r="AW394" s="18">
        <v>4.4237170701594497E-2</v>
      </c>
      <c r="AX394" s="18">
        <v>5.9237035685991701E-2</v>
      </c>
      <c r="AY394" s="18">
        <v>-39.196813209204002</v>
      </c>
      <c r="AZ394" s="18">
        <v>-228.91387073524399</v>
      </c>
      <c r="BA394" s="18">
        <v>0.87549479193105895</v>
      </c>
      <c r="BB394" s="18">
        <v>14.319674020930499</v>
      </c>
      <c r="BC394" s="18" t="s">
        <v>162</v>
      </c>
      <c r="BD394" s="35" t="s">
        <v>163</v>
      </c>
      <c r="BE394" t="s">
        <v>167</v>
      </c>
    </row>
    <row r="395" spans="1:57" x14ac:dyDescent="0.25">
      <c r="A395" s="25" t="s">
        <v>465</v>
      </c>
      <c r="B395" s="18" t="s">
        <v>26</v>
      </c>
      <c r="C395" s="18" t="s">
        <v>6</v>
      </c>
      <c r="D395" s="18">
        <v>71</v>
      </c>
      <c r="E395" s="18">
        <v>25.511663930560299</v>
      </c>
      <c r="F395" s="18">
        <v>18.631</v>
      </c>
      <c r="G395" s="15">
        <v>13.31</v>
      </c>
      <c r="H395" s="15">
        <v>11</v>
      </c>
      <c r="I395" s="15">
        <v>1.99</v>
      </c>
      <c r="J395" s="15">
        <v>7.74</v>
      </c>
      <c r="K395" s="15">
        <v>44.64</v>
      </c>
      <c r="L395" s="15">
        <v>44.5</v>
      </c>
      <c r="M395" s="15">
        <v>10.6</v>
      </c>
      <c r="N395" s="15">
        <v>2</v>
      </c>
      <c r="O395" s="15">
        <v>3.58</v>
      </c>
      <c r="P395" s="9">
        <v>1.84642</v>
      </c>
      <c r="Q395" s="9">
        <v>2.0257999999999998</v>
      </c>
      <c r="R395" s="9">
        <v>9.9009900000000001E-3</v>
      </c>
      <c r="S395" s="9">
        <v>0.194019</v>
      </c>
      <c r="T395" s="9">
        <v>0.21184</v>
      </c>
      <c r="U395" s="9">
        <v>5.3740000000000003E-2</v>
      </c>
      <c r="V395" s="9">
        <v>11.1724</v>
      </c>
      <c r="W395" s="9">
        <v>5.5150300000000003</v>
      </c>
      <c r="X395" s="9">
        <v>10.1831</v>
      </c>
      <c r="Y395" s="9">
        <v>295.05200000000002</v>
      </c>
      <c r="Z395" s="9">
        <v>471.58300000000003</v>
      </c>
      <c r="AA395" s="9">
        <f t="shared" si="67"/>
        <v>2.7713718592964827</v>
      </c>
      <c r="AB395" s="9">
        <f t="shared" si="68"/>
        <v>6.6884422110552766</v>
      </c>
      <c r="AC395" s="9">
        <f t="shared" si="69"/>
        <v>5.5276381909547743</v>
      </c>
      <c r="AD395" s="9">
        <f t="shared" si="70"/>
        <v>11.565376558859363</v>
      </c>
      <c r="AE395" s="9">
        <f t="shared" si="71"/>
        <v>18.484995776190555</v>
      </c>
      <c r="AF395" s="9">
        <f t="shared" si="72"/>
        <v>4.8699720522252408</v>
      </c>
      <c r="AG395" s="9">
        <f t="shared" si="64"/>
        <v>2.8496692513510697</v>
      </c>
      <c r="AH395" s="9">
        <f t="shared" si="63"/>
        <v>0.96103268586820312</v>
      </c>
      <c r="AI395" s="9">
        <f t="shared" si="65"/>
        <v>4.8286216490551901</v>
      </c>
      <c r="AJ395" s="9">
        <f>(4*PI()*(AI395^2))/(Y395+E395)</f>
        <v>0.91399101231364321</v>
      </c>
      <c r="AK395" s="12">
        <f t="shared" si="66"/>
        <v>0.55586592178770944</v>
      </c>
      <c r="AL395" s="12" t="s">
        <v>144</v>
      </c>
      <c r="AM395" s="12" t="s">
        <v>142</v>
      </c>
      <c r="AN395" s="18">
        <v>2.7063166280145698</v>
      </c>
      <c r="AO395" s="18">
        <v>0.31666179546446199</v>
      </c>
      <c r="AP395" s="18">
        <v>2610.7783514391099</v>
      </c>
      <c r="AQ395" s="18">
        <v>2294.4892966491898</v>
      </c>
      <c r="AR395" s="18">
        <v>1.5980989382694799</v>
      </c>
      <c r="AS395" s="18">
        <v>3.1933700545845399E-2</v>
      </c>
      <c r="AT395" s="18">
        <v>0.682077942971266</v>
      </c>
      <c r="AU395" s="18">
        <v>1.6184134605173901</v>
      </c>
      <c r="AV395" s="18">
        <v>0.423993504400621</v>
      </c>
      <c r="AW395" s="18">
        <v>3.4956626120599799E-2</v>
      </c>
      <c r="AX395" s="18">
        <v>0.120838811813262</v>
      </c>
      <c r="AY395" s="18">
        <v>-19.206656640228399</v>
      </c>
      <c r="AZ395" s="18">
        <v>-365.02003119303799</v>
      </c>
      <c r="BA395" s="18">
        <v>0.540014247197657</v>
      </c>
      <c r="BB395" s="18">
        <v>17.059187340131</v>
      </c>
      <c r="BC395" s="18" t="s">
        <v>164</v>
      </c>
      <c r="BD395" s="35" t="s">
        <v>165</v>
      </c>
      <c r="BE395" t="s">
        <v>167</v>
      </c>
    </row>
    <row r="396" spans="1:57" x14ac:dyDescent="0.25">
      <c r="A396" s="25" t="s">
        <v>466</v>
      </c>
      <c r="B396" s="16" t="s">
        <v>5</v>
      </c>
      <c r="C396" s="16" t="s">
        <v>6</v>
      </c>
      <c r="D396" s="16">
        <v>71</v>
      </c>
      <c r="E396" s="16">
        <v>9.7487999999999992</v>
      </c>
      <c r="F396" s="16">
        <v>11.472</v>
      </c>
      <c r="G396" s="15">
        <v>4.18</v>
      </c>
      <c r="H396" s="15">
        <v>2.7</v>
      </c>
      <c r="I396" s="15">
        <v>4.25</v>
      </c>
      <c r="J396" s="15">
        <v>78.209999999999994</v>
      </c>
      <c r="K396" s="15">
        <v>35.47</v>
      </c>
      <c r="L396" s="15">
        <v>18.77</v>
      </c>
      <c r="M396" s="15">
        <v>3.7</v>
      </c>
      <c r="N396" s="15">
        <v>1</v>
      </c>
      <c r="O396" s="15">
        <v>4.6500000000000004</v>
      </c>
      <c r="P396" s="9">
        <v>0.778528</v>
      </c>
      <c r="Q396" s="9">
        <v>1.0526</v>
      </c>
      <c r="R396" s="9">
        <v>0.481132</v>
      </c>
      <c r="S396" s="9">
        <v>5.4959399999999999E-2</v>
      </c>
      <c r="T396" s="9">
        <v>9.6570199999999995E-2</v>
      </c>
      <c r="U396" s="9">
        <v>6.6092399999999996E-2</v>
      </c>
      <c r="V396" s="9">
        <v>3.6703299999999999</v>
      </c>
      <c r="W396" s="9">
        <v>3.4869300000000001</v>
      </c>
      <c r="X396" s="9">
        <v>2.7146699999999999</v>
      </c>
      <c r="Y396" s="9">
        <v>29.6754</v>
      </c>
      <c r="Z396" s="9">
        <v>18.459800000000001</v>
      </c>
      <c r="AA396" s="9">
        <f t="shared" si="67"/>
        <v>0.82045411764705889</v>
      </c>
      <c r="AB396" s="9">
        <f t="shared" si="68"/>
        <v>0.98352941176470576</v>
      </c>
      <c r="AC396" s="9">
        <f t="shared" si="69"/>
        <v>0.6352941176470589</v>
      </c>
      <c r="AD396" s="9">
        <f t="shared" si="70"/>
        <v>3.0440054160512067</v>
      </c>
      <c r="AE396" s="9">
        <f t="shared" si="71"/>
        <v>1.8935458723124901</v>
      </c>
      <c r="AF396" s="9">
        <f t="shared" si="72"/>
        <v>4.2485942205246614</v>
      </c>
      <c r="AG396" s="9">
        <f t="shared" si="64"/>
        <v>1.7615729954868571</v>
      </c>
      <c r="AH396" s="9">
        <f t="shared" si="63"/>
        <v>0.96480906230538299</v>
      </c>
      <c r="AI396" s="9">
        <f t="shared" si="65"/>
        <v>1.639505183326218</v>
      </c>
      <c r="AJ396" s="9">
        <f>(4*PI()*(AI396^2))/(Y396+E396)</f>
        <v>0.85678639714007843</v>
      </c>
      <c r="AK396" s="12">
        <f t="shared" si="66"/>
        <v>0.91397849462365588</v>
      </c>
      <c r="AL396" s="12" t="s">
        <v>144</v>
      </c>
      <c r="AM396" s="12" t="s">
        <v>143</v>
      </c>
      <c r="AN396" s="16">
        <v>7.5734000000000004</v>
      </c>
      <c r="AO396" s="16">
        <v>1.1074999999999999</v>
      </c>
      <c r="AP396" s="16">
        <v>13280</v>
      </c>
      <c r="AQ396" s="16">
        <v>12676</v>
      </c>
      <c r="AR396" s="16">
        <v>3.0379</v>
      </c>
      <c r="AS396" s="16">
        <v>1.4754E-2</v>
      </c>
      <c r="AT396" s="16">
        <v>0.73512999999999995</v>
      </c>
      <c r="AU396" s="16">
        <v>0.51229000000000002</v>
      </c>
      <c r="AV396" s="16">
        <v>3.6441999999999998E-3</v>
      </c>
      <c r="AW396" s="16">
        <v>1.1096E-2</v>
      </c>
      <c r="AX396" s="16">
        <v>0.26699000000000001</v>
      </c>
      <c r="AY396" s="16">
        <v>3.6324000000000001</v>
      </c>
      <c r="AZ396" s="16">
        <v>1745.2</v>
      </c>
      <c r="BA396" s="16">
        <v>2.1613E-2</v>
      </c>
      <c r="BB396" s="16">
        <v>9.9602000000000004</v>
      </c>
      <c r="BC396" s="16" t="s">
        <v>162</v>
      </c>
      <c r="BD396" s="34" t="s">
        <v>163</v>
      </c>
      <c r="BE396" t="s">
        <v>167</v>
      </c>
    </row>
    <row r="397" spans="1:57" x14ac:dyDescent="0.25">
      <c r="A397" s="25" t="s">
        <v>467</v>
      </c>
      <c r="B397" s="18" t="s">
        <v>40</v>
      </c>
      <c r="C397" s="18" t="s">
        <v>6</v>
      </c>
      <c r="D397" s="18">
        <v>54</v>
      </c>
      <c r="E397" s="18">
        <v>28.148093629664899</v>
      </c>
      <c r="F397" s="18">
        <v>19.327999999999999</v>
      </c>
      <c r="G397" s="15">
        <v>10.72</v>
      </c>
      <c r="H397" s="15">
        <v>7.62</v>
      </c>
      <c r="I397" s="15">
        <v>2.36</v>
      </c>
      <c r="J397" s="15">
        <v>44.2</v>
      </c>
      <c r="K397" s="15">
        <v>35.07</v>
      </c>
      <c r="L397" s="15">
        <v>79.2</v>
      </c>
      <c r="M397" s="15">
        <v>8.5</v>
      </c>
      <c r="N397" s="15">
        <v>4</v>
      </c>
      <c r="O397" s="15">
        <f>1.09+1.82+1.88+0.96</f>
        <v>5.75</v>
      </c>
      <c r="P397" s="9">
        <v>1.2999499999999999</v>
      </c>
      <c r="Q397" s="9">
        <v>1.6695500000000001</v>
      </c>
      <c r="R397" s="9">
        <v>-8.2781400000000005E-2</v>
      </c>
      <c r="S397" s="9">
        <v>0.14841199999999999</v>
      </c>
      <c r="T397" s="9">
        <v>0.164601</v>
      </c>
      <c r="U397" s="9">
        <v>4.7767900000000002E-2</v>
      </c>
      <c r="V397" s="9">
        <v>9.8245799999999992</v>
      </c>
      <c r="W397" s="9">
        <v>5.8845799999999997</v>
      </c>
      <c r="X397" s="9">
        <v>7.64968</v>
      </c>
      <c r="Y397" s="9">
        <v>210.64699999999999</v>
      </c>
      <c r="Z397" s="9">
        <v>310.42899999999997</v>
      </c>
      <c r="AA397" s="9">
        <f t="shared" si="67"/>
        <v>2.4934661016949153</v>
      </c>
      <c r="AB397" s="9">
        <f t="shared" si="68"/>
        <v>4.5423728813559325</v>
      </c>
      <c r="AC397" s="9">
        <f t="shared" si="69"/>
        <v>3.2288135593220342</v>
      </c>
      <c r="AD397" s="9">
        <f t="shared" si="70"/>
        <v>7.4835263365047906</v>
      </c>
      <c r="AE397" s="9">
        <f t="shared" si="71"/>
        <v>11.028420044505003</v>
      </c>
      <c r="AF397" s="9">
        <f t="shared" si="72"/>
        <v>4.594593435675014</v>
      </c>
      <c r="AG397" s="9">
        <f t="shared" si="64"/>
        <v>2.9932952543224527</v>
      </c>
      <c r="AH397" s="9">
        <f t="shared" si="63"/>
        <v>0.973066471544351</v>
      </c>
      <c r="AI397" s="9">
        <f t="shared" si="65"/>
        <v>4.2004055682355581</v>
      </c>
      <c r="AJ397" s="9">
        <f>(4*PI()*(AI397^2))/(Y397+E397)</f>
        <v>0.92846794759732143</v>
      </c>
      <c r="AK397" s="12">
        <f t="shared" si="66"/>
        <v>0.41043478260869565</v>
      </c>
      <c r="AL397" s="12" t="s">
        <v>144</v>
      </c>
      <c r="AM397" s="12" t="s">
        <v>142</v>
      </c>
      <c r="AN397" s="18">
        <v>0.89561513863678199</v>
      </c>
      <c r="AO397" s="18">
        <v>0.17869598552247201</v>
      </c>
      <c r="AP397" s="18">
        <v>770.53760176049695</v>
      </c>
      <c r="AQ397" s="18">
        <v>749.40115090996301</v>
      </c>
      <c r="AR397" s="18">
        <v>0.80923574862701297</v>
      </c>
      <c r="AS397" s="18">
        <v>3.5421557185447899E-2</v>
      </c>
      <c r="AT397" s="18">
        <v>0.71295623898671201</v>
      </c>
      <c r="AU397" s="18">
        <v>1.8261671118631599</v>
      </c>
      <c r="AV397" s="18">
        <v>0.16577326571204701</v>
      </c>
      <c r="AW397" s="18">
        <v>3.9685315426643997E-2</v>
      </c>
      <c r="AX397" s="18">
        <v>7.8772678980313302E-2</v>
      </c>
      <c r="AY397" s="18">
        <v>-28.5053549393254</v>
      </c>
      <c r="AZ397" s="18">
        <v>-234.62339552722401</v>
      </c>
      <c r="BA397" s="18">
        <v>0.41112698287136301</v>
      </c>
      <c r="BB397" s="18">
        <v>3.7968374221554102</v>
      </c>
      <c r="BC397" s="18" t="s">
        <v>162</v>
      </c>
      <c r="BD397" s="35" t="s">
        <v>165</v>
      </c>
      <c r="BE397" t="s">
        <v>167</v>
      </c>
    </row>
    <row r="398" spans="1:57" x14ac:dyDescent="0.25">
      <c r="A398" s="25" t="s">
        <v>468</v>
      </c>
      <c r="B398" s="18" t="s">
        <v>5</v>
      </c>
      <c r="C398" s="18" t="s">
        <v>6</v>
      </c>
      <c r="D398" s="18">
        <v>70</v>
      </c>
      <c r="E398" s="18">
        <v>15.4508261458588</v>
      </c>
      <c r="F398" s="18">
        <v>14.401999999999999</v>
      </c>
      <c r="G398" s="15">
        <v>11.15</v>
      </c>
      <c r="H398" s="15">
        <v>7.3</v>
      </c>
      <c r="I398" s="15">
        <v>2.66</v>
      </c>
      <c r="J398" s="15">
        <v>7.86</v>
      </c>
      <c r="K398" s="15">
        <v>45.74</v>
      </c>
      <c r="L398" s="15">
        <v>57.57</v>
      </c>
      <c r="M398" s="15">
        <v>5</v>
      </c>
      <c r="N398" s="15">
        <v>2</v>
      </c>
      <c r="O398" s="15">
        <v>5.89</v>
      </c>
      <c r="P398" s="9">
        <v>1.6818599999999999</v>
      </c>
      <c r="Q398" s="9">
        <v>1.3869</v>
      </c>
      <c r="R398" s="9">
        <v>3.4482599999999999E-3</v>
      </c>
      <c r="S398" s="9">
        <v>0.215005</v>
      </c>
      <c r="T398" s="9">
        <v>0.32827099999999998</v>
      </c>
      <c r="U398" s="9">
        <v>0.30141600000000002</v>
      </c>
      <c r="V398" s="9">
        <v>6.0347400000000002</v>
      </c>
      <c r="W398" s="9">
        <v>4.3512300000000002</v>
      </c>
      <c r="X398" s="9">
        <v>7.3181500000000002</v>
      </c>
      <c r="Y398" s="9">
        <v>118.224</v>
      </c>
      <c r="Z398" s="9">
        <v>94.110299999999995</v>
      </c>
      <c r="AA398" s="9">
        <f t="shared" si="67"/>
        <v>1.6358007518796993</v>
      </c>
      <c r="AB398" s="9">
        <f t="shared" si="68"/>
        <v>4.1917293233082704</v>
      </c>
      <c r="AC398" s="9">
        <f t="shared" si="69"/>
        <v>2.744360902255639</v>
      </c>
      <c r="AD398" s="9">
        <f t="shared" si="70"/>
        <v>7.6516296852959496</v>
      </c>
      <c r="AE398" s="9">
        <f t="shared" si="71"/>
        <v>6.0909558564429167</v>
      </c>
      <c r="AF398" s="9">
        <f t="shared" si="72"/>
        <v>5.714096151170529</v>
      </c>
      <c r="AG398" s="9">
        <f t="shared" si="64"/>
        <v>2.217690400379154</v>
      </c>
      <c r="AH398" s="9">
        <f t="shared" si="63"/>
        <v>0.96751560474486287</v>
      </c>
      <c r="AI398" s="9">
        <f t="shared" si="65"/>
        <v>2.8217347256853373</v>
      </c>
      <c r="AJ398" s="9">
        <f>(4*PI()*(AI398^2))/(Y398+E398)</f>
        <v>0.74850137378326176</v>
      </c>
      <c r="AK398" s="12">
        <f t="shared" si="66"/>
        <v>0.45161290322580649</v>
      </c>
      <c r="AL398" s="12" t="s">
        <v>140</v>
      </c>
      <c r="AM398" s="12" t="s">
        <v>142</v>
      </c>
      <c r="AN398" s="18">
        <v>2.9627909073798202</v>
      </c>
      <c r="AO398" s="18">
        <v>0.32578979601025398</v>
      </c>
      <c r="AP398" s="18">
        <v>4747.3393685385299</v>
      </c>
      <c r="AQ398" s="18">
        <v>4223.8930594030899</v>
      </c>
      <c r="AR398" s="18">
        <v>1.35987821614259</v>
      </c>
      <c r="AS398" s="18">
        <v>7.77962712762999E-2</v>
      </c>
      <c r="AT398" s="18">
        <v>0.59470031962023395</v>
      </c>
      <c r="AU398" s="18">
        <v>844.28237142976195</v>
      </c>
      <c r="AV398" s="18">
        <v>0.54740583752639604</v>
      </c>
      <c r="AW398" s="18">
        <v>5.2987235548738298E-2</v>
      </c>
      <c r="AX398" s="18">
        <v>0.10976849589811</v>
      </c>
      <c r="AY398" s="18">
        <v>-13.858982508137901</v>
      </c>
      <c r="AZ398" s="18">
        <v>-1084.1332854248501</v>
      </c>
      <c r="BA398" s="18">
        <v>0.12312741082503301</v>
      </c>
      <c r="BB398" s="18">
        <v>22.736986015053901</v>
      </c>
      <c r="BC398" s="18" t="s">
        <v>162</v>
      </c>
      <c r="BD398" s="35" t="s">
        <v>165</v>
      </c>
      <c r="BE398" t="s">
        <v>167</v>
      </c>
    </row>
    <row r="399" spans="1:57" x14ac:dyDescent="0.25">
      <c r="A399" s="25" t="s">
        <v>469</v>
      </c>
      <c r="B399" s="18" t="s">
        <v>26</v>
      </c>
      <c r="C399" s="18" t="s">
        <v>14</v>
      </c>
      <c r="D399" s="18">
        <v>56</v>
      </c>
      <c r="E399" s="18">
        <v>8.5081286415043298</v>
      </c>
      <c r="F399" s="18">
        <v>10.599</v>
      </c>
      <c r="G399" s="15">
        <v>5.73</v>
      </c>
      <c r="H399" s="15">
        <v>3.85</v>
      </c>
      <c r="I399" s="15">
        <v>2.6</v>
      </c>
      <c r="J399" s="15">
        <v>50.33</v>
      </c>
      <c r="K399" s="15">
        <v>29.84</v>
      </c>
      <c r="L399" s="15">
        <v>81</v>
      </c>
      <c r="M399" s="15">
        <v>4.7</v>
      </c>
      <c r="N399" s="15">
        <v>2</v>
      </c>
      <c r="O399" s="15">
        <f>1.8+2.56</f>
        <v>4.3600000000000003</v>
      </c>
      <c r="P399" s="9">
        <v>1.1898500000000001</v>
      </c>
      <c r="Q399" s="9">
        <v>1.5661099999999999</v>
      </c>
      <c r="R399" s="9">
        <v>7.3333300000000004E-2</v>
      </c>
      <c r="S399" s="9">
        <v>0.144321</v>
      </c>
      <c r="T399" s="9">
        <v>0.172712</v>
      </c>
      <c r="U399" s="9">
        <v>7.01764E-2</v>
      </c>
      <c r="V399" s="9">
        <v>5.0579499999999999</v>
      </c>
      <c r="W399" s="9">
        <v>3.2296299999999998</v>
      </c>
      <c r="X399" s="9">
        <v>3.8427799999999999</v>
      </c>
      <c r="Y399" s="9">
        <v>53.271599999999999</v>
      </c>
      <c r="Z399" s="9">
        <v>38.906199999999998</v>
      </c>
      <c r="AA399" s="9">
        <f t="shared" si="67"/>
        <v>1.2421653846153844</v>
      </c>
      <c r="AB399" s="9">
        <f t="shared" si="68"/>
        <v>2.203846153846154</v>
      </c>
      <c r="AC399" s="9">
        <f t="shared" si="69"/>
        <v>1.4807692307692308</v>
      </c>
      <c r="AD399" s="9">
        <f t="shared" si="70"/>
        <v>6.2612593491041766</v>
      </c>
      <c r="AE399" s="9">
        <f t="shared" si="71"/>
        <v>4.5728269563541719</v>
      </c>
      <c r="AF399" s="9">
        <f t="shared" si="72"/>
        <v>4.6396283938874898</v>
      </c>
      <c r="AG399" s="9">
        <f t="shared" si="64"/>
        <v>1.6456674814537391</v>
      </c>
      <c r="AH399" s="9">
        <f t="shared" si="63"/>
        <v>0.9755669157442558</v>
      </c>
      <c r="AI399" s="9">
        <f t="shared" si="65"/>
        <v>2.102051741571568</v>
      </c>
      <c r="AJ399" s="9">
        <f>(4*PI()*(AI399^2))/(Y399+E399)</f>
        <v>0.89877435364668301</v>
      </c>
      <c r="AK399" s="12">
        <f t="shared" si="66"/>
        <v>0.59633027522935778</v>
      </c>
      <c r="AL399" s="12" t="s">
        <v>140</v>
      </c>
      <c r="AM399" s="12" t="s">
        <v>142</v>
      </c>
      <c r="AN399" s="18">
        <v>4.36583720752167</v>
      </c>
      <c r="AO399" s="18">
        <v>0.499405037244327</v>
      </c>
      <c r="AP399" s="18">
        <v>9743.4015854245208</v>
      </c>
      <c r="AQ399" s="18">
        <v>9397.3862142714097</v>
      </c>
      <c r="AR399" s="18">
        <v>2.1680637152409199</v>
      </c>
      <c r="AS399" s="18">
        <v>1.4519008194154E-2</v>
      </c>
      <c r="AT399" s="18">
        <v>0.75449368219516699</v>
      </c>
      <c r="AU399" s="18">
        <v>1.2415839908361701</v>
      </c>
      <c r="AV399" s="18">
        <v>0.14148320136445999</v>
      </c>
      <c r="AW399" s="18">
        <v>1.27085559624269E-2</v>
      </c>
      <c r="AX399" s="18">
        <v>0.16674892247666401</v>
      </c>
      <c r="AY399" s="18">
        <v>-3.63013142249256</v>
      </c>
      <c r="AZ399" s="18">
        <v>-569.27241147658799</v>
      </c>
      <c r="BA399" s="18">
        <v>8.9326769619368099E-2</v>
      </c>
      <c r="BB399" s="18">
        <v>11.2056335021959</v>
      </c>
      <c r="BC399" s="18" t="s">
        <v>162</v>
      </c>
      <c r="BD399" s="35" t="s">
        <v>165</v>
      </c>
      <c r="BE399" t="s">
        <v>167</v>
      </c>
    </row>
    <row r="400" spans="1:57" x14ac:dyDescent="0.25">
      <c r="A400" s="25" t="s">
        <v>470</v>
      </c>
      <c r="B400" s="18" t="s">
        <v>5</v>
      </c>
      <c r="C400" s="18" t="s">
        <v>14</v>
      </c>
      <c r="D400" s="18">
        <v>56</v>
      </c>
      <c r="E400" s="18">
        <v>7.3696377658310999</v>
      </c>
      <c r="F400" s="18">
        <v>9.9380000000000006</v>
      </c>
      <c r="G400" s="15">
        <v>6.56</v>
      </c>
      <c r="H400" s="15">
        <v>4</v>
      </c>
      <c r="I400" s="15">
        <v>3.59</v>
      </c>
      <c r="J400" s="15">
        <v>38.49</v>
      </c>
      <c r="K400" s="15">
        <v>16.97</v>
      </c>
      <c r="L400" s="15">
        <v>53.87</v>
      </c>
      <c r="M400" s="15">
        <v>4.75</v>
      </c>
      <c r="N400" s="15">
        <v>2</v>
      </c>
      <c r="O400" s="15">
        <f>1.1+3.75</f>
        <v>4.8499999999999996</v>
      </c>
      <c r="P400" s="9">
        <v>1.3339300000000001</v>
      </c>
      <c r="Q400" s="9">
        <v>2.0851600000000001</v>
      </c>
      <c r="R400" s="9">
        <v>6.4102599999999996E-2</v>
      </c>
      <c r="S400" s="9">
        <v>0.18526200000000001</v>
      </c>
      <c r="T400" s="9">
        <v>0.24402299999999999</v>
      </c>
      <c r="U400" s="9">
        <v>0.13631199999999999</v>
      </c>
      <c r="V400" s="9">
        <v>6.2327500000000002</v>
      </c>
      <c r="W400" s="9">
        <v>2.9891100000000002</v>
      </c>
      <c r="X400" s="9">
        <v>3.9872700000000001</v>
      </c>
      <c r="Y400" s="9">
        <v>68.327200000000005</v>
      </c>
      <c r="Z400" s="9">
        <v>49.367699999999999</v>
      </c>
      <c r="AA400" s="9">
        <f t="shared" si="67"/>
        <v>0.83262116991643464</v>
      </c>
      <c r="AB400" s="9">
        <f t="shared" si="68"/>
        <v>1.8272980501392757</v>
      </c>
      <c r="AC400" s="9">
        <f t="shared" si="69"/>
        <v>1.1142061281337048</v>
      </c>
      <c r="AD400" s="9">
        <f t="shared" si="70"/>
        <v>9.2714461919410915</v>
      </c>
      <c r="AE400" s="9">
        <f t="shared" si="71"/>
        <v>6.6987960017370858</v>
      </c>
      <c r="AF400" s="9">
        <f t="shared" si="72"/>
        <v>5.077286782035924</v>
      </c>
      <c r="AG400" s="9">
        <f t="shared" si="64"/>
        <v>1.5316097931449326</v>
      </c>
      <c r="AH400" s="9">
        <f t="shared" si="63"/>
        <v>0.96834253860138919</v>
      </c>
      <c r="AI400" s="9">
        <f t="shared" si="65"/>
        <v>2.275716167949474</v>
      </c>
      <c r="AJ400" s="9">
        <f>(4*PI()*(AI400^2))/(Y400+E400)</f>
        <v>0.85974234330036003</v>
      </c>
      <c r="AK400" s="12">
        <f t="shared" si="66"/>
        <v>0.74020618556701034</v>
      </c>
      <c r="AL400" s="12" t="s">
        <v>140</v>
      </c>
      <c r="AM400" s="12" t="s">
        <v>142</v>
      </c>
      <c r="AN400" s="18">
        <v>4.8625219027915803</v>
      </c>
      <c r="AO400" s="18">
        <v>0.38669047921029898</v>
      </c>
      <c r="AP400" s="18">
        <v>16117.2728263195</v>
      </c>
      <c r="AQ400" s="18">
        <v>14089.521404978799</v>
      </c>
      <c r="AR400" s="18">
        <v>2.3857799127766102</v>
      </c>
      <c r="AS400" s="18">
        <v>1.11760977534803E-2</v>
      </c>
      <c r="AT400" s="18">
        <v>0.72083920769089904</v>
      </c>
      <c r="AU400" s="18">
        <v>0.86381955744933103</v>
      </c>
      <c r="AV400" s="18">
        <v>0.23714041268896899</v>
      </c>
      <c r="AW400" s="18">
        <v>1.12000078260779E-2</v>
      </c>
      <c r="AX400" s="18">
        <v>0.193825904207096</v>
      </c>
      <c r="AY400" s="18">
        <v>-0.56816816115254098</v>
      </c>
      <c r="AZ400" s="18">
        <v>-349.30628911580999</v>
      </c>
      <c r="BA400" s="18">
        <v>0.106880547131901</v>
      </c>
      <c r="BB400" s="18">
        <v>18.082507366543101</v>
      </c>
      <c r="BC400" s="18" t="s">
        <v>162</v>
      </c>
      <c r="BD400" s="35" t="s">
        <v>165</v>
      </c>
      <c r="BE400" t="s">
        <v>168</v>
      </c>
    </row>
    <row r="401" spans="1:57" x14ac:dyDescent="0.25">
      <c r="A401" s="25" t="s">
        <v>471</v>
      </c>
      <c r="B401" s="18" t="s">
        <v>26</v>
      </c>
      <c r="C401" s="18" t="s">
        <v>6</v>
      </c>
      <c r="D401" s="18">
        <v>58</v>
      </c>
      <c r="E401" s="18">
        <v>28.026068136837399</v>
      </c>
      <c r="F401" s="18">
        <v>19.189</v>
      </c>
      <c r="G401" s="15">
        <v>10.62</v>
      </c>
      <c r="H401" s="15">
        <v>6.1</v>
      </c>
      <c r="I401" s="15">
        <v>2.21</v>
      </c>
      <c r="J401" s="15">
        <v>97.23</v>
      </c>
      <c r="K401" s="15">
        <v>18.64</v>
      </c>
      <c r="L401" s="15">
        <v>60.22</v>
      </c>
      <c r="M401" s="15">
        <v>7.9</v>
      </c>
      <c r="N401" s="15">
        <v>2</v>
      </c>
      <c r="O401" s="15">
        <f>1.87+1.64</f>
        <v>3.51</v>
      </c>
      <c r="P401" s="9">
        <v>1.03234</v>
      </c>
      <c r="Q401" s="9">
        <v>1.7035499999999999</v>
      </c>
      <c r="R401" s="9">
        <v>-0.15</v>
      </c>
      <c r="S401" s="9">
        <v>0.161441</v>
      </c>
      <c r="T401" s="9">
        <v>0.21915599999999999</v>
      </c>
      <c r="U401" s="9">
        <v>0.18507299999999999</v>
      </c>
      <c r="V401" s="9">
        <v>10.0403</v>
      </c>
      <c r="W401" s="9">
        <v>5.8937499999999998</v>
      </c>
      <c r="X401" s="9">
        <v>6.0843499999999997</v>
      </c>
      <c r="Y401" s="9">
        <v>165.453</v>
      </c>
      <c r="Z401" s="9">
        <v>195.27500000000001</v>
      </c>
      <c r="AA401" s="9">
        <f t="shared" si="67"/>
        <v>2.6668552036199094</v>
      </c>
      <c r="AB401" s="9">
        <f t="shared" si="68"/>
        <v>4.8054298642533935</v>
      </c>
      <c r="AC401" s="9">
        <f t="shared" si="69"/>
        <v>2.7601809954751131</v>
      </c>
      <c r="AD401" s="9">
        <f t="shared" si="70"/>
        <v>5.9035394901694742</v>
      </c>
      <c r="AE401" s="9">
        <f t="shared" si="71"/>
        <v>6.967620254349236</v>
      </c>
      <c r="AF401" s="9">
        <f t="shared" si="72"/>
        <v>4.9156039200793078</v>
      </c>
      <c r="AG401" s="9">
        <f t="shared" si="64"/>
        <v>2.9868000533708101</v>
      </c>
      <c r="AH401" s="9">
        <f t="shared" si="63"/>
        <v>0.97798833763211623</v>
      </c>
      <c r="AI401" s="9">
        <f t="shared" si="65"/>
        <v>3.5990345216589956</v>
      </c>
      <c r="AJ401" s="9">
        <f>(4*PI()*(AI401^2))/(Y401+E401)</f>
        <v>0.84129421348253519</v>
      </c>
      <c r="AK401" s="12">
        <f t="shared" si="66"/>
        <v>0.62962962962962965</v>
      </c>
      <c r="AL401" s="12" t="s">
        <v>140</v>
      </c>
      <c r="AM401" s="12" t="s">
        <v>142</v>
      </c>
      <c r="AN401" s="18">
        <v>4.2378754067777296</v>
      </c>
      <c r="AO401" s="18">
        <v>0.40586604628556799</v>
      </c>
      <c r="AP401" s="18">
        <v>4547.3452618902002</v>
      </c>
      <c r="AQ401" s="18">
        <v>4540.1477786609603</v>
      </c>
      <c r="AR401" s="18">
        <v>2.3680554568357</v>
      </c>
      <c r="AS401" s="18">
        <v>1.5116724744261499E-2</v>
      </c>
      <c r="AT401" s="18">
        <v>0.72260792880329705</v>
      </c>
      <c r="AU401" s="18">
        <v>1.9075349594711599</v>
      </c>
      <c r="AV401" s="18">
        <v>0.27587030661537498</v>
      </c>
      <c r="AW401" s="18">
        <v>1.6946328612744001E-2</v>
      </c>
      <c r="AX401" s="18">
        <v>0.19813898404760499</v>
      </c>
      <c r="AY401" s="18">
        <v>-25.6297895020328</v>
      </c>
      <c r="AZ401" s="18">
        <v>-1196.1915276131999</v>
      </c>
      <c r="BA401" s="18">
        <v>0.17879169426528099</v>
      </c>
      <c r="BB401" s="18">
        <v>5.9075650393066201</v>
      </c>
      <c r="BC401" s="18" t="s">
        <v>164</v>
      </c>
      <c r="BD401" s="35" t="s">
        <v>165</v>
      </c>
      <c r="BE401" t="s">
        <v>167</v>
      </c>
    </row>
    <row r="402" spans="1:57" x14ac:dyDescent="0.25">
      <c r="A402" s="25" t="s">
        <v>472</v>
      </c>
      <c r="B402" s="18" t="s">
        <v>26</v>
      </c>
      <c r="C402" s="18" t="s">
        <v>6</v>
      </c>
      <c r="D402" s="18">
        <v>58</v>
      </c>
      <c r="E402" s="18">
        <v>20.249857650110702</v>
      </c>
      <c r="F402" s="18">
        <v>16.844999999999999</v>
      </c>
      <c r="G402" s="15">
        <v>7.06</v>
      </c>
      <c r="H402" s="15">
        <v>3.83</v>
      </c>
      <c r="I402" s="15">
        <v>2.85</v>
      </c>
      <c r="J402" s="15">
        <v>67.72</v>
      </c>
      <c r="K402" s="15">
        <v>10.63</v>
      </c>
      <c r="L402" s="15">
        <v>77.67</v>
      </c>
      <c r="M402" s="15">
        <v>6.3</v>
      </c>
      <c r="N402" s="15">
        <v>2</v>
      </c>
      <c r="O402" s="15">
        <f>2.08+2.46</f>
        <v>4.54</v>
      </c>
      <c r="P402" s="9">
        <v>0.79016799999999998</v>
      </c>
      <c r="Q402" s="9">
        <v>1.40158</v>
      </c>
      <c r="R402" s="9">
        <v>0.18421100000000001</v>
      </c>
      <c r="S402" s="9">
        <v>8.0103800000000003E-2</v>
      </c>
      <c r="T402" s="9">
        <v>9.0096399999999993E-2</v>
      </c>
      <c r="U402" s="9">
        <v>2.1512099999999999E-2</v>
      </c>
      <c r="V402" s="9">
        <v>6.83955</v>
      </c>
      <c r="W402" s="9">
        <v>4.87988</v>
      </c>
      <c r="X402" s="9">
        <v>3.8559299999999999</v>
      </c>
      <c r="Y402" s="9">
        <v>68.990099999999998</v>
      </c>
      <c r="Z402" s="9">
        <v>66.139700000000005</v>
      </c>
      <c r="AA402" s="9">
        <f t="shared" si="67"/>
        <v>1.7122385964912281</v>
      </c>
      <c r="AB402" s="9">
        <f t="shared" si="68"/>
        <v>2.4771929824561401</v>
      </c>
      <c r="AC402" s="9">
        <f t="shared" si="69"/>
        <v>1.343859649122807</v>
      </c>
      <c r="AD402" s="9">
        <f t="shared" si="70"/>
        <v>3.4069424680436131</v>
      </c>
      <c r="AE402" s="9">
        <f t="shared" si="71"/>
        <v>3.2661809847161289</v>
      </c>
      <c r="AF402" s="9">
        <f t="shared" si="72"/>
        <v>4.2183760634661871</v>
      </c>
      <c r="AG402" s="9">
        <f t="shared" si="64"/>
        <v>2.5388442023575806</v>
      </c>
      <c r="AH402" s="9">
        <f t="shared" si="63"/>
        <v>0.94698893377686122</v>
      </c>
      <c r="AI402" s="9">
        <f t="shared" si="65"/>
        <v>2.5087528014590212</v>
      </c>
      <c r="AJ402" s="9">
        <f>(4*PI()*(AI402^2))/(Y402+E402)</f>
        <v>0.88627040942806135</v>
      </c>
      <c r="AK402" s="12">
        <f t="shared" si="66"/>
        <v>0.6277533039647577</v>
      </c>
      <c r="AL402" s="12" t="s">
        <v>144</v>
      </c>
      <c r="AM402" s="12" t="s">
        <v>142</v>
      </c>
      <c r="AN402" s="18">
        <v>5.7624607877495997</v>
      </c>
      <c r="AO402" s="18">
        <v>1.04522965664574</v>
      </c>
      <c r="AP402" s="18">
        <v>7737.9477765455003</v>
      </c>
      <c r="AQ402" s="18">
        <v>7515.2403286462604</v>
      </c>
      <c r="AR402" s="18">
        <v>3.26967325705805</v>
      </c>
      <c r="AS402" s="18">
        <v>1.31830922389724E-2</v>
      </c>
      <c r="AT402" s="18">
        <v>0.7204271449395</v>
      </c>
      <c r="AU402" s="18">
        <v>0.39971566219142801</v>
      </c>
      <c r="AV402" s="19">
        <v>8.7322757707633495E-5</v>
      </c>
      <c r="AW402" s="18">
        <v>1.04411014882936E-2</v>
      </c>
      <c r="AX402" s="18">
        <v>0.21577079594396101</v>
      </c>
      <c r="AY402" s="18">
        <v>-6.2882460136720102</v>
      </c>
      <c r="AZ402" s="18">
        <v>-702.26264203423</v>
      </c>
      <c r="BA402" s="18">
        <v>8.1169012971538501E-2</v>
      </c>
      <c r="BB402" s="18">
        <v>28.050445875628</v>
      </c>
      <c r="BC402" s="18" t="s">
        <v>162</v>
      </c>
      <c r="BD402" s="35" t="s">
        <v>165</v>
      </c>
      <c r="BE402" t="s">
        <v>167</v>
      </c>
    </row>
    <row r="403" spans="1:57" x14ac:dyDescent="0.25">
      <c r="A403" s="25" t="s">
        <v>473</v>
      </c>
      <c r="B403" s="18" t="s">
        <v>26</v>
      </c>
      <c r="C403" s="18" t="s">
        <v>14</v>
      </c>
      <c r="D403" s="18">
        <v>60</v>
      </c>
      <c r="E403" s="18">
        <v>11.0763775170157</v>
      </c>
      <c r="F403" s="18">
        <v>12.276</v>
      </c>
      <c r="G403" s="15">
        <v>5.7</v>
      </c>
      <c r="H403" s="15">
        <v>3.8</v>
      </c>
      <c r="I403" s="15">
        <v>2.68</v>
      </c>
      <c r="J403" s="15">
        <v>69.06</v>
      </c>
      <c r="K403" s="15">
        <v>32.340000000000003</v>
      </c>
      <c r="L403" s="15">
        <v>73.16</v>
      </c>
      <c r="M403" s="15">
        <v>4.95</v>
      </c>
      <c r="N403" s="15">
        <v>2</v>
      </c>
      <c r="O403" s="15">
        <f>2.42+1.22</f>
        <v>3.6399999999999997</v>
      </c>
      <c r="P403" s="9">
        <v>1.03847</v>
      </c>
      <c r="Q403" s="9">
        <v>1.3992599999999999</v>
      </c>
      <c r="R403" s="9">
        <v>2.0548E-2</v>
      </c>
      <c r="S403" s="9">
        <v>0.102719</v>
      </c>
      <c r="T403" s="9">
        <v>0.10796</v>
      </c>
      <c r="U403" s="9">
        <v>6.5736099999999997E-3</v>
      </c>
      <c r="V403" s="9">
        <v>5.0168699999999999</v>
      </c>
      <c r="W403" s="9">
        <v>3.5853700000000002</v>
      </c>
      <c r="X403" s="9">
        <v>3.7233100000000001</v>
      </c>
      <c r="Y403" s="9">
        <v>52.448999999999998</v>
      </c>
      <c r="Z403" s="9">
        <v>42.557099999999998</v>
      </c>
      <c r="AA403" s="9">
        <f t="shared" si="67"/>
        <v>1.3378246268656717</v>
      </c>
      <c r="AB403" s="9">
        <f t="shared" si="68"/>
        <v>2.1268656716417911</v>
      </c>
      <c r="AC403" s="9">
        <f t="shared" si="69"/>
        <v>1.4179104477611939</v>
      </c>
      <c r="AD403" s="9">
        <f t="shared" si="70"/>
        <v>4.7352123850443926</v>
      </c>
      <c r="AE403" s="9">
        <f t="shared" si="71"/>
        <v>3.8421496499756471</v>
      </c>
      <c r="AF403" s="9">
        <f t="shared" si="72"/>
        <v>4.3028465833626122</v>
      </c>
      <c r="AG403" s="9">
        <f t="shared" si="64"/>
        <v>1.8776901945661764</v>
      </c>
      <c r="AH403" s="9">
        <f t="shared" si="63"/>
        <v>0.96105208878571025</v>
      </c>
      <c r="AI403" s="9">
        <f t="shared" si="65"/>
        <v>2.1658471576870886</v>
      </c>
      <c r="AJ403" s="9">
        <f>(4*PI()*(AI403^2))/(Y403+E403)</f>
        <v>0.92793641998754017</v>
      </c>
      <c r="AK403" s="12">
        <f t="shared" si="66"/>
        <v>0.73626373626373642</v>
      </c>
      <c r="AL403" s="12" t="s">
        <v>144</v>
      </c>
      <c r="AM403" s="12" t="s">
        <v>142</v>
      </c>
      <c r="AN403" s="18">
        <v>0.52628651852181796</v>
      </c>
      <c r="AO403" s="18">
        <v>0.12773189465953499</v>
      </c>
      <c r="AP403" s="18">
        <v>1423.4671972445201</v>
      </c>
      <c r="AQ403" s="18">
        <v>1345.0053790234799</v>
      </c>
      <c r="AR403" s="18">
        <v>0.30080780477459701</v>
      </c>
      <c r="AS403" s="18">
        <v>1.5633533643610701E-2</v>
      </c>
      <c r="AT403" s="18">
        <v>0.73052583398113202</v>
      </c>
      <c r="AU403" s="18">
        <v>5.69504354128535</v>
      </c>
      <c r="AV403" s="18">
        <v>0.55558022941877405</v>
      </c>
      <c r="AW403" s="18">
        <v>1.75106661220456E-2</v>
      </c>
      <c r="AX403" s="18">
        <v>3.6164620665573702E-2</v>
      </c>
      <c r="AY403" s="18">
        <v>-31.4602875859674</v>
      </c>
      <c r="AZ403" s="18">
        <v>-49.766948739035101</v>
      </c>
      <c r="BA403" s="18">
        <v>0.392244284598319</v>
      </c>
      <c r="BB403" s="18">
        <v>73.391973645225093</v>
      </c>
      <c r="BC403" s="18" t="s">
        <v>162</v>
      </c>
      <c r="BD403" s="35" t="s">
        <v>163</v>
      </c>
      <c r="BE403" t="s">
        <v>167</v>
      </c>
    </row>
    <row r="404" spans="1:57" x14ac:dyDescent="0.25">
      <c r="A404" s="25" t="s">
        <v>474</v>
      </c>
      <c r="B404" s="18" t="s">
        <v>13</v>
      </c>
      <c r="C404" s="18" t="s">
        <v>14</v>
      </c>
      <c r="D404" s="18">
        <v>60</v>
      </c>
      <c r="E404" s="18">
        <v>34.564192887965099</v>
      </c>
      <c r="F404" s="18">
        <v>21.45</v>
      </c>
      <c r="G404" s="15">
        <v>11.34</v>
      </c>
      <c r="H404" s="15">
        <v>8.8000000000000007</v>
      </c>
      <c r="I404" s="15">
        <v>3.37</v>
      </c>
      <c r="J404" s="15">
        <v>71.7</v>
      </c>
      <c r="K404" s="15">
        <v>12.89</v>
      </c>
      <c r="L404" s="15">
        <v>79.36</v>
      </c>
      <c r="M404" s="15">
        <v>10.1</v>
      </c>
      <c r="N404" s="15">
        <v>2</v>
      </c>
      <c r="O404" s="15">
        <f>3.12+0.93</f>
        <v>4.05</v>
      </c>
      <c r="P404" s="9">
        <v>1.345</v>
      </c>
      <c r="Q404" s="9">
        <v>1.7499</v>
      </c>
      <c r="R404" s="9">
        <v>6.0693700000000003E-2</v>
      </c>
      <c r="S404" s="9">
        <v>0.14893200000000001</v>
      </c>
      <c r="T404" s="9">
        <v>0.163215</v>
      </c>
      <c r="U404" s="9">
        <v>3.0876500000000001E-2</v>
      </c>
      <c r="V404" s="9">
        <v>11.355399999999999</v>
      </c>
      <c r="W404" s="9">
        <v>6.4891500000000004</v>
      </c>
      <c r="X404" s="9">
        <v>8.7279400000000003</v>
      </c>
      <c r="Y404" s="9">
        <v>265.33499999999998</v>
      </c>
      <c r="Z404" s="9">
        <v>439.947</v>
      </c>
      <c r="AA404" s="9">
        <f t="shared" si="67"/>
        <v>1.9255637982195846</v>
      </c>
      <c r="AB404" s="9">
        <f t="shared" si="68"/>
        <v>3.3649851632047478</v>
      </c>
      <c r="AC404" s="9">
        <f t="shared" si="69"/>
        <v>2.6112759643916914</v>
      </c>
      <c r="AD404" s="9">
        <f t="shared" si="70"/>
        <v>7.6765860224205307</v>
      </c>
      <c r="AE404" s="9">
        <f t="shared" si="71"/>
        <v>12.728403681405942</v>
      </c>
      <c r="AF404" s="9">
        <f t="shared" si="72"/>
        <v>4.5869883163485241</v>
      </c>
      <c r="AG404" s="9">
        <f t="shared" si="64"/>
        <v>3.3169450258035265</v>
      </c>
      <c r="AH404" s="9">
        <f t="shared" si="63"/>
        <v>0.97160747090215072</v>
      </c>
      <c r="AI404" s="9">
        <f t="shared" si="65"/>
        <v>4.7181373962216089</v>
      </c>
      <c r="AJ404" s="9">
        <f>(4*PI()*(AI404^2))/(Y404+E404)</f>
        <v>0.93277250184814298</v>
      </c>
      <c r="AK404" s="12">
        <f t="shared" si="66"/>
        <v>0.83209876543209882</v>
      </c>
      <c r="AL404" s="12" t="s">
        <v>144</v>
      </c>
      <c r="AM404" s="12" t="s">
        <v>142</v>
      </c>
      <c r="AN404" s="18">
        <v>0.69250568113122102</v>
      </c>
      <c r="AO404" s="18">
        <v>9.7759457774767897E-2</v>
      </c>
      <c r="AP404" s="18">
        <v>732.82836016178805</v>
      </c>
      <c r="AQ404" s="18">
        <v>703.03373273789703</v>
      </c>
      <c r="AR404" s="18">
        <v>0.65375450707870997</v>
      </c>
      <c r="AS404" s="18">
        <v>3.16900058835256E-2</v>
      </c>
      <c r="AT404" s="18">
        <v>0.66286683915475297</v>
      </c>
      <c r="AU404" s="18">
        <v>3.0411395136852901</v>
      </c>
      <c r="AV404" s="18">
        <v>0.68253944010175605</v>
      </c>
      <c r="AW404" s="18">
        <v>2.3996576242754801E-2</v>
      </c>
      <c r="AX404" s="18">
        <v>5.8885010966673597E-2</v>
      </c>
      <c r="AY404" s="18">
        <v>-90.234500142652095</v>
      </c>
      <c r="AZ404" s="18">
        <v>-396.83049726484501</v>
      </c>
      <c r="BA404" s="18">
        <v>0.58789331600571704</v>
      </c>
      <c r="BB404" s="18">
        <v>6.7229888722926301</v>
      </c>
      <c r="BC404" s="18" t="s">
        <v>162</v>
      </c>
      <c r="BD404" s="35" t="s">
        <v>163</v>
      </c>
      <c r="BE404" t="s">
        <v>167</v>
      </c>
    </row>
    <row r="405" spans="1:57" x14ac:dyDescent="0.25">
      <c r="A405" s="25" t="s">
        <v>475</v>
      </c>
      <c r="B405" s="18" t="s">
        <v>26</v>
      </c>
      <c r="C405" s="18" t="s">
        <v>14</v>
      </c>
      <c r="D405" s="18">
        <v>60</v>
      </c>
      <c r="E405" s="18">
        <v>34.564192887965099</v>
      </c>
      <c r="F405" s="18">
        <v>9.9573</v>
      </c>
      <c r="G405" s="15">
        <v>4.03</v>
      </c>
      <c r="H405" s="15">
        <v>2.2999999999999998</v>
      </c>
      <c r="I405" s="15">
        <v>1.69</v>
      </c>
      <c r="J405" s="15">
        <v>98.1</v>
      </c>
      <c r="K405" s="15">
        <v>17.12</v>
      </c>
      <c r="L405" s="15">
        <v>77.16</v>
      </c>
      <c r="M405" s="15">
        <v>3.2</v>
      </c>
      <c r="N405" s="15">
        <v>2</v>
      </c>
      <c r="O405" s="15">
        <f>0.52+1.96</f>
        <v>2.48</v>
      </c>
      <c r="P405" s="9">
        <v>0.89524899999999996</v>
      </c>
      <c r="Q405" s="9">
        <v>1.4837</v>
      </c>
      <c r="R405" s="9">
        <v>0.30434800000000001</v>
      </c>
      <c r="S405" s="9">
        <v>9.0141799999999994E-2</v>
      </c>
      <c r="T405" s="9">
        <v>0.118116</v>
      </c>
      <c r="U405" s="9">
        <v>3.86892E-2</v>
      </c>
      <c r="V405" s="9">
        <v>3.94279</v>
      </c>
      <c r="W405" s="9">
        <v>2.6574</v>
      </c>
      <c r="X405" s="9">
        <v>2.3790300000000002</v>
      </c>
      <c r="Y405" s="9">
        <v>24.8948</v>
      </c>
      <c r="Z405" s="9">
        <v>13.679399999999999</v>
      </c>
      <c r="AA405" s="9">
        <f t="shared" si="67"/>
        <v>1.5724260355029587</v>
      </c>
      <c r="AB405" s="9">
        <f t="shared" si="68"/>
        <v>2.384615384615385</v>
      </c>
      <c r="AC405" s="9">
        <f t="shared" si="69"/>
        <v>1.36094674556213</v>
      </c>
      <c r="AD405" s="9">
        <f t="shared" si="70"/>
        <v>0.72024826619539306</v>
      </c>
      <c r="AE405" s="9">
        <f t="shared" si="71"/>
        <v>0.39576795686622346</v>
      </c>
      <c r="AF405" s="9">
        <f t="shared" si="72"/>
        <v>4.3524181125640462</v>
      </c>
      <c r="AG405" s="9">
        <f t="shared" si="64"/>
        <v>3.3169450258035265</v>
      </c>
      <c r="AH405" s="9">
        <f t="shared" si="63"/>
        <v>2.0930352857552883</v>
      </c>
      <c r="AI405" s="9">
        <f t="shared" si="65"/>
        <v>1.4836318450157808</v>
      </c>
      <c r="AJ405" s="9">
        <f>(4*PI()*(AI405^2))/(Y405+E405)</f>
        <v>0.46520525107135341</v>
      </c>
      <c r="AK405" s="12">
        <f t="shared" si="66"/>
        <v>0.68145161290322576</v>
      </c>
      <c r="AL405" s="12" t="s">
        <v>140</v>
      </c>
      <c r="AM405" s="12" t="s">
        <v>142</v>
      </c>
      <c r="AN405" s="18">
        <v>2.4245999999999999</v>
      </c>
      <c r="AO405" s="18">
        <v>0.39944000000000002</v>
      </c>
      <c r="AP405" s="18">
        <v>5294.9</v>
      </c>
      <c r="AQ405" s="18">
        <v>4837.3999999999996</v>
      </c>
      <c r="AR405" s="18">
        <v>1.0165</v>
      </c>
      <c r="AS405" s="18">
        <v>1.5727000000000001E-2</v>
      </c>
      <c r="AT405" s="18">
        <v>0.70381000000000005</v>
      </c>
      <c r="AU405" s="18">
        <v>1.6329</v>
      </c>
      <c r="AV405" s="18">
        <v>4.8599999999999997E-2</v>
      </c>
      <c r="AW405" s="18">
        <v>1.1538E-2</v>
      </c>
      <c r="AX405" s="18">
        <v>0.11008</v>
      </c>
      <c r="AY405" s="18">
        <v>-23.771999999999998</v>
      </c>
      <c r="AZ405" s="18">
        <v>-527.83000000000004</v>
      </c>
      <c r="BA405" s="18">
        <v>0.10539999999999999</v>
      </c>
      <c r="BB405" s="18">
        <v>12.382999999999999</v>
      </c>
      <c r="BC405" s="18" t="s">
        <v>162</v>
      </c>
      <c r="BD405" s="35" t="s">
        <v>165</v>
      </c>
      <c r="BE405" t="s">
        <v>167</v>
      </c>
    </row>
    <row r="406" spans="1:57" x14ac:dyDescent="0.25">
      <c r="A406" s="25" t="s">
        <v>476</v>
      </c>
      <c r="B406" s="18" t="s">
        <v>26</v>
      </c>
      <c r="C406" s="18" t="s">
        <v>6</v>
      </c>
      <c r="D406" s="18">
        <v>48</v>
      </c>
      <c r="E406" s="18">
        <v>21.035119897997799</v>
      </c>
      <c r="F406" s="18">
        <v>17.079999999999998</v>
      </c>
      <c r="G406" s="15">
        <v>6.67</v>
      </c>
      <c r="H406" s="15">
        <v>3.83</v>
      </c>
      <c r="I406" s="15">
        <v>2.34</v>
      </c>
      <c r="J406" s="15">
        <v>82.94</v>
      </c>
      <c r="K406" s="15">
        <v>3.91</v>
      </c>
      <c r="L406" s="15">
        <v>83.54</v>
      </c>
      <c r="M406" s="15">
        <v>5.55</v>
      </c>
      <c r="N406" s="15">
        <v>2</v>
      </c>
      <c r="O406" s="15">
        <f>2*2.31</f>
        <v>4.62</v>
      </c>
      <c r="P406" s="9">
        <v>0.57163900000000001</v>
      </c>
      <c r="Q406" s="9">
        <v>1.3413200000000001</v>
      </c>
      <c r="R406" s="9">
        <v>0.209091</v>
      </c>
      <c r="S406" s="9">
        <v>4.90074E-2</v>
      </c>
      <c r="T406" s="9">
        <v>6.0277900000000002E-2</v>
      </c>
      <c r="U406" s="9">
        <v>2.3828200000000001E-2</v>
      </c>
      <c r="V406" s="9">
        <v>6.6561700000000004</v>
      </c>
      <c r="W406" s="9">
        <v>4.9624100000000002</v>
      </c>
      <c r="X406" s="9">
        <v>2.8367</v>
      </c>
      <c r="Y406" s="9">
        <v>50.466500000000003</v>
      </c>
      <c r="Z406" s="9">
        <v>43.430300000000003</v>
      </c>
      <c r="AA406" s="9">
        <f t="shared" si="67"/>
        <v>2.1206880341880345</v>
      </c>
      <c r="AB406" s="9">
        <f t="shared" si="68"/>
        <v>2.8504273504273505</v>
      </c>
      <c r="AC406" s="9">
        <f t="shared" si="69"/>
        <v>1.6367521367521369</v>
      </c>
      <c r="AD406" s="9">
        <f t="shared" si="70"/>
        <v>2.3991543782359708</v>
      </c>
      <c r="AE406" s="9">
        <f t="shared" si="71"/>
        <v>2.064656641397792</v>
      </c>
      <c r="AF406" s="9">
        <f t="shared" si="72"/>
        <v>4.0845225678499943</v>
      </c>
      <c r="AG406" s="9">
        <f t="shared" si="64"/>
        <v>2.587602485041717</v>
      </c>
      <c r="AH406" s="9">
        <f t="shared" si="63"/>
        <v>0.95189613084516989</v>
      </c>
      <c r="AI406" s="9">
        <f t="shared" si="65"/>
        <v>2.1805601615424282</v>
      </c>
      <c r="AJ406" s="9">
        <f>(4*PI()*(AI406^2))/(Y406+E406)</f>
        <v>0.83566099113989845</v>
      </c>
      <c r="AK406" s="12">
        <f t="shared" si="66"/>
        <v>0.50649350649350644</v>
      </c>
      <c r="AL406" s="12" t="s">
        <v>144</v>
      </c>
      <c r="AM406" s="12" t="s">
        <v>142</v>
      </c>
      <c r="AN406" s="18">
        <v>8.4866310527266702</v>
      </c>
      <c r="AO406" s="18">
        <v>0.81181216369182596</v>
      </c>
      <c r="AP406" s="18">
        <v>10146.8815054939</v>
      </c>
      <c r="AQ406" s="18">
        <v>9872.0482732343007</v>
      </c>
      <c r="AR406" s="18">
        <v>4.3058523656676799</v>
      </c>
      <c r="AS406" s="18">
        <v>6.0510634524578999E-3</v>
      </c>
      <c r="AT406" s="18">
        <v>0.78643869125096499</v>
      </c>
      <c r="AU406" s="18">
        <v>0.34871529222938202</v>
      </c>
      <c r="AV406" s="18">
        <v>2.1776860664497098E-2</v>
      </c>
      <c r="AW406" s="18">
        <v>9.9077235842574603E-3</v>
      </c>
      <c r="AX406" s="18">
        <v>0.26765042763559799</v>
      </c>
      <c r="AY406" s="18">
        <v>-20.2051000492078</v>
      </c>
      <c r="AZ406" s="18">
        <v>-3962.70470708845</v>
      </c>
      <c r="BA406" s="18">
        <v>4.4862691612138697E-2</v>
      </c>
      <c r="BB406" s="18">
        <v>22.609745400743499</v>
      </c>
      <c r="BC406" s="18" t="s">
        <v>162</v>
      </c>
      <c r="BD406" s="35" t="s">
        <v>165</v>
      </c>
      <c r="BE406" t="s">
        <v>167</v>
      </c>
    </row>
    <row r="407" spans="1:57" x14ac:dyDescent="0.25">
      <c r="A407" s="25" t="s">
        <v>477</v>
      </c>
      <c r="B407" s="18" t="s">
        <v>26</v>
      </c>
      <c r="C407" s="18" t="s">
        <v>6</v>
      </c>
      <c r="D407" s="18">
        <v>49</v>
      </c>
      <c r="E407" s="18">
        <v>8.0221718723154591</v>
      </c>
      <c r="F407" s="18">
        <v>10.571999999999999</v>
      </c>
      <c r="G407" s="15">
        <v>5</v>
      </c>
      <c r="H407" s="15">
        <v>3.72</v>
      </c>
      <c r="I407" s="15">
        <v>2.42</v>
      </c>
      <c r="J407" s="15">
        <v>59.65</v>
      </c>
      <c r="K407" s="15">
        <v>42.79</v>
      </c>
      <c r="L407" s="15">
        <v>63.5</v>
      </c>
      <c r="M407" s="15">
        <v>4.4000000000000004</v>
      </c>
      <c r="N407" s="15">
        <v>2</v>
      </c>
      <c r="O407" s="15">
        <f>2.14+0.92</f>
        <v>3.06</v>
      </c>
      <c r="P407" s="9">
        <v>1.21363</v>
      </c>
      <c r="Q407" s="9">
        <v>1.4078900000000001</v>
      </c>
      <c r="R407" s="9">
        <v>0.14383599999999999</v>
      </c>
      <c r="S407" s="9">
        <v>0.13425699999999999</v>
      </c>
      <c r="T407" s="9">
        <v>0.14948900000000001</v>
      </c>
      <c r="U407" s="9">
        <v>3.4769000000000001E-2</v>
      </c>
      <c r="V407" s="9">
        <v>4.2958400000000001</v>
      </c>
      <c r="W407" s="9">
        <v>3.0512600000000001</v>
      </c>
      <c r="X407" s="9">
        <v>3.7031100000000001</v>
      </c>
      <c r="Y407" s="9">
        <v>36.625500000000002</v>
      </c>
      <c r="Z407" s="9">
        <v>23.119800000000001</v>
      </c>
      <c r="AA407" s="9">
        <f t="shared" si="67"/>
        <v>1.2608512396694216</v>
      </c>
      <c r="AB407" s="9">
        <f t="shared" si="68"/>
        <v>2.0661157024793391</v>
      </c>
      <c r="AC407" s="9">
        <f t="shared" si="69"/>
        <v>1.5371900826446283</v>
      </c>
      <c r="AD407" s="9">
        <f t="shared" si="70"/>
        <v>4.5655341948474977</v>
      </c>
      <c r="AE407" s="9">
        <f t="shared" si="71"/>
        <v>2.8819876173167649</v>
      </c>
      <c r="AF407" s="9">
        <f t="shared" si="72"/>
        <v>4.5129533784438189</v>
      </c>
      <c r="AG407" s="9">
        <f t="shared" si="64"/>
        <v>1.5979789158882982</v>
      </c>
      <c r="AH407" s="9">
        <f t="shared" si="63"/>
        <v>0.94971600884337115</v>
      </c>
      <c r="AI407" s="9">
        <f t="shared" si="65"/>
        <v>1.7672520245272789</v>
      </c>
      <c r="AJ407" s="9">
        <f>(4*PI()*(AI407^2))/(Y407+E407)</f>
        <v>0.87903875360707473</v>
      </c>
      <c r="AK407" s="12">
        <f t="shared" si="66"/>
        <v>0.79084967320261434</v>
      </c>
      <c r="AL407" s="12" t="s">
        <v>144</v>
      </c>
      <c r="AM407" s="12" t="s">
        <v>142</v>
      </c>
      <c r="AN407" s="18">
        <v>2.3119287771705599</v>
      </c>
      <c r="AO407" s="18">
        <v>0.373843703608502</v>
      </c>
      <c r="AP407" s="18">
        <v>4525.9706895096897</v>
      </c>
      <c r="AQ407" s="18">
        <v>4346.5988510582902</v>
      </c>
      <c r="AR407" s="18">
        <v>1.0004099315577999</v>
      </c>
      <c r="AS407" s="18">
        <v>1.54037647652112E-2</v>
      </c>
      <c r="AT407" s="18">
        <v>0.71422890239206105</v>
      </c>
      <c r="AU407" s="18">
        <v>2.2741013488830299</v>
      </c>
      <c r="AV407" s="18">
        <v>0.155230785842078</v>
      </c>
      <c r="AW407" s="18">
        <v>1.2994303346659601E-2</v>
      </c>
      <c r="AX407" s="18">
        <v>9.9823973182887202E-2</v>
      </c>
      <c r="AY407" s="18">
        <v>-50.238010060110902</v>
      </c>
      <c r="AZ407" s="18">
        <v>-625.05488582304201</v>
      </c>
      <c r="BA407" s="18">
        <v>0.16337341159761901</v>
      </c>
      <c r="BB407" s="18">
        <v>24.989667575707301</v>
      </c>
      <c r="BC407" s="18" t="s">
        <v>162</v>
      </c>
      <c r="BD407" s="35" t="s">
        <v>163</v>
      </c>
      <c r="BE407" t="s">
        <v>167</v>
      </c>
    </row>
    <row r="408" spans="1:57" x14ac:dyDescent="0.25">
      <c r="A408" s="25" t="s">
        <v>478</v>
      </c>
      <c r="B408" s="18" t="s">
        <v>13</v>
      </c>
      <c r="C408" s="18" t="s">
        <v>6</v>
      </c>
      <c r="D408" s="18">
        <v>50</v>
      </c>
      <c r="E408" s="18">
        <v>6.2740362445349502</v>
      </c>
      <c r="F408" s="18">
        <v>9.1935000000000002</v>
      </c>
      <c r="G408" s="15">
        <v>4.75</v>
      </c>
      <c r="H408" s="15">
        <v>4.0999999999999996</v>
      </c>
      <c r="I408" s="15">
        <v>1.63</v>
      </c>
      <c r="J408" s="15">
        <v>42.99</v>
      </c>
      <c r="K408" s="15">
        <v>52.94</v>
      </c>
      <c r="L408" s="15">
        <v>68.83</v>
      </c>
      <c r="M408" s="15">
        <v>3.65</v>
      </c>
      <c r="N408" s="15">
        <v>2</v>
      </c>
      <c r="O408" s="15">
        <f>0.82+1.4</f>
        <v>2.2199999999999998</v>
      </c>
      <c r="P408" s="9">
        <v>1.47306</v>
      </c>
      <c r="Q408" s="9">
        <v>1.2953300000000001</v>
      </c>
      <c r="R408" s="9">
        <v>-2.5000000000000001E-2</v>
      </c>
      <c r="S408" s="9">
        <v>0.15734899999999999</v>
      </c>
      <c r="T408" s="9">
        <v>0.172093</v>
      </c>
      <c r="U408" s="9">
        <v>4.5035899999999997E-2</v>
      </c>
      <c r="V408" s="9">
        <v>3.5624600000000002</v>
      </c>
      <c r="W408" s="9">
        <v>2.7502300000000002</v>
      </c>
      <c r="X408" s="9">
        <v>4.0512699999999997</v>
      </c>
      <c r="Y408" s="9">
        <v>40.040700000000001</v>
      </c>
      <c r="Z408" s="9">
        <v>25.3812</v>
      </c>
      <c r="AA408" s="9">
        <f t="shared" si="67"/>
        <v>1.6872576687116567</v>
      </c>
      <c r="AB408" s="9">
        <f t="shared" si="68"/>
        <v>2.9141104294478528</v>
      </c>
      <c r="AC408" s="9">
        <f t="shared" si="69"/>
        <v>2.5153374233128836</v>
      </c>
      <c r="AD408" s="9">
        <f t="shared" si="70"/>
        <v>6.3819682321532287</v>
      </c>
      <c r="AE408" s="9">
        <f t="shared" si="71"/>
        <v>4.0454340731787291</v>
      </c>
      <c r="AF408" s="9">
        <f t="shared" si="72"/>
        <v>4.6361793378840783</v>
      </c>
      <c r="AG408" s="9">
        <f t="shared" si="64"/>
        <v>1.413183555986588</v>
      </c>
      <c r="AH408" s="9">
        <f t="shared" si="63"/>
        <v>0.96582304403358132</v>
      </c>
      <c r="AI408" s="9">
        <f t="shared" si="65"/>
        <v>1.8230889020397598</v>
      </c>
      <c r="AJ408" s="9">
        <f>(4*PI()*(AI408^2))/(Y408+E408)</f>
        <v>0.90179196940408524</v>
      </c>
      <c r="AK408" s="12">
        <f t="shared" si="66"/>
        <v>0.73423423423423428</v>
      </c>
      <c r="AL408" s="12" t="s">
        <v>144</v>
      </c>
      <c r="AM408" s="12" t="s">
        <v>142</v>
      </c>
      <c r="AN408" s="18">
        <v>4.7887584342566498</v>
      </c>
      <c r="AO408" s="18">
        <v>0.53990778563029695</v>
      </c>
      <c r="AP408" s="18">
        <v>12845.8369912579</v>
      </c>
      <c r="AQ408" s="18">
        <v>12549.495023698</v>
      </c>
      <c r="AR408" s="18">
        <v>2.3287271247105301</v>
      </c>
      <c r="AS408" s="18">
        <v>1.2592810992746501E-2</v>
      </c>
      <c r="AT408" s="18">
        <v>0.73146295546005902</v>
      </c>
      <c r="AU408" s="18">
        <v>0.70451650076441297</v>
      </c>
      <c r="AV408" s="18">
        <v>1.7993368470898798E-2</v>
      </c>
      <c r="AW408" s="18">
        <v>7.4082788729681196E-3</v>
      </c>
      <c r="AX408" s="18">
        <v>0.179880918119978</v>
      </c>
      <c r="AY408" s="18">
        <v>-5.25029750134241</v>
      </c>
      <c r="AZ408" s="18">
        <v>-162.49854340422601</v>
      </c>
      <c r="BA408" s="18">
        <v>0.378562334769322</v>
      </c>
      <c r="BB408" s="18">
        <v>41.982854404397202</v>
      </c>
      <c r="BC408" s="18" t="s">
        <v>162</v>
      </c>
      <c r="BD408" s="35" t="s">
        <v>163</v>
      </c>
      <c r="BE408" t="s">
        <v>167</v>
      </c>
    </row>
    <row r="409" spans="1:57" x14ac:dyDescent="0.25">
      <c r="A409" s="25" t="s">
        <v>479</v>
      </c>
      <c r="B409" s="18" t="s">
        <v>26</v>
      </c>
      <c r="C409" s="18" t="s">
        <v>6</v>
      </c>
      <c r="D409" s="18">
        <v>50</v>
      </c>
      <c r="E409" s="18">
        <v>19.250193579023101</v>
      </c>
      <c r="F409" s="18">
        <v>15.709</v>
      </c>
      <c r="G409" s="15">
        <v>7.4</v>
      </c>
      <c r="H409" s="15">
        <v>4.22</v>
      </c>
      <c r="I409" s="15">
        <v>2.69</v>
      </c>
      <c r="J409" s="15">
        <v>80.819999999999993</v>
      </c>
      <c r="K409" s="15">
        <v>22.06</v>
      </c>
      <c r="L409" s="15">
        <v>44.29</v>
      </c>
      <c r="M409" s="15">
        <v>7.1</v>
      </c>
      <c r="N409" s="15">
        <v>2</v>
      </c>
      <c r="O409" s="15">
        <f>2.2+1.95</f>
        <v>4.1500000000000004</v>
      </c>
      <c r="P409" s="9">
        <v>0.86187400000000003</v>
      </c>
      <c r="Q409" s="9">
        <v>1.30806</v>
      </c>
      <c r="R409" s="9">
        <v>4.2168700000000003E-2</v>
      </c>
      <c r="S409" s="9">
        <v>9.5464400000000005E-2</v>
      </c>
      <c r="T409" s="9">
        <v>0.119825</v>
      </c>
      <c r="U409" s="9">
        <v>5.5499800000000002E-2</v>
      </c>
      <c r="V409" s="9">
        <v>6.39499</v>
      </c>
      <c r="W409" s="9">
        <v>4.8889199999999997</v>
      </c>
      <c r="X409" s="9">
        <v>4.2136300000000002</v>
      </c>
      <c r="Y409" s="9">
        <v>72.640500000000003</v>
      </c>
      <c r="Z409" s="9">
        <v>67.9846</v>
      </c>
      <c r="AA409" s="9">
        <f t="shared" si="67"/>
        <v>1.8174423791821561</v>
      </c>
      <c r="AB409" s="9">
        <f t="shared" si="68"/>
        <v>2.7509293680297398</v>
      </c>
      <c r="AC409" s="9">
        <f t="shared" si="69"/>
        <v>1.5687732342007434</v>
      </c>
      <c r="AD409" s="9">
        <f t="shared" si="70"/>
        <v>3.7734945210710098</v>
      </c>
      <c r="AE409" s="9">
        <f t="shared" si="71"/>
        <v>3.5316320181882581</v>
      </c>
      <c r="AF409" s="9">
        <f t="shared" si="72"/>
        <v>4.3608564791287172</v>
      </c>
      <c r="AG409" s="9">
        <f t="shared" si="64"/>
        <v>2.4753841978882352</v>
      </c>
      <c r="AH409" s="9">
        <f t="shared" si="63"/>
        <v>0.99008833291717391</v>
      </c>
      <c r="AI409" s="9">
        <f t="shared" si="65"/>
        <v>2.5318655862647943</v>
      </c>
      <c r="AJ409" s="9">
        <f>(4*PI()*(AI409^2))/(Y409+E409)</f>
        <v>0.87663665519417211</v>
      </c>
      <c r="AK409" s="12">
        <f t="shared" si="66"/>
        <v>0.64819277108433726</v>
      </c>
      <c r="AL409" s="12" t="s">
        <v>140</v>
      </c>
      <c r="AM409" s="12" t="s">
        <v>142</v>
      </c>
      <c r="AN409" s="18">
        <v>5.9370194533812501</v>
      </c>
      <c r="AO409" s="18">
        <v>0.42847654637694499</v>
      </c>
      <c r="AP409" s="18">
        <v>6088.4264917209803</v>
      </c>
      <c r="AQ409" s="18">
        <v>6280.9253978875804</v>
      </c>
      <c r="AR409" s="18">
        <v>3.19857509729305</v>
      </c>
      <c r="AS409" s="18">
        <v>3.06315025586034E-3</v>
      </c>
      <c r="AT409" s="18">
        <v>0.74752770837273497</v>
      </c>
      <c r="AU409" s="18">
        <v>0.39114292997153</v>
      </c>
      <c r="AV409" s="18">
        <v>1.1004006508867899E-2</v>
      </c>
      <c r="AW409" s="18">
        <v>2.9867763664498501E-3</v>
      </c>
      <c r="AX409" s="18">
        <v>0.25661227474048398</v>
      </c>
      <c r="AY409" s="18">
        <v>-16.261589598466699</v>
      </c>
      <c r="AZ409" s="18">
        <v>-2995.6789236856798</v>
      </c>
      <c r="BA409" s="18">
        <v>6.1738599623165899E-2</v>
      </c>
      <c r="BB409" s="18">
        <v>11.345445654955199</v>
      </c>
      <c r="BC409" s="18" t="s">
        <v>162</v>
      </c>
      <c r="BD409" s="35" t="s">
        <v>165</v>
      </c>
      <c r="BE409" t="s">
        <v>167</v>
      </c>
    </row>
    <row r="410" spans="1:57" x14ac:dyDescent="0.25">
      <c r="A410" s="25" t="s">
        <v>480</v>
      </c>
      <c r="B410" s="18" t="s">
        <v>5</v>
      </c>
      <c r="C410" s="18" t="s">
        <v>6</v>
      </c>
      <c r="D410" s="18">
        <v>62</v>
      </c>
      <c r="E410" s="18">
        <v>32.389000000000003</v>
      </c>
      <c r="F410" s="18">
        <v>20.885999999999999</v>
      </c>
      <c r="G410" s="15">
        <v>12.35</v>
      </c>
      <c r="H410" s="15">
        <v>9.9</v>
      </c>
      <c r="I410" s="15">
        <v>3.59</v>
      </c>
      <c r="J410" s="15">
        <v>30.89</v>
      </c>
      <c r="K410" s="15">
        <v>40.76</v>
      </c>
      <c r="L410" s="15">
        <v>30.26</v>
      </c>
      <c r="M410" s="15">
        <v>11.5</v>
      </c>
      <c r="N410" s="15">
        <v>1</v>
      </c>
      <c r="O410" s="15">
        <v>3.53</v>
      </c>
      <c r="P410" s="9">
        <v>1.61971</v>
      </c>
      <c r="Q410" s="9">
        <v>1.9603299999999999</v>
      </c>
      <c r="R410" s="9">
        <v>8.16326E-2</v>
      </c>
      <c r="S410" s="9">
        <v>0.161777</v>
      </c>
      <c r="T410" s="9">
        <v>0.17005700000000001</v>
      </c>
      <c r="U410" s="9">
        <v>1.5387899999999999E-2</v>
      </c>
      <c r="V410" s="9">
        <v>11.981400000000001</v>
      </c>
      <c r="W410" s="9">
        <v>6.11191</v>
      </c>
      <c r="X410" s="9">
        <v>9.89954</v>
      </c>
      <c r="Y410" s="9">
        <v>308.51600000000002</v>
      </c>
      <c r="Z410" s="9">
        <v>544.85199999999998</v>
      </c>
      <c r="AA410" s="9">
        <f t="shared" si="67"/>
        <v>1.7024818941504178</v>
      </c>
      <c r="AB410" s="9">
        <f t="shared" si="68"/>
        <v>3.4401114206128134</v>
      </c>
      <c r="AC410" s="9">
        <f t="shared" si="69"/>
        <v>2.7576601671309193</v>
      </c>
      <c r="AD410" s="9">
        <f t="shared" si="70"/>
        <v>9.5253326746734999</v>
      </c>
      <c r="AE410" s="9">
        <f t="shared" si="71"/>
        <v>16.822130970391179</v>
      </c>
      <c r="AF410" s="9">
        <f t="shared" si="72"/>
        <v>4.6247897343628255</v>
      </c>
      <c r="AG410" s="9">
        <f t="shared" si="64"/>
        <v>3.2108782137612755</v>
      </c>
      <c r="AH410" s="9">
        <f t="shared" si="63"/>
        <v>0.96593616852666297</v>
      </c>
      <c r="AI410" s="9">
        <f t="shared" si="65"/>
        <v>5.0667558784436943</v>
      </c>
      <c r="AJ410" s="9">
        <f>(4*PI()*(AI410^2))/(Y410+E410)</f>
        <v>0.94631658838365063</v>
      </c>
      <c r="AK410" s="12">
        <f t="shared" si="66"/>
        <v>1.0169971671388103</v>
      </c>
      <c r="AL410" s="12" t="s">
        <v>144</v>
      </c>
      <c r="AM410" s="12" t="s">
        <v>143</v>
      </c>
      <c r="AN410" s="18">
        <v>1.409</v>
      </c>
      <c r="AO410" s="18">
        <v>0.20705000000000001</v>
      </c>
      <c r="AP410" s="18">
        <v>1659.4</v>
      </c>
      <c r="AQ410" s="18">
        <v>1430</v>
      </c>
      <c r="AR410" s="18">
        <v>1.3674999999999999</v>
      </c>
      <c r="AS410" s="18">
        <v>1.6566999999999998E-2</v>
      </c>
      <c r="AT410" s="18">
        <v>0.66224000000000005</v>
      </c>
      <c r="AU410" s="18">
        <v>1.1695</v>
      </c>
      <c r="AV410" s="18">
        <v>0.23083999999999999</v>
      </c>
      <c r="AW410" s="18">
        <v>1.7582E-2</v>
      </c>
      <c r="AX410" s="18">
        <v>0.10872</v>
      </c>
      <c r="AY410" s="18">
        <v>-2.6092</v>
      </c>
      <c r="AZ410" s="18">
        <v>-185.49</v>
      </c>
      <c r="BA410" s="18">
        <v>0.25325999999999999</v>
      </c>
      <c r="BB410" s="18">
        <v>3.9527999999999999</v>
      </c>
      <c r="BC410" s="18" t="s">
        <v>162</v>
      </c>
      <c r="BD410" s="35" t="s">
        <v>165</v>
      </c>
      <c r="BE410" t="s">
        <v>167</v>
      </c>
    </row>
    <row r="411" spans="1:57" x14ac:dyDescent="0.25">
      <c r="A411" s="25" t="s">
        <v>481</v>
      </c>
      <c r="B411" s="18" t="s">
        <v>5</v>
      </c>
      <c r="C411" s="18" t="s">
        <v>14</v>
      </c>
      <c r="D411" s="18">
        <v>65</v>
      </c>
      <c r="E411" s="18">
        <v>12.739653896473</v>
      </c>
      <c r="F411" s="18">
        <v>12.848000000000001</v>
      </c>
      <c r="G411" s="15">
        <v>8.02</v>
      </c>
      <c r="H411" s="15">
        <v>6.15</v>
      </c>
      <c r="I411" s="15">
        <v>3.84</v>
      </c>
      <c r="J411" s="15">
        <v>104.27</v>
      </c>
      <c r="K411" s="15">
        <v>38.01</v>
      </c>
      <c r="L411" s="15">
        <v>38.049999999999997</v>
      </c>
      <c r="M411" s="15">
        <v>6.6</v>
      </c>
      <c r="N411" s="15">
        <v>2</v>
      </c>
      <c r="O411" s="15">
        <f>2.55+3.25</f>
        <v>5.8</v>
      </c>
      <c r="P411" s="9">
        <v>1.5401899999999999</v>
      </c>
      <c r="Q411" s="9">
        <v>1.65126</v>
      </c>
      <c r="R411" s="9">
        <v>-8.3333299999999999E-2</v>
      </c>
      <c r="S411" s="9">
        <v>0.16245299999999999</v>
      </c>
      <c r="T411" s="9">
        <v>0.17030100000000001</v>
      </c>
      <c r="U411" s="9">
        <v>2.4039899999999999E-2</v>
      </c>
      <c r="V411" s="9">
        <v>6.5364000000000004</v>
      </c>
      <c r="W411" s="9">
        <v>3.95844</v>
      </c>
      <c r="X411" s="9">
        <v>6.09673</v>
      </c>
      <c r="Y411" s="9">
        <v>109.958</v>
      </c>
      <c r="Z411" s="9">
        <v>115.881</v>
      </c>
      <c r="AA411" s="9">
        <f t="shared" si="67"/>
        <v>1.0308437500000001</v>
      </c>
      <c r="AB411" s="9">
        <f t="shared" si="68"/>
        <v>2.0885416666666665</v>
      </c>
      <c r="AC411" s="9">
        <f t="shared" si="69"/>
        <v>1.6015625000000002</v>
      </c>
      <c r="AD411" s="9">
        <f t="shared" si="70"/>
        <v>8.6311606966373002</v>
      </c>
      <c r="AE411" s="9">
        <f t="shared" si="71"/>
        <v>9.0960869849126667</v>
      </c>
      <c r="AF411" s="9">
        <f t="shared" si="72"/>
        <v>4.6261389790151695</v>
      </c>
      <c r="AG411" s="9">
        <f t="shared" si="64"/>
        <v>2.0137422332084127</v>
      </c>
      <c r="AH411" s="9">
        <f t="shared" si="63"/>
        <v>0.98480040567731209</v>
      </c>
      <c r="AI411" s="9">
        <f t="shared" si="65"/>
        <v>3.0244137812883096</v>
      </c>
      <c r="AJ411" s="9">
        <f>(4*PI()*(AI411^2))/(Y411+E411)</f>
        <v>0.93681971569592537</v>
      </c>
      <c r="AK411" s="12">
        <f t="shared" si="66"/>
        <v>0.66206896551724137</v>
      </c>
      <c r="AL411" s="12" t="s">
        <v>144</v>
      </c>
      <c r="AM411" s="12" t="s">
        <v>142</v>
      </c>
      <c r="AN411" s="18">
        <v>1.8870285257125099</v>
      </c>
      <c r="AO411" s="18">
        <v>0.229592925561629</v>
      </c>
      <c r="AP411" s="18">
        <v>2279.74902019809</v>
      </c>
      <c r="AQ411" s="18">
        <v>1968.81738065175</v>
      </c>
      <c r="AR411" s="18">
        <v>1.2843603707142</v>
      </c>
      <c r="AS411" s="18">
        <v>2.1436424444126499E-2</v>
      </c>
      <c r="AT411" s="18">
        <v>0.64148664251621901</v>
      </c>
      <c r="AU411" s="18">
        <v>1.3726696608100499</v>
      </c>
      <c r="AV411" s="18">
        <v>0.25937127875499</v>
      </c>
      <c r="AW411" s="18">
        <v>1.7055294571396901E-2</v>
      </c>
      <c r="AX411" s="18">
        <v>0.116458528517609</v>
      </c>
      <c r="AY411" s="18">
        <v>-5.0480036835158799</v>
      </c>
      <c r="AZ411" s="18">
        <v>-359.278982512521</v>
      </c>
      <c r="BA411" s="18">
        <v>0.17735938289969599</v>
      </c>
      <c r="BB411" s="18">
        <v>6.4782942848998504</v>
      </c>
      <c r="BC411" s="18" t="s">
        <v>162</v>
      </c>
      <c r="BD411" s="35" t="s">
        <v>165</v>
      </c>
      <c r="BE411" t="s">
        <v>168</v>
      </c>
    </row>
    <row r="412" spans="1:57" x14ac:dyDescent="0.25">
      <c r="A412" s="25" t="s">
        <v>482</v>
      </c>
      <c r="B412" s="18" t="s">
        <v>13</v>
      </c>
      <c r="C412" s="18" t="s">
        <v>6</v>
      </c>
      <c r="D412" s="18">
        <v>43</v>
      </c>
      <c r="E412" s="18">
        <v>11.4403032792363</v>
      </c>
      <c r="F412" s="18">
        <v>12.426</v>
      </c>
      <c r="G412" s="15">
        <v>4.54</v>
      </c>
      <c r="H412" s="15">
        <v>3.23</v>
      </c>
      <c r="I412" s="15">
        <v>2.29</v>
      </c>
      <c r="J412" s="15">
        <v>49.62</v>
      </c>
      <c r="K412" s="15">
        <v>37.630000000000003</v>
      </c>
      <c r="L412" s="15">
        <v>88.87</v>
      </c>
      <c r="M412" s="15">
        <v>4.68</v>
      </c>
      <c r="N412" s="15">
        <v>2</v>
      </c>
      <c r="O412" s="15">
        <f>1.38+2.03</f>
        <v>3.4099999999999997</v>
      </c>
      <c r="P412" s="9">
        <v>0.86888100000000001</v>
      </c>
      <c r="Q412" s="9">
        <v>1.18405</v>
      </c>
      <c r="R412" s="9">
        <v>8.7301599999999993E-2</v>
      </c>
      <c r="S412" s="9">
        <v>6.9259399999999999E-2</v>
      </c>
      <c r="T412" s="9">
        <v>8.2039899999999999E-2</v>
      </c>
      <c r="U412" s="9">
        <v>2.44459E-2</v>
      </c>
      <c r="V412" s="9">
        <v>4.4107200000000004</v>
      </c>
      <c r="W412" s="9">
        <v>3.7250999999999999</v>
      </c>
      <c r="X412" s="9">
        <v>3.2366700000000002</v>
      </c>
      <c r="Y412" s="9">
        <v>42.234299999999998</v>
      </c>
      <c r="Z412" s="9">
        <v>32.101300000000002</v>
      </c>
      <c r="AA412" s="9">
        <f t="shared" si="67"/>
        <v>1.6266812227074234</v>
      </c>
      <c r="AB412" s="9">
        <f t="shared" si="68"/>
        <v>1.982532751091703</v>
      </c>
      <c r="AC412" s="9">
        <f t="shared" si="69"/>
        <v>1.4104803493449782</v>
      </c>
      <c r="AD412" s="9">
        <f t="shared" si="70"/>
        <v>3.6917115717249898</v>
      </c>
      <c r="AE412" s="9">
        <f t="shared" si="71"/>
        <v>2.8059833045040508</v>
      </c>
      <c r="AF412" s="9">
        <f t="shared" si="72"/>
        <v>4.1813535166713427</v>
      </c>
      <c r="AG412" s="9">
        <f t="shared" si="64"/>
        <v>1.9082876184479514</v>
      </c>
      <c r="AH412" s="9">
        <f t="shared" si="63"/>
        <v>0.96492231821220753</v>
      </c>
      <c r="AI412" s="9">
        <f t="shared" si="65"/>
        <v>1.9715660768830017</v>
      </c>
      <c r="AJ412" s="9">
        <f>(4*PI()*(AI412^2))/(Y412+E412)</f>
        <v>0.91004673289017168</v>
      </c>
      <c r="AK412" s="12">
        <f t="shared" si="66"/>
        <v>0.67155425219941356</v>
      </c>
      <c r="AL412" s="12" t="s">
        <v>144</v>
      </c>
      <c r="AM412" s="12" t="s">
        <v>142</v>
      </c>
      <c r="AN412" s="18">
        <v>7.21961665506982</v>
      </c>
      <c r="AO412" s="18">
        <v>0.71362731324599105</v>
      </c>
      <c r="AP412" s="18">
        <v>11074.508958070401</v>
      </c>
      <c r="AQ412" s="18">
        <v>10938.695391846601</v>
      </c>
      <c r="AR412" s="18">
        <v>3.7944499537119301</v>
      </c>
      <c r="AS412" s="18">
        <v>5.4975937765488697E-3</v>
      </c>
      <c r="AT412" s="18">
        <v>0.74994660298637705</v>
      </c>
      <c r="AU412" s="18">
        <v>0.40832847492723601</v>
      </c>
      <c r="AV412" s="18">
        <v>9.0196235480509996E-3</v>
      </c>
      <c r="AW412" s="18">
        <v>8.5928485906223307E-3</v>
      </c>
      <c r="AX412" s="18">
        <v>0.22122263996822999</v>
      </c>
      <c r="AY412" s="18">
        <v>-18.082435703210901</v>
      </c>
      <c r="AZ412" s="18">
        <v>-2064.1517038362899</v>
      </c>
      <c r="BA412" s="18">
        <v>6.8835690686418705E-2</v>
      </c>
      <c r="BB412" s="18">
        <v>43.221076089038199</v>
      </c>
      <c r="BC412" s="18" t="s">
        <v>162</v>
      </c>
      <c r="BD412" s="35" t="s">
        <v>165</v>
      </c>
      <c r="BE412" t="s">
        <v>167</v>
      </c>
    </row>
    <row r="413" spans="1:57" x14ac:dyDescent="0.25">
      <c r="A413" s="25" t="s">
        <v>483</v>
      </c>
      <c r="B413" s="18" t="s">
        <v>13</v>
      </c>
      <c r="C413" s="18" t="s">
        <v>6</v>
      </c>
      <c r="D413" s="18">
        <v>68</v>
      </c>
      <c r="E413" s="18">
        <v>5.1490036598577502</v>
      </c>
      <c r="F413" s="18">
        <v>8.3252000000000006</v>
      </c>
      <c r="G413" s="15">
        <v>3.69</v>
      </c>
      <c r="H413" s="15">
        <v>2.2999999999999998</v>
      </c>
      <c r="I413" s="15">
        <v>1.44</v>
      </c>
      <c r="J413" s="15">
        <v>43.65</v>
      </c>
      <c r="K413" s="15">
        <v>32.68</v>
      </c>
      <c r="L413" s="15">
        <v>65.92</v>
      </c>
      <c r="M413" s="15">
        <v>3.25</v>
      </c>
      <c r="N413" s="15">
        <v>2</v>
      </c>
      <c r="O413" s="15">
        <f>0.61+1.5</f>
        <v>2.11</v>
      </c>
      <c r="P413" s="9">
        <v>0.93132800000000004</v>
      </c>
      <c r="Q413" s="9">
        <v>1.2061299999999999</v>
      </c>
      <c r="R413" s="9">
        <v>0.47777799999999998</v>
      </c>
      <c r="S413" s="9">
        <v>8.3416100000000007E-2</v>
      </c>
      <c r="T413" s="9">
        <v>9.7273100000000001E-2</v>
      </c>
      <c r="U413" s="9">
        <v>2.469E-2</v>
      </c>
      <c r="V413" s="9">
        <v>2.99444</v>
      </c>
      <c r="W413" s="9">
        <v>2.4826899999999998</v>
      </c>
      <c r="X413" s="9">
        <v>2.3121999999999998</v>
      </c>
      <c r="Y413" s="9">
        <v>17.984500000000001</v>
      </c>
      <c r="Z413" s="9">
        <v>8.6990400000000001</v>
      </c>
      <c r="AA413" s="9">
        <f t="shared" si="67"/>
        <v>1.7240902777777778</v>
      </c>
      <c r="AB413" s="9">
        <f t="shared" si="68"/>
        <v>2.5625</v>
      </c>
      <c r="AC413" s="9">
        <f t="shared" si="69"/>
        <v>1.5972222222222221</v>
      </c>
      <c r="AD413" s="9">
        <f t="shared" si="70"/>
        <v>3.4928116560120785</v>
      </c>
      <c r="AE413" s="9">
        <f t="shared" si="71"/>
        <v>1.689460830610543</v>
      </c>
      <c r="AF413" s="9">
        <f t="shared" si="72"/>
        <v>4.2519108457350985</v>
      </c>
      <c r="AG413" s="9">
        <f t="shared" si="64"/>
        <v>1.2802260616505361</v>
      </c>
      <c r="AH413" s="9">
        <f t="shared" si="63"/>
        <v>0.96621073132549795</v>
      </c>
      <c r="AI413" s="9">
        <f t="shared" si="65"/>
        <v>1.2758341995387912</v>
      </c>
      <c r="AJ413" s="9">
        <f>(4*PI()*(AI413^2))/(Y413+E413)</f>
        <v>0.88421306906116726</v>
      </c>
      <c r="AK413" s="12">
        <f t="shared" si="66"/>
        <v>0.68246445497630337</v>
      </c>
      <c r="AL413" s="12" t="s">
        <v>144</v>
      </c>
      <c r="AM413" s="12" t="s">
        <v>142</v>
      </c>
      <c r="AN413" s="18">
        <v>1.4010082609839201</v>
      </c>
      <c r="AO413" s="18">
        <v>0.266281049847023</v>
      </c>
      <c r="AP413" s="18">
        <v>3368.6805112741199</v>
      </c>
      <c r="AQ413" s="18">
        <v>3141.0550901290298</v>
      </c>
      <c r="AR413" s="18">
        <v>0.62769718789797702</v>
      </c>
      <c r="AS413" s="18">
        <v>1.32213191356784E-2</v>
      </c>
      <c r="AT413" s="18">
        <v>0.70997354441858496</v>
      </c>
      <c r="AU413" s="18">
        <v>2.9894666139408699</v>
      </c>
      <c r="AV413" s="18">
        <v>0.199626994165925</v>
      </c>
      <c r="AW413" s="18">
        <v>1.03501532799026E-2</v>
      </c>
      <c r="AX413" s="18">
        <v>6.0282930089229102E-2</v>
      </c>
      <c r="AY413" s="18">
        <v>-68.625583057041993</v>
      </c>
      <c r="AZ413" s="18">
        <v>-468.88338040830001</v>
      </c>
      <c r="BA413" s="18">
        <v>0.12952633709511299</v>
      </c>
      <c r="BB413" s="18">
        <v>63.334061365575202</v>
      </c>
      <c r="BC413" s="18" t="s">
        <v>162</v>
      </c>
      <c r="BD413" s="35" t="s">
        <v>165</v>
      </c>
      <c r="BE413" t="s">
        <v>167</v>
      </c>
    </row>
    <row r="414" spans="1:57" x14ac:dyDescent="0.25">
      <c r="A414" s="25" t="s">
        <v>484</v>
      </c>
      <c r="B414" s="18" t="s">
        <v>13</v>
      </c>
      <c r="C414" s="18" t="s">
        <v>6</v>
      </c>
      <c r="D414" s="18">
        <v>68</v>
      </c>
      <c r="E414" s="18">
        <v>11.638999999999999</v>
      </c>
      <c r="F414" s="18">
        <v>12.409000000000001</v>
      </c>
      <c r="G414" s="15">
        <v>5.1100000000000003</v>
      </c>
      <c r="H414" s="15">
        <v>3.9</v>
      </c>
      <c r="I414" s="15">
        <v>1.84</v>
      </c>
      <c r="J414" s="15">
        <v>19.73</v>
      </c>
      <c r="K414" s="15">
        <v>41.23</v>
      </c>
      <c r="L414" s="15">
        <v>57.25</v>
      </c>
      <c r="M414" s="15">
        <v>4.62</v>
      </c>
      <c r="N414" s="15">
        <v>2</v>
      </c>
      <c r="O414" s="15">
        <f>2.2+0.92</f>
        <v>3.12</v>
      </c>
      <c r="P414" s="9">
        <v>1.0466599999999999</v>
      </c>
      <c r="Q414" s="9">
        <v>1.26963</v>
      </c>
      <c r="R414" s="9">
        <v>0.16666700000000001</v>
      </c>
      <c r="S414" s="9">
        <v>9.4644599999999995E-2</v>
      </c>
      <c r="T414" s="9">
        <v>0.10205400000000001</v>
      </c>
      <c r="U414" s="9">
        <v>1.08139E-2</v>
      </c>
      <c r="V414" s="9">
        <v>4.7918399999999997</v>
      </c>
      <c r="W414" s="9">
        <v>3.7741899999999999</v>
      </c>
      <c r="X414" s="9">
        <v>3.9502899999999999</v>
      </c>
      <c r="Y414" s="9">
        <v>52.345399999999998</v>
      </c>
      <c r="Z414" s="9">
        <v>42.853099999999998</v>
      </c>
      <c r="AA414" s="9">
        <f t="shared" si="67"/>
        <v>2.0511902173913041</v>
      </c>
      <c r="AB414" s="9">
        <f t="shared" si="68"/>
        <v>2.7771739130434785</v>
      </c>
      <c r="AC414" s="9">
        <f t="shared" si="69"/>
        <v>2.1195652173913042</v>
      </c>
      <c r="AD414" s="9">
        <f t="shared" si="70"/>
        <v>4.4974138671707191</v>
      </c>
      <c r="AE414" s="9">
        <f t="shared" si="71"/>
        <v>3.6818541111779362</v>
      </c>
      <c r="AF414" s="9">
        <f t="shared" si="72"/>
        <v>4.2745495915602802</v>
      </c>
      <c r="AG414" s="9">
        <f t="shared" si="64"/>
        <v>1.924787979309186</v>
      </c>
      <c r="AH414" s="9">
        <f t="shared" si="63"/>
        <v>0.9745990451310631</v>
      </c>
      <c r="AI414" s="9">
        <f t="shared" si="65"/>
        <v>2.17085697693601</v>
      </c>
      <c r="AJ414" s="9">
        <f>(4*PI()*(AI414^2))/(Y414+E414)</f>
        <v>0.92554637793724892</v>
      </c>
      <c r="AK414" s="12">
        <f t="shared" si="66"/>
        <v>0.58974358974358976</v>
      </c>
      <c r="AL414" s="12" t="s">
        <v>144</v>
      </c>
      <c r="AM414" s="12" t="s">
        <v>142</v>
      </c>
      <c r="AN414" s="18">
        <v>3.5874999999999999</v>
      </c>
      <c r="AO414" s="18">
        <v>0.54293000000000002</v>
      </c>
      <c r="AP414" s="18">
        <v>4453</v>
      </c>
      <c r="AQ414" s="18">
        <v>4341.3999999999996</v>
      </c>
      <c r="AR414" s="18">
        <v>1.8194999999999999</v>
      </c>
      <c r="AS414" s="18">
        <v>7.247E-3</v>
      </c>
      <c r="AT414" s="18">
        <v>0.71808000000000005</v>
      </c>
      <c r="AU414" s="18">
        <v>0.72929999999999995</v>
      </c>
      <c r="AV414" s="18">
        <v>4.8754000000000002E-3</v>
      </c>
      <c r="AW414" s="18">
        <v>6.3804999999999999E-3</v>
      </c>
      <c r="AX414" s="18">
        <v>0.15808</v>
      </c>
      <c r="AY414" s="18">
        <v>-6.5103999999999997</v>
      </c>
      <c r="AZ414" s="18">
        <v>-420.44</v>
      </c>
      <c r="BA414" s="18">
        <v>0.10340000000000001</v>
      </c>
      <c r="BB414" s="18">
        <v>9.7872000000000003</v>
      </c>
      <c r="BC414" s="18" t="s">
        <v>162</v>
      </c>
      <c r="BD414" s="35" t="s">
        <v>163</v>
      </c>
      <c r="BE414" t="s">
        <v>167</v>
      </c>
    </row>
    <row r="415" spans="1:57" x14ac:dyDescent="0.25">
      <c r="A415" s="25" t="s">
        <v>485</v>
      </c>
      <c r="B415" s="16" t="s">
        <v>26</v>
      </c>
      <c r="C415" s="16" t="s">
        <v>6</v>
      </c>
      <c r="D415" s="16">
        <v>68</v>
      </c>
      <c r="E415" s="16">
        <v>5.0686999999999998</v>
      </c>
      <c r="F415" s="16">
        <v>8.4171999999999993</v>
      </c>
      <c r="G415" s="15">
        <v>2.8</v>
      </c>
      <c r="H415" s="15">
        <v>1.51</v>
      </c>
      <c r="I415" s="15">
        <v>3.25</v>
      </c>
      <c r="J415" s="15">
        <v>75.290000000000006</v>
      </c>
      <c r="K415" s="15">
        <v>0</v>
      </c>
      <c r="L415" s="15">
        <v>21.3</v>
      </c>
      <c r="M415" s="15">
        <v>2.75</v>
      </c>
      <c r="N415" s="15">
        <v>1</v>
      </c>
      <c r="O415" s="15">
        <v>3.21</v>
      </c>
      <c r="P415" s="9">
        <v>0.62254699999999996</v>
      </c>
      <c r="Q415" s="9">
        <v>1.1274900000000001</v>
      </c>
      <c r="R415" s="9">
        <v>0.46551700000000001</v>
      </c>
      <c r="S415" s="9">
        <v>4.3799100000000001E-2</v>
      </c>
      <c r="T415" s="9">
        <v>7.1643899999999996E-2</v>
      </c>
      <c r="U415" s="9">
        <v>5.33929E-2</v>
      </c>
      <c r="V415" s="9">
        <v>2.76675</v>
      </c>
      <c r="W415" s="9">
        <v>2.4539</v>
      </c>
      <c r="X415" s="9">
        <v>1.5276700000000001</v>
      </c>
      <c r="Y415" s="9">
        <v>10.5238</v>
      </c>
      <c r="Z415" s="9">
        <v>4.06088</v>
      </c>
      <c r="AA415" s="9">
        <f t="shared" si="67"/>
        <v>0.75504615384615381</v>
      </c>
      <c r="AB415" s="9">
        <f t="shared" si="68"/>
        <v>0.86153846153846148</v>
      </c>
      <c r="AC415" s="9">
        <f t="shared" si="69"/>
        <v>0.4646153846153846</v>
      </c>
      <c r="AD415" s="9">
        <f t="shared" si="70"/>
        <v>2.0762325645629058</v>
      </c>
      <c r="AE415" s="9">
        <f t="shared" si="71"/>
        <v>0.80116795233491822</v>
      </c>
      <c r="AF415" s="9">
        <f t="shared" si="72"/>
        <v>4.1345268359115916</v>
      </c>
      <c r="AG415" s="9">
        <f t="shared" si="64"/>
        <v>1.2702036530020608</v>
      </c>
      <c r="AH415" s="9">
        <f t="shared" si="63"/>
        <v>0.94816862254293433</v>
      </c>
      <c r="AI415" s="9">
        <f t="shared" si="65"/>
        <v>0.98971582768369659</v>
      </c>
      <c r="AJ415" s="9">
        <f>(4*PI()*(AI415^2))/(Y415+E415)</f>
        <v>0.78943275580694627</v>
      </c>
      <c r="AK415" s="12">
        <f t="shared" si="66"/>
        <v>1.0124610591900312</v>
      </c>
      <c r="AL415" s="12" t="s">
        <v>140</v>
      </c>
      <c r="AM415" s="12" t="s">
        <v>143</v>
      </c>
      <c r="AN415" s="16">
        <v>5.4714</v>
      </c>
      <c r="AO415" s="16">
        <v>0.71748000000000001</v>
      </c>
      <c r="AP415" s="16">
        <v>12436</v>
      </c>
      <c r="AQ415" s="16">
        <v>12632</v>
      </c>
      <c r="AR415" s="16">
        <v>2.3849999999999998</v>
      </c>
      <c r="AS415" s="16">
        <v>7.5832E-3</v>
      </c>
      <c r="AT415" s="16">
        <v>0.76815999999999995</v>
      </c>
      <c r="AU415" s="16">
        <v>0.68039000000000005</v>
      </c>
      <c r="AV415" s="16">
        <v>1.3793E-2</v>
      </c>
      <c r="AW415" s="16">
        <v>5.6481999999999999E-3</v>
      </c>
      <c r="AX415" s="16">
        <v>0.16408</v>
      </c>
      <c r="AY415" s="16">
        <v>-2.7481</v>
      </c>
      <c r="AZ415" s="16">
        <v>-2307.8000000000002</v>
      </c>
      <c r="BA415" s="16">
        <v>1.4076999999999999E-2</v>
      </c>
      <c r="BB415" s="16">
        <v>8.9483999999999995</v>
      </c>
      <c r="BC415" s="16" t="s">
        <v>162</v>
      </c>
      <c r="BD415" s="34" t="s">
        <v>163</v>
      </c>
      <c r="BE415" t="s">
        <v>167</v>
      </c>
    </row>
    <row r="416" spans="1:57" x14ac:dyDescent="0.25">
      <c r="A416" s="25" t="s">
        <v>486</v>
      </c>
      <c r="B416" s="18" t="s">
        <v>13</v>
      </c>
      <c r="C416" s="18" t="s">
        <v>6</v>
      </c>
      <c r="D416" s="18">
        <v>59</v>
      </c>
      <c r="E416" s="18">
        <v>4.7400743281998299</v>
      </c>
      <c r="F416" s="18">
        <v>7.9532999999999996</v>
      </c>
      <c r="G416" s="15">
        <v>4.01</v>
      </c>
      <c r="H416" s="15">
        <v>2.96</v>
      </c>
      <c r="I416" s="15">
        <v>2.84</v>
      </c>
      <c r="J416" s="15">
        <v>5.94</v>
      </c>
      <c r="K416" s="15">
        <v>41.01</v>
      </c>
      <c r="L416" s="15">
        <v>45.97</v>
      </c>
      <c r="M416" s="15">
        <v>3.2</v>
      </c>
      <c r="N416" s="15">
        <v>2</v>
      </c>
      <c r="O416" s="15">
        <f>2.27+1.41</f>
        <v>3.6799999999999997</v>
      </c>
      <c r="P416" s="9">
        <v>1.24142</v>
      </c>
      <c r="Q416" s="9">
        <v>1.2237499999999999</v>
      </c>
      <c r="R416" s="9">
        <v>3.4482800000000001E-2</v>
      </c>
      <c r="S416" s="9">
        <v>0.14152799999999999</v>
      </c>
      <c r="T416" s="9">
        <v>0.167435</v>
      </c>
      <c r="U416" s="9">
        <v>6.7042400000000002E-2</v>
      </c>
      <c r="V416" s="9">
        <v>2.9339200000000001</v>
      </c>
      <c r="W416" s="9">
        <v>2.3974799999999998</v>
      </c>
      <c r="X416" s="9">
        <v>2.97628</v>
      </c>
      <c r="Y416" s="9">
        <v>23.723700000000001</v>
      </c>
      <c r="Z416" s="9">
        <v>11.6732</v>
      </c>
      <c r="AA416" s="9">
        <f t="shared" si="67"/>
        <v>0.84418309859154927</v>
      </c>
      <c r="AB416" s="9">
        <f t="shared" si="68"/>
        <v>1.4119718309859155</v>
      </c>
      <c r="AC416" s="9">
        <f t="shared" si="69"/>
        <v>1.0422535211267605</v>
      </c>
      <c r="AD416" s="9">
        <f t="shared" si="70"/>
        <v>5.004921517551332</v>
      </c>
      <c r="AE416" s="9">
        <f t="shared" si="71"/>
        <v>2.4626618048061726</v>
      </c>
      <c r="AF416" s="9">
        <f t="shared" si="72"/>
        <v>4.6102287265784794</v>
      </c>
      <c r="AG416" s="9">
        <f t="shared" si="64"/>
        <v>1.228337298917523</v>
      </c>
      <c r="AH416" s="9">
        <f t="shared" si="63"/>
        <v>0.97039856019755832</v>
      </c>
      <c r="AI416" s="9">
        <f t="shared" si="65"/>
        <v>1.4072365475482882</v>
      </c>
      <c r="AJ416" s="9">
        <f>(4*PI()*(AI416^2))/(Y416+E416)</f>
        <v>0.87428210243025861</v>
      </c>
      <c r="AK416" s="12">
        <f t="shared" si="66"/>
        <v>0.77173913043478259</v>
      </c>
      <c r="AL416" s="12" t="s">
        <v>144</v>
      </c>
      <c r="AM416" s="12" t="s">
        <v>142</v>
      </c>
      <c r="AN416" s="18">
        <v>5.4442616479536898</v>
      </c>
      <c r="AO416" s="18">
        <v>0.49417721604521597</v>
      </c>
      <c r="AP416" s="18">
        <v>9591.7593601482895</v>
      </c>
      <c r="AQ416" s="18">
        <v>9294.3521216887693</v>
      </c>
      <c r="AR416" s="18">
        <v>2.4560742332396099</v>
      </c>
      <c r="AS416" s="18">
        <v>1.0662077586172001E-2</v>
      </c>
      <c r="AT416" s="18">
        <v>0.73845022480785305</v>
      </c>
      <c r="AU416" s="18">
        <v>1.06716849798949</v>
      </c>
      <c r="AV416" s="18">
        <v>0.13373893081298199</v>
      </c>
      <c r="AW416" s="18">
        <v>1.6085209415798601E-3</v>
      </c>
      <c r="AX416" s="18">
        <v>0.43942032313284601</v>
      </c>
      <c r="AY416" s="18">
        <v>0.42819293160795102</v>
      </c>
      <c r="AZ416" s="18">
        <v>-1014.3319419770399</v>
      </c>
      <c r="BA416" s="18">
        <v>2.8451773845245502E-2</v>
      </c>
      <c r="BB416" s="18">
        <v>6.1376605127862502</v>
      </c>
      <c r="BC416" s="18" t="s">
        <v>162</v>
      </c>
      <c r="BD416" s="35" t="s">
        <v>163</v>
      </c>
      <c r="BE416" t="s">
        <v>167</v>
      </c>
    </row>
    <row r="417" spans="1:57" x14ac:dyDescent="0.25">
      <c r="A417" s="25" t="s">
        <v>487</v>
      </c>
      <c r="B417" s="18" t="s">
        <v>178</v>
      </c>
      <c r="C417" s="18" t="s">
        <v>6</v>
      </c>
      <c r="D417" s="18">
        <v>59</v>
      </c>
      <c r="E417" s="18">
        <v>6.6783882453522798</v>
      </c>
      <c r="F417" s="18">
        <v>9.4049999999999994</v>
      </c>
      <c r="G417" s="15">
        <v>3.45</v>
      </c>
      <c r="H417" s="15">
        <v>2.2000000000000002</v>
      </c>
      <c r="I417" s="15">
        <v>1.29</v>
      </c>
      <c r="J417" s="15">
        <v>62.94</v>
      </c>
      <c r="K417" s="15">
        <v>20.66</v>
      </c>
      <c r="L417" s="15">
        <v>71.47</v>
      </c>
      <c r="M417" s="15">
        <v>3.35</v>
      </c>
      <c r="N417" s="15">
        <v>1</v>
      </c>
      <c r="O417" s="15">
        <v>1.51</v>
      </c>
      <c r="P417" s="9">
        <v>0.77834899999999996</v>
      </c>
      <c r="Q417" s="9">
        <v>1.18245</v>
      </c>
      <c r="R417" s="9">
        <v>0.476744</v>
      </c>
      <c r="S417" s="9">
        <v>4.2684E-2</v>
      </c>
      <c r="T417" s="9">
        <v>4.59076E-2</v>
      </c>
      <c r="U417" s="9">
        <v>-6.0609100000000001E-3</v>
      </c>
      <c r="V417" s="9">
        <v>3.3660899999999998</v>
      </c>
      <c r="W417" s="9">
        <v>2.8466900000000002</v>
      </c>
      <c r="X417" s="9">
        <v>2.2157200000000001</v>
      </c>
      <c r="Y417" s="9">
        <v>19.692</v>
      </c>
      <c r="Z417" s="9">
        <v>10.829499999999999</v>
      </c>
      <c r="AA417" s="9">
        <f t="shared" si="67"/>
        <v>2.2067364341085272</v>
      </c>
      <c r="AB417" s="9">
        <f t="shared" si="68"/>
        <v>2.6744186046511627</v>
      </c>
      <c r="AC417" s="9">
        <f t="shared" si="69"/>
        <v>1.7054263565891474</v>
      </c>
      <c r="AD417" s="9">
        <f t="shared" si="70"/>
        <v>2.9486156354722772</v>
      </c>
      <c r="AE417" s="9">
        <f t="shared" si="71"/>
        <v>1.6215738891096398</v>
      </c>
      <c r="AF417" s="9">
        <f t="shared" si="72"/>
        <v>4.0230079427429049</v>
      </c>
      <c r="AG417" s="9">
        <f t="shared" si="64"/>
        <v>1.4580113176067082</v>
      </c>
      <c r="AH417" s="9">
        <f t="shared" si="63"/>
        <v>0.97405159898862514</v>
      </c>
      <c r="AI417" s="9">
        <f t="shared" si="65"/>
        <v>1.3724818146737128</v>
      </c>
      <c r="AJ417" s="9">
        <f>(4*PI()*(AI417^2))/(Y417+E417)</f>
        <v>0.89764897169456126</v>
      </c>
      <c r="AK417" s="12">
        <f t="shared" si="66"/>
        <v>0.85430463576158944</v>
      </c>
      <c r="AL417" s="12" t="s">
        <v>144</v>
      </c>
      <c r="AM417" s="12" t="s">
        <v>142</v>
      </c>
      <c r="AN417" s="18">
        <v>0.713530423829976</v>
      </c>
      <c r="AO417" s="18">
        <v>0.11549247051403801</v>
      </c>
      <c r="AP417" s="18">
        <v>939.73878676091601</v>
      </c>
      <c r="AQ417" s="18">
        <v>864.76631722116804</v>
      </c>
      <c r="AR417" s="18">
        <v>0.28560666993397799</v>
      </c>
      <c r="AS417" s="18">
        <v>1.9474853388467099E-2</v>
      </c>
      <c r="AT417" s="18">
        <v>0.74133970865096799</v>
      </c>
      <c r="AU417" s="18">
        <v>5.2280400208573301</v>
      </c>
      <c r="AV417" s="18">
        <v>0.56825702958328705</v>
      </c>
      <c r="AW417" s="18">
        <v>1.8706475445384702E-2</v>
      </c>
      <c r="AX417" s="18">
        <v>3.8788379381042397E-2</v>
      </c>
      <c r="AY417" s="18">
        <v>-79.463858434887996</v>
      </c>
      <c r="AZ417" s="18">
        <v>-352.36864328170998</v>
      </c>
      <c r="BA417" s="18">
        <v>0.13071238426478299</v>
      </c>
      <c r="BB417" s="18">
        <v>9.3978172516460994</v>
      </c>
      <c r="BC417" s="18" t="s">
        <v>164</v>
      </c>
      <c r="BD417" s="35" t="s">
        <v>163</v>
      </c>
      <c r="BE417" t="s">
        <v>167</v>
      </c>
    </row>
    <row r="418" spans="1:57" x14ac:dyDescent="0.25">
      <c r="A418" s="25" t="s">
        <v>488</v>
      </c>
      <c r="B418" s="18" t="s">
        <v>13</v>
      </c>
      <c r="C418" s="18" t="s">
        <v>6</v>
      </c>
      <c r="D418" s="18">
        <v>47</v>
      </c>
      <c r="E418" s="18">
        <v>4.6514660824634504</v>
      </c>
      <c r="F418" s="18">
        <v>7.7782999999999998</v>
      </c>
      <c r="G418" s="15">
        <v>3.1</v>
      </c>
      <c r="H418" s="15">
        <v>1.82</v>
      </c>
      <c r="I418" s="15">
        <v>1.76</v>
      </c>
      <c r="J418" s="15">
        <v>72.39</v>
      </c>
      <c r="K418" s="15">
        <v>26.26</v>
      </c>
      <c r="L418" s="15">
        <v>64.459999999999994</v>
      </c>
      <c r="M418" s="15">
        <v>2.95</v>
      </c>
      <c r="N418" s="15">
        <v>3</v>
      </c>
      <c r="O418" s="15">
        <f>1.1+1.82+1.64</f>
        <v>4.5599999999999996</v>
      </c>
      <c r="P418" s="9">
        <v>0.78410899999999994</v>
      </c>
      <c r="Q418" s="9">
        <v>1.1587700000000001</v>
      </c>
      <c r="R418" s="9">
        <v>2.7777799999999998E-2</v>
      </c>
      <c r="S418" s="9">
        <v>7.7219099999999999E-2</v>
      </c>
      <c r="T418" s="9">
        <v>8.3428600000000006E-2</v>
      </c>
      <c r="U418" s="9">
        <v>-4.2680299999999999E-3</v>
      </c>
      <c r="V418" s="9">
        <v>2.75238</v>
      </c>
      <c r="W418" s="9">
        <v>2.3752499999999999</v>
      </c>
      <c r="X418" s="9">
        <v>1.86246</v>
      </c>
      <c r="Y418" s="9">
        <v>16.8614</v>
      </c>
      <c r="Z418" s="9">
        <v>8.0794300000000003</v>
      </c>
      <c r="AA418" s="9">
        <f t="shared" si="67"/>
        <v>1.3495738636363634</v>
      </c>
      <c r="AB418" s="9">
        <f t="shared" si="68"/>
        <v>1.7613636363636365</v>
      </c>
      <c r="AC418" s="9">
        <f t="shared" si="69"/>
        <v>1.0340909090909092</v>
      </c>
      <c r="AD418" s="9">
        <f t="shared" si="70"/>
        <v>3.6249646242868181</v>
      </c>
      <c r="AE418" s="9">
        <f t="shared" si="71"/>
        <v>1.7369641865089287</v>
      </c>
      <c r="AF418" s="9">
        <f t="shared" si="72"/>
        <v>4.1876767375375996</v>
      </c>
      <c r="AG418" s="9">
        <f t="shared" si="64"/>
        <v>1.2168022186438943</v>
      </c>
      <c r="AH418" s="9">
        <f t="shared" ref="AH418:AH481" si="73">(2*PI()*AG418)/F418</f>
        <v>0.98291321007505994</v>
      </c>
      <c r="AI418" s="9">
        <f t="shared" si="65"/>
        <v>1.244793669736322</v>
      </c>
      <c r="AJ418" s="9">
        <f>(4*PI()*(AI418^2))/(Y418+E418)</f>
        <v>0.90512035651968803</v>
      </c>
      <c r="AK418" s="12">
        <f t="shared" si="66"/>
        <v>0.38596491228070179</v>
      </c>
      <c r="AL418" s="12" t="s">
        <v>144</v>
      </c>
      <c r="AM418" s="12" t="s">
        <v>142</v>
      </c>
      <c r="AN418" s="18">
        <v>4.2427556931057504</v>
      </c>
      <c r="AO418" s="18">
        <v>0.48654732816641599</v>
      </c>
      <c r="AP418" s="18">
        <v>11398.2447808219</v>
      </c>
      <c r="AQ418" s="18">
        <v>10435.7339376992</v>
      </c>
      <c r="AR418" s="18">
        <v>1.79411731150661</v>
      </c>
      <c r="AS418" s="18">
        <v>7.4333277439650796E-3</v>
      </c>
      <c r="AT418" s="18">
        <v>0.763049734603922</v>
      </c>
      <c r="AU418" s="18">
        <v>0.84874431934156902</v>
      </c>
      <c r="AV418" s="18">
        <v>1.18156213939193E-2</v>
      </c>
      <c r="AW418" s="18">
        <v>7.0762130595074099E-3</v>
      </c>
      <c r="AX418" s="18">
        <v>0.16488495262434499</v>
      </c>
      <c r="AY418" s="18">
        <v>-2.6019182489995401</v>
      </c>
      <c r="AZ418" s="18">
        <v>-1492.69745882642</v>
      </c>
      <c r="BA418" s="18">
        <v>3.0137565336436099E-2</v>
      </c>
      <c r="BB418" s="18">
        <v>4.9331780190121899</v>
      </c>
      <c r="BC418" s="18" t="s">
        <v>164</v>
      </c>
      <c r="BD418" s="35" t="s">
        <v>165</v>
      </c>
      <c r="BE418" t="s">
        <v>168</v>
      </c>
    </row>
    <row r="419" spans="1:57" x14ac:dyDescent="0.25">
      <c r="A419" s="25" t="s">
        <v>489</v>
      </c>
      <c r="B419" s="18" t="s">
        <v>13</v>
      </c>
      <c r="C419" s="18" t="s">
        <v>6</v>
      </c>
      <c r="D419" s="18">
        <v>68</v>
      </c>
      <c r="E419" s="18">
        <v>5.5319548501087104</v>
      </c>
      <c r="F419" s="18">
        <v>8.5929000000000002</v>
      </c>
      <c r="G419" s="15">
        <v>3.15</v>
      </c>
      <c r="H419" s="15">
        <v>2.17</v>
      </c>
      <c r="I419" s="15">
        <v>2.27</v>
      </c>
      <c r="J419" s="15">
        <v>90.93</v>
      </c>
      <c r="K419" s="15">
        <v>30.83</v>
      </c>
      <c r="L419" s="15">
        <v>50.38</v>
      </c>
      <c r="M419" s="15">
        <v>2.8</v>
      </c>
      <c r="N419" s="15">
        <v>2</v>
      </c>
      <c r="O419" s="15">
        <f>2.74+1</f>
        <v>3.74</v>
      </c>
      <c r="P419" s="9">
        <v>0.83349600000000001</v>
      </c>
      <c r="Q419" s="9">
        <v>1.1069100000000001</v>
      </c>
      <c r="R419" s="9">
        <v>0.238095</v>
      </c>
      <c r="S419" s="9">
        <v>5.5302900000000002E-2</v>
      </c>
      <c r="T419" s="9">
        <v>6.4874500000000002E-2</v>
      </c>
      <c r="U419" s="9">
        <v>6.4065700000000003E-3</v>
      </c>
      <c r="V419" s="9">
        <v>2.8951099999999999</v>
      </c>
      <c r="W419" s="9">
        <v>2.6154899999999999</v>
      </c>
      <c r="X419" s="9">
        <v>2.1800000000000002</v>
      </c>
      <c r="Y419" s="9">
        <v>17.454999999999998</v>
      </c>
      <c r="Z419" s="9">
        <v>8.7695000000000007</v>
      </c>
      <c r="AA419" s="9">
        <f t="shared" si="67"/>
        <v>1.1521982378854625</v>
      </c>
      <c r="AB419" s="9">
        <f t="shared" si="68"/>
        <v>1.3876651982378854</v>
      </c>
      <c r="AC419" s="9">
        <f t="shared" si="69"/>
        <v>0.95594713656387664</v>
      </c>
      <c r="AD419" s="9">
        <f t="shared" si="70"/>
        <v>3.15530413261724</v>
      </c>
      <c r="AE419" s="9">
        <f t="shared" si="71"/>
        <v>1.5852443191628125</v>
      </c>
      <c r="AF419" s="9">
        <f t="shared" si="72"/>
        <v>4.1045917213041658</v>
      </c>
      <c r="AG419" s="9">
        <f t="shared" si="64"/>
        <v>1.3269799993639588</v>
      </c>
      <c r="AH419" s="9">
        <f t="shared" si="73"/>
        <v>0.97029655121376968</v>
      </c>
      <c r="AI419" s="9">
        <f t="shared" si="65"/>
        <v>1.2792695845317184</v>
      </c>
      <c r="AJ419" s="9">
        <f>(4*PI()*(AI419^2))/(Y419+E419)</f>
        <v>0.89464877161541934</v>
      </c>
      <c r="AK419" s="12">
        <f t="shared" si="66"/>
        <v>0.60695187165775399</v>
      </c>
      <c r="AL419" s="12" t="s">
        <v>144</v>
      </c>
      <c r="AM419" s="12" t="s">
        <v>142</v>
      </c>
      <c r="AN419" s="18">
        <v>6.1236605719395696</v>
      </c>
      <c r="AO419" s="18">
        <v>0.71875630840226401</v>
      </c>
      <c r="AP419" s="18">
        <v>10175.146465117899</v>
      </c>
      <c r="AQ419" s="18">
        <v>10042.334752995601</v>
      </c>
      <c r="AR419" s="18">
        <v>2.7283277608682499</v>
      </c>
      <c r="AS419" s="19">
        <v>4.60988624128922E-3</v>
      </c>
      <c r="AT419" s="18">
        <v>0.75590201476568797</v>
      </c>
      <c r="AU419" s="19">
        <v>0.46655706899664001</v>
      </c>
      <c r="AV419" s="18">
        <v>1.1808920544832599E-3</v>
      </c>
      <c r="AW419" s="19">
        <v>6.8730155565540898E-3</v>
      </c>
      <c r="AX419" s="18">
        <v>0.20471343210461199</v>
      </c>
      <c r="AY419" s="18">
        <v>9.3700921224221307</v>
      </c>
      <c r="AZ419" s="18">
        <v>2134.2982807452499</v>
      </c>
      <c r="BA419" s="19">
        <v>2.3721208341330801E-2</v>
      </c>
      <c r="BB419" s="18">
        <v>15.4924427049492</v>
      </c>
      <c r="BC419" s="18" t="s">
        <v>162</v>
      </c>
      <c r="BD419" s="35" t="s">
        <v>165</v>
      </c>
      <c r="BE419" t="s">
        <v>167</v>
      </c>
    </row>
    <row r="420" spans="1:57" x14ac:dyDescent="0.25">
      <c r="A420" s="25" t="s">
        <v>490</v>
      </c>
      <c r="B420" s="16" t="s">
        <v>5</v>
      </c>
      <c r="C420" s="16" t="s">
        <v>6</v>
      </c>
      <c r="D420" s="16">
        <v>53</v>
      </c>
      <c r="E420" s="16">
        <v>16.552</v>
      </c>
      <c r="F420" s="16">
        <v>14.762</v>
      </c>
      <c r="G420" s="15">
        <v>10.93</v>
      </c>
      <c r="H420" s="15">
        <v>10</v>
      </c>
      <c r="I420" s="15">
        <v>4.17</v>
      </c>
      <c r="J420" s="15">
        <v>36.18</v>
      </c>
      <c r="K420" s="15">
        <v>61.27</v>
      </c>
      <c r="L420" s="15">
        <v>30.69</v>
      </c>
      <c r="M420" s="15">
        <v>8.5</v>
      </c>
      <c r="N420" s="15">
        <v>1</v>
      </c>
      <c r="O420" s="15">
        <v>2.94</v>
      </c>
      <c r="P420" s="9">
        <v>2.2661899999999999</v>
      </c>
      <c r="Q420" s="9">
        <v>1.99915</v>
      </c>
      <c r="R420" s="9">
        <v>-2.2613100000000001E-2</v>
      </c>
      <c r="S420" s="9">
        <v>0.19931399999999999</v>
      </c>
      <c r="T420" s="9">
        <v>0.214198</v>
      </c>
      <c r="U420" s="9">
        <v>4.0607400000000002E-2</v>
      </c>
      <c r="V420" s="9">
        <v>8.8367400000000007</v>
      </c>
      <c r="W420" s="9">
        <v>4.4202500000000002</v>
      </c>
      <c r="X420" s="9">
        <v>10.017099999999999</v>
      </c>
      <c r="Y420" s="9">
        <v>223.251</v>
      </c>
      <c r="Z420" s="9">
        <v>308.99200000000002</v>
      </c>
      <c r="AA420" s="9">
        <f t="shared" si="67"/>
        <v>1.0600119904076739</v>
      </c>
      <c r="AB420" s="9">
        <f t="shared" si="68"/>
        <v>2.6211031175059953</v>
      </c>
      <c r="AC420" s="9">
        <f t="shared" si="69"/>
        <v>2.3980815347721824</v>
      </c>
      <c r="AD420" s="9">
        <f t="shared" si="70"/>
        <v>13.48785645239246</v>
      </c>
      <c r="AE420" s="9">
        <f t="shared" si="71"/>
        <v>18.667955534074434</v>
      </c>
      <c r="AF420" s="9">
        <f t="shared" si="72"/>
        <v>4.884595322871081</v>
      </c>
      <c r="AG420" s="9">
        <f t="shared" si="64"/>
        <v>2.2953573220991328</v>
      </c>
      <c r="AH420" s="9">
        <f t="shared" si="73"/>
        <v>0.97697841762229731</v>
      </c>
      <c r="AI420" s="9">
        <f t="shared" si="65"/>
        <v>4.1939142068122308</v>
      </c>
      <c r="AJ420" s="9">
        <f>(4*PI()*(AI420^2))/(Y420+E420)</f>
        <v>0.92171007811382466</v>
      </c>
      <c r="AK420" s="12">
        <f t="shared" si="66"/>
        <v>1.4183673469387754</v>
      </c>
      <c r="AL420" s="12" t="s">
        <v>144</v>
      </c>
      <c r="AM420" s="12" t="s">
        <v>143</v>
      </c>
      <c r="AN420" s="16">
        <v>2.3755000000000002</v>
      </c>
      <c r="AO420" s="16">
        <v>0.20598</v>
      </c>
      <c r="AP420" s="16">
        <v>3302.4</v>
      </c>
      <c r="AQ420" s="16">
        <v>3083.7</v>
      </c>
      <c r="AR420" s="16">
        <v>1.5126999999999999</v>
      </c>
      <c r="AS420" s="16">
        <v>1.7235E-2</v>
      </c>
      <c r="AT420" s="16">
        <v>0.70957000000000003</v>
      </c>
      <c r="AU420" s="16">
        <v>1.3321000000000001</v>
      </c>
      <c r="AV420" s="16">
        <v>0.44090000000000001</v>
      </c>
      <c r="AW420" s="16">
        <v>1.3051999999999999E-2</v>
      </c>
      <c r="AX420" s="16">
        <v>0.13761000000000001</v>
      </c>
      <c r="AY420" s="16">
        <v>3.8788</v>
      </c>
      <c r="AZ420" s="16">
        <v>854.17</v>
      </c>
      <c r="BA420" s="16">
        <v>0.13086</v>
      </c>
      <c r="BB420" s="16">
        <v>2.569</v>
      </c>
      <c r="BC420" s="16" t="s">
        <v>164</v>
      </c>
      <c r="BD420" s="34" t="s">
        <v>165</v>
      </c>
      <c r="BE420" t="s">
        <v>168</v>
      </c>
    </row>
    <row r="421" spans="1:57" x14ac:dyDescent="0.25">
      <c r="A421" s="25" t="s">
        <v>491</v>
      </c>
      <c r="B421" s="18" t="s">
        <v>5</v>
      </c>
      <c r="C421" s="18" t="s">
        <v>6</v>
      </c>
      <c r="D421" s="18">
        <v>50</v>
      </c>
      <c r="E421" s="18">
        <v>10.254166813965499</v>
      </c>
      <c r="F421" s="18">
        <v>11.956</v>
      </c>
      <c r="G421" s="15">
        <v>11.02</v>
      </c>
      <c r="H421" s="15">
        <v>5.05</v>
      </c>
      <c r="I421" s="15">
        <v>2.89</v>
      </c>
      <c r="J421" s="15">
        <v>69.55</v>
      </c>
      <c r="K421" s="15">
        <v>20.18</v>
      </c>
      <c r="L421" s="15">
        <v>55.44</v>
      </c>
      <c r="M421" s="15">
        <v>6.6</v>
      </c>
      <c r="N421" s="15">
        <v>2</v>
      </c>
      <c r="O421" s="15">
        <f>3.02+1.02</f>
        <v>4.04</v>
      </c>
      <c r="P421" s="9">
        <v>1.4582200000000001</v>
      </c>
      <c r="Q421" s="9">
        <v>2.8260999999999998</v>
      </c>
      <c r="R421" s="9">
        <v>-1.51515E-2</v>
      </c>
      <c r="S421" s="9">
        <v>0.25797799999999999</v>
      </c>
      <c r="T421" s="9">
        <v>0.31891599999999998</v>
      </c>
      <c r="U421" s="9">
        <v>0.20520099999999999</v>
      </c>
      <c r="V421" s="9">
        <v>9.7675900000000002</v>
      </c>
      <c r="W421" s="9">
        <v>3.45621</v>
      </c>
      <c r="X421" s="9">
        <v>5.0399200000000004</v>
      </c>
      <c r="Y421" s="9">
        <v>127.66800000000001</v>
      </c>
      <c r="Z421" s="9">
        <v>107.82299999999999</v>
      </c>
      <c r="AA421" s="9">
        <f t="shared" si="67"/>
        <v>1.1959204152249134</v>
      </c>
      <c r="AB421" s="9">
        <f t="shared" si="68"/>
        <v>3.8131487889273354</v>
      </c>
      <c r="AC421" s="9">
        <f t="shared" si="69"/>
        <v>1.7474048442906573</v>
      </c>
      <c r="AD421" s="9">
        <f t="shared" si="70"/>
        <v>12.450353335984802</v>
      </c>
      <c r="AE421" s="9">
        <f t="shared" si="71"/>
        <v>10.515042514536839</v>
      </c>
      <c r="AF421" s="9">
        <f t="shared" si="72"/>
        <v>5.6356123754157306</v>
      </c>
      <c r="AG421" s="9">
        <f t="shared" si="64"/>
        <v>1.8066551058414446</v>
      </c>
      <c r="AH421" s="9">
        <f t="shared" si="73"/>
        <v>0.94944369489494351</v>
      </c>
      <c r="AI421" s="9">
        <f t="shared" si="65"/>
        <v>2.9526202953889182</v>
      </c>
      <c r="AJ421" s="9">
        <f>(4*PI()*(AI421^2))/(Y421+E421)</f>
        <v>0.79431176249453916</v>
      </c>
      <c r="AK421" s="12">
        <f t="shared" si="66"/>
        <v>0.71534653465346532</v>
      </c>
      <c r="AL421" s="12" t="s">
        <v>140</v>
      </c>
      <c r="AM421" s="12" t="s">
        <v>142</v>
      </c>
      <c r="AN421" s="18">
        <v>4.5284593373207098</v>
      </c>
      <c r="AO421" s="18">
        <v>0.29985680657778102</v>
      </c>
      <c r="AP421" s="18">
        <v>9162.3752201634506</v>
      </c>
      <c r="AQ421" s="18">
        <v>8223.6556108164896</v>
      </c>
      <c r="AR421" s="18">
        <v>2.4546897882004401</v>
      </c>
      <c r="AS421" s="19">
        <v>1.7537249028697698E-2</v>
      </c>
      <c r="AT421" s="18">
        <v>0.71113845948186005</v>
      </c>
      <c r="AU421" s="19">
        <v>6.4427205892132902</v>
      </c>
      <c r="AV421" s="18">
        <v>0.57200986626235895</v>
      </c>
      <c r="AW421" s="19">
        <v>1.42608438368469E-2</v>
      </c>
      <c r="AX421" s="18">
        <v>0.14383463906102101</v>
      </c>
      <c r="AY421" s="18">
        <v>3.1681513608766299</v>
      </c>
      <c r="AZ421" s="18">
        <v>3890.4937654321802</v>
      </c>
      <c r="BA421" s="19">
        <v>4.3114751466196199E-2</v>
      </c>
      <c r="BB421" s="18">
        <v>4.7046458464271002</v>
      </c>
      <c r="BC421" s="18" t="s">
        <v>164</v>
      </c>
      <c r="BD421" s="35" t="s">
        <v>165</v>
      </c>
      <c r="BE421" t="s">
        <v>168</v>
      </c>
    </row>
    <row r="422" spans="1:57" x14ac:dyDescent="0.25">
      <c r="A422" s="25" t="s">
        <v>492</v>
      </c>
      <c r="B422" s="16" t="s">
        <v>5</v>
      </c>
      <c r="C422" s="16" t="s">
        <v>6</v>
      </c>
      <c r="D422" s="16">
        <v>36</v>
      </c>
      <c r="E422" s="16">
        <v>5.2432999999999996</v>
      </c>
      <c r="F422" s="16">
        <v>8.3376999999999999</v>
      </c>
      <c r="G422" s="15">
        <v>2.89</v>
      </c>
      <c r="H422" s="15">
        <v>1.25</v>
      </c>
      <c r="I422" s="15">
        <v>3.63</v>
      </c>
      <c r="J422" s="15">
        <v>59.33</v>
      </c>
      <c r="K422" s="15">
        <v>0</v>
      </c>
      <c r="L422" s="15">
        <v>7.15</v>
      </c>
      <c r="M422" s="15">
        <v>2.87</v>
      </c>
      <c r="N422" s="15">
        <v>1</v>
      </c>
      <c r="O422" s="15">
        <v>2.6</v>
      </c>
      <c r="P422" s="9">
        <v>0.50189499999999998</v>
      </c>
      <c r="Q422" s="9">
        <v>1.1417200000000001</v>
      </c>
      <c r="R422" s="9">
        <v>0.45833299999999999</v>
      </c>
      <c r="S422" s="9">
        <v>2.5393099999999998E-2</v>
      </c>
      <c r="T422" s="9">
        <v>3.2173899999999998E-2</v>
      </c>
      <c r="U422" s="9">
        <v>-1.0508099999999999E-2</v>
      </c>
      <c r="V422" s="9">
        <v>2.8780899999999998</v>
      </c>
      <c r="W422" s="9">
        <v>2.5208400000000002</v>
      </c>
      <c r="X422" s="9">
        <v>1.26519</v>
      </c>
      <c r="Y422" s="9">
        <v>9.9075600000000001</v>
      </c>
      <c r="Z422" s="9">
        <v>3.9485199999999998</v>
      </c>
      <c r="AA422" s="9">
        <f t="shared" si="67"/>
        <v>0.69444628099173566</v>
      </c>
      <c r="AB422" s="9">
        <f t="shared" si="68"/>
        <v>0.79614325068870528</v>
      </c>
      <c r="AC422" s="9">
        <f t="shared" si="69"/>
        <v>0.34435261707988984</v>
      </c>
      <c r="AD422" s="9">
        <f t="shared" si="70"/>
        <v>1.8895657315049683</v>
      </c>
      <c r="AE422" s="9">
        <f t="shared" si="71"/>
        <v>0.75306009574123167</v>
      </c>
      <c r="AF422" s="9">
        <f t="shared" si="72"/>
        <v>3.9659187846068855</v>
      </c>
      <c r="AG422" s="9">
        <f t="shared" si="64"/>
        <v>1.2918955941667536</v>
      </c>
      <c r="AH422" s="9">
        <f t="shared" si="73"/>
        <v>0.97355618643973607</v>
      </c>
      <c r="AI422" s="9">
        <f t="shared" si="65"/>
        <v>0.98050221164879969</v>
      </c>
      <c r="AJ422" s="9">
        <f>(4*PI()*(AI422^2))/(Y422+E422)</f>
        <v>0.79738807062966544</v>
      </c>
      <c r="AK422" s="12">
        <f t="shared" si="66"/>
        <v>1.3961538461538461</v>
      </c>
      <c r="AL422" s="12" t="s">
        <v>144</v>
      </c>
      <c r="AM422" s="12" t="s">
        <v>143</v>
      </c>
      <c r="AN422" s="16">
        <v>16.222999999999999</v>
      </c>
      <c r="AO422" s="16">
        <v>1.2608999999999999</v>
      </c>
      <c r="AP422" s="16">
        <v>25246</v>
      </c>
      <c r="AQ422" s="16">
        <v>28626</v>
      </c>
      <c r="AR422" s="16">
        <v>7.4736000000000002</v>
      </c>
      <c r="AS422" s="21">
        <v>7.7642E-4</v>
      </c>
      <c r="AT422" s="16">
        <v>0.76336999999999999</v>
      </c>
      <c r="AU422" s="16">
        <v>0.16914000000000001</v>
      </c>
      <c r="AV422" s="16">
        <v>0</v>
      </c>
      <c r="AW422" s="21">
        <v>8.3069000000000003E-4</v>
      </c>
      <c r="AX422" s="16">
        <v>0.40512999999999999</v>
      </c>
      <c r="AY422" s="16">
        <v>4.9387999999999996</v>
      </c>
      <c r="AZ422" s="16">
        <v>39021</v>
      </c>
      <c r="BA422" s="16">
        <v>4.5954000000000004E-3</v>
      </c>
      <c r="BB422" s="16">
        <v>6.3676000000000004</v>
      </c>
      <c r="BC422" s="16" t="s">
        <v>162</v>
      </c>
      <c r="BD422" s="34" t="s">
        <v>163</v>
      </c>
      <c r="BE422" t="s">
        <v>167</v>
      </c>
    </row>
    <row r="423" spans="1:57" x14ac:dyDescent="0.25">
      <c r="A423" s="25" t="s">
        <v>493</v>
      </c>
      <c r="B423" s="18" t="s">
        <v>26</v>
      </c>
      <c r="C423" s="18" t="s">
        <v>6</v>
      </c>
      <c r="D423" s="18">
        <v>65</v>
      </c>
      <c r="E423" s="18">
        <v>14.841562952762301</v>
      </c>
      <c r="F423" s="18">
        <v>14.593</v>
      </c>
      <c r="G423" s="15">
        <v>5.9</v>
      </c>
      <c r="H423" s="15">
        <v>3.3</v>
      </c>
      <c r="I423" s="15">
        <v>1.52</v>
      </c>
      <c r="J423" s="15">
        <v>26.24</v>
      </c>
      <c r="K423" s="15">
        <v>24.43</v>
      </c>
      <c r="L423" s="15">
        <v>47.49</v>
      </c>
      <c r="M423" s="15">
        <v>5.75</v>
      </c>
      <c r="N423" s="15">
        <v>2</v>
      </c>
      <c r="O423" s="15">
        <f>2.03+1.33</f>
        <v>3.36</v>
      </c>
      <c r="P423" s="9">
        <v>0.80691299999999999</v>
      </c>
      <c r="Q423" s="9">
        <v>1.3613999999999999</v>
      </c>
      <c r="R423" s="9">
        <v>0.16153799999999999</v>
      </c>
      <c r="S423" s="9">
        <v>9.5573500000000006E-2</v>
      </c>
      <c r="T423" s="9">
        <v>0.20074400000000001</v>
      </c>
      <c r="U423" s="9">
        <v>0.176844</v>
      </c>
      <c r="V423" s="9">
        <v>5.6170400000000003</v>
      </c>
      <c r="W423" s="9">
        <v>4.1259199999999998</v>
      </c>
      <c r="X423" s="9">
        <v>3.3292600000000001</v>
      </c>
      <c r="Y423" s="9">
        <v>50.057299999999998</v>
      </c>
      <c r="Z423" s="9">
        <v>33.6526</v>
      </c>
      <c r="AA423" s="9">
        <f t="shared" si="67"/>
        <v>2.7144210526315788</v>
      </c>
      <c r="AB423" s="9">
        <f t="shared" si="68"/>
        <v>3.8815789473684212</v>
      </c>
      <c r="AC423" s="9">
        <f t="shared" si="69"/>
        <v>2.1710526315789473</v>
      </c>
      <c r="AD423" s="9">
        <f t="shared" si="70"/>
        <v>3.3727782012798975</v>
      </c>
      <c r="AE423" s="9">
        <f t="shared" si="71"/>
        <v>2.26745660865432</v>
      </c>
      <c r="AF423" s="9">
        <f t="shared" si="72"/>
        <v>4.8023632310285231</v>
      </c>
      <c r="AG423" s="9">
        <f t="shared" si="64"/>
        <v>2.1735262166082405</v>
      </c>
      <c r="AH423" s="9">
        <f t="shared" si="73"/>
        <v>0.93583690735027292</v>
      </c>
      <c r="AI423" s="9">
        <f t="shared" si="65"/>
        <v>2.0028265415197919</v>
      </c>
      <c r="AJ423" s="9">
        <f>(4*PI()*(AI423^2))/(Y423+E423)</f>
        <v>0.77671099360052398</v>
      </c>
      <c r="AK423" s="12">
        <f t="shared" si="66"/>
        <v>0.45238095238095238</v>
      </c>
      <c r="AL423" s="12" t="s">
        <v>140</v>
      </c>
      <c r="AM423" s="12" t="s">
        <v>142</v>
      </c>
      <c r="AN423" s="18">
        <v>13.258910455362599</v>
      </c>
      <c r="AO423" s="18">
        <v>0.88643716897929403</v>
      </c>
      <c r="AP423" s="18">
        <v>42856.288014238497</v>
      </c>
      <c r="AQ423" s="18">
        <v>38893.223824293003</v>
      </c>
      <c r="AR423" s="18">
        <v>6.7776053051474996</v>
      </c>
      <c r="AS423" s="19">
        <v>1.6238895075265099E-2</v>
      </c>
      <c r="AT423" s="18">
        <v>0.73276541083828495</v>
      </c>
      <c r="AU423" s="19">
        <v>0.90984529443807205</v>
      </c>
      <c r="AV423" s="18">
        <v>0.2096550696768</v>
      </c>
      <c r="AW423" s="19">
        <v>1.25281141204138E-2</v>
      </c>
      <c r="AX423" s="18">
        <v>0.279032297164512</v>
      </c>
      <c r="AY423" s="18">
        <v>-10.326631339093799</v>
      </c>
      <c r="AZ423" s="18">
        <v>-3953.0567613657799</v>
      </c>
      <c r="BA423" s="19">
        <v>4.2137455490697702E-2</v>
      </c>
      <c r="BB423" s="18">
        <v>64.078020952602202</v>
      </c>
      <c r="BC423" s="18" t="s">
        <v>164</v>
      </c>
      <c r="BD423" s="35" t="s">
        <v>165</v>
      </c>
      <c r="BE423" t="s">
        <v>167</v>
      </c>
    </row>
    <row r="424" spans="1:57" x14ac:dyDescent="0.25">
      <c r="A424" s="25" t="s">
        <v>494</v>
      </c>
      <c r="B424" s="18" t="s">
        <v>5</v>
      </c>
      <c r="C424" s="18" t="s">
        <v>6</v>
      </c>
      <c r="D424" s="18">
        <v>50</v>
      </c>
      <c r="E424" s="18">
        <v>3.5802068970927698</v>
      </c>
      <c r="F424" s="18">
        <v>7.2126999999999999</v>
      </c>
      <c r="G424" s="15">
        <v>2.89</v>
      </c>
      <c r="H424" s="15">
        <v>2.1</v>
      </c>
      <c r="I424" s="15">
        <v>3.1</v>
      </c>
      <c r="J424" s="15">
        <v>71.31</v>
      </c>
      <c r="K424" s="15">
        <v>38.86</v>
      </c>
      <c r="L424" s="15">
        <v>41.77</v>
      </c>
      <c r="M424" s="15">
        <v>2.6</v>
      </c>
      <c r="N424" s="15">
        <v>2</v>
      </c>
      <c r="O424" s="15">
        <f>3.32+0.69</f>
        <v>4.01</v>
      </c>
      <c r="P424" s="9">
        <v>1.0339100000000001</v>
      </c>
      <c r="Q424" s="9">
        <v>1.30938</v>
      </c>
      <c r="R424" s="9">
        <v>0.47499999999999998</v>
      </c>
      <c r="S424" s="9">
        <v>9.3995999999999996E-2</v>
      </c>
      <c r="T424" s="9">
        <v>0.120425</v>
      </c>
      <c r="U424" s="9">
        <v>5.5089100000000002E-2</v>
      </c>
      <c r="V424" s="9">
        <v>2.6446900000000002</v>
      </c>
      <c r="W424" s="9">
        <v>2.0198100000000001</v>
      </c>
      <c r="X424" s="9">
        <v>2.0882999999999998</v>
      </c>
      <c r="Y424" s="9">
        <v>12.5459</v>
      </c>
      <c r="Z424" s="9">
        <v>4.8747299999999996</v>
      </c>
      <c r="AA424" s="9">
        <f t="shared" si="67"/>
        <v>0.65155161290322583</v>
      </c>
      <c r="AB424" s="9">
        <f t="shared" si="68"/>
        <v>0.93225806451612903</v>
      </c>
      <c r="AC424" s="9">
        <f t="shared" si="69"/>
        <v>0.67741935483870974</v>
      </c>
      <c r="AD424" s="9">
        <f t="shared" si="70"/>
        <v>3.5042388221160148</v>
      </c>
      <c r="AE424" s="9">
        <f t="shared" si="71"/>
        <v>1.3615777356214858</v>
      </c>
      <c r="AF424" s="9">
        <f t="shared" si="72"/>
        <v>4.3638328858720064</v>
      </c>
      <c r="AG424" s="9">
        <f t="shared" si="64"/>
        <v>1.0675276342690254</v>
      </c>
      <c r="AH424" s="9">
        <f t="shared" si="73"/>
        <v>0.92995326946182755</v>
      </c>
      <c r="AI424" s="9">
        <f t="shared" si="65"/>
        <v>1.0518504222146932</v>
      </c>
      <c r="AJ424" s="9">
        <f>(4*PI()*(AI424^2))/(Y424+E424)</f>
        <v>0.86216085574220735</v>
      </c>
      <c r="AK424" s="12">
        <f t="shared" si="66"/>
        <v>0.77306733167082298</v>
      </c>
      <c r="AL424" s="12" t="s">
        <v>144</v>
      </c>
      <c r="AM424" s="12" t="s">
        <v>142</v>
      </c>
      <c r="AN424" s="18">
        <v>4.3926231238053104</v>
      </c>
      <c r="AO424" s="18">
        <v>0.42189332673102498</v>
      </c>
      <c r="AP424" s="18">
        <v>11792.802730846601</v>
      </c>
      <c r="AQ424" s="18">
        <v>11115.366663064</v>
      </c>
      <c r="AR424" s="18">
        <v>1.7935408629613401</v>
      </c>
      <c r="AS424" s="19">
        <v>1.0037556354297501E-2</v>
      </c>
      <c r="AT424" s="18">
        <v>0.77777626639811903</v>
      </c>
      <c r="AU424" s="19">
        <v>1.1463206663496599</v>
      </c>
      <c r="AV424" s="18">
        <v>7.8557674881652703E-2</v>
      </c>
      <c r="AW424" s="19">
        <v>8.1409854379882098E-3</v>
      </c>
      <c r="AX424" s="19">
        <v>0.13863646714875599</v>
      </c>
      <c r="AY424" s="18">
        <v>-9.6667420488748803</v>
      </c>
      <c r="AZ424" s="18">
        <v>-3409.3866147856102</v>
      </c>
      <c r="BA424" s="19">
        <v>2.5429919879511001E-2</v>
      </c>
      <c r="BB424" s="18">
        <v>12.2539753027933</v>
      </c>
      <c r="BC424" s="18" t="s">
        <v>162</v>
      </c>
      <c r="BD424" s="35" t="s">
        <v>163</v>
      </c>
      <c r="BE424" t="s">
        <v>167</v>
      </c>
    </row>
    <row r="425" spans="1:57" x14ac:dyDescent="0.25">
      <c r="A425" s="25" t="s">
        <v>495</v>
      </c>
      <c r="B425" s="16" t="s">
        <v>5</v>
      </c>
      <c r="C425" s="16" t="s">
        <v>6</v>
      </c>
      <c r="D425" s="16">
        <v>56</v>
      </c>
      <c r="E425" s="16">
        <v>38.698999999999998</v>
      </c>
      <c r="F425" s="16">
        <v>22.712</v>
      </c>
      <c r="G425" s="15">
        <v>11.34</v>
      </c>
      <c r="H425" s="15">
        <v>8.9</v>
      </c>
      <c r="I425" s="15">
        <v>4.6900000000000004</v>
      </c>
      <c r="J425" s="15">
        <v>22.37</v>
      </c>
      <c r="K425" s="15">
        <v>36.76</v>
      </c>
      <c r="L425" s="15">
        <v>27.1</v>
      </c>
      <c r="M425" s="15">
        <v>10.9</v>
      </c>
      <c r="N425" s="15">
        <v>1</v>
      </c>
      <c r="O425" s="15">
        <v>5.34</v>
      </c>
      <c r="P425" s="9">
        <v>1.2979099999999999</v>
      </c>
      <c r="Q425" s="9">
        <v>1.6646700000000001</v>
      </c>
      <c r="R425" s="9">
        <v>3.9772700000000001E-2</v>
      </c>
      <c r="S425" s="9">
        <v>0.136819</v>
      </c>
      <c r="T425" s="9">
        <v>0.147426</v>
      </c>
      <c r="U425" s="9">
        <v>1.9417E-2</v>
      </c>
      <c r="V425" s="9">
        <v>11.4091</v>
      </c>
      <c r="W425" s="9">
        <v>6.85365</v>
      </c>
      <c r="X425" s="9">
        <v>8.8954000000000004</v>
      </c>
      <c r="Y425" s="9">
        <v>300.32</v>
      </c>
      <c r="Z425" s="9">
        <v>544.83199999999999</v>
      </c>
      <c r="AA425" s="9">
        <f t="shared" si="67"/>
        <v>1.4613326226012793</v>
      </c>
      <c r="AB425" s="9">
        <f t="shared" si="68"/>
        <v>2.4179104477611939</v>
      </c>
      <c r="AC425" s="9">
        <f t="shared" si="69"/>
        <v>1.8976545842217483</v>
      </c>
      <c r="AD425" s="9">
        <f t="shared" si="70"/>
        <v>7.7604072456652631</v>
      </c>
      <c r="AE425" s="9">
        <f t="shared" si="71"/>
        <v>14.078710044187188</v>
      </c>
      <c r="AF425" s="9">
        <f t="shared" si="72"/>
        <v>4.5020382829764811</v>
      </c>
      <c r="AG425" s="9">
        <f t="shared" si="64"/>
        <v>3.5097399170631598</v>
      </c>
      <c r="AH425" s="9">
        <f t="shared" si="73"/>
        <v>0.97095571851501172</v>
      </c>
      <c r="AI425" s="9">
        <f t="shared" si="65"/>
        <v>5.0666938821844623</v>
      </c>
      <c r="AJ425" s="9">
        <f>(4*PI()*(AI425^2))/(Y425+E425)</f>
        <v>0.95155776495356359</v>
      </c>
      <c r="AK425" s="12">
        <f t="shared" si="66"/>
        <v>0.87827715355805258</v>
      </c>
      <c r="AL425" s="12" t="s">
        <v>144</v>
      </c>
      <c r="AM425" s="12" t="s">
        <v>143</v>
      </c>
      <c r="AN425" s="27">
        <v>2.2092999999999998</v>
      </c>
      <c r="AO425" s="16">
        <v>0.32329000000000002</v>
      </c>
      <c r="AP425" s="16">
        <v>2506.1999999999998</v>
      </c>
      <c r="AQ425" s="16">
        <v>2211.6</v>
      </c>
      <c r="AR425" s="16">
        <v>1.8124</v>
      </c>
      <c r="AS425" s="16">
        <v>1.1469999999999999E-2</v>
      </c>
      <c r="AT425" s="16">
        <v>0.72355000000000003</v>
      </c>
      <c r="AU425" s="16">
        <v>0.77232999999999996</v>
      </c>
      <c r="AV425" s="16">
        <v>0.15043999999999999</v>
      </c>
      <c r="AW425" s="16">
        <v>1.9521E-2</v>
      </c>
      <c r="AX425" s="16">
        <v>0.13755999999999999</v>
      </c>
      <c r="AY425" s="16">
        <v>-17.263999999999999</v>
      </c>
      <c r="AZ425" s="16">
        <v>-458.93</v>
      </c>
      <c r="BA425" s="16">
        <v>0.38138</v>
      </c>
      <c r="BB425" s="16">
        <v>11.757999999999999</v>
      </c>
      <c r="BC425" s="16" t="s">
        <v>162</v>
      </c>
      <c r="BD425" s="34" t="s">
        <v>163</v>
      </c>
      <c r="BE425" t="s">
        <v>167</v>
      </c>
    </row>
    <row r="426" spans="1:57" x14ac:dyDescent="0.25">
      <c r="A426" s="25" t="s">
        <v>496</v>
      </c>
      <c r="B426" s="18" t="s">
        <v>5</v>
      </c>
      <c r="C426" s="18" t="s">
        <v>6</v>
      </c>
      <c r="D426" s="18">
        <v>56</v>
      </c>
      <c r="E426" s="18">
        <v>10.4593452712279</v>
      </c>
      <c r="F426" s="18">
        <v>11.879</v>
      </c>
      <c r="G426" s="15">
        <v>5.52</v>
      </c>
      <c r="H426" s="15">
        <v>5</v>
      </c>
      <c r="I426" s="15">
        <v>4.07</v>
      </c>
      <c r="J426" s="15">
        <v>15.74</v>
      </c>
      <c r="K426" s="15">
        <v>61.18</v>
      </c>
      <c r="L426" s="15">
        <v>64.36</v>
      </c>
      <c r="M426" s="15">
        <v>4.2</v>
      </c>
      <c r="N426" s="15">
        <v>2</v>
      </c>
      <c r="O426" s="15">
        <f>3.3+4.28</f>
        <v>7.58</v>
      </c>
      <c r="P426" s="9">
        <v>1.4145099999999999</v>
      </c>
      <c r="Q426" s="9">
        <v>1.1976</v>
      </c>
      <c r="R426" s="9">
        <v>0.29798000000000002</v>
      </c>
      <c r="S426" s="9">
        <v>0.15107899999999999</v>
      </c>
      <c r="T426" s="9">
        <v>0.18759400000000001</v>
      </c>
      <c r="U426" s="9">
        <v>0.109998</v>
      </c>
      <c r="V426" s="9">
        <v>4.2508999999999997</v>
      </c>
      <c r="W426" s="9">
        <v>3.5495100000000002</v>
      </c>
      <c r="X426" s="9">
        <v>5.0208199999999996</v>
      </c>
      <c r="Y426" s="9">
        <v>49.269500000000001</v>
      </c>
      <c r="Z426" s="9">
        <v>33.675699999999999</v>
      </c>
      <c r="AA426" s="9">
        <f t="shared" si="67"/>
        <v>0.87211547911547904</v>
      </c>
      <c r="AB426" s="9">
        <f t="shared" si="68"/>
        <v>1.3562653562653562</v>
      </c>
      <c r="AC426" s="9">
        <f t="shared" si="69"/>
        <v>1.2285012285012284</v>
      </c>
      <c r="AD426" s="9">
        <f t="shared" si="70"/>
        <v>4.7105720981917534</v>
      </c>
      <c r="AE426" s="9">
        <f t="shared" si="71"/>
        <v>3.2196757183871569</v>
      </c>
      <c r="AF426" s="9">
        <f t="shared" si="72"/>
        <v>4.7246219901702107</v>
      </c>
      <c r="AG426" s="9">
        <f t="shared" si="64"/>
        <v>1.8246405133180403</v>
      </c>
      <c r="AH426" s="9">
        <f t="shared" si="73"/>
        <v>0.96511107535689278</v>
      </c>
      <c r="AI426" s="9">
        <f t="shared" si="65"/>
        <v>2.003284700386696</v>
      </c>
      <c r="AJ426" s="9">
        <f>(4*PI()*(AI426^2))/(Y426+E426)</f>
        <v>0.84432780945110031</v>
      </c>
      <c r="AK426" s="12">
        <f t="shared" si="66"/>
        <v>0.53693931398416894</v>
      </c>
      <c r="AL426" s="12" t="s">
        <v>140</v>
      </c>
      <c r="AM426" s="12" t="s">
        <v>142</v>
      </c>
      <c r="AN426" s="18">
        <v>1.3155487537885899</v>
      </c>
      <c r="AO426" s="18">
        <v>0.23017825756384</v>
      </c>
      <c r="AP426" s="18">
        <v>3095.6294744254401</v>
      </c>
      <c r="AQ426" s="18">
        <v>2750.72152636489</v>
      </c>
      <c r="AR426" s="18">
        <v>0.80810554499882303</v>
      </c>
      <c r="AS426" s="19">
        <v>2.5052519780343899E-2</v>
      </c>
      <c r="AT426" s="18">
        <v>0.60835977842774902</v>
      </c>
      <c r="AU426" s="19">
        <v>6.0577972998326501</v>
      </c>
      <c r="AV426" s="18">
        <v>0.50395536798996199</v>
      </c>
      <c r="AW426" s="19">
        <v>1.6327271826248199E-2</v>
      </c>
      <c r="AX426" s="18">
        <v>7.6657401394275196E-2</v>
      </c>
      <c r="AY426" s="18">
        <v>-4.0825874824707897E-2</v>
      </c>
      <c r="AZ426" s="18">
        <v>-354.19251664959597</v>
      </c>
      <c r="BA426" s="19">
        <v>4.8935041723726203E-2</v>
      </c>
      <c r="BB426" s="18">
        <v>3.6044095150680899</v>
      </c>
      <c r="BC426" s="18" t="s">
        <v>164</v>
      </c>
      <c r="BD426" s="35" t="s">
        <v>165</v>
      </c>
      <c r="BE426" t="s">
        <v>167</v>
      </c>
    </row>
    <row r="427" spans="1:57" x14ac:dyDescent="0.25">
      <c r="A427" s="25" t="s">
        <v>497</v>
      </c>
      <c r="B427" s="18" t="s">
        <v>5</v>
      </c>
      <c r="C427" s="18" t="s">
        <v>6</v>
      </c>
      <c r="D427" s="18">
        <v>56</v>
      </c>
      <c r="E427" s="18">
        <v>4.7278000000000002</v>
      </c>
      <c r="F427" s="18">
        <v>8.2542000000000009</v>
      </c>
      <c r="G427" s="15">
        <v>2.48</v>
      </c>
      <c r="H427" s="15">
        <v>1.2</v>
      </c>
      <c r="I427" s="15">
        <v>3.9</v>
      </c>
      <c r="J427" s="15">
        <v>29.29</v>
      </c>
      <c r="K427" s="15">
        <v>0</v>
      </c>
      <c r="L427" s="15">
        <v>17.18</v>
      </c>
      <c r="M427" s="15">
        <v>2.48</v>
      </c>
      <c r="N427" s="15">
        <v>1</v>
      </c>
      <c r="O427" s="15">
        <v>3.84</v>
      </c>
      <c r="P427" s="9">
        <v>0.52022400000000002</v>
      </c>
      <c r="Q427" s="9">
        <v>1.05572</v>
      </c>
      <c r="R427" s="9">
        <v>0.45652199999999998</v>
      </c>
      <c r="S427" s="9">
        <v>2.7321700000000001E-2</v>
      </c>
      <c r="T427" s="9">
        <v>3.7174600000000002E-2</v>
      </c>
      <c r="U427" s="9">
        <v>-1.13429E-2</v>
      </c>
      <c r="V427" s="9">
        <v>2.4600399999999998</v>
      </c>
      <c r="W427" s="9">
        <v>2.3302</v>
      </c>
      <c r="X427" s="9">
        <v>1.2122200000000001</v>
      </c>
      <c r="Y427" s="9">
        <v>7.9176299999999999</v>
      </c>
      <c r="Z427" s="9">
        <v>2.7989999999999999</v>
      </c>
      <c r="AA427" s="9">
        <f t="shared" si="67"/>
        <v>0.59748717948717955</v>
      </c>
      <c r="AB427" s="9">
        <f t="shared" si="68"/>
        <v>0.63589743589743586</v>
      </c>
      <c r="AC427" s="9">
        <f t="shared" si="69"/>
        <v>0.30769230769230771</v>
      </c>
      <c r="AD427" s="9">
        <f t="shared" si="70"/>
        <v>1.674696476162274</v>
      </c>
      <c r="AE427" s="9">
        <f t="shared" si="71"/>
        <v>0.59203011971741604</v>
      </c>
      <c r="AF427" s="9">
        <f t="shared" si="72"/>
        <v>3.9865137878823167</v>
      </c>
      <c r="AG427" s="9">
        <f t="shared" si="64"/>
        <v>1.2267458905167465</v>
      </c>
      <c r="AH427" s="9">
        <f t="shared" si="73"/>
        <v>0.93381209020108047</v>
      </c>
      <c r="AI427" s="9">
        <f t="shared" si="65"/>
        <v>0.8742549428334957</v>
      </c>
      <c r="AJ427" s="9">
        <f>(4*PI()*(AI427^2))/(Y427+E427)</f>
        <v>0.75954315626225855</v>
      </c>
      <c r="AK427" s="12">
        <f t="shared" si="66"/>
        <v>1.015625</v>
      </c>
      <c r="AL427" s="12" t="s">
        <v>144</v>
      </c>
      <c r="AM427" s="12" t="s">
        <v>143</v>
      </c>
      <c r="AN427" s="18">
        <v>3.4901</v>
      </c>
      <c r="AO427" s="18">
        <v>0.68430000000000002</v>
      </c>
      <c r="AP427" s="18">
        <v>9779</v>
      </c>
      <c r="AQ427" s="18">
        <v>9605</v>
      </c>
      <c r="AR427" s="18">
        <v>1.8196000000000001</v>
      </c>
      <c r="AS427" s="18">
        <v>8.9937000000000003E-3</v>
      </c>
      <c r="AT427" s="18">
        <v>0.77132999999999996</v>
      </c>
      <c r="AU427" s="18">
        <v>0.90810999999999997</v>
      </c>
      <c r="AV427" s="18">
        <v>1.5990999999999998E-2</v>
      </c>
      <c r="AW427" s="18">
        <v>6.6886999999999997E-3</v>
      </c>
      <c r="AX427" s="18">
        <v>0.10092</v>
      </c>
      <c r="AY427" s="18">
        <v>5.6315</v>
      </c>
      <c r="AZ427" s="18">
        <v>1106</v>
      </c>
      <c r="BA427" s="18">
        <v>1.4133E-2</v>
      </c>
      <c r="BB427" s="18">
        <v>12.929</v>
      </c>
      <c r="BC427" s="18" t="s">
        <v>162</v>
      </c>
      <c r="BD427" s="35" t="s">
        <v>163</v>
      </c>
      <c r="BE427" t="s">
        <v>167</v>
      </c>
    </row>
    <row r="428" spans="1:57" x14ac:dyDescent="0.25">
      <c r="A428" s="25" t="s">
        <v>498</v>
      </c>
      <c r="B428" s="16" t="s">
        <v>5</v>
      </c>
      <c r="C428" s="16" t="s">
        <v>6</v>
      </c>
      <c r="D428" s="16">
        <v>61</v>
      </c>
      <c r="E428" s="16">
        <v>3.9742000000000002</v>
      </c>
      <c r="F428" s="16">
        <v>7.2552000000000003</v>
      </c>
      <c r="G428" s="15">
        <v>2.42</v>
      </c>
      <c r="H428" s="15">
        <v>1.2</v>
      </c>
      <c r="I428" s="15">
        <v>3.7</v>
      </c>
      <c r="J428" s="15">
        <v>57.44</v>
      </c>
      <c r="K428" s="15">
        <v>0</v>
      </c>
      <c r="L428" s="15">
        <v>8.4499999999999993</v>
      </c>
      <c r="M428" s="15">
        <v>2.42</v>
      </c>
      <c r="N428" s="15">
        <v>1</v>
      </c>
      <c r="O428" s="15">
        <v>3.35</v>
      </c>
      <c r="P428" s="9">
        <v>0.54942299999999999</v>
      </c>
      <c r="Q428" s="9">
        <v>1.06494</v>
      </c>
      <c r="R428" s="9">
        <v>0.45652199999999998</v>
      </c>
      <c r="S428" s="9">
        <v>3.2711200000000003E-2</v>
      </c>
      <c r="T428" s="9">
        <v>4.8162499999999997E-2</v>
      </c>
      <c r="U428" s="10">
        <v>-4.9622300000000001E-5</v>
      </c>
      <c r="V428" s="9">
        <v>2.3469099999999998</v>
      </c>
      <c r="W428" s="9">
        <v>2.2037900000000001</v>
      </c>
      <c r="X428" s="9">
        <v>1.21082</v>
      </c>
      <c r="Y428" s="9">
        <v>7.0257300000000003</v>
      </c>
      <c r="Z428" s="9">
        <v>2.29969</v>
      </c>
      <c r="AA428" s="9">
        <f t="shared" si="67"/>
        <v>0.59561891891891894</v>
      </c>
      <c r="AB428" s="9">
        <f t="shared" si="68"/>
        <v>0.65405405405405403</v>
      </c>
      <c r="AC428" s="9">
        <f t="shared" si="69"/>
        <v>0.32432432432432429</v>
      </c>
      <c r="AD428" s="9">
        <f t="shared" si="70"/>
        <v>1.7678350359820845</v>
      </c>
      <c r="AE428" s="9">
        <f t="shared" si="71"/>
        <v>0.57865482361229936</v>
      </c>
      <c r="AF428" s="9">
        <f t="shared" si="72"/>
        <v>4.0325391392302334</v>
      </c>
      <c r="AG428" s="9">
        <f t="shared" si="64"/>
        <v>1.1247342573566528</v>
      </c>
      <c r="AH428" s="9">
        <f t="shared" si="73"/>
        <v>0.97404809795799752</v>
      </c>
      <c r="AI428" s="9">
        <f t="shared" si="65"/>
        <v>0.81882965434140942</v>
      </c>
      <c r="AJ428" s="9">
        <f>(4*PI()*(AI428^2))/(Y428+E428)</f>
        <v>0.76596172319327671</v>
      </c>
      <c r="AK428" s="12">
        <f t="shared" si="66"/>
        <v>1.1044776119402986</v>
      </c>
      <c r="AL428" s="12" t="s">
        <v>144</v>
      </c>
      <c r="AM428" s="12" t="s">
        <v>143</v>
      </c>
      <c r="AN428" s="16">
        <v>15.167</v>
      </c>
      <c r="AO428" s="16">
        <v>0.93960999999999995</v>
      </c>
      <c r="AP428" s="16">
        <v>29723</v>
      </c>
      <c r="AQ428" s="16">
        <v>32496</v>
      </c>
      <c r="AR428" s="16">
        <v>6.5891000000000002</v>
      </c>
      <c r="AS428" s="16">
        <v>8.1162999999999999E-3</v>
      </c>
      <c r="AT428" s="16">
        <v>0.74509000000000003</v>
      </c>
      <c r="AU428" s="16">
        <v>0.25742999999999999</v>
      </c>
      <c r="AV428" s="16">
        <v>1.9321999999999999E-2</v>
      </c>
      <c r="AW428" s="16">
        <v>4.0157999999999999E-3</v>
      </c>
      <c r="AX428" s="16">
        <v>0.34432000000000001</v>
      </c>
      <c r="AY428" s="16">
        <v>-3.1168</v>
      </c>
      <c r="AZ428" s="16">
        <v>-12954</v>
      </c>
      <c r="BA428" s="16">
        <v>7.8622999999999992E-3</v>
      </c>
      <c r="BB428" s="16">
        <v>14.106</v>
      </c>
      <c r="BC428" s="16" t="s">
        <v>162</v>
      </c>
      <c r="BD428" s="34" t="s">
        <v>163</v>
      </c>
      <c r="BE428" t="s">
        <v>167</v>
      </c>
    </row>
    <row r="429" spans="1:57" x14ac:dyDescent="0.25">
      <c r="A429" s="25" t="s">
        <v>499</v>
      </c>
      <c r="B429" s="18" t="s">
        <v>5</v>
      </c>
      <c r="C429" s="18" t="s">
        <v>6</v>
      </c>
      <c r="D429" s="18">
        <v>50</v>
      </c>
      <c r="E429" s="18">
        <v>10.2104835633381</v>
      </c>
      <c r="F429" s="18">
        <v>11.726000000000001</v>
      </c>
      <c r="G429" s="15">
        <v>4.13</v>
      </c>
      <c r="H429" s="15">
        <v>1.68</v>
      </c>
      <c r="I429" s="15">
        <v>2.61</v>
      </c>
      <c r="J429" s="15">
        <v>35.69</v>
      </c>
      <c r="K429" s="15">
        <v>0</v>
      </c>
      <c r="L429" s="15">
        <f>180-143.71</f>
        <v>36.289999999999992</v>
      </c>
      <c r="M429" s="15">
        <v>4.13</v>
      </c>
      <c r="N429" s="15">
        <v>3</v>
      </c>
      <c r="O429" s="15">
        <f>0.64+2.55+1.21</f>
        <v>4.4000000000000004</v>
      </c>
      <c r="P429" s="9">
        <v>0.48597000000000001</v>
      </c>
      <c r="Q429" s="9">
        <v>1.1484000000000001</v>
      </c>
      <c r="R429" s="9">
        <v>0.46969699999999998</v>
      </c>
      <c r="S429" s="9">
        <v>3.0606999999999999E-2</v>
      </c>
      <c r="T429" s="9">
        <v>4.8481200000000002E-2</v>
      </c>
      <c r="U429" s="9">
        <v>2.8159E-2</v>
      </c>
      <c r="V429" s="9">
        <v>4.0363899999999999</v>
      </c>
      <c r="W429" s="9">
        <v>3.5148100000000002</v>
      </c>
      <c r="X429" s="9">
        <v>1.7080900000000001</v>
      </c>
      <c r="Y429" s="9">
        <v>18.440799999999999</v>
      </c>
      <c r="Z429" s="9">
        <v>9.7742500000000003</v>
      </c>
      <c r="AA429" s="9">
        <f t="shared" si="67"/>
        <v>1.3466704980842914</v>
      </c>
      <c r="AB429" s="9">
        <f t="shared" si="68"/>
        <v>1.5823754789272031</v>
      </c>
      <c r="AC429" s="9">
        <f t="shared" si="69"/>
        <v>0.64367816091954022</v>
      </c>
      <c r="AD429" s="9">
        <f t="shared" si="70"/>
        <v>1.8060652941270858</v>
      </c>
      <c r="AE429" s="9">
        <f t="shared" si="71"/>
        <v>0.95727591542241486</v>
      </c>
      <c r="AF429" s="9">
        <f t="shared" si="72"/>
        <v>4.033890722625026</v>
      </c>
      <c r="AG429" s="9">
        <f t="shared" si="64"/>
        <v>1.8028027792655568</v>
      </c>
      <c r="AH429" s="9">
        <f t="shared" si="73"/>
        <v>0.9660023822636763</v>
      </c>
      <c r="AI429" s="9">
        <f t="shared" si="65"/>
        <v>1.3263707762314447</v>
      </c>
      <c r="AJ429" s="9">
        <f>(4*PI()*(AI429^2))/(Y429+E429)</f>
        <v>0.77160613175410442</v>
      </c>
      <c r="AK429" s="12">
        <f t="shared" si="66"/>
        <v>0.59318181818181814</v>
      </c>
      <c r="AL429" s="12" t="s">
        <v>144</v>
      </c>
      <c r="AM429" s="12" t="s">
        <v>142</v>
      </c>
      <c r="AN429" s="18">
        <v>13.418531755034101</v>
      </c>
      <c r="AO429" s="18">
        <v>1.09749682790098</v>
      </c>
      <c r="AP429" s="18">
        <v>22250.094987357599</v>
      </c>
      <c r="AQ429" s="18">
        <v>21743.651339512999</v>
      </c>
      <c r="AR429" s="18">
        <v>7.0132809512755099</v>
      </c>
      <c r="AS429" s="18">
        <v>7.3230752915065698E-3</v>
      </c>
      <c r="AT429" s="18">
        <v>0.75567965309347596</v>
      </c>
      <c r="AU429" s="18">
        <v>0.192613425083378</v>
      </c>
      <c r="AV429" s="18">
        <v>0</v>
      </c>
      <c r="AW429" s="18">
        <v>4.46382083800976E-3</v>
      </c>
      <c r="AX429" s="18">
        <v>0.43510608376940102</v>
      </c>
      <c r="AY429" s="18">
        <v>3.3951285931086699</v>
      </c>
      <c r="AZ429" s="18">
        <v>4670.5732924486701</v>
      </c>
      <c r="BA429" s="18">
        <v>8.3910464160395198E-3</v>
      </c>
      <c r="BB429" s="18">
        <v>10.4303310823574</v>
      </c>
      <c r="BC429" s="18" t="s">
        <v>162</v>
      </c>
      <c r="BD429" s="35" t="s">
        <v>165</v>
      </c>
      <c r="BE429" t="s">
        <v>167</v>
      </c>
    </row>
    <row r="430" spans="1:57" x14ac:dyDescent="0.25">
      <c r="A430" s="25" t="s">
        <v>500</v>
      </c>
      <c r="B430" s="18" t="s">
        <v>5</v>
      </c>
      <c r="C430" s="18" t="s">
        <v>6</v>
      </c>
      <c r="D430" s="18">
        <v>70</v>
      </c>
      <c r="E430" s="18">
        <v>22.9990013698587</v>
      </c>
      <c r="F430" s="18">
        <v>18.812000000000001</v>
      </c>
      <c r="G430" s="15">
        <v>15.9</v>
      </c>
      <c r="H430" s="15">
        <v>13.2</v>
      </c>
      <c r="I430" s="15">
        <v>3.65</v>
      </c>
      <c r="J430" s="15">
        <v>70.180000000000007</v>
      </c>
      <c r="K430" s="15">
        <v>35.26</v>
      </c>
      <c r="L430" s="15">
        <v>72.08</v>
      </c>
      <c r="M430" s="15">
        <v>13.1</v>
      </c>
      <c r="N430" s="15">
        <v>2</v>
      </c>
      <c r="O430" s="15">
        <f>1.99+2.05</f>
        <v>4.04</v>
      </c>
      <c r="P430" s="9">
        <v>2.7820399999999998</v>
      </c>
      <c r="Q430" s="9">
        <v>2.7000899999999999</v>
      </c>
      <c r="R430" s="9">
        <v>-4.2553199999999999E-2</v>
      </c>
      <c r="S430" s="9">
        <v>0.205402</v>
      </c>
      <c r="T430" s="9">
        <v>0.22220699999999999</v>
      </c>
      <c r="U430" s="9">
        <v>5.1584199999999997E-2</v>
      </c>
      <c r="V430" s="9">
        <v>13.780900000000001</v>
      </c>
      <c r="W430" s="9">
        <v>5.1038600000000001</v>
      </c>
      <c r="X430" s="9">
        <v>14.1991</v>
      </c>
      <c r="Y430" s="9">
        <v>557.98500000000001</v>
      </c>
      <c r="Z430" s="9">
        <v>1202.32</v>
      </c>
      <c r="AA430" s="9">
        <f t="shared" si="67"/>
        <v>1.3983178082191781</v>
      </c>
      <c r="AB430" s="9">
        <f t="shared" si="68"/>
        <v>4.3561643835616444</v>
      </c>
      <c r="AC430" s="9">
        <f t="shared" si="69"/>
        <v>3.6164383561643834</v>
      </c>
      <c r="AD430" s="9">
        <f t="shared" si="70"/>
        <v>24.261270784185712</v>
      </c>
      <c r="AE430" s="9">
        <f t="shared" si="71"/>
        <v>52.277052410445016</v>
      </c>
      <c r="AF430" s="9">
        <f t="shared" si="72"/>
        <v>4.9348710616340909</v>
      </c>
      <c r="AG430" s="9">
        <f t="shared" si="64"/>
        <v>2.7056994490113953</v>
      </c>
      <c r="AH430" s="9">
        <f t="shared" si="73"/>
        <v>0.90370035209825106</v>
      </c>
      <c r="AI430" s="9">
        <f t="shared" si="65"/>
        <v>6.5964532272418719</v>
      </c>
      <c r="AJ430" s="9">
        <f>(4*PI()*(AI430^2))/(Y430+E430)</f>
        <v>0.94116694426589897</v>
      </c>
      <c r="AK430" s="12">
        <f t="shared" si="66"/>
        <v>0.90346534653465349</v>
      </c>
      <c r="AL430" s="12" t="s">
        <v>144</v>
      </c>
      <c r="AM430" s="12" t="s">
        <v>142</v>
      </c>
      <c r="AN430" s="18">
        <v>1.4502763477185601</v>
      </c>
      <c r="AO430" s="18">
        <v>0.16039862886686501</v>
      </c>
      <c r="AP430" s="18">
        <v>2290.55742311221</v>
      </c>
      <c r="AQ430" s="18">
        <v>1958.5244001010301</v>
      </c>
      <c r="AR430" s="18">
        <v>1.03980535342282</v>
      </c>
      <c r="AS430" s="18">
        <v>4.52319004389556E-2</v>
      </c>
      <c r="AT430" s="18">
        <v>0.65271799504370698</v>
      </c>
      <c r="AU430" s="18">
        <v>3.4756175452051399</v>
      </c>
      <c r="AV430" s="18">
        <v>0.71550217867785404</v>
      </c>
      <c r="AW430" s="18">
        <v>4.2646424677448301E-2</v>
      </c>
      <c r="AX430" s="18">
        <v>7.8963211952733106E-2</v>
      </c>
      <c r="AY430" s="18">
        <v>-12.926302311466999</v>
      </c>
      <c r="AZ430" s="18">
        <v>-198.866887340961</v>
      </c>
      <c r="BA430" s="18">
        <v>0.96888721654937104</v>
      </c>
      <c r="BB430" s="18">
        <v>24.231631540131001</v>
      </c>
      <c r="BC430" s="18" t="s">
        <v>162</v>
      </c>
      <c r="BD430" s="35" t="s">
        <v>163</v>
      </c>
      <c r="BE430" t="s">
        <v>167</v>
      </c>
    </row>
    <row r="431" spans="1:57" x14ac:dyDescent="0.25">
      <c r="A431" s="25" t="s">
        <v>501</v>
      </c>
      <c r="B431" s="18" t="s">
        <v>26</v>
      </c>
      <c r="C431" s="18" t="s">
        <v>6</v>
      </c>
      <c r="D431" s="18">
        <v>70</v>
      </c>
      <c r="E431" s="18">
        <v>10.7048441727785</v>
      </c>
      <c r="F431" s="18">
        <v>11.811</v>
      </c>
      <c r="G431" s="15">
        <v>3.96</v>
      </c>
      <c r="H431" s="15">
        <v>2.15</v>
      </c>
      <c r="I431" s="15">
        <v>2.5499999999999998</v>
      </c>
      <c r="J431" s="15">
        <v>106.89</v>
      </c>
      <c r="K431" s="15">
        <v>8.23</v>
      </c>
      <c r="L431" s="15">
        <v>62.65</v>
      </c>
      <c r="M431" s="15">
        <v>3.65</v>
      </c>
      <c r="N431" s="15">
        <v>2</v>
      </c>
      <c r="O431" s="15">
        <f>1.27+1.71</f>
        <v>2.98</v>
      </c>
      <c r="P431" s="9">
        <v>0.59126400000000001</v>
      </c>
      <c r="Q431" s="9">
        <v>1.09117</v>
      </c>
      <c r="R431" s="9">
        <v>0.40476200000000001</v>
      </c>
      <c r="S431" s="9">
        <v>1.7972499999999999E-2</v>
      </c>
      <c r="T431" s="9">
        <v>2.3359899999999999E-2</v>
      </c>
      <c r="U431" s="9">
        <v>-2.6773399999999998E-3</v>
      </c>
      <c r="V431" s="9">
        <v>3.9831699999999999</v>
      </c>
      <c r="W431" s="9">
        <v>3.65036</v>
      </c>
      <c r="X431" s="9">
        <v>2.1583299999999999</v>
      </c>
      <c r="Y431" s="9">
        <v>25.438099999999999</v>
      </c>
      <c r="Z431" s="9">
        <v>16.467099999999999</v>
      </c>
      <c r="AA431" s="9">
        <f t="shared" si="67"/>
        <v>1.4315137254901962</v>
      </c>
      <c r="AB431" s="9">
        <f t="shared" si="68"/>
        <v>1.5529411764705883</v>
      </c>
      <c r="AC431" s="9">
        <f t="shared" si="69"/>
        <v>0.84313725490196079</v>
      </c>
      <c r="AD431" s="9">
        <f t="shared" si="70"/>
        <v>2.3763167019924403</v>
      </c>
      <c r="AE431" s="9">
        <f t="shared" si="71"/>
        <v>1.5382848861896019</v>
      </c>
      <c r="AF431" s="9">
        <f t="shared" si="72"/>
        <v>3.9301270338838759</v>
      </c>
      <c r="AG431" s="9">
        <f t="shared" si="64"/>
        <v>1.8459300447883553</v>
      </c>
      <c r="AH431" s="9">
        <f t="shared" si="73"/>
        <v>0.98199310265816186</v>
      </c>
      <c r="AI431" s="9">
        <f t="shared" si="65"/>
        <v>1.5782513561755571</v>
      </c>
      <c r="AJ431" s="9">
        <f>(4*PI()*(AI431^2))/(Y431+E431)</f>
        <v>0.86604145198597116</v>
      </c>
      <c r="AK431" s="12">
        <f t="shared" si="66"/>
        <v>0.85570469798657711</v>
      </c>
      <c r="AL431" s="12" t="s">
        <v>144</v>
      </c>
      <c r="AM431" s="12" t="s">
        <v>142</v>
      </c>
      <c r="AN431" s="18">
        <v>4.7816105445553196</v>
      </c>
      <c r="AO431" s="18">
        <v>0.86178925010767704</v>
      </c>
      <c r="AP431" s="18">
        <v>6066.9021813905301</v>
      </c>
      <c r="AQ431" s="18">
        <v>5903.9402165044203</v>
      </c>
      <c r="AR431" s="18">
        <v>2.3555053140137399</v>
      </c>
      <c r="AS431" s="18">
        <v>2.2683122880439699E-3</v>
      </c>
      <c r="AT431" s="18">
        <v>0.75612623805728596</v>
      </c>
      <c r="AU431" s="18">
        <v>0.49401872001434</v>
      </c>
      <c r="AV431" s="19">
        <v>9.2525347885635996E-4</v>
      </c>
      <c r="AW431" s="18">
        <v>4.8015560839636201E-3</v>
      </c>
      <c r="AX431" s="18">
        <v>0.168779745911874</v>
      </c>
      <c r="AY431" s="18">
        <v>-6.6729398664948603</v>
      </c>
      <c r="AZ431" s="18">
        <v>-712.92723954345797</v>
      </c>
      <c r="BA431" s="18">
        <v>4.19792694150216E-2</v>
      </c>
      <c r="BB431" s="18">
        <v>20.985239619587698</v>
      </c>
      <c r="BC431" s="18" t="s">
        <v>162</v>
      </c>
      <c r="BD431" s="35" t="s">
        <v>165</v>
      </c>
      <c r="BE431" t="s">
        <v>167</v>
      </c>
    </row>
    <row r="432" spans="1:57" x14ac:dyDescent="0.25">
      <c r="A432" s="25" t="s">
        <v>502</v>
      </c>
      <c r="B432" s="18" t="s">
        <v>26</v>
      </c>
      <c r="C432" s="18" t="s">
        <v>6</v>
      </c>
      <c r="D432" s="18">
        <v>75</v>
      </c>
      <c r="E432" s="18">
        <v>7.48987946078904</v>
      </c>
      <c r="F432" s="18">
        <v>10.002000000000001</v>
      </c>
      <c r="G432" s="15">
        <v>3.43</v>
      </c>
      <c r="H432" s="15">
        <v>1.7</v>
      </c>
      <c r="I432" s="15">
        <v>2.41</v>
      </c>
      <c r="J432" s="15">
        <v>54.9</v>
      </c>
      <c r="K432" s="15">
        <v>16.36</v>
      </c>
      <c r="L432" s="15">
        <v>65.17</v>
      </c>
      <c r="M432" s="15">
        <v>3.4</v>
      </c>
      <c r="N432" s="15">
        <v>2</v>
      </c>
      <c r="O432" s="15">
        <f>2.29+1.98</f>
        <v>4.2699999999999996</v>
      </c>
      <c r="P432" s="9">
        <v>0.56903899999999996</v>
      </c>
      <c r="Q432" s="9">
        <v>1.12656</v>
      </c>
      <c r="R432" s="9">
        <v>0.46969699999999998</v>
      </c>
      <c r="S432" s="9">
        <v>2.18479E-2</v>
      </c>
      <c r="T432" s="9">
        <v>2.7733299999999999E-2</v>
      </c>
      <c r="U432" s="9">
        <v>-1.03458E-2</v>
      </c>
      <c r="V432" s="9">
        <v>3.3996200000000001</v>
      </c>
      <c r="W432" s="9">
        <v>3.0177</v>
      </c>
      <c r="X432" s="9">
        <v>1.71719</v>
      </c>
      <c r="Y432" s="9">
        <v>17.418900000000001</v>
      </c>
      <c r="Z432" s="9">
        <v>9.2682199999999995</v>
      </c>
      <c r="AA432" s="9">
        <f t="shared" si="67"/>
        <v>1.2521576763485476</v>
      </c>
      <c r="AB432" s="9">
        <f t="shared" si="68"/>
        <v>1.4232365145228216</v>
      </c>
      <c r="AC432" s="9">
        <f t="shared" si="69"/>
        <v>0.70539419087136923</v>
      </c>
      <c r="AD432" s="9">
        <f t="shared" si="70"/>
        <v>2.3256582554086878</v>
      </c>
      <c r="AE432" s="9">
        <f t="shared" si="71"/>
        <v>1.2374324645037231</v>
      </c>
      <c r="AF432" s="9">
        <f t="shared" si="72"/>
        <v>3.947812367059528</v>
      </c>
      <c r="AG432" s="9">
        <f t="shared" si="64"/>
        <v>1.5440539753175957</v>
      </c>
      <c r="AH432" s="9">
        <f t="shared" si="73"/>
        <v>0.96996373237429989</v>
      </c>
      <c r="AI432" s="9">
        <f t="shared" si="65"/>
        <v>1.3030744864521075</v>
      </c>
      <c r="AJ432" s="9">
        <f>(4*PI()*(AI432^2))/(Y432+E432)</f>
        <v>0.85663516790113914</v>
      </c>
      <c r="AK432" s="12">
        <f t="shared" si="66"/>
        <v>0.56440281030444972</v>
      </c>
      <c r="AL432" s="12" t="s">
        <v>144</v>
      </c>
      <c r="AM432" s="12" t="s">
        <v>142</v>
      </c>
      <c r="AN432" s="18">
        <v>19.5856266439705</v>
      </c>
      <c r="AO432" s="18">
        <v>1.0331472581557499</v>
      </c>
      <c r="AP432" s="18">
        <v>27892.558120692702</v>
      </c>
      <c r="AQ432" s="18">
        <v>29771.126104255502</v>
      </c>
      <c r="AR432" s="18">
        <v>9.6790701823370497</v>
      </c>
      <c r="AS432" s="19">
        <v>8.0081513651224896E-4</v>
      </c>
      <c r="AT432" s="18">
        <v>0.75549689495295103</v>
      </c>
      <c r="AU432" s="18">
        <v>0.124709296828712</v>
      </c>
      <c r="AV432" s="18">
        <v>2.1969835317248898E-3</v>
      </c>
      <c r="AW432" s="19">
        <v>9.1585768052903597E-4</v>
      </c>
      <c r="AX432" s="18">
        <v>0.51721658505812496</v>
      </c>
      <c r="AY432" s="18">
        <v>5.2196921665695402E-2</v>
      </c>
      <c r="AZ432" s="18">
        <v>-7773.6309081107202</v>
      </c>
      <c r="BA432" s="18">
        <v>9.8740654448371407E-3</v>
      </c>
      <c r="BB432" s="18">
        <v>6.0009407041821596</v>
      </c>
      <c r="BC432" s="18" t="s">
        <v>162</v>
      </c>
      <c r="BD432" s="35" t="s">
        <v>165</v>
      </c>
      <c r="BE432" t="s">
        <v>167</v>
      </c>
    </row>
    <row r="433" spans="1:57" x14ac:dyDescent="0.25">
      <c r="A433" s="25" t="s">
        <v>503</v>
      </c>
      <c r="B433" s="18" t="s">
        <v>178</v>
      </c>
      <c r="C433" s="18" t="s">
        <v>6</v>
      </c>
      <c r="D433" s="18">
        <v>53</v>
      </c>
      <c r="E433" s="18">
        <v>7.5638146707757103</v>
      </c>
      <c r="F433" s="18">
        <v>9.8424999999999994</v>
      </c>
      <c r="G433" s="15">
        <v>5.88</v>
      </c>
      <c r="H433" s="15">
        <v>4</v>
      </c>
      <c r="I433" s="15">
        <v>2.4500000000000002</v>
      </c>
      <c r="J433" s="15">
        <v>21.87</v>
      </c>
      <c r="K433" s="15">
        <v>40.479999999999997</v>
      </c>
      <c r="L433" s="15">
        <v>56.22</v>
      </c>
      <c r="M433" s="15">
        <v>4.25</v>
      </c>
      <c r="N433" s="15">
        <v>2</v>
      </c>
      <c r="O433" s="15">
        <f>2.3+0.67</f>
        <v>2.9699999999999998</v>
      </c>
      <c r="P433" s="9">
        <v>1.3212299999999999</v>
      </c>
      <c r="Q433" s="9">
        <v>1.4480900000000001</v>
      </c>
      <c r="R433" s="9">
        <v>-4.4303799999999997E-2</v>
      </c>
      <c r="S433" s="9">
        <v>0.147284</v>
      </c>
      <c r="T433" s="9">
        <v>0.17463600000000001</v>
      </c>
      <c r="U433" s="9">
        <v>7.0404499999999995E-2</v>
      </c>
      <c r="V433" s="9">
        <v>4.3966700000000003</v>
      </c>
      <c r="W433" s="9">
        <v>3.0361799999999999</v>
      </c>
      <c r="X433" s="9">
        <v>4.0114900000000002</v>
      </c>
      <c r="Y433" s="9">
        <v>47.948799999999999</v>
      </c>
      <c r="Z433" s="9">
        <v>33.107199999999999</v>
      </c>
      <c r="AA433" s="9">
        <f t="shared" si="67"/>
        <v>1.2392571428571426</v>
      </c>
      <c r="AB433" s="9">
        <f t="shared" si="68"/>
        <v>2.4</v>
      </c>
      <c r="AC433" s="9">
        <f t="shared" si="69"/>
        <v>1.6326530612244896</v>
      </c>
      <c r="AD433" s="9">
        <f t="shared" si="70"/>
        <v>6.3392351725987739</v>
      </c>
      <c r="AE433" s="9">
        <f t="shared" si="71"/>
        <v>4.3770506604182406</v>
      </c>
      <c r="AF433" s="9">
        <f t="shared" si="72"/>
        <v>4.650462083027131</v>
      </c>
      <c r="AG433" s="9">
        <f t="shared" si="64"/>
        <v>1.551656207724476</v>
      </c>
      <c r="AH433" s="9">
        <f t="shared" si="73"/>
        <v>0.99053527926527052</v>
      </c>
      <c r="AI433" s="9">
        <f t="shared" si="65"/>
        <v>1.9919477741621077</v>
      </c>
      <c r="AJ433" s="9">
        <f>(4*PI()*(AI433^2))/(Y433+E433)</f>
        <v>0.89820212071023986</v>
      </c>
      <c r="AK433" s="12">
        <f t="shared" si="66"/>
        <v>0.82491582491582505</v>
      </c>
      <c r="AL433" s="12" t="s">
        <v>144</v>
      </c>
      <c r="AM433" s="12" t="s">
        <v>142</v>
      </c>
      <c r="AN433" s="18">
        <v>1.9785519815380701</v>
      </c>
      <c r="AO433" s="18">
        <v>0.28491069664081697</v>
      </c>
      <c r="AP433" s="18">
        <v>3087.7425513796402</v>
      </c>
      <c r="AQ433" s="18">
        <v>2816.53786170186</v>
      </c>
      <c r="AR433" s="18">
        <v>1.2250656927958801</v>
      </c>
      <c r="AS433" s="18">
        <v>2.10987580185686E-2</v>
      </c>
      <c r="AT433" s="18">
        <v>0.694462500226389</v>
      </c>
      <c r="AU433" s="18">
        <v>1.8280812482722899</v>
      </c>
      <c r="AV433" s="18">
        <v>0.226838992382383</v>
      </c>
      <c r="AW433" s="18">
        <v>1.28748317994541E-2</v>
      </c>
      <c r="AX433" s="18">
        <v>0.12500630110601699</v>
      </c>
      <c r="AY433" s="18">
        <v>-5.0543444669908197</v>
      </c>
      <c r="AZ433" s="18">
        <v>-485.75333163450699</v>
      </c>
      <c r="BA433" s="18">
        <v>9.3005091913774804E-2</v>
      </c>
      <c r="BB433" s="18">
        <v>5.2742226670317898</v>
      </c>
      <c r="BC433" s="18" t="s">
        <v>162</v>
      </c>
      <c r="BD433" s="35" t="s">
        <v>163</v>
      </c>
      <c r="BE433" t="s">
        <v>168</v>
      </c>
    </row>
    <row r="434" spans="1:57" x14ac:dyDescent="0.25">
      <c r="A434" s="25" t="s">
        <v>504</v>
      </c>
      <c r="B434" s="18" t="s">
        <v>40</v>
      </c>
      <c r="C434" s="18" t="s">
        <v>6</v>
      </c>
      <c r="D434" s="18">
        <v>47</v>
      </c>
      <c r="E434" s="18">
        <v>36.437049946323498</v>
      </c>
      <c r="F434" s="18">
        <v>21.983000000000001</v>
      </c>
      <c r="G434" s="15">
        <v>9.59</v>
      </c>
      <c r="H434" s="15">
        <v>6.7</v>
      </c>
      <c r="I434" s="15">
        <v>3.24</v>
      </c>
      <c r="J434" s="15">
        <v>34.85</v>
      </c>
      <c r="K434" s="15">
        <v>41.92</v>
      </c>
      <c r="L434" s="15">
        <v>71.72</v>
      </c>
      <c r="M434" s="15">
        <v>8</v>
      </c>
      <c r="N434" s="15">
        <v>2</v>
      </c>
      <c r="O434" s="15">
        <f>2.13+1.3</f>
        <v>3.4299999999999997</v>
      </c>
      <c r="P434" s="9">
        <v>1.01298</v>
      </c>
      <c r="Q434" s="9">
        <v>1.2116899999999999</v>
      </c>
      <c r="R434" s="9">
        <v>0.492481</v>
      </c>
      <c r="S434" s="9">
        <v>9.2974299999999996E-2</v>
      </c>
      <c r="T434" s="9">
        <v>9.7309900000000005E-2</v>
      </c>
      <c r="U434" s="9">
        <v>1.3865799999999999E-2</v>
      </c>
      <c r="V434" s="9">
        <v>8.0459399999999999</v>
      </c>
      <c r="W434" s="9">
        <v>6.64025</v>
      </c>
      <c r="X434" s="9">
        <v>6.7264499999999998</v>
      </c>
      <c r="Y434" s="9">
        <v>124.64100000000001</v>
      </c>
      <c r="Z434" s="9">
        <v>158.70400000000001</v>
      </c>
      <c r="AA434" s="9">
        <f t="shared" si="67"/>
        <v>2.0494598765432097</v>
      </c>
      <c r="AB434" s="9">
        <f t="shared" si="68"/>
        <v>2.9598765432098761</v>
      </c>
      <c r="AC434" s="9">
        <f t="shared" si="69"/>
        <v>2.0679012345679011</v>
      </c>
      <c r="AD434" s="9">
        <f t="shared" si="70"/>
        <v>3.420721495939226</v>
      </c>
      <c r="AE434" s="9">
        <f t="shared" si="71"/>
        <v>4.355566661784958</v>
      </c>
      <c r="AF434" s="9">
        <f t="shared" si="72"/>
        <v>4.2520889671482012</v>
      </c>
      <c r="AG434" s="9">
        <f t="shared" si="64"/>
        <v>3.4056237639068896</v>
      </c>
      <c r="AH434" s="9">
        <f t="shared" si="73"/>
        <v>0.97339604217629105</v>
      </c>
      <c r="AI434" s="9">
        <f t="shared" si="65"/>
        <v>3.3586629320952821</v>
      </c>
      <c r="AJ434" s="9">
        <f>(4*PI()*(AI434^2))/(Y434+E434)</f>
        <v>0.88004796525836038</v>
      </c>
      <c r="AK434" s="12">
        <f t="shared" si="66"/>
        <v>0.94460641399416923</v>
      </c>
      <c r="AL434" s="12" t="s">
        <v>144</v>
      </c>
      <c r="AM434" s="12" t="s">
        <v>142</v>
      </c>
      <c r="AN434" s="18">
        <v>5.6058761827447698</v>
      </c>
      <c r="AO434" s="18">
        <v>0.63292549605538895</v>
      </c>
      <c r="AP434" s="18">
        <v>4779.8612083920798</v>
      </c>
      <c r="AQ434" s="18">
        <v>4874.4315176331202</v>
      </c>
      <c r="AR434" s="18">
        <v>2.7275109227806098</v>
      </c>
      <c r="AS434" s="18">
        <v>3.4645417933979003E-2</v>
      </c>
      <c r="AT434" s="18">
        <v>0.66467608754063501</v>
      </c>
      <c r="AU434" s="18">
        <v>0.66962765623492704</v>
      </c>
      <c r="AV434" s="18">
        <v>8.19579980875767E-2</v>
      </c>
      <c r="AW434" s="18">
        <v>3.6192136556887002E-2</v>
      </c>
      <c r="AX434" s="18">
        <v>0.236884925373646</v>
      </c>
      <c r="AY434" s="18">
        <v>-72.342966708962805</v>
      </c>
      <c r="AZ434" s="18">
        <v>-2994.3793968366999</v>
      </c>
      <c r="BA434" s="18">
        <v>0.13872110601215901</v>
      </c>
      <c r="BB434" s="18">
        <v>4.2770410616079904</v>
      </c>
      <c r="BC434" s="18" t="s">
        <v>162</v>
      </c>
      <c r="BD434" s="35" t="s">
        <v>165</v>
      </c>
      <c r="BE434" t="s">
        <v>168</v>
      </c>
    </row>
    <row r="435" spans="1:57" x14ac:dyDescent="0.25">
      <c r="A435" s="25" t="s">
        <v>505</v>
      </c>
      <c r="B435" s="16" t="s">
        <v>5</v>
      </c>
      <c r="C435" s="16" t="s">
        <v>6</v>
      </c>
      <c r="D435" s="16">
        <v>45</v>
      </c>
      <c r="E435" s="16">
        <v>3.8597000000000001</v>
      </c>
      <c r="F435" s="16">
        <v>7.4123999999999999</v>
      </c>
      <c r="G435" s="15">
        <v>2.42</v>
      </c>
      <c r="H435" s="15">
        <v>1.7</v>
      </c>
      <c r="I435" s="15">
        <v>4.2300000000000004</v>
      </c>
      <c r="J435" s="15">
        <v>58.9</v>
      </c>
      <c r="K435" s="15">
        <v>34.229999999999997</v>
      </c>
      <c r="L435" s="15">
        <v>22.26</v>
      </c>
      <c r="M435" s="15">
        <v>2.17</v>
      </c>
      <c r="N435" s="15">
        <v>1</v>
      </c>
      <c r="O435" s="15">
        <v>3.43</v>
      </c>
      <c r="P435" s="9">
        <v>0.73448400000000003</v>
      </c>
      <c r="Q435" s="9">
        <v>1.05748</v>
      </c>
      <c r="R435" s="9">
        <v>0.466667</v>
      </c>
      <c r="S435" s="9">
        <v>4.8667700000000001E-2</v>
      </c>
      <c r="T435" s="9">
        <v>6.8613599999999997E-2</v>
      </c>
      <c r="U435" s="9">
        <v>1.84063E-2</v>
      </c>
      <c r="V435" s="9">
        <v>2.2980700000000001</v>
      </c>
      <c r="W435" s="9">
        <v>2.1731699999999998</v>
      </c>
      <c r="X435" s="9">
        <v>1.59616</v>
      </c>
      <c r="Y435" s="9">
        <v>9.3351500000000005</v>
      </c>
      <c r="Z435" s="9">
        <v>3.4093</v>
      </c>
      <c r="AA435" s="9">
        <f t="shared" si="67"/>
        <v>0.51375177304964526</v>
      </c>
      <c r="AB435" s="9">
        <f t="shared" si="68"/>
        <v>0.57210401891252949</v>
      </c>
      <c r="AC435" s="9">
        <f t="shared" si="69"/>
        <v>0.40189125295508271</v>
      </c>
      <c r="AD435" s="9">
        <f t="shared" si="70"/>
        <v>2.4186206181827603</v>
      </c>
      <c r="AE435" s="9">
        <f t="shared" si="71"/>
        <v>0.88330699277145885</v>
      </c>
      <c r="AF435" s="9">
        <f t="shared" si="72"/>
        <v>4.12108104155344</v>
      </c>
      <c r="AG435" s="9">
        <f t="shared" si="64"/>
        <v>1.1084135815225185</v>
      </c>
      <c r="AH435" s="9">
        <f t="shared" si="73"/>
        <v>0.93955640948958374</v>
      </c>
      <c r="AI435" s="9">
        <f t="shared" si="65"/>
        <v>0.93366741686805677</v>
      </c>
      <c r="AJ435" s="9">
        <f>(4*PI()*(AI435^2))/(Y435+E435)</f>
        <v>0.83021354117368729</v>
      </c>
      <c r="AK435" s="12">
        <f t="shared" si="66"/>
        <v>1.2332361516034986</v>
      </c>
      <c r="AL435" s="12" t="s">
        <v>144</v>
      </c>
      <c r="AM435" s="12" t="s">
        <v>143</v>
      </c>
      <c r="AN435" s="16">
        <v>9.7814999999999994</v>
      </c>
      <c r="AO435" s="16">
        <v>1.0771999999999999</v>
      </c>
      <c r="AP435" s="16">
        <v>22589</v>
      </c>
      <c r="AQ435" s="16">
        <v>23284</v>
      </c>
      <c r="AR435" s="16">
        <v>4.4137000000000004</v>
      </c>
      <c r="AS435" s="16">
        <v>7.7340999999999998E-3</v>
      </c>
      <c r="AT435" s="16">
        <v>0.71508000000000005</v>
      </c>
      <c r="AU435" s="16">
        <v>0.43304999999999999</v>
      </c>
      <c r="AV435" s="16">
        <v>0</v>
      </c>
      <c r="AW435" s="16">
        <v>5.6039999999999996E-3</v>
      </c>
      <c r="AX435" s="16">
        <v>0.22202</v>
      </c>
      <c r="AY435" s="16">
        <v>4.1249000000000002</v>
      </c>
      <c r="AZ435" s="16">
        <v>5091.8999999999996</v>
      </c>
      <c r="BA435" s="16">
        <v>9.9512000000000003E-3</v>
      </c>
      <c r="BB435" s="16">
        <v>10.98</v>
      </c>
      <c r="BC435" s="16" t="s">
        <v>162</v>
      </c>
      <c r="BD435" s="34" t="s">
        <v>163</v>
      </c>
      <c r="BE435" t="s">
        <v>167</v>
      </c>
    </row>
    <row r="436" spans="1:57" x14ac:dyDescent="0.25">
      <c r="A436" s="25" t="s">
        <v>506</v>
      </c>
      <c r="B436" s="18" t="s">
        <v>26</v>
      </c>
      <c r="C436" s="18" t="s">
        <v>6</v>
      </c>
      <c r="D436" s="18">
        <v>55</v>
      </c>
      <c r="E436" s="18">
        <v>5.7535310962792403</v>
      </c>
      <c r="F436" s="18">
        <v>8.7461000000000002</v>
      </c>
      <c r="G436" s="15">
        <v>2.84</v>
      </c>
      <c r="H436" s="15">
        <v>1.6</v>
      </c>
      <c r="I436" s="15">
        <v>1.96</v>
      </c>
      <c r="J436" s="15">
        <v>31.54</v>
      </c>
      <c r="K436" s="15">
        <v>21.22</v>
      </c>
      <c r="L436" s="15">
        <v>50.68</v>
      </c>
      <c r="M436" s="15">
        <v>3.1</v>
      </c>
      <c r="N436" s="15">
        <v>2</v>
      </c>
      <c r="O436" s="15">
        <f>2.04+1.24</f>
        <v>3.2800000000000002</v>
      </c>
      <c r="P436" s="9">
        <v>0.61377199999999998</v>
      </c>
      <c r="Q436" s="9">
        <v>1.1474599999999999</v>
      </c>
      <c r="R436" s="9">
        <v>0.46774199999999999</v>
      </c>
      <c r="S436" s="9">
        <v>2.7757400000000002E-2</v>
      </c>
      <c r="T436" s="9">
        <v>3.5197300000000001E-2</v>
      </c>
      <c r="U436" s="9">
        <v>-2.5299699999999999E-3</v>
      </c>
      <c r="V436" s="9">
        <v>3.03261</v>
      </c>
      <c r="W436" s="9">
        <v>2.64289</v>
      </c>
      <c r="X436" s="9">
        <v>1.6221300000000001</v>
      </c>
      <c r="Y436" s="9">
        <v>12.7873</v>
      </c>
      <c r="Z436" s="9">
        <v>5.7625700000000002</v>
      </c>
      <c r="AA436" s="9">
        <f t="shared" si="67"/>
        <v>1.3484132653061225</v>
      </c>
      <c r="AB436" s="9">
        <f t="shared" si="68"/>
        <v>1.4489795918367347</v>
      </c>
      <c r="AC436" s="9">
        <f t="shared" si="69"/>
        <v>0.81632653061224492</v>
      </c>
      <c r="AD436" s="9">
        <f t="shared" si="70"/>
        <v>2.2225134071612889</v>
      </c>
      <c r="AE436" s="9">
        <f t="shared" si="71"/>
        <v>1.0015710184875173</v>
      </c>
      <c r="AF436" s="9">
        <f t="shared" si="72"/>
        <v>3.9783352532354508</v>
      </c>
      <c r="AG436" s="9">
        <f t="shared" si="64"/>
        <v>1.3532944352252194</v>
      </c>
      <c r="AH436" s="9">
        <f t="shared" si="73"/>
        <v>0.97220472115514289</v>
      </c>
      <c r="AI436" s="9">
        <f t="shared" si="65"/>
        <v>1.1121820159230253</v>
      </c>
      <c r="AJ436" s="9">
        <f>(4*PI()*(AI436^2))/(Y436+E436)</f>
        <v>0.83836357875640766</v>
      </c>
      <c r="AK436" s="12">
        <f t="shared" si="66"/>
        <v>0.59756097560975607</v>
      </c>
      <c r="AL436" s="12" t="s">
        <v>144</v>
      </c>
      <c r="AM436" s="12" t="s">
        <v>142</v>
      </c>
      <c r="AN436" s="18">
        <v>6.2619614607618104</v>
      </c>
      <c r="AO436" s="18">
        <v>0.67738363188652695</v>
      </c>
      <c r="AP436" s="18">
        <v>11283.1650236109</v>
      </c>
      <c r="AQ436" s="18">
        <v>9514.9462905561904</v>
      </c>
      <c r="AR436" s="18">
        <v>2.9469370218773401</v>
      </c>
      <c r="AS436" s="18">
        <v>1.62432968839841E-3</v>
      </c>
      <c r="AT436" s="18">
        <v>0.74567230311996102</v>
      </c>
      <c r="AU436" s="18">
        <v>0.48460543498078001</v>
      </c>
      <c r="AV436" s="18">
        <v>9.8402442076927898E-3</v>
      </c>
      <c r="AW436" s="18">
        <v>1.7924954835723201E-3</v>
      </c>
      <c r="AX436" s="18">
        <v>0.172228532531923</v>
      </c>
      <c r="AY436" s="18">
        <v>-5.2854074683736796</v>
      </c>
      <c r="AZ436" s="18">
        <v>-1008.2358886248199</v>
      </c>
      <c r="BA436" s="18">
        <v>2.7375121915566299E-2</v>
      </c>
      <c r="BB436" s="18">
        <v>40.034037682109698</v>
      </c>
      <c r="BC436" s="18" t="s">
        <v>164</v>
      </c>
      <c r="BD436" s="35" t="s">
        <v>163</v>
      </c>
      <c r="BE436" t="s">
        <v>167</v>
      </c>
    </row>
    <row r="437" spans="1:57" x14ac:dyDescent="0.25">
      <c r="A437" s="25" t="s">
        <v>507</v>
      </c>
      <c r="B437" s="18" t="s">
        <v>26</v>
      </c>
      <c r="C437" s="18" t="s">
        <v>6</v>
      </c>
      <c r="D437" s="18">
        <v>55</v>
      </c>
      <c r="E437" s="18">
        <v>9.3897962880839092</v>
      </c>
      <c r="F437" s="18">
        <v>11.25</v>
      </c>
      <c r="G437" s="15">
        <v>4.9000000000000004</v>
      </c>
      <c r="H437" s="15">
        <v>3.28</v>
      </c>
      <c r="I437" s="15">
        <v>2.58</v>
      </c>
      <c r="J437" s="15">
        <v>35.409999999999997</v>
      </c>
      <c r="K437" s="15">
        <v>40.46</v>
      </c>
      <c r="L437" s="15">
        <v>73</v>
      </c>
      <c r="M437" s="15">
        <v>4.05</v>
      </c>
      <c r="N437" s="15">
        <v>2</v>
      </c>
      <c r="O437" s="15">
        <f>1.92+1.44</f>
        <v>3.36</v>
      </c>
      <c r="P437" s="9">
        <v>0.97665999999999997</v>
      </c>
      <c r="Q437" s="9">
        <v>1.1717599999999999</v>
      </c>
      <c r="R437" s="9">
        <v>0.484375</v>
      </c>
      <c r="S437" s="9">
        <v>9.4284999999999994E-2</v>
      </c>
      <c r="T437" s="9">
        <v>0.11834600000000001</v>
      </c>
      <c r="U437" s="9">
        <v>5.6679300000000002E-2</v>
      </c>
      <c r="V437" s="9">
        <v>3.95078</v>
      </c>
      <c r="W437" s="9">
        <v>3.3716599999999999</v>
      </c>
      <c r="X437" s="9">
        <v>3.29297</v>
      </c>
      <c r="Y437" s="9">
        <v>33.956299999999999</v>
      </c>
      <c r="Z437" s="9">
        <v>21.782900000000001</v>
      </c>
      <c r="AA437" s="9">
        <f t="shared" si="67"/>
        <v>1.3068449612403099</v>
      </c>
      <c r="AB437" s="9">
        <f t="shared" si="68"/>
        <v>1.8992248062015504</v>
      </c>
      <c r="AC437" s="9">
        <f t="shared" si="69"/>
        <v>1.2713178294573642</v>
      </c>
      <c r="AD437" s="9">
        <f t="shared" si="70"/>
        <v>3.6162978363111171</v>
      </c>
      <c r="AE437" s="9">
        <f t="shared" si="71"/>
        <v>2.3198479851627369</v>
      </c>
      <c r="AF437" s="9">
        <f t="shared" si="72"/>
        <v>4.3535469264836912</v>
      </c>
      <c r="AG437" s="9">
        <f t="shared" si="64"/>
        <v>1.7288334181606304</v>
      </c>
      <c r="AH437" s="9">
        <f t="shared" si="73"/>
        <v>0.96556273169314977</v>
      </c>
      <c r="AI437" s="9">
        <f t="shared" si="65"/>
        <v>1.732509785056449</v>
      </c>
      <c r="AJ437" s="9">
        <f>(4*PI()*(AI437^2))/(Y437+E437)</f>
        <v>0.87018434309357351</v>
      </c>
      <c r="AK437" s="12">
        <f t="shared" si="66"/>
        <v>0.7678571428571429</v>
      </c>
      <c r="AL437" s="12" t="s">
        <v>144</v>
      </c>
      <c r="AM437" s="12" t="s">
        <v>142</v>
      </c>
      <c r="AN437" s="18">
        <v>11.0300315291705</v>
      </c>
      <c r="AO437" s="18">
        <v>0.73174098866892701</v>
      </c>
      <c r="AP437" s="18">
        <v>20034.140990337299</v>
      </c>
      <c r="AQ437" s="18">
        <v>17679.485431973299</v>
      </c>
      <c r="AR437" s="18">
        <v>5.3999484061063496</v>
      </c>
      <c r="AS437" s="18">
        <v>6.9027462568708496E-3</v>
      </c>
      <c r="AT437" s="18">
        <v>0.76473676393380097</v>
      </c>
      <c r="AU437" s="18">
        <v>0.28840202380617502</v>
      </c>
      <c r="AV437" s="18">
        <v>1.15840179181375E-2</v>
      </c>
      <c r="AW437" s="18">
        <v>5.9901540699733797E-3</v>
      </c>
      <c r="AX437" s="18">
        <v>0.29675549309550298</v>
      </c>
      <c r="AY437" s="18">
        <v>-0.90285734110317695</v>
      </c>
      <c r="AZ437" s="18">
        <v>-1259.53637073662</v>
      </c>
      <c r="BA437" s="18">
        <v>3.1561222983951698E-2</v>
      </c>
      <c r="BB437" s="18">
        <v>39.815459274673998</v>
      </c>
      <c r="BC437" s="18" t="s">
        <v>162</v>
      </c>
      <c r="BD437" s="35" t="s">
        <v>163</v>
      </c>
      <c r="BE437" t="s">
        <v>167</v>
      </c>
    </row>
    <row r="438" spans="1:57" x14ac:dyDescent="0.25">
      <c r="A438" s="25" t="s">
        <v>508</v>
      </c>
      <c r="B438" s="16" t="s">
        <v>5</v>
      </c>
      <c r="C438" s="16" t="s">
        <v>14</v>
      </c>
      <c r="D438" s="16">
        <v>64</v>
      </c>
      <c r="E438" s="16">
        <v>19.611999999999998</v>
      </c>
      <c r="F438" s="16">
        <v>16.094999999999999</v>
      </c>
      <c r="G438" s="15">
        <v>5.43</v>
      </c>
      <c r="H438" s="15">
        <v>3.2</v>
      </c>
      <c r="I438" s="15">
        <v>5.03</v>
      </c>
      <c r="J438" s="15">
        <v>28.29</v>
      </c>
      <c r="K438" s="15">
        <v>0</v>
      </c>
      <c r="L438" s="15">
        <v>9.44</v>
      </c>
      <c r="M438" s="15">
        <v>5.43</v>
      </c>
      <c r="N438" s="15">
        <v>1</v>
      </c>
      <c r="O438" s="15">
        <v>5.23</v>
      </c>
      <c r="P438" s="9">
        <v>0.64939599999999997</v>
      </c>
      <c r="Q438" s="9">
        <v>1.0840399999999999</v>
      </c>
      <c r="R438" s="9">
        <v>0.483871</v>
      </c>
      <c r="S438" s="9">
        <v>4.2848799999999999E-2</v>
      </c>
      <c r="T438" s="9">
        <v>5.8736200000000002E-2</v>
      </c>
      <c r="U438" s="9">
        <v>3.0952199999999999E-2</v>
      </c>
      <c r="V438" s="9">
        <v>5.32538</v>
      </c>
      <c r="W438" s="9">
        <v>4.9125199999999998</v>
      </c>
      <c r="X438" s="9">
        <v>3.1901700000000002</v>
      </c>
      <c r="Y438" s="9">
        <v>39.101700000000001</v>
      </c>
      <c r="Z438" s="9">
        <v>29.692699999999999</v>
      </c>
      <c r="AA438" s="9">
        <f t="shared" si="67"/>
        <v>0.97664413518886672</v>
      </c>
      <c r="AB438" s="9">
        <f t="shared" si="68"/>
        <v>1.0795228628230615</v>
      </c>
      <c r="AC438" s="9">
        <f t="shared" si="69"/>
        <v>0.63618290258449306</v>
      </c>
      <c r="AD438" s="9">
        <f t="shared" si="70"/>
        <v>1.9937640220273305</v>
      </c>
      <c r="AE438" s="9">
        <f t="shared" si="71"/>
        <v>1.5140067305731186</v>
      </c>
      <c r="AF438" s="9">
        <f t="shared" si="72"/>
        <v>4.077830586763338</v>
      </c>
      <c r="AG438" s="9">
        <f t="shared" si="64"/>
        <v>2.4985382702365202</v>
      </c>
      <c r="AH438" s="9">
        <f t="shared" si="73"/>
        <v>0.97538235159838482</v>
      </c>
      <c r="AI438" s="9">
        <f t="shared" si="65"/>
        <v>1.9209690175235281</v>
      </c>
      <c r="AJ438" s="9">
        <f>(4*PI()*(AI438^2))/(Y438+E438)</f>
        <v>0.78978909931632635</v>
      </c>
      <c r="AK438" s="12">
        <f t="shared" si="66"/>
        <v>0.96175908221797324</v>
      </c>
      <c r="AL438" s="12" t="s">
        <v>144</v>
      </c>
      <c r="AM438" s="12" t="s">
        <v>143</v>
      </c>
      <c r="AN438" s="16">
        <v>7.4088000000000003</v>
      </c>
      <c r="AO438" s="16">
        <v>1.2474000000000001</v>
      </c>
      <c r="AP438" s="16">
        <v>7188.7</v>
      </c>
      <c r="AQ438" s="16">
        <v>7521.5</v>
      </c>
      <c r="AR438" s="16">
        <v>4.0792000000000002</v>
      </c>
      <c r="AS438" s="16">
        <v>5.5173000000000002E-3</v>
      </c>
      <c r="AT438" s="16">
        <v>0.73063</v>
      </c>
      <c r="AU438" s="16">
        <v>0.32040000000000002</v>
      </c>
      <c r="AV438" s="16">
        <v>2.637E-3</v>
      </c>
      <c r="AW438" s="16">
        <v>4.2344000000000001E-3</v>
      </c>
      <c r="AX438" s="16">
        <v>0.29676999999999998</v>
      </c>
      <c r="AY438" s="16">
        <v>2.5585</v>
      </c>
      <c r="AZ438" s="16">
        <v>1624.3</v>
      </c>
      <c r="BA438" s="16">
        <v>1.6487999999999999E-2</v>
      </c>
      <c r="BB438" s="16">
        <v>7.2507000000000001</v>
      </c>
      <c r="BC438" s="16" t="s">
        <v>162</v>
      </c>
      <c r="BD438" s="34" t="s">
        <v>163</v>
      </c>
      <c r="BE438" t="s">
        <v>167</v>
      </c>
    </row>
    <row r="439" spans="1:57" x14ac:dyDescent="0.25">
      <c r="A439" s="25" t="s">
        <v>509</v>
      </c>
      <c r="B439" s="18" t="s">
        <v>26</v>
      </c>
      <c r="C439" s="18" t="s">
        <v>6</v>
      </c>
      <c r="D439" s="18">
        <v>59</v>
      </c>
      <c r="E439" s="18">
        <v>7.0305559540082401</v>
      </c>
      <c r="F439" s="18">
        <v>9.6006999999999998</v>
      </c>
      <c r="G439" s="15">
        <v>4.53</v>
      </c>
      <c r="H439" s="15">
        <v>2.98</v>
      </c>
      <c r="I439" s="15">
        <v>2.44</v>
      </c>
      <c r="J439" s="15">
        <v>62.86</v>
      </c>
      <c r="K439" s="15">
        <v>30.98</v>
      </c>
      <c r="L439" s="15">
        <v>64.180000000000007</v>
      </c>
      <c r="M439" s="15">
        <v>4.0999999999999996</v>
      </c>
      <c r="N439" s="15">
        <v>2</v>
      </c>
      <c r="O439" s="15">
        <f>1.61+2.69</f>
        <v>4.3</v>
      </c>
      <c r="P439" s="9">
        <v>1.0103899999999999</v>
      </c>
      <c r="Q439" s="9">
        <v>1.1584700000000001</v>
      </c>
      <c r="R439" s="9">
        <v>-8.6206900000000003E-2</v>
      </c>
      <c r="S439" s="9">
        <v>0.102532</v>
      </c>
      <c r="T439" s="9">
        <v>0.12159300000000001</v>
      </c>
      <c r="U439" s="9">
        <v>4.5622799999999998E-2</v>
      </c>
      <c r="V439" s="9">
        <v>3.4178299999999999</v>
      </c>
      <c r="W439" s="9">
        <v>2.9502999999999999</v>
      </c>
      <c r="X439" s="9">
        <v>2.9809600000000001</v>
      </c>
      <c r="Y439" s="9">
        <v>29.384399999999999</v>
      </c>
      <c r="Z439" s="9">
        <v>17.438500000000001</v>
      </c>
      <c r="AA439" s="9">
        <f t="shared" si="67"/>
        <v>1.2091393442622951</v>
      </c>
      <c r="AB439" s="9">
        <f t="shared" si="68"/>
        <v>1.8565573770491806</v>
      </c>
      <c r="AC439" s="9">
        <f t="shared" si="69"/>
        <v>1.221311475409836</v>
      </c>
      <c r="AD439" s="9">
        <f t="shared" si="70"/>
        <v>4.1795272226298765</v>
      </c>
      <c r="AE439" s="9">
        <f t="shared" si="71"/>
        <v>2.4803870581611704</v>
      </c>
      <c r="AF439" s="9">
        <f t="shared" si="72"/>
        <v>4.3696240873389574</v>
      </c>
      <c r="AG439" s="9">
        <f t="shared" si="64"/>
        <v>1.4959597138723806</v>
      </c>
      <c r="AH439" s="9">
        <f t="shared" si="73"/>
        <v>0.97903195541320109</v>
      </c>
      <c r="AI439" s="9">
        <f t="shared" si="65"/>
        <v>1.6086942350000628</v>
      </c>
      <c r="AJ439" s="9">
        <f>(4*PI()*(AI439^2))/(Y439+E439)</f>
        <v>0.89305269614490246</v>
      </c>
      <c r="AK439" s="12">
        <f t="shared" si="66"/>
        <v>0.56744186046511624</v>
      </c>
      <c r="AL439" s="12" t="s">
        <v>144</v>
      </c>
      <c r="AM439" s="12" t="s">
        <v>142</v>
      </c>
      <c r="AN439" s="18">
        <v>4.72290124951284</v>
      </c>
      <c r="AO439" s="18">
        <v>0.49007665504109799</v>
      </c>
      <c r="AP439" s="18">
        <v>7428.1005105990598</v>
      </c>
      <c r="AQ439" s="18">
        <v>7213.0581195151199</v>
      </c>
      <c r="AR439" s="18">
        <v>2.0562589224028498</v>
      </c>
      <c r="AS439" s="18">
        <v>1.8092497485665202E-2</v>
      </c>
      <c r="AT439" s="18">
        <v>0.71371388788783297</v>
      </c>
      <c r="AU439" s="18">
        <v>1.2958939578659801</v>
      </c>
      <c r="AV439" s="18">
        <v>0.149714504320132</v>
      </c>
      <c r="AW439" s="18">
        <v>1.3787546519853099E-2</v>
      </c>
      <c r="AX439" s="18">
        <v>0.14137091895331599</v>
      </c>
      <c r="AY439" s="18">
        <v>-49.739884560907797</v>
      </c>
      <c r="AZ439" s="18">
        <v>-2686.8126610264299</v>
      </c>
      <c r="BA439" s="18">
        <v>9.7608849591157204E-2</v>
      </c>
      <c r="BB439" s="18">
        <v>46.170608425614503</v>
      </c>
      <c r="BC439" s="18" t="s">
        <v>164</v>
      </c>
      <c r="BD439" s="35" t="s">
        <v>165</v>
      </c>
      <c r="BE439" t="s">
        <v>167</v>
      </c>
    </row>
    <row r="440" spans="1:57" x14ac:dyDescent="0.25">
      <c r="A440" s="25" t="s">
        <v>510</v>
      </c>
      <c r="B440" s="18" t="s">
        <v>26</v>
      </c>
      <c r="C440" s="18" t="s">
        <v>6</v>
      </c>
      <c r="D440" s="18">
        <v>59</v>
      </c>
      <c r="E440" s="18">
        <v>16.5824562635127</v>
      </c>
      <c r="F440" s="18">
        <v>8.5193999999999992</v>
      </c>
      <c r="G440" s="15">
        <v>3</v>
      </c>
      <c r="H440" s="15">
        <v>1.49</v>
      </c>
      <c r="I440" s="15">
        <v>2.44</v>
      </c>
      <c r="J440" s="15">
        <v>81.45</v>
      </c>
      <c r="K440" s="15">
        <v>0</v>
      </c>
      <c r="L440" s="15">
        <v>67.709999999999994</v>
      </c>
      <c r="M440" s="15">
        <v>3</v>
      </c>
      <c r="N440" s="15">
        <v>2</v>
      </c>
      <c r="O440" s="15">
        <f>1.6+2.7</f>
        <v>4.3000000000000007</v>
      </c>
      <c r="P440" s="9">
        <v>0.57650299999999999</v>
      </c>
      <c r="Q440" s="9">
        <v>1.11622</v>
      </c>
      <c r="R440" s="9">
        <v>0.46551700000000001</v>
      </c>
      <c r="S440" s="9">
        <v>2.24922E-2</v>
      </c>
      <c r="T440" s="9">
        <v>3.1733999999999998E-2</v>
      </c>
      <c r="U440" s="9">
        <v>-1.58297E-3</v>
      </c>
      <c r="V440" s="9">
        <v>2.9279199999999999</v>
      </c>
      <c r="W440" s="9">
        <v>2.6230699999999998</v>
      </c>
      <c r="X440" s="9">
        <v>1.5122100000000001</v>
      </c>
      <c r="Y440" s="9">
        <v>11.471299999999999</v>
      </c>
      <c r="Z440" s="9">
        <v>4.9226900000000002</v>
      </c>
      <c r="AA440" s="9">
        <f t="shared" si="67"/>
        <v>1.0750286885245901</v>
      </c>
      <c r="AB440" s="9">
        <f t="shared" si="68"/>
        <v>1.2295081967213115</v>
      </c>
      <c r="AC440" s="9">
        <f t="shared" si="69"/>
        <v>0.61065573770491799</v>
      </c>
      <c r="AD440" s="9">
        <f t="shared" si="70"/>
        <v>0.6917732703592856</v>
      </c>
      <c r="AE440" s="9">
        <f t="shared" si="71"/>
        <v>0.2968613287303925</v>
      </c>
      <c r="AF440" s="9">
        <f t="shared" si="72"/>
        <v>3.9640973624151488</v>
      </c>
      <c r="AG440" s="9">
        <f t="shared" si="64"/>
        <v>2.2974681207551968</v>
      </c>
      <c r="AH440" s="9">
        <f t="shared" si="73"/>
        <v>1.694417205441997</v>
      </c>
      <c r="AI440" s="9">
        <f t="shared" si="65"/>
        <v>1.0552887121049803</v>
      </c>
      <c r="AJ440" s="9">
        <f>(4*PI()*(AI440^2))/(Y440+E440)</f>
        <v>0.49884018320579188</v>
      </c>
      <c r="AK440" s="12">
        <f t="shared" si="66"/>
        <v>0.56744186046511613</v>
      </c>
      <c r="AL440" s="12" t="s">
        <v>144</v>
      </c>
      <c r="AM440" s="12" t="s">
        <v>142</v>
      </c>
      <c r="AN440" s="18">
        <v>3.9226871816034201</v>
      </c>
      <c r="AO440" s="18">
        <v>0.50251748436129895</v>
      </c>
      <c r="AP440" s="18">
        <v>6038.5335405840497</v>
      </c>
      <c r="AQ440" s="18">
        <v>5344.9049648859</v>
      </c>
      <c r="AR440" s="18">
        <v>1.7003271566811999</v>
      </c>
      <c r="AS440" s="18">
        <v>7.7252869382619998E-3</v>
      </c>
      <c r="AT440" s="18">
        <v>0.75113860623085305</v>
      </c>
      <c r="AU440" s="18">
        <v>0.88056984831400997</v>
      </c>
      <c r="AV440" s="18">
        <v>1.0870639192568201E-2</v>
      </c>
      <c r="AW440" s="18">
        <v>1.07443887394017E-2</v>
      </c>
      <c r="AX440" s="19">
        <v>0.170114685117217</v>
      </c>
      <c r="AY440" s="18">
        <v>-8.0086193793133091</v>
      </c>
      <c r="AZ440" s="18">
        <v>-791.25834788503096</v>
      </c>
      <c r="BA440" s="18">
        <v>5.0325568507245302E-2</v>
      </c>
      <c r="BB440" s="18">
        <v>12.2590705713112</v>
      </c>
      <c r="BC440" s="18" t="s">
        <v>162</v>
      </c>
      <c r="BD440" s="35" t="s">
        <v>165</v>
      </c>
      <c r="BE440" t="s">
        <v>167</v>
      </c>
    </row>
    <row r="441" spans="1:57" x14ac:dyDescent="0.25">
      <c r="A441" s="25" t="s">
        <v>511</v>
      </c>
      <c r="B441" s="18" t="s">
        <v>5</v>
      </c>
      <c r="C441" s="18" t="s">
        <v>6</v>
      </c>
      <c r="D441" s="18">
        <v>65</v>
      </c>
      <c r="E441" s="18">
        <v>15.766951620903701</v>
      </c>
      <c r="F441" s="18">
        <v>14.916</v>
      </c>
      <c r="G441" s="15">
        <v>9.11</v>
      </c>
      <c r="H441" s="15">
        <v>7.6</v>
      </c>
      <c r="I441" s="15">
        <v>4.43</v>
      </c>
      <c r="J441" s="15">
        <v>31.71</v>
      </c>
      <c r="K441" s="15">
        <v>51.94</v>
      </c>
      <c r="L441" s="15">
        <v>80.87</v>
      </c>
      <c r="M441" s="15">
        <v>6.4</v>
      </c>
      <c r="N441" s="15">
        <v>2</v>
      </c>
      <c r="O441" s="15">
        <f>2.87+2.51</f>
        <v>5.38</v>
      </c>
      <c r="P441" s="9">
        <v>1.7697700000000001</v>
      </c>
      <c r="Q441" s="9">
        <v>1.3602099999999999</v>
      </c>
      <c r="R441" s="9">
        <v>-0.28666700000000001</v>
      </c>
      <c r="S441" s="9">
        <v>0.193055</v>
      </c>
      <c r="T441" s="9">
        <v>0.22802500000000001</v>
      </c>
      <c r="U441" s="9">
        <v>0.13794699999999999</v>
      </c>
      <c r="V441" s="9">
        <v>5.8269799999999998</v>
      </c>
      <c r="W441" s="9">
        <v>4.2838799999999999</v>
      </c>
      <c r="X441" s="9">
        <v>7.5815000000000001</v>
      </c>
      <c r="Y441" s="9">
        <v>120.583</v>
      </c>
      <c r="Z441" s="9">
        <v>119.43300000000001</v>
      </c>
      <c r="AA441" s="9">
        <f t="shared" si="67"/>
        <v>0.96701580135440179</v>
      </c>
      <c r="AB441" s="9">
        <f t="shared" si="68"/>
        <v>2.0564334085778779</v>
      </c>
      <c r="AC441" s="9">
        <f t="shared" si="69"/>
        <v>1.7155756207674944</v>
      </c>
      <c r="AD441" s="9">
        <f t="shared" si="70"/>
        <v>7.6478321808339924</v>
      </c>
      <c r="AE441" s="9">
        <f t="shared" si="71"/>
        <v>7.5748948098284687</v>
      </c>
      <c r="AF441" s="9">
        <f t="shared" si="72"/>
        <v>4.9720618639816614</v>
      </c>
      <c r="AG441" s="9">
        <f t="shared" si="64"/>
        <v>2.2402626131583752</v>
      </c>
      <c r="AH441" s="9">
        <f t="shared" si="73"/>
        <v>0.94368363738404715</v>
      </c>
      <c r="AI441" s="9">
        <f t="shared" si="65"/>
        <v>3.0550048966696846</v>
      </c>
      <c r="AJ441" s="9">
        <f>(4*PI()*(AI441^2))/(Y441+E441)</f>
        <v>0.86015891958898771</v>
      </c>
      <c r="AK441" s="12">
        <f t="shared" si="66"/>
        <v>0.82342007434944231</v>
      </c>
      <c r="AL441" s="12" t="s">
        <v>144</v>
      </c>
      <c r="AM441" s="12" t="s">
        <v>142</v>
      </c>
      <c r="AN441" s="18">
        <v>4.3861115403589803</v>
      </c>
      <c r="AO441" s="18">
        <v>0.32304696732043697</v>
      </c>
      <c r="AP441" s="18">
        <v>6460.0702768814499</v>
      </c>
      <c r="AQ441" s="18">
        <v>5962.91053290522</v>
      </c>
      <c r="AR441" s="18">
        <v>2.3735078436353598</v>
      </c>
      <c r="AS441" s="18">
        <v>1.1691554661837199E-2</v>
      </c>
      <c r="AT441" s="18">
        <v>0.718724651994465</v>
      </c>
      <c r="AU441" s="18">
        <v>1.0371837335290399</v>
      </c>
      <c r="AV441" s="18">
        <v>0.44000586974598899</v>
      </c>
      <c r="AW441" s="18">
        <v>1.00003944111624E-2</v>
      </c>
      <c r="AX441" s="18">
        <v>0.17599611014108199</v>
      </c>
      <c r="AY441" s="18">
        <v>-0.75636818790830296</v>
      </c>
      <c r="AZ441" s="18">
        <v>-1272.8246584605099</v>
      </c>
      <c r="BA441" s="18">
        <v>7.0693226360916406E-2</v>
      </c>
      <c r="BB441" s="18">
        <v>10.1940136099408</v>
      </c>
      <c r="BC441" s="18" t="s">
        <v>162</v>
      </c>
      <c r="BD441" s="35" t="s">
        <v>165</v>
      </c>
      <c r="BE441" t="s">
        <v>167</v>
      </c>
    </row>
    <row r="442" spans="1:57" x14ac:dyDescent="0.25">
      <c r="A442" s="25" t="s">
        <v>512</v>
      </c>
      <c r="B442" s="16" t="s">
        <v>5</v>
      </c>
      <c r="C442" s="16" t="s">
        <v>14</v>
      </c>
      <c r="D442" s="16">
        <v>35</v>
      </c>
      <c r="E442" s="16">
        <v>14.44</v>
      </c>
      <c r="F442" s="16">
        <v>13.904999999999999</v>
      </c>
      <c r="G442" s="15">
        <v>4.88</v>
      </c>
      <c r="H442" s="15">
        <v>2.3199999999999998</v>
      </c>
      <c r="I442" s="15">
        <v>3.31</v>
      </c>
      <c r="J442" s="15">
        <v>101.59</v>
      </c>
      <c r="K442" s="15">
        <v>7.45</v>
      </c>
      <c r="L442" s="15">
        <v>20.09</v>
      </c>
      <c r="M442" s="15">
        <v>4.5</v>
      </c>
      <c r="N442" s="15">
        <v>1</v>
      </c>
      <c r="O442" s="15">
        <v>4.04</v>
      </c>
      <c r="P442" s="9">
        <v>0.55621699999999996</v>
      </c>
      <c r="Q442" s="9">
        <v>1.1185400000000001</v>
      </c>
      <c r="R442" s="9">
        <v>0.27777800000000002</v>
      </c>
      <c r="S442" s="9">
        <v>5.6593999999999998E-2</v>
      </c>
      <c r="T442" s="9">
        <v>7.7144599999999994E-2</v>
      </c>
      <c r="U442" s="9">
        <v>4.0047699999999999E-2</v>
      </c>
      <c r="V442" s="9">
        <v>4.6941699999999997</v>
      </c>
      <c r="W442" s="9">
        <v>4.1967100000000004</v>
      </c>
      <c r="X442" s="9">
        <v>2.3342800000000001</v>
      </c>
      <c r="Y442" s="9">
        <v>30.577300000000001</v>
      </c>
      <c r="Z442" s="9">
        <v>19.933700000000002</v>
      </c>
      <c r="AA442" s="9">
        <f t="shared" si="67"/>
        <v>1.2678882175226587</v>
      </c>
      <c r="AB442" s="9">
        <f t="shared" si="68"/>
        <v>1.4743202416918428</v>
      </c>
      <c r="AC442" s="9">
        <f t="shared" si="69"/>
        <v>0.70090634441087607</v>
      </c>
      <c r="AD442" s="9">
        <f t="shared" si="70"/>
        <v>2.1175415512465374</v>
      </c>
      <c r="AE442" s="9">
        <f t="shared" si="71"/>
        <v>1.3804501385041552</v>
      </c>
      <c r="AF442" s="9">
        <f t="shared" si="72"/>
        <v>4.1591749519926315</v>
      </c>
      <c r="AG442" s="9">
        <f t="shared" si="64"/>
        <v>2.1439204174814739</v>
      </c>
      <c r="AH442" s="9">
        <f t="shared" si="73"/>
        <v>0.96876298215619716</v>
      </c>
      <c r="AI442" s="9">
        <f t="shared" si="65"/>
        <v>1.6820275423109252</v>
      </c>
      <c r="AJ442" s="9">
        <f>(4*PI()*(AI442^2))/(Y442+E442)</f>
        <v>0.78976271369179396</v>
      </c>
      <c r="AK442" s="12">
        <f t="shared" si="66"/>
        <v>0.81930693069306926</v>
      </c>
      <c r="AL442" s="12" t="s">
        <v>144</v>
      </c>
      <c r="AM442" s="12" t="s">
        <v>143</v>
      </c>
      <c r="AN442" s="16">
        <v>11.817</v>
      </c>
      <c r="AO442" s="16">
        <v>0.97040999999999999</v>
      </c>
      <c r="AP442" s="16">
        <v>19702</v>
      </c>
      <c r="AQ442" s="16">
        <v>20448</v>
      </c>
      <c r="AR442" s="16">
        <v>5.7537000000000003</v>
      </c>
      <c r="AS442" s="16">
        <v>8.7609999999999997E-3</v>
      </c>
      <c r="AT442" s="16">
        <v>0.75329999999999997</v>
      </c>
      <c r="AU442" s="16">
        <v>0.24565000000000001</v>
      </c>
      <c r="AV442" s="21">
        <v>8.6089000000000001E-4</v>
      </c>
      <c r="AW442" s="16">
        <v>7.3482E-3</v>
      </c>
      <c r="AX442" s="16">
        <v>0.34140999999999999</v>
      </c>
      <c r="AY442" s="16">
        <v>2.7061000000000002</v>
      </c>
      <c r="AZ442" s="16">
        <v>7517</v>
      </c>
      <c r="BA442" s="16">
        <v>9.9663000000000009E-3</v>
      </c>
      <c r="BB442" s="16">
        <v>9.1233000000000004</v>
      </c>
      <c r="BC442" s="16" t="s">
        <v>162</v>
      </c>
      <c r="BD442" s="34" t="s">
        <v>163</v>
      </c>
      <c r="BE442" t="s">
        <v>167</v>
      </c>
    </row>
    <row r="443" spans="1:57" x14ac:dyDescent="0.25">
      <c r="A443" s="25" t="s">
        <v>513</v>
      </c>
      <c r="B443" s="18" t="s">
        <v>26</v>
      </c>
      <c r="C443" s="18" t="s">
        <v>6</v>
      </c>
      <c r="D443" s="18">
        <v>43</v>
      </c>
      <c r="E443" s="18">
        <v>24.681032492741402</v>
      </c>
      <c r="F443" s="18">
        <v>18.474</v>
      </c>
      <c r="G443" s="15">
        <v>7.76</v>
      </c>
      <c r="H443" s="15">
        <v>5.7</v>
      </c>
      <c r="I443" s="15">
        <v>2.88</v>
      </c>
      <c r="J443" s="15">
        <v>70.06</v>
      </c>
      <c r="K443" s="15">
        <v>44.39</v>
      </c>
      <c r="L443" s="15">
        <v>64.400000000000006</v>
      </c>
      <c r="M443" s="15">
        <v>7.3</v>
      </c>
      <c r="N443" s="15">
        <v>2</v>
      </c>
      <c r="O443" s="15">
        <f>2.61+1.91</f>
        <v>4.5199999999999996</v>
      </c>
      <c r="P443" s="9">
        <v>1.0680400000000001</v>
      </c>
      <c r="Q443" s="9">
        <v>1.3893899999999999</v>
      </c>
      <c r="R443" s="9">
        <v>0.19911499999999999</v>
      </c>
      <c r="S443" s="9">
        <v>0.10732</v>
      </c>
      <c r="T443" s="9">
        <v>0.11519799999999999</v>
      </c>
      <c r="U443" s="9">
        <v>2.0253799999999999E-2</v>
      </c>
      <c r="V443" s="9">
        <v>7.4497099999999996</v>
      </c>
      <c r="W443" s="9">
        <v>5.3618699999999997</v>
      </c>
      <c r="X443" s="9">
        <v>5.7266700000000004</v>
      </c>
      <c r="Y443" s="9">
        <v>113.265</v>
      </c>
      <c r="Z443" s="9">
        <v>133.41300000000001</v>
      </c>
      <c r="AA443" s="9">
        <f t="shared" si="67"/>
        <v>1.8617604166666666</v>
      </c>
      <c r="AB443" s="9">
        <f t="shared" si="68"/>
        <v>2.6944444444444446</v>
      </c>
      <c r="AC443" s="9">
        <f t="shared" si="69"/>
        <v>1.9791666666666667</v>
      </c>
      <c r="AD443" s="9">
        <f t="shared" si="70"/>
        <v>4.5891516099786669</v>
      </c>
      <c r="AE443" s="9">
        <f t="shared" si="71"/>
        <v>5.405486988408458</v>
      </c>
      <c r="AF443" s="9">
        <f t="shared" si="72"/>
        <v>4.3380740655342898</v>
      </c>
      <c r="AG443" s="9">
        <f t="shared" si="64"/>
        <v>2.8028943333031582</v>
      </c>
      <c r="AH443" s="9">
        <f t="shared" si="73"/>
        <v>0.95329135501717688</v>
      </c>
      <c r="AI443" s="9">
        <f t="shared" si="65"/>
        <v>3.1698339576766914</v>
      </c>
      <c r="AJ443" s="9">
        <f>(4*PI()*(AI443^2))/(Y443+E443)</f>
        <v>0.91532152834270564</v>
      </c>
      <c r="AK443" s="12">
        <f t="shared" si="66"/>
        <v>0.63716814159292035</v>
      </c>
      <c r="AL443" s="12" t="s">
        <v>144</v>
      </c>
      <c r="AM443" s="12" t="s">
        <v>142</v>
      </c>
      <c r="AN443" s="18">
        <v>2.0190706328957502</v>
      </c>
      <c r="AO443" s="18">
        <v>0.31821349655633602</v>
      </c>
      <c r="AP443" s="18">
        <v>1547.2007364938299</v>
      </c>
      <c r="AQ443" s="18">
        <v>1644.18173229174</v>
      </c>
      <c r="AR443" s="18">
        <v>1.26928815025302</v>
      </c>
      <c r="AS443" s="18">
        <v>9.9980315594254705E-3</v>
      </c>
      <c r="AT443" s="18">
        <v>0.74627641669418399</v>
      </c>
      <c r="AU443" s="18">
        <v>1.02530979974498</v>
      </c>
      <c r="AV443" s="18">
        <v>7.7570829011829004E-2</v>
      </c>
      <c r="AW443" s="18">
        <v>8.5991026755774993E-3</v>
      </c>
      <c r="AX443" s="18">
        <v>0.11560780641202099</v>
      </c>
      <c r="AY443" s="18">
        <v>-32.3498483507068</v>
      </c>
      <c r="AZ443" s="18">
        <v>-817.38715679374104</v>
      </c>
      <c r="BA443" s="18">
        <v>0.17735410888817699</v>
      </c>
      <c r="BB443" s="18">
        <v>4.5279099232926496</v>
      </c>
      <c r="BC443" s="18" t="s">
        <v>164</v>
      </c>
      <c r="BD443" s="35" t="s">
        <v>165</v>
      </c>
      <c r="BE443" t="s">
        <v>167</v>
      </c>
    </row>
    <row r="444" spans="1:57" x14ac:dyDescent="0.25">
      <c r="A444" s="25" t="s">
        <v>514</v>
      </c>
      <c r="B444" s="16" t="s">
        <v>5</v>
      </c>
      <c r="C444" s="16" t="s">
        <v>6</v>
      </c>
      <c r="D444" s="16">
        <v>43</v>
      </c>
      <c r="E444" s="16">
        <v>7.9748000000000001</v>
      </c>
      <c r="F444" s="16">
        <v>10.592000000000001</v>
      </c>
      <c r="G444" s="15">
        <v>3.67</v>
      </c>
      <c r="H444" s="15">
        <v>1.52</v>
      </c>
      <c r="I444" s="15">
        <v>3.39</v>
      </c>
      <c r="J444" s="15">
        <v>31.78</v>
      </c>
      <c r="K444" s="15">
        <v>0</v>
      </c>
      <c r="L444" s="15">
        <v>23.53</v>
      </c>
      <c r="M444" s="15">
        <v>3.67</v>
      </c>
      <c r="N444" s="15">
        <v>1</v>
      </c>
      <c r="O444" s="15">
        <v>3.55</v>
      </c>
      <c r="P444" s="9">
        <v>0.49833699999999997</v>
      </c>
      <c r="Q444" s="9">
        <v>1.14438</v>
      </c>
      <c r="R444" s="9">
        <v>0.46551700000000001</v>
      </c>
      <c r="S444" s="9">
        <v>5.7872899999999998E-2</v>
      </c>
      <c r="T444" s="9">
        <v>7.2418800000000005E-2</v>
      </c>
      <c r="U444" s="9">
        <v>1.7677200000000001E-2</v>
      </c>
      <c r="V444" s="9">
        <v>3.5503399999999998</v>
      </c>
      <c r="W444" s="9">
        <v>3.10242</v>
      </c>
      <c r="X444" s="9">
        <v>1.5460499999999999</v>
      </c>
      <c r="Y444" s="9">
        <v>13.325799999999999</v>
      </c>
      <c r="Z444" s="9">
        <v>5.7790800000000004</v>
      </c>
      <c r="AA444" s="9">
        <f t="shared" si="67"/>
        <v>0.91516814159292026</v>
      </c>
      <c r="AB444" s="9">
        <f t="shared" si="68"/>
        <v>1.0825958702064895</v>
      </c>
      <c r="AC444" s="9">
        <f t="shared" si="69"/>
        <v>0.44837758112094395</v>
      </c>
      <c r="AD444" s="9">
        <f t="shared" si="70"/>
        <v>1.6709886141345236</v>
      </c>
      <c r="AE444" s="9">
        <f t="shared" si="71"/>
        <v>0.72466770326528573</v>
      </c>
      <c r="AF444" s="9">
        <f t="shared" si="72"/>
        <v>4.1379714181311735</v>
      </c>
      <c r="AG444" s="9">
        <f t="shared" si="64"/>
        <v>1.5932538028633398</v>
      </c>
      <c r="AH444" s="9">
        <f t="shared" si="73"/>
        <v>0.945119796521803</v>
      </c>
      <c r="AI444" s="9">
        <f t="shared" si="65"/>
        <v>1.1132431522366584</v>
      </c>
      <c r="AJ444" s="9">
        <f>(4*PI()*(AI444^2))/(Y444+E444)</f>
        <v>0.73113587115280076</v>
      </c>
      <c r="AK444" s="12">
        <f t="shared" si="66"/>
        <v>0.95492957746478879</v>
      </c>
      <c r="AL444" s="12" t="s">
        <v>144</v>
      </c>
      <c r="AM444" s="12" t="s">
        <v>143</v>
      </c>
      <c r="AN444" s="16">
        <v>5.8845000000000001</v>
      </c>
      <c r="AO444" s="16">
        <v>0.75756000000000001</v>
      </c>
      <c r="AP444" s="16">
        <v>10339</v>
      </c>
      <c r="AQ444" s="16">
        <v>9860.4</v>
      </c>
      <c r="AR444" s="16">
        <v>2.5196999999999998</v>
      </c>
      <c r="AS444" s="16">
        <v>5.6604999999999997E-3</v>
      </c>
      <c r="AT444" s="16">
        <v>0.73611000000000004</v>
      </c>
      <c r="AU444" s="16">
        <v>0.63007000000000002</v>
      </c>
      <c r="AV444" s="16">
        <v>9.1185999999999993E-3</v>
      </c>
      <c r="AW444" s="16">
        <v>3.8268E-3</v>
      </c>
      <c r="AX444" s="16">
        <v>0.19003999999999999</v>
      </c>
      <c r="AY444" s="16">
        <v>1.792</v>
      </c>
      <c r="AZ444" s="16">
        <v>593.97</v>
      </c>
      <c r="BA444" s="16">
        <v>1.0755000000000001E-2</v>
      </c>
      <c r="BB444" s="16">
        <v>8.2893000000000008</v>
      </c>
      <c r="BC444" s="16" t="s">
        <v>162</v>
      </c>
      <c r="BD444" s="34" t="s">
        <v>163</v>
      </c>
      <c r="BE444" t="s">
        <v>167</v>
      </c>
    </row>
    <row r="445" spans="1:57" x14ac:dyDescent="0.25">
      <c r="A445" s="25" t="s">
        <v>515</v>
      </c>
      <c r="B445" s="18" t="s">
        <v>13</v>
      </c>
      <c r="C445" s="18" t="s">
        <v>14</v>
      </c>
      <c r="D445" s="18">
        <v>61</v>
      </c>
      <c r="E445" s="18">
        <v>6.0678721341001802</v>
      </c>
      <c r="F445" s="18">
        <v>9.0708000000000002</v>
      </c>
      <c r="G445" s="15">
        <v>3.29</v>
      </c>
      <c r="H445" s="15">
        <v>1.53</v>
      </c>
      <c r="I445" s="15">
        <v>2.13</v>
      </c>
      <c r="J445" s="15">
        <v>79.650000000000006</v>
      </c>
      <c r="K445" s="15">
        <v>17.690000000000001</v>
      </c>
      <c r="L445" s="15">
        <v>64.13</v>
      </c>
      <c r="M445" s="15">
        <v>3.25</v>
      </c>
      <c r="N445" s="15">
        <v>3</v>
      </c>
      <c r="O445" s="15">
        <f>2+0.64+1.65</f>
        <v>4.29</v>
      </c>
      <c r="P445" s="9">
        <v>0.55574400000000002</v>
      </c>
      <c r="Q445" s="9">
        <v>1.1774199999999999</v>
      </c>
      <c r="R445" s="9">
        <v>0.46551700000000001</v>
      </c>
      <c r="S445" s="9">
        <v>5.12028E-2</v>
      </c>
      <c r="T445" s="9">
        <v>6.6111400000000001E-2</v>
      </c>
      <c r="U445" s="9">
        <v>1.5782500000000001E-2</v>
      </c>
      <c r="V445" s="9">
        <v>3.2172100000000001</v>
      </c>
      <c r="W445" s="9">
        <v>2.7324299999999999</v>
      </c>
      <c r="X445" s="9">
        <v>1.5185299999999999</v>
      </c>
      <c r="Y445" s="9">
        <v>11.632400000000001</v>
      </c>
      <c r="Z445" s="9">
        <v>4.7614400000000003</v>
      </c>
      <c r="AA445" s="9">
        <f t="shared" si="67"/>
        <v>1.2828309859154929</v>
      </c>
      <c r="AB445" s="9">
        <f t="shared" si="68"/>
        <v>1.5446009389671362</v>
      </c>
      <c r="AC445" s="9">
        <f t="shared" si="69"/>
        <v>0.71830985915492962</v>
      </c>
      <c r="AD445" s="9">
        <f t="shared" si="70"/>
        <v>1.917047647498755</v>
      </c>
      <c r="AE445" s="9">
        <f t="shared" si="71"/>
        <v>0.78469682530745777</v>
      </c>
      <c r="AF445" s="9">
        <f t="shared" si="72"/>
        <v>4.1100185659514024</v>
      </c>
      <c r="AG445" s="9">
        <f t="shared" si="64"/>
        <v>1.3897710920807151</v>
      </c>
      <c r="AH445" s="9">
        <f t="shared" si="73"/>
        <v>0.9626702502650788</v>
      </c>
      <c r="AI445" s="9">
        <f t="shared" si="65"/>
        <v>1.04363804421271</v>
      </c>
      <c r="AJ445" s="9">
        <f>(4*PI()*(AI445^2))/(Y445+E445)</f>
        <v>0.77326744233274169</v>
      </c>
      <c r="AK445" s="12">
        <f t="shared" si="66"/>
        <v>0.49650349650349646</v>
      </c>
      <c r="AL445" s="12" t="s">
        <v>144</v>
      </c>
      <c r="AM445" s="12" t="s">
        <v>142</v>
      </c>
      <c r="AN445" s="18">
        <v>12.0810064896064</v>
      </c>
      <c r="AO445" s="18">
        <v>1.0171492503163699</v>
      </c>
      <c r="AP445" s="18">
        <v>19472.314285614601</v>
      </c>
      <c r="AQ445" s="18">
        <v>19569.357465237801</v>
      </c>
      <c r="AR445" s="18">
        <v>5.9457614813959703</v>
      </c>
      <c r="AS445" s="19">
        <v>5.23646794646951E-4</v>
      </c>
      <c r="AT445" s="18">
        <v>0.79350301616278096</v>
      </c>
      <c r="AU445" s="18">
        <v>0.24329220878024199</v>
      </c>
      <c r="AV445" s="18">
        <v>0</v>
      </c>
      <c r="AW445" s="19">
        <v>6.0189219318545703E-4</v>
      </c>
      <c r="AX445" s="18">
        <v>0.34471575784238301</v>
      </c>
      <c r="AY445" s="18">
        <v>1.2757702272828699</v>
      </c>
      <c r="AZ445" s="18">
        <v>-2036.64475905934</v>
      </c>
      <c r="BA445" s="18">
        <v>8.1902192945864701E-3</v>
      </c>
      <c r="BB445" s="18">
        <v>9.6662089539562093</v>
      </c>
      <c r="BC445" s="18" t="s">
        <v>162</v>
      </c>
      <c r="BD445" s="35" t="s">
        <v>165</v>
      </c>
      <c r="BE445" t="s">
        <v>167</v>
      </c>
    </row>
    <row r="446" spans="1:57" x14ac:dyDescent="0.25">
      <c r="A446" s="25" t="s">
        <v>516</v>
      </c>
      <c r="B446" s="18" t="s">
        <v>26</v>
      </c>
      <c r="C446" s="18" t="s">
        <v>6</v>
      </c>
      <c r="D446" s="18">
        <v>69</v>
      </c>
      <c r="E446" s="18">
        <v>3.1932462893267499</v>
      </c>
      <c r="F446" s="18">
        <v>6.4985999999999997</v>
      </c>
      <c r="G446" s="15">
        <v>2.2799999999999998</v>
      </c>
      <c r="H446" s="15">
        <v>1.4</v>
      </c>
      <c r="I446" s="15">
        <v>2.16</v>
      </c>
      <c r="J446" s="15">
        <v>100.57</v>
      </c>
      <c r="K446" s="15">
        <v>28.33</v>
      </c>
      <c r="L446" s="15">
        <v>54.1</v>
      </c>
      <c r="M446" s="15">
        <v>2.15</v>
      </c>
      <c r="N446" s="15">
        <v>2</v>
      </c>
      <c r="O446" s="15">
        <f>1.56+1.5</f>
        <v>3.06</v>
      </c>
      <c r="P446" s="9">
        <v>0.72321100000000005</v>
      </c>
      <c r="Q446" s="9">
        <v>1.1070199999999999</v>
      </c>
      <c r="R446" s="9">
        <v>0.203704</v>
      </c>
      <c r="S446" s="9">
        <v>4.1624500000000002E-2</v>
      </c>
      <c r="T446" s="9">
        <v>4.82859E-2</v>
      </c>
      <c r="U446" s="9">
        <v>-2.1625100000000001E-2</v>
      </c>
      <c r="V446" s="9">
        <v>2.1871200000000002</v>
      </c>
      <c r="W446" s="9">
        <v>1.97567</v>
      </c>
      <c r="X446" s="9">
        <v>1.42883</v>
      </c>
      <c r="Y446" s="9">
        <v>9.5330300000000001</v>
      </c>
      <c r="Z446" s="9">
        <v>3.63408</v>
      </c>
      <c r="AA446" s="9">
        <f t="shared" si="67"/>
        <v>0.91466203703703697</v>
      </c>
      <c r="AB446" s="9">
        <f t="shared" si="68"/>
        <v>1.0555555555555554</v>
      </c>
      <c r="AC446" s="9">
        <f t="shared" si="69"/>
        <v>0.64814814814814803</v>
      </c>
      <c r="AD446" s="9">
        <f t="shared" si="70"/>
        <v>2.9853726071376419</v>
      </c>
      <c r="AE446" s="9">
        <f t="shared" si="71"/>
        <v>1.1380518978904672</v>
      </c>
      <c r="AF446" s="9">
        <f t="shared" si="72"/>
        <v>4.0330595754500456</v>
      </c>
      <c r="AG446" s="9">
        <f t="shared" si="64"/>
        <v>1.0081874145774732</v>
      </c>
      <c r="AH446" s="9">
        <f t="shared" si="73"/>
        <v>0.97476815778114578</v>
      </c>
      <c r="AI446" s="9">
        <f t="shared" si="65"/>
        <v>0.95375162611022857</v>
      </c>
      <c r="AJ446" s="9">
        <f>(4*PI()*(AI446^2))/(Y446+E446)</f>
        <v>0.89821250955613663</v>
      </c>
      <c r="AK446" s="12">
        <f t="shared" si="66"/>
        <v>0.70588235294117652</v>
      </c>
      <c r="AL446" s="12" t="s">
        <v>144</v>
      </c>
      <c r="AM446" s="12" t="s">
        <v>142</v>
      </c>
      <c r="AN446" s="18">
        <v>11.360354690068601</v>
      </c>
      <c r="AO446" s="18">
        <v>0.84913143949490399</v>
      </c>
      <c r="AP446" s="18">
        <v>26945.761252739801</v>
      </c>
      <c r="AQ446" s="18">
        <v>25108.084733244901</v>
      </c>
      <c r="AR446" s="18">
        <v>4.7722561205407601</v>
      </c>
      <c r="AS446" s="18">
        <v>5.85761014787074E-3</v>
      </c>
      <c r="AT446" s="18">
        <v>0.751493979940556</v>
      </c>
      <c r="AU446" s="18">
        <v>0.268379806104732</v>
      </c>
      <c r="AV446" s="19">
        <v>7.5383957634323905E-4</v>
      </c>
      <c r="AW446" s="18">
        <v>4.2391103800913203E-3</v>
      </c>
      <c r="AX446" s="18">
        <v>0.31365182053596502</v>
      </c>
      <c r="AY446" s="18">
        <v>2.41952291508579</v>
      </c>
      <c r="AZ446" s="18">
        <v>1861.3626707180899</v>
      </c>
      <c r="BA446" s="18">
        <v>1.17233163746264E-2</v>
      </c>
      <c r="BB446" s="18">
        <v>5.4593526942844104</v>
      </c>
      <c r="BC446" s="18" t="s">
        <v>162</v>
      </c>
      <c r="BD446" s="35" t="s">
        <v>163</v>
      </c>
      <c r="BE446" t="s">
        <v>167</v>
      </c>
    </row>
    <row r="447" spans="1:57" x14ac:dyDescent="0.25">
      <c r="A447" s="25" t="s">
        <v>517</v>
      </c>
      <c r="B447" s="18" t="s">
        <v>13</v>
      </c>
      <c r="C447" s="18" t="s">
        <v>6</v>
      </c>
      <c r="D447" s="18">
        <v>48</v>
      </c>
      <c r="E447" s="18">
        <v>4.4634994669301502</v>
      </c>
      <c r="F447" s="18">
        <v>7.7823000000000002</v>
      </c>
      <c r="G447" s="15">
        <v>2.74</v>
      </c>
      <c r="H447" s="15">
        <v>1.72</v>
      </c>
      <c r="I447" s="15">
        <v>2.5</v>
      </c>
      <c r="J447" s="15">
        <v>97.65</v>
      </c>
      <c r="K447" s="15">
        <v>20.36</v>
      </c>
      <c r="L447" s="15">
        <v>42.82</v>
      </c>
      <c r="M447" s="15">
        <v>2.63</v>
      </c>
      <c r="N447" s="15">
        <v>3</v>
      </c>
      <c r="O447" s="15">
        <f>0.5+0.97+2.78</f>
        <v>4.25</v>
      </c>
      <c r="P447" s="9">
        <v>0.74077000000000004</v>
      </c>
      <c r="Q447" s="9">
        <v>1.15282</v>
      </c>
      <c r="R447" s="9">
        <v>0.16666700000000001</v>
      </c>
      <c r="S447" s="9">
        <v>4.3158700000000001E-2</v>
      </c>
      <c r="T447" s="9">
        <v>4.9285299999999997E-2</v>
      </c>
      <c r="U447" s="9">
        <v>-1.3200099999999999E-2</v>
      </c>
      <c r="V447" s="9">
        <v>2.6542300000000001</v>
      </c>
      <c r="W447" s="9">
        <v>2.3023799999999999</v>
      </c>
      <c r="X447" s="9">
        <v>1.7055400000000001</v>
      </c>
      <c r="Y447" s="9">
        <v>14.1403</v>
      </c>
      <c r="Z447" s="9">
        <v>6.5546899999999999</v>
      </c>
      <c r="AA447" s="9">
        <f t="shared" si="67"/>
        <v>0.92095199999999999</v>
      </c>
      <c r="AB447" s="9">
        <f t="shared" si="68"/>
        <v>1.0960000000000001</v>
      </c>
      <c r="AC447" s="9">
        <f t="shared" si="69"/>
        <v>0.68799999999999994</v>
      </c>
      <c r="AD447" s="9">
        <f t="shared" si="70"/>
        <v>3.1679851436669351</v>
      </c>
      <c r="AE447" s="9">
        <f t="shared" si="71"/>
        <v>1.4685091929691889</v>
      </c>
      <c r="AF447" s="9">
        <f t="shared" si="72"/>
        <v>4.0372953260068396</v>
      </c>
      <c r="AG447" s="9">
        <f t="shared" si="64"/>
        <v>1.1919630897389175</v>
      </c>
      <c r="AH447" s="9">
        <f t="shared" si="73"/>
        <v>0.96235367078472289</v>
      </c>
      <c r="AI447" s="9">
        <f t="shared" si="65"/>
        <v>1.1609704945295616</v>
      </c>
      <c r="AJ447" s="9">
        <f>(4*PI()*(AI447^2))/(Y447+E447)</f>
        <v>0.91043842643447026</v>
      </c>
      <c r="AK447" s="12">
        <f t="shared" si="66"/>
        <v>0.58823529411764708</v>
      </c>
      <c r="AL447" s="12" t="s">
        <v>144</v>
      </c>
      <c r="AM447" s="12" t="s">
        <v>142</v>
      </c>
      <c r="AN447" s="18">
        <v>5.4357815627982697</v>
      </c>
      <c r="AO447" s="18">
        <v>0.76759143938213104</v>
      </c>
      <c r="AP447" s="18">
        <v>11248.7397221801</v>
      </c>
      <c r="AQ447" s="18">
        <v>10969.796927285501</v>
      </c>
      <c r="AR447" s="18">
        <v>2.6136391613252501</v>
      </c>
      <c r="AS447" s="18">
        <v>1.9179346132199601E-3</v>
      </c>
      <c r="AT447" s="18">
        <v>0.75200009269620904</v>
      </c>
      <c r="AU447" s="18">
        <v>0.45587799317538003</v>
      </c>
      <c r="AV447" s="19">
        <v>3.9325032594612203E-4</v>
      </c>
      <c r="AW447" s="18">
        <v>2.68631666768414E-3</v>
      </c>
      <c r="AX447" s="18">
        <v>0.17933330527453001</v>
      </c>
      <c r="AY447" s="18">
        <v>-2.5012889009580799</v>
      </c>
      <c r="AZ447" s="18">
        <v>-856.64621703171701</v>
      </c>
      <c r="BA447" s="18">
        <v>3.2135135476090697E-2</v>
      </c>
      <c r="BB447" s="18">
        <v>7.1519610280984196</v>
      </c>
      <c r="BC447" s="18" t="s">
        <v>162</v>
      </c>
      <c r="BD447" s="35" t="s">
        <v>165</v>
      </c>
      <c r="BE447" t="s">
        <v>167</v>
      </c>
    </row>
    <row r="448" spans="1:57" x14ac:dyDescent="0.25">
      <c r="A448" s="25" t="s">
        <v>518</v>
      </c>
      <c r="B448" s="18" t="s">
        <v>13</v>
      </c>
      <c r="C448" s="18" t="s">
        <v>6</v>
      </c>
      <c r="D448" s="18">
        <v>48</v>
      </c>
      <c r="E448" s="18">
        <v>3.30848211579405</v>
      </c>
      <c r="F448" s="18">
        <v>6.6683000000000003</v>
      </c>
      <c r="G448" s="15">
        <v>2.62</v>
      </c>
      <c r="H448" s="15">
        <v>1.76</v>
      </c>
      <c r="I448" s="15">
        <v>2.5</v>
      </c>
      <c r="J448" s="15">
        <f>180-167.78</f>
        <v>12.219999999999999</v>
      </c>
      <c r="K448" s="15">
        <v>31.44</v>
      </c>
      <c r="L448" s="15">
        <v>47.85</v>
      </c>
      <c r="M448" s="15">
        <v>2.2999999999999998</v>
      </c>
      <c r="N448" s="15">
        <v>3</v>
      </c>
      <c r="O448" s="15">
        <f>0.5+0.97+2.78</f>
        <v>4.25</v>
      </c>
      <c r="P448" s="9">
        <v>0.89039800000000002</v>
      </c>
      <c r="Q448" s="9">
        <v>1.1435599999999999</v>
      </c>
      <c r="R448" s="9">
        <v>0.47058800000000001</v>
      </c>
      <c r="S448" s="9">
        <v>6.4593700000000004E-2</v>
      </c>
      <c r="T448" s="9">
        <v>7.4858999999999995E-2</v>
      </c>
      <c r="U448" s="9">
        <v>-1.1952600000000001E-2</v>
      </c>
      <c r="V448" s="9">
        <v>2.2796099999999999</v>
      </c>
      <c r="W448" s="9">
        <v>1.9934400000000001</v>
      </c>
      <c r="X448" s="9">
        <v>1.77495</v>
      </c>
      <c r="Y448" s="9">
        <v>11.223599999999999</v>
      </c>
      <c r="Z448" s="9">
        <v>4.4493799999999997</v>
      </c>
      <c r="AA448" s="9">
        <f t="shared" si="67"/>
        <v>0.79737600000000008</v>
      </c>
      <c r="AB448" s="9">
        <f t="shared" si="68"/>
        <v>1.048</v>
      </c>
      <c r="AC448" s="9">
        <f t="shared" si="69"/>
        <v>0.70399999999999996</v>
      </c>
      <c r="AD448" s="9">
        <f t="shared" si="70"/>
        <v>3.3923713676494476</v>
      </c>
      <c r="AE448" s="9">
        <f t="shared" si="71"/>
        <v>1.3448402754724063</v>
      </c>
      <c r="AF448" s="9">
        <f t="shared" si="72"/>
        <v>4.1488956780665527</v>
      </c>
      <c r="AG448" s="9">
        <f t="shared" si="64"/>
        <v>1.0262176015443856</v>
      </c>
      <c r="AH448" s="9">
        <f t="shared" si="73"/>
        <v>0.96695040055077885</v>
      </c>
      <c r="AI448" s="9">
        <f t="shared" si="65"/>
        <v>1.0203213235507969</v>
      </c>
      <c r="AJ448" s="9">
        <f>(4*PI()*(AI448^2))/(Y448+E448)</f>
        <v>0.90023510993719513</v>
      </c>
      <c r="AK448" s="12">
        <f t="shared" si="66"/>
        <v>0.58823529411764708</v>
      </c>
      <c r="AL448" s="12" t="s">
        <v>144</v>
      </c>
      <c r="AM448" s="12" t="s">
        <v>142</v>
      </c>
      <c r="AN448" s="18">
        <v>1.8078177726238001</v>
      </c>
      <c r="AO448" s="18">
        <v>0.25383809177994998</v>
      </c>
      <c r="AP448" s="18">
        <v>4579.2472716423099</v>
      </c>
      <c r="AQ448" s="18">
        <v>3663.7993752125799</v>
      </c>
      <c r="AR448" s="18">
        <v>0.73821191526323604</v>
      </c>
      <c r="AS448" s="18">
        <v>8.1684177960395093E-3</v>
      </c>
      <c r="AT448" s="18">
        <v>0.77121849012808397</v>
      </c>
      <c r="AU448" s="18">
        <v>2.2880135472086902</v>
      </c>
      <c r="AV448" s="18">
        <v>0.114315177887008</v>
      </c>
      <c r="AW448" s="18">
        <v>8.74527776161085E-3</v>
      </c>
      <c r="AX448" s="18">
        <v>6.3258010079236204E-2</v>
      </c>
      <c r="AY448" s="18">
        <v>-37.040161122155901</v>
      </c>
      <c r="AZ448" s="18">
        <v>-920.42414460821897</v>
      </c>
      <c r="BA448" s="18">
        <v>6.7265327730927804E-2</v>
      </c>
      <c r="BB448" s="18">
        <v>18.9578132385484</v>
      </c>
      <c r="BC448" s="18" t="s">
        <v>162</v>
      </c>
      <c r="BD448" s="35" t="s">
        <v>163</v>
      </c>
      <c r="BE448" t="s">
        <v>167</v>
      </c>
    </row>
    <row r="449" spans="1:57" x14ac:dyDescent="0.25">
      <c r="A449" s="25" t="s">
        <v>519</v>
      </c>
      <c r="B449" s="18" t="s">
        <v>13</v>
      </c>
      <c r="C449" s="18" t="s">
        <v>6</v>
      </c>
      <c r="D449" s="18">
        <v>59</v>
      </c>
      <c r="E449" s="18">
        <v>3.1383000000000001</v>
      </c>
      <c r="F449" s="18">
        <v>6.3869999999999996</v>
      </c>
      <c r="G449" s="15">
        <v>2.78</v>
      </c>
      <c r="H449" s="15">
        <v>2.1</v>
      </c>
      <c r="I449" s="15">
        <v>1.55</v>
      </c>
      <c r="J449" s="15">
        <v>34.36</v>
      </c>
      <c r="K449" s="15">
        <v>43.86</v>
      </c>
      <c r="L449" s="15">
        <v>73.7</v>
      </c>
      <c r="M449" s="15">
        <v>2.2999999999999998</v>
      </c>
      <c r="N449" s="15">
        <v>2</v>
      </c>
      <c r="O449" s="15">
        <f>1.55+0.43</f>
        <v>1.98</v>
      </c>
      <c r="P449" s="9">
        <v>1.0852200000000001</v>
      </c>
      <c r="Q449" s="9">
        <v>1.1486400000000001</v>
      </c>
      <c r="R449" s="9">
        <v>0.18292700000000001</v>
      </c>
      <c r="S449" s="9">
        <v>9.4656400000000002E-2</v>
      </c>
      <c r="T449" s="9">
        <v>0.103077</v>
      </c>
      <c r="U449" s="9">
        <v>-9.7742899999999997E-3</v>
      </c>
      <c r="V449" s="9">
        <v>2.2340200000000001</v>
      </c>
      <c r="W449" s="9">
        <v>1.94492</v>
      </c>
      <c r="X449" s="9">
        <v>2.1106799999999999</v>
      </c>
      <c r="Y449" s="9">
        <v>12.5756</v>
      </c>
      <c r="Z449" s="9">
        <v>5.0375199999999998</v>
      </c>
      <c r="AA449" s="9">
        <f t="shared" si="67"/>
        <v>1.2547870967741934</v>
      </c>
      <c r="AB449" s="9">
        <f t="shared" si="68"/>
        <v>1.7935483870967741</v>
      </c>
      <c r="AC449" s="9">
        <f t="shared" si="69"/>
        <v>1.3548387096774195</v>
      </c>
      <c r="AD449" s="9">
        <f t="shared" si="70"/>
        <v>4.0071376222795783</v>
      </c>
      <c r="AE449" s="9">
        <f t="shared" si="71"/>
        <v>1.605174776152694</v>
      </c>
      <c r="AF449" s="9">
        <f t="shared" si="72"/>
        <v>4.2794129126340676</v>
      </c>
      <c r="AG449" s="9">
        <f t="shared" si="64"/>
        <v>0.99947582052323325</v>
      </c>
      <c r="AH449" s="9">
        <f t="shared" si="73"/>
        <v>0.98323027875259761</v>
      </c>
      <c r="AI449" s="9">
        <f t="shared" si="65"/>
        <v>1.0634311839259092</v>
      </c>
      <c r="AJ449" s="9">
        <f>(4*PI()*(AI449^2))/(Y449+E449)</f>
        <v>0.90436690621978033</v>
      </c>
      <c r="AK449" s="12">
        <f t="shared" si="66"/>
        <v>0.78282828282828287</v>
      </c>
      <c r="AL449" s="12" t="s">
        <v>144</v>
      </c>
      <c r="AM449" s="12" t="s">
        <v>142</v>
      </c>
      <c r="AN449" s="18">
        <v>1.1121000000000001</v>
      </c>
      <c r="AO449" s="18">
        <v>0.12361</v>
      </c>
      <c r="AP449" s="18">
        <v>3403.2</v>
      </c>
      <c r="AQ449" s="18">
        <v>3246.8</v>
      </c>
      <c r="AR449" s="18">
        <v>0.46983999999999998</v>
      </c>
      <c r="AS449" s="18">
        <v>1.4848999999999999E-2</v>
      </c>
      <c r="AT449" s="18">
        <v>0.74345000000000006</v>
      </c>
      <c r="AU449" s="18">
        <v>8.4230999999999998</v>
      </c>
      <c r="AV449" s="18">
        <v>0.57789999999999997</v>
      </c>
      <c r="AW449" s="18">
        <v>6.4863999999999998E-3</v>
      </c>
      <c r="AX449" s="18">
        <v>4.2424999999999997E-2</v>
      </c>
      <c r="AY449" s="18">
        <v>-242.53</v>
      </c>
      <c r="AZ449" s="18">
        <v>-832.37</v>
      </c>
      <c r="BA449" s="18">
        <v>0.16139999999999999</v>
      </c>
      <c r="BB449" s="18">
        <v>116.72</v>
      </c>
      <c r="BC449" s="18" t="s">
        <v>162</v>
      </c>
      <c r="BD449" s="35" t="s">
        <v>165</v>
      </c>
      <c r="BE449" t="s">
        <v>167</v>
      </c>
    </row>
    <row r="450" spans="1:57" x14ac:dyDescent="0.25">
      <c r="A450" s="25" t="s">
        <v>520</v>
      </c>
      <c r="B450" s="18" t="s">
        <v>13</v>
      </c>
      <c r="C450" s="18" t="s">
        <v>6</v>
      </c>
      <c r="D450" s="18">
        <v>72</v>
      </c>
      <c r="E450" s="18">
        <v>2.3123779416363002</v>
      </c>
      <c r="F450" s="18">
        <v>5.5136000000000003</v>
      </c>
      <c r="G450" s="15">
        <v>2.2000000000000002</v>
      </c>
      <c r="H450" s="15">
        <v>1.67</v>
      </c>
      <c r="I450" s="15">
        <v>1.76</v>
      </c>
      <c r="J450" s="15">
        <v>25.35</v>
      </c>
      <c r="K450" s="15">
        <v>41.02</v>
      </c>
      <c r="L450" s="15">
        <v>59.37</v>
      </c>
      <c r="M450" s="15">
        <v>1.92</v>
      </c>
      <c r="N450" s="15">
        <v>2</v>
      </c>
      <c r="O450" s="15">
        <f>1.89+0.82</f>
        <v>2.71</v>
      </c>
      <c r="P450" s="9">
        <v>0.97467999999999999</v>
      </c>
      <c r="Q450" s="9">
        <v>1.11276</v>
      </c>
      <c r="R450" s="9">
        <v>0.46774199999999999</v>
      </c>
      <c r="S450" s="9">
        <v>8.3675700000000006E-2</v>
      </c>
      <c r="T450" s="9">
        <v>0.101614</v>
      </c>
      <c r="U450" s="9">
        <v>4.34863E-3</v>
      </c>
      <c r="V450" s="9">
        <v>1.8601300000000001</v>
      </c>
      <c r="W450" s="9">
        <v>1.6716299999999999</v>
      </c>
      <c r="X450" s="9">
        <v>1.62931</v>
      </c>
      <c r="Y450" s="9">
        <v>7.2212199999999998</v>
      </c>
      <c r="Z450" s="9">
        <v>2.1973500000000001</v>
      </c>
      <c r="AA450" s="9">
        <f t="shared" si="67"/>
        <v>0.94978977272727272</v>
      </c>
      <c r="AB450" s="9">
        <f t="shared" si="68"/>
        <v>1.25</v>
      </c>
      <c r="AC450" s="9">
        <f t="shared" si="69"/>
        <v>0.94886363636363635</v>
      </c>
      <c r="AD450" s="9">
        <f t="shared" si="70"/>
        <v>3.1228545602238675</v>
      </c>
      <c r="AE450" s="9">
        <f t="shared" si="71"/>
        <v>0.9502555617898244</v>
      </c>
      <c r="AF450" s="9">
        <f t="shared" si="72"/>
        <v>4.2724574964579789</v>
      </c>
      <c r="AG450" s="9">
        <f t="shared" ref="AG450:AG513" si="74">SQRT(E450/PI())</f>
        <v>0.85793517203583558</v>
      </c>
      <c r="AH450" s="9">
        <f t="shared" si="73"/>
        <v>0.97768529952266248</v>
      </c>
      <c r="AI450" s="9">
        <f t="shared" ref="AI450:AI513" si="75">(3*Z450/(4*PI()))^(1/3)</f>
        <v>0.8064984608798772</v>
      </c>
      <c r="AJ450" s="9">
        <f>(4*PI()*(AI450^2))/(Y450+E450)</f>
        <v>0.85735387935641538</v>
      </c>
      <c r="AK450" s="12">
        <f t="shared" si="66"/>
        <v>0.64944649446494462</v>
      </c>
      <c r="AL450" s="12" t="s">
        <v>144</v>
      </c>
      <c r="AM450" s="12" t="s">
        <v>142</v>
      </c>
      <c r="AN450" s="18">
        <v>3.2607065020185502</v>
      </c>
      <c r="AO450" s="18">
        <v>0.37919109351535002</v>
      </c>
      <c r="AP450" s="18">
        <v>10139.412661859</v>
      </c>
      <c r="AQ450" s="18">
        <v>10870.932332070701</v>
      </c>
      <c r="AR450" s="18">
        <v>1.3115007606495099</v>
      </c>
      <c r="AS450" s="18">
        <v>1.13806491349312E-2</v>
      </c>
      <c r="AT450" s="18">
        <v>0.74141690894047696</v>
      </c>
      <c r="AU450" s="18">
        <v>2.3956697545466898</v>
      </c>
      <c r="AV450" s="18">
        <v>0.26176522399142499</v>
      </c>
      <c r="AW450" s="18">
        <v>6.1427581907149602E-3</v>
      </c>
      <c r="AX450" s="18">
        <v>9.2399154796343405E-2</v>
      </c>
      <c r="AY450" s="18">
        <v>-17.9605601701372</v>
      </c>
      <c r="AZ450" s="18">
        <v>-2390.82599787868</v>
      </c>
      <c r="BA450" s="18">
        <v>2.9357280448398498E-2</v>
      </c>
      <c r="BB450" s="18">
        <v>19.200179339650798</v>
      </c>
      <c r="BC450" s="18" t="s">
        <v>162</v>
      </c>
      <c r="BD450" s="35" t="s">
        <v>163</v>
      </c>
      <c r="BE450" t="s">
        <v>167</v>
      </c>
    </row>
    <row r="451" spans="1:57" x14ac:dyDescent="0.25">
      <c r="A451" s="25" t="s">
        <v>521</v>
      </c>
      <c r="B451" s="18" t="s">
        <v>5</v>
      </c>
      <c r="C451" s="18" t="s">
        <v>6</v>
      </c>
      <c r="D451" s="18">
        <v>67</v>
      </c>
      <c r="E451" s="18">
        <v>4.0773999999999999</v>
      </c>
      <c r="F451" s="18">
        <v>7.6456</v>
      </c>
      <c r="G451" s="15">
        <v>2.6</v>
      </c>
      <c r="H451" s="15">
        <v>1.61</v>
      </c>
      <c r="I451" s="15">
        <v>2.21</v>
      </c>
      <c r="J451" s="15">
        <f>180-149.36</f>
        <v>30.639999999999986</v>
      </c>
      <c r="K451" s="15">
        <v>0</v>
      </c>
      <c r="L451" s="15">
        <v>30.27</v>
      </c>
      <c r="M451" s="15">
        <v>2.6</v>
      </c>
      <c r="N451" s="15">
        <v>1</v>
      </c>
      <c r="O451" s="15">
        <v>3.19</v>
      </c>
      <c r="P451" s="9">
        <v>0.69781899999999997</v>
      </c>
      <c r="Q451" s="9">
        <v>1.0766100000000001</v>
      </c>
      <c r="R451" s="9">
        <v>0.466667</v>
      </c>
      <c r="S451" s="9">
        <v>5.2707200000000003E-2</v>
      </c>
      <c r="T451" s="9">
        <v>0.12109200000000001</v>
      </c>
      <c r="U451" s="9">
        <v>0.12839500000000001</v>
      </c>
      <c r="V451" s="9">
        <v>2.4400200000000001</v>
      </c>
      <c r="W451" s="9">
        <v>2.2664</v>
      </c>
      <c r="X451" s="9">
        <v>1.5815399999999999</v>
      </c>
      <c r="Y451" s="9">
        <v>8.5687300000000004</v>
      </c>
      <c r="Z451" s="9">
        <v>2.7483900000000001</v>
      </c>
      <c r="AA451" s="9">
        <f t="shared" si="67"/>
        <v>1.0255203619909503</v>
      </c>
      <c r="AB451" s="9">
        <f t="shared" si="68"/>
        <v>1.1764705882352942</v>
      </c>
      <c r="AC451" s="9">
        <f t="shared" si="69"/>
        <v>0.72850678733031682</v>
      </c>
      <c r="AD451" s="9">
        <f t="shared" si="70"/>
        <v>2.1015181242948939</v>
      </c>
      <c r="AE451" s="9">
        <f t="shared" si="71"/>
        <v>0.67405454456271152</v>
      </c>
      <c r="AF451" s="9">
        <f t="shared" si="72"/>
        <v>4.367144398557687</v>
      </c>
      <c r="AG451" s="9">
        <f t="shared" si="74"/>
        <v>1.139243929071289</v>
      </c>
      <c r="AH451" s="9">
        <f t="shared" si="73"/>
        <v>0.93623531396283688</v>
      </c>
      <c r="AI451" s="9">
        <f t="shared" si="75"/>
        <v>0.86895359331860711</v>
      </c>
      <c r="AJ451" s="9">
        <f>(4*PI()*(AI451^2))/(Y451+E451)</f>
        <v>0.75031804103785682</v>
      </c>
      <c r="AK451" s="12">
        <f t="shared" ref="AK451:AK514" si="76">I451/O451</f>
        <v>0.69278996865203757</v>
      </c>
      <c r="AL451" s="12" t="s">
        <v>144</v>
      </c>
      <c r="AM451" s="12" t="s">
        <v>143</v>
      </c>
      <c r="AN451" s="18">
        <v>11.372999999999999</v>
      </c>
      <c r="AO451" s="18">
        <v>1.2121999999999999</v>
      </c>
      <c r="AP451" s="18">
        <v>24256</v>
      </c>
      <c r="AQ451" s="18">
        <v>26289</v>
      </c>
      <c r="AR451" s="18">
        <v>4.4805999999999999</v>
      </c>
      <c r="AS451" s="18">
        <v>8.4276000000000004E-3</v>
      </c>
      <c r="AT451" s="18">
        <v>0.72507999999999995</v>
      </c>
      <c r="AU451" s="18">
        <v>0.39433000000000001</v>
      </c>
      <c r="AV451" s="18">
        <v>3.9887000000000004E-3</v>
      </c>
      <c r="AW451" s="18">
        <v>6.7387000000000002E-3</v>
      </c>
      <c r="AX451" s="18">
        <v>0.26327</v>
      </c>
      <c r="AY451" s="18">
        <v>0.86295999999999995</v>
      </c>
      <c r="AZ451" s="18">
        <v>-397.49</v>
      </c>
      <c r="BA451" s="18">
        <v>7.6226999999999996E-3</v>
      </c>
      <c r="BB451" s="18">
        <v>7.4329999999999998</v>
      </c>
      <c r="BC451" s="18" t="s">
        <v>162</v>
      </c>
      <c r="BD451" s="35" t="s">
        <v>163</v>
      </c>
      <c r="BE451" t="s">
        <v>167</v>
      </c>
    </row>
    <row r="452" spans="1:57" x14ac:dyDescent="0.25">
      <c r="A452" s="25" t="s">
        <v>522</v>
      </c>
      <c r="B452" s="18" t="s">
        <v>5</v>
      </c>
      <c r="C452" s="18" t="s">
        <v>6</v>
      </c>
      <c r="D452" s="18">
        <v>44</v>
      </c>
      <c r="E452" s="18">
        <v>3.0939999999999999</v>
      </c>
      <c r="F452" s="18">
        <v>6.4941000000000004</v>
      </c>
      <c r="G452" s="15">
        <v>2.39</v>
      </c>
      <c r="H452" s="15">
        <v>1.9</v>
      </c>
      <c r="I452" s="15">
        <v>2.89</v>
      </c>
      <c r="J452" s="15">
        <v>34.46</v>
      </c>
      <c r="K452" s="15">
        <v>44.92</v>
      </c>
      <c r="L452" s="15">
        <v>13.35</v>
      </c>
      <c r="M452" s="15">
        <v>2.13</v>
      </c>
      <c r="N452" s="15">
        <v>1</v>
      </c>
      <c r="O452" s="15">
        <v>2.93</v>
      </c>
      <c r="P452" s="9">
        <v>0.97888399999999998</v>
      </c>
      <c r="Q452" s="9">
        <v>1.0805499999999999</v>
      </c>
      <c r="R452" s="9">
        <v>0.47297299999999998</v>
      </c>
      <c r="S452" s="9">
        <v>7.7472899999999997E-2</v>
      </c>
      <c r="T452" s="9">
        <v>9.9749599999999994E-2</v>
      </c>
      <c r="U452" s="9">
        <v>3.6731800000000002E-2</v>
      </c>
      <c r="V452" s="9">
        <v>2.11246</v>
      </c>
      <c r="W452" s="9">
        <v>1.9549799999999999</v>
      </c>
      <c r="X452" s="9">
        <v>1.9137</v>
      </c>
      <c r="Y452" s="9">
        <v>10.6059</v>
      </c>
      <c r="Z452" s="9">
        <v>3.92334</v>
      </c>
      <c r="AA452" s="9">
        <f t="shared" si="67"/>
        <v>0.67646366782006917</v>
      </c>
      <c r="AB452" s="9">
        <f t="shared" si="68"/>
        <v>0.82698961937716264</v>
      </c>
      <c r="AC452" s="9">
        <f t="shared" si="69"/>
        <v>0.65743944636678198</v>
      </c>
      <c r="AD452" s="9">
        <f t="shared" si="70"/>
        <v>3.4278926955397546</v>
      </c>
      <c r="AE452" s="9">
        <f t="shared" si="71"/>
        <v>1.2680478345184227</v>
      </c>
      <c r="AF452" s="9">
        <f t="shared" si="72"/>
        <v>4.2636043559248842</v>
      </c>
      <c r="AG452" s="9">
        <f t="shared" si="74"/>
        <v>0.99239648722304952</v>
      </c>
      <c r="AH452" s="9">
        <f t="shared" si="73"/>
        <v>0.96016553909186775</v>
      </c>
      <c r="AI452" s="9">
        <f t="shared" si="75"/>
        <v>0.9784135207218384</v>
      </c>
      <c r="AJ452" s="9">
        <f>(4*PI()*(AI452^2))/(Y452+E452)</f>
        <v>0.87808661704367119</v>
      </c>
      <c r="AK452" s="12">
        <f t="shared" si="76"/>
        <v>0.98634812286689422</v>
      </c>
      <c r="AL452" s="12" t="s">
        <v>144</v>
      </c>
      <c r="AM452" s="12" t="s">
        <v>143</v>
      </c>
      <c r="AN452" s="18">
        <v>5.1896000000000004</v>
      </c>
      <c r="AO452" s="18">
        <v>0.98368</v>
      </c>
      <c r="AP452" s="18">
        <v>11649</v>
      </c>
      <c r="AQ452" s="18">
        <v>12748</v>
      </c>
      <c r="AR452" s="18">
        <v>2.0169999999999999</v>
      </c>
      <c r="AS452" s="18">
        <v>1.2187999999999999E-2</v>
      </c>
      <c r="AT452" s="18">
        <v>0.74997000000000003</v>
      </c>
      <c r="AU452" s="18">
        <v>0.97187999999999997</v>
      </c>
      <c r="AV452" s="18">
        <v>5.5591E-3</v>
      </c>
      <c r="AW452" s="18">
        <v>1.0368E-2</v>
      </c>
      <c r="AX452" s="18">
        <v>0.1416</v>
      </c>
      <c r="AY452" s="18">
        <v>0.57969999999999999</v>
      </c>
      <c r="AZ452" s="18">
        <v>-394.79</v>
      </c>
      <c r="BA452" s="18">
        <v>2.4865000000000002E-2</v>
      </c>
      <c r="BB452" s="18">
        <v>26.527999999999999</v>
      </c>
      <c r="BC452" s="18" t="s">
        <v>162</v>
      </c>
      <c r="BD452" s="35" t="s">
        <v>163</v>
      </c>
      <c r="BE452" t="s">
        <v>167</v>
      </c>
    </row>
    <row r="453" spans="1:57" x14ac:dyDescent="0.25">
      <c r="A453" s="25" t="s">
        <v>523</v>
      </c>
      <c r="B453" s="18" t="s">
        <v>40</v>
      </c>
      <c r="C453" s="18" t="s">
        <v>6</v>
      </c>
      <c r="D453" s="18">
        <v>55</v>
      </c>
      <c r="E453" s="18">
        <v>20.0012886480073</v>
      </c>
      <c r="F453" s="18">
        <v>16.146999999999998</v>
      </c>
      <c r="G453" s="15">
        <v>6.07</v>
      </c>
      <c r="H453" s="15">
        <v>3.45</v>
      </c>
      <c r="I453" s="15">
        <v>3.06</v>
      </c>
      <c r="J453" s="15">
        <v>93.88</v>
      </c>
      <c r="K453" s="15">
        <v>14.58</v>
      </c>
      <c r="L453" s="15">
        <v>69.28</v>
      </c>
      <c r="M453" s="15">
        <v>5.8</v>
      </c>
      <c r="N453" s="15">
        <v>4</v>
      </c>
      <c r="O453" s="15">
        <f>2.75+1.65+1.3+2.21</f>
        <v>7.91</v>
      </c>
      <c r="P453" s="9">
        <v>0.70308899999999996</v>
      </c>
      <c r="Q453" s="9">
        <v>1.13476</v>
      </c>
      <c r="R453" s="9">
        <v>0.16176499999999999</v>
      </c>
      <c r="S453" s="9">
        <v>6.37818E-2</v>
      </c>
      <c r="T453" s="9">
        <v>8.3003300000000002E-2</v>
      </c>
      <c r="U453" s="9">
        <v>4.4661800000000001E-2</v>
      </c>
      <c r="V453" s="9">
        <v>5.6029799999999996</v>
      </c>
      <c r="W453" s="9">
        <v>4.9376100000000003</v>
      </c>
      <c r="X453" s="9">
        <v>3.4715799999999999</v>
      </c>
      <c r="Y453" s="9">
        <v>53.2014</v>
      </c>
      <c r="Z453" s="9">
        <v>45.313200000000002</v>
      </c>
      <c r="AA453" s="9">
        <f t="shared" ref="AA453:AA516" si="77">W453/I453</f>
        <v>1.6135980392156863</v>
      </c>
      <c r="AB453" s="9">
        <f t="shared" ref="AB453:AB516" si="78">G453/I453</f>
        <v>1.9836601307189543</v>
      </c>
      <c r="AC453" s="9">
        <f t="shared" ref="AC453:AC516" si="79">H453/I453</f>
        <v>1.1274509803921569</v>
      </c>
      <c r="AD453" s="9">
        <f t="shared" ref="AD453:AD516" si="80">Y453/E453</f>
        <v>2.6598986163474212</v>
      </c>
      <c r="AE453" s="9">
        <f t="shared" ref="AE453:AE516" si="81">Z453/E453</f>
        <v>2.2655140274931482</v>
      </c>
      <c r="AF453" s="9">
        <f t="shared" ref="AF453:AF516" si="82">Y453/(Z453)^(2/3)</f>
        <v>4.1857495476125957</v>
      </c>
      <c r="AG453" s="9">
        <f t="shared" si="74"/>
        <v>2.5232138064532599</v>
      </c>
      <c r="AH453" s="9">
        <f t="shared" si="73"/>
        <v>0.98184306159533041</v>
      </c>
      <c r="AI453" s="9">
        <f t="shared" si="75"/>
        <v>2.2116278044286504</v>
      </c>
      <c r="AJ453" s="9">
        <f>(4*PI()*(AI453^2))/(Y453+E453)</f>
        <v>0.83966666900961417</v>
      </c>
      <c r="AK453" s="12">
        <f t="shared" si="76"/>
        <v>0.38685208596713022</v>
      </c>
      <c r="AL453" s="12" t="s">
        <v>140</v>
      </c>
      <c r="AM453" s="12" t="s">
        <v>142</v>
      </c>
      <c r="AN453" s="18">
        <v>2.0921533603564502</v>
      </c>
      <c r="AO453" s="18">
        <v>0.50678914295222599</v>
      </c>
      <c r="AP453" s="18">
        <v>3456.4216268547898</v>
      </c>
      <c r="AQ453" s="18">
        <v>3220.53263436522</v>
      </c>
      <c r="AR453" s="18">
        <v>1.4687979798267099</v>
      </c>
      <c r="AS453" s="18">
        <v>3.3114922177126201E-2</v>
      </c>
      <c r="AT453" s="18">
        <v>0.74002446825830803</v>
      </c>
      <c r="AU453" s="18">
        <v>1.8661056618367999</v>
      </c>
      <c r="AV453" s="18">
        <v>0.12914066543723601</v>
      </c>
      <c r="AW453" s="18">
        <v>1.9610241563250301E-2</v>
      </c>
      <c r="AX453" s="18">
        <v>0.10115278459655901</v>
      </c>
      <c r="AY453" s="18">
        <v>-6.02238612960116</v>
      </c>
      <c r="AZ453" s="18">
        <v>-263.29310698740898</v>
      </c>
      <c r="BA453" s="18">
        <v>7.1234834420669302E-2</v>
      </c>
      <c r="BB453" s="18">
        <v>19.097375582818302</v>
      </c>
      <c r="BC453" s="18" t="s">
        <v>162</v>
      </c>
      <c r="BD453" s="35" t="s">
        <v>165</v>
      </c>
      <c r="BE453" t="s">
        <v>168</v>
      </c>
    </row>
    <row r="454" spans="1:57" x14ac:dyDescent="0.25">
      <c r="A454" s="25" t="s">
        <v>524</v>
      </c>
      <c r="B454" s="18" t="s">
        <v>5</v>
      </c>
      <c r="C454" s="18" t="s">
        <v>6</v>
      </c>
      <c r="D454" s="18">
        <v>33</v>
      </c>
      <c r="E454" s="18">
        <v>6.8536999999999999</v>
      </c>
      <c r="F454" s="18">
        <v>9.5385000000000009</v>
      </c>
      <c r="G454" s="15">
        <v>3.34</v>
      </c>
      <c r="H454" s="15">
        <v>2.4</v>
      </c>
      <c r="I454" s="15">
        <v>3.48</v>
      </c>
      <c r="J454" s="15">
        <v>68.8</v>
      </c>
      <c r="K454" s="15">
        <v>33.380000000000003</v>
      </c>
      <c r="L454" s="15">
        <v>19.309999999999999</v>
      </c>
      <c r="M454" s="15">
        <v>3.2</v>
      </c>
      <c r="N454" s="15">
        <v>1</v>
      </c>
      <c r="O454" s="15">
        <v>4.22</v>
      </c>
      <c r="P454" s="9">
        <v>0.83121500000000004</v>
      </c>
      <c r="Q454" s="9">
        <v>1.0834699999999999</v>
      </c>
      <c r="R454" s="9">
        <v>0.41489399999999999</v>
      </c>
      <c r="S454" s="9">
        <v>5.3659100000000001E-2</v>
      </c>
      <c r="T454" s="9">
        <v>6.5216499999999997E-2</v>
      </c>
      <c r="U454" s="9">
        <v>1.47178E-2</v>
      </c>
      <c r="V454" s="9">
        <v>3.1562000000000001</v>
      </c>
      <c r="W454" s="9">
        <v>2.9130600000000002</v>
      </c>
      <c r="X454" s="9">
        <v>2.4213800000000001</v>
      </c>
      <c r="Y454" s="9">
        <v>21.311800000000002</v>
      </c>
      <c r="Z454" s="9">
        <v>11.8246</v>
      </c>
      <c r="AA454" s="9">
        <f t="shared" si="77"/>
        <v>0.83708620689655178</v>
      </c>
      <c r="AB454" s="9">
        <f t="shared" si="78"/>
        <v>0.95977011494252873</v>
      </c>
      <c r="AC454" s="9">
        <f t="shared" si="79"/>
        <v>0.68965517241379304</v>
      </c>
      <c r="AD454" s="9">
        <f t="shared" si="80"/>
        <v>3.1095320775639439</v>
      </c>
      <c r="AE454" s="9">
        <f t="shared" si="81"/>
        <v>1.725287071217007</v>
      </c>
      <c r="AF454" s="9">
        <f t="shared" si="82"/>
        <v>4.1060965737953969</v>
      </c>
      <c r="AG454" s="9">
        <f t="shared" si="74"/>
        <v>1.4770241930780437</v>
      </c>
      <c r="AH454" s="9">
        <f t="shared" si="73"/>
        <v>0.97294298980937755</v>
      </c>
      <c r="AI454" s="9">
        <f t="shared" si="75"/>
        <v>1.413294329234777</v>
      </c>
      <c r="AJ454" s="9">
        <f>(4*PI()*(AI454^2))/(Y454+E454)</f>
        <v>0.89116399443854954</v>
      </c>
      <c r="AK454" s="12">
        <f t="shared" si="76"/>
        <v>0.82464454976303325</v>
      </c>
      <c r="AL454" s="12" t="s">
        <v>144</v>
      </c>
      <c r="AM454" s="12" t="s">
        <v>143</v>
      </c>
      <c r="AN454" s="18">
        <v>5.6783999999999999</v>
      </c>
      <c r="AO454" s="18">
        <v>0.56644000000000005</v>
      </c>
      <c r="AP454" s="18">
        <v>11104</v>
      </c>
      <c r="AQ454" s="18">
        <v>10086</v>
      </c>
      <c r="AR454" s="18">
        <v>2.6842000000000001</v>
      </c>
      <c r="AS454" s="18">
        <v>2.2169999999999999E-2</v>
      </c>
      <c r="AT454" s="18">
        <v>0.67044999999999999</v>
      </c>
      <c r="AU454" s="18">
        <v>0.70923000000000003</v>
      </c>
      <c r="AV454" s="18">
        <v>2.5953E-2</v>
      </c>
      <c r="AW454" s="18">
        <v>1.0468999999999999E-2</v>
      </c>
      <c r="AX454" s="18">
        <v>0.21467</v>
      </c>
      <c r="AY454" s="18">
        <v>-7.3949999999999996</v>
      </c>
      <c r="AZ454" s="18">
        <v>-3126.9</v>
      </c>
      <c r="BA454" s="18">
        <v>3.0540999999999999E-2</v>
      </c>
      <c r="BB454" s="18">
        <v>9.1358999999999995</v>
      </c>
      <c r="BC454" s="18" t="s">
        <v>162</v>
      </c>
      <c r="BD454" s="35" t="s">
        <v>163</v>
      </c>
      <c r="BE454" t="s">
        <v>167</v>
      </c>
    </row>
    <row r="455" spans="1:57" x14ac:dyDescent="0.25">
      <c r="A455" s="25" t="s">
        <v>525</v>
      </c>
      <c r="B455" s="16" t="s">
        <v>5</v>
      </c>
      <c r="C455" s="16" t="s">
        <v>6</v>
      </c>
      <c r="D455" s="16">
        <v>79</v>
      </c>
      <c r="E455" s="16">
        <v>78.316000000000003</v>
      </c>
      <c r="F455" s="16">
        <v>32.804000000000002</v>
      </c>
      <c r="G455" s="15">
        <v>15.77</v>
      </c>
      <c r="H455" s="15">
        <v>7.9</v>
      </c>
      <c r="I455" s="15">
        <v>3.32</v>
      </c>
      <c r="J455" s="15">
        <v>133.02000000000001</v>
      </c>
      <c r="K455" s="15">
        <v>12.75</v>
      </c>
      <c r="L455" s="15">
        <v>21.84</v>
      </c>
      <c r="M455" s="15">
        <v>15.35</v>
      </c>
      <c r="N455" s="15">
        <v>1</v>
      </c>
      <c r="O455" s="15">
        <v>4.9000000000000004</v>
      </c>
      <c r="P455" s="9">
        <v>0.81677100000000002</v>
      </c>
      <c r="Q455" s="9">
        <v>1.5814900000000001</v>
      </c>
      <c r="R455" s="9">
        <v>7.3248400000000005E-2</v>
      </c>
      <c r="S455" s="9">
        <v>0.14818500000000001</v>
      </c>
      <c r="T455" s="9">
        <v>0.183363</v>
      </c>
      <c r="U455" s="9">
        <v>6.4738400000000001E-2</v>
      </c>
      <c r="V455" s="9">
        <v>15.350099999999999</v>
      </c>
      <c r="W455" s="9">
        <v>9.7061200000000003</v>
      </c>
      <c r="X455" s="9">
        <v>7.92767</v>
      </c>
      <c r="Y455" s="9">
        <v>377.74599999999998</v>
      </c>
      <c r="Z455" s="9">
        <v>720.49699999999996</v>
      </c>
      <c r="AA455" s="9">
        <f t="shared" si="77"/>
        <v>2.923530120481928</v>
      </c>
      <c r="AB455" s="9">
        <f t="shared" si="78"/>
        <v>4.75</v>
      </c>
      <c r="AC455" s="9">
        <f t="shared" si="79"/>
        <v>2.3795180722891569</v>
      </c>
      <c r="AD455" s="9">
        <f t="shared" si="80"/>
        <v>4.8233566576433926</v>
      </c>
      <c r="AE455" s="9">
        <f t="shared" si="81"/>
        <v>9.1998697584146267</v>
      </c>
      <c r="AF455" s="9">
        <f t="shared" si="82"/>
        <v>4.7001504130430503</v>
      </c>
      <c r="AG455" s="9">
        <f t="shared" si="74"/>
        <v>4.9928706218336716</v>
      </c>
      <c r="AH455" s="9">
        <f t="shared" si="73"/>
        <v>0.95632030641854426</v>
      </c>
      <c r="AI455" s="9">
        <f t="shared" si="75"/>
        <v>5.5613623086132096</v>
      </c>
      <c r="AJ455" s="9">
        <f>(4*PI()*(AI455^2))/(Y455+E455)</f>
        <v>0.85221339265922691</v>
      </c>
      <c r="AK455" s="12">
        <f t="shared" si="76"/>
        <v>0.67755102040816317</v>
      </c>
      <c r="AL455" s="12" t="s">
        <v>140</v>
      </c>
      <c r="AM455" s="12" t="s">
        <v>143</v>
      </c>
      <c r="AN455" s="16">
        <v>4.4157000000000002</v>
      </c>
      <c r="AO455" s="16">
        <v>0.57915000000000005</v>
      </c>
      <c r="AP455" s="16">
        <v>4743.6000000000004</v>
      </c>
      <c r="AQ455" s="16">
        <v>4313.7</v>
      </c>
      <c r="AR455" s="16">
        <v>3.1381000000000001</v>
      </c>
      <c r="AS455" s="16">
        <v>1.4726E-2</v>
      </c>
      <c r="AT455" s="16">
        <v>0.69240000000000002</v>
      </c>
      <c r="AU455" s="16">
        <v>0.69281000000000004</v>
      </c>
      <c r="AV455" s="16">
        <v>0.21673000000000001</v>
      </c>
      <c r="AW455" s="16">
        <v>9.6298000000000009E-3</v>
      </c>
      <c r="AX455" s="16">
        <v>0.24091000000000001</v>
      </c>
      <c r="AY455" s="16">
        <v>0.74090999999999996</v>
      </c>
      <c r="AZ455" s="16">
        <v>55.328000000000003</v>
      </c>
      <c r="BA455" s="16">
        <v>8.0629000000000006E-2</v>
      </c>
      <c r="BB455" s="16">
        <v>6.9470999999999998</v>
      </c>
      <c r="BC455" s="16" t="s">
        <v>164</v>
      </c>
      <c r="BD455" s="34" t="s">
        <v>165</v>
      </c>
      <c r="BE455" t="s">
        <v>167</v>
      </c>
    </row>
    <row r="456" spans="1:57" x14ac:dyDescent="0.25">
      <c r="A456" s="25" t="s">
        <v>526</v>
      </c>
      <c r="B456" s="18" t="s">
        <v>26</v>
      </c>
      <c r="C456" s="18" t="s">
        <v>6</v>
      </c>
      <c r="D456" s="18">
        <v>79</v>
      </c>
      <c r="E456" s="18">
        <v>5.6369800053853201</v>
      </c>
      <c r="F456" s="18">
        <v>8.5759000000000007</v>
      </c>
      <c r="G456" s="15">
        <v>3.29</v>
      </c>
      <c r="H456" s="15">
        <v>2.63</v>
      </c>
      <c r="I456" s="15">
        <v>2.56</v>
      </c>
      <c r="J456" s="15">
        <v>39.950000000000003</v>
      </c>
      <c r="K456" s="15">
        <v>44.96</v>
      </c>
      <c r="L456" s="15">
        <v>68.430000000000007</v>
      </c>
      <c r="M456" s="15">
        <v>2.8</v>
      </c>
      <c r="N456" s="15">
        <v>2</v>
      </c>
      <c r="O456" s="15">
        <f>2.7+1.37</f>
        <v>4.07</v>
      </c>
      <c r="P456" s="9">
        <v>1.00861</v>
      </c>
      <c r="Q456" s="9">
        <v>1.0644800000000001</v>
      </c>
      <c r="R456" s="9">
        <v>0.480769</v>
      </c>
      <c r="S456" s="9">
        <v>8.3607600000000004E-2</v>
      </c>
      <c r="T456" s="9">
        <v>9.5922999999999994E-2</v>
      </c>
      <c r="U456" s="9">
        <v>1.7405299999999999E-2</v>
      </c>
      <c r="V456" s="9">
        <v>2.81616</v>
      </c>
      <c r="W456" s="9">
        <v>2.6455700000000002</v>
      </c>
      <c r="X456" s="9">
        <v>2.6683400000000002</v>
      </c>
      <c r="Y456" s="9">
        <v>19.890999999999998</v>
      </c>
      <c r="Z456" s="9">
        <v>10.141</v>
      </c>
      <c r="AA456" s="9">
        <f t="shared" si="77"/>
        <v>1.0334257812500001</v>
      </c>
      <c r="AB456" s="9">
        <f t="shared" si="78"/>
        <v>1.28515625</v>
      </c>
      <c r="AC456" s="9">
        <f t="shared" si="79"/>
        <v>1.02734375</v>
      </c>
      <c r="AD456" s="9">
        <f t="shared" si="80"/>
        <v>3.5286625074059197</v>
      </c>
      <c r="AE456" s="9">
        <f t="shared" si="81"/>
        <v>1.7990129449300405</v>
      </c>
      <c r="AF456" s="9">
        <f t="shared" si="82"/>
        <v>4.2455708774270731</v>
      </c>
      <c r="AG456" s="9">
        <f t="shared" si="74"/>
        <v>1.3395172503310679</v>
      </c>
      <c r="AH456" s="9">
        <f t="shared" si="73"/>
        <v>0.98140546251632665</v>
      </c>
      <c r="AI456" s="9">
        <f t="shared" si="75"/>
        <v>1.3427568950024225</v>
      </c>
      <c r="AJ456" s="9">
        <f>(4*PI()*(AI456^2))/(Y456+E456)</f>
        <v>0.88754053164929758</v>
      </c>
      <c r="AK456" s="12">
        <f t="shared" si="76"/>
        <v>0.62899262899262898</v>
      </c>
      <c r="AL456" s="12" t="s">
        <v>144</v>
      </c>
      <c r="AM456" s="12" t="s">
        <v>142</v>
      </c>
      <c r="AN456" s="18">
        <v>5.0673067831622003</v>
      </c>
      <c r="AO456" s="18">
        <v>0.423199282730435</v>
      </c>
      <c r="AP456" s="18">
        <v>9405.8489142378803</v>
      </c>
      <c r="AQ456" s="18">
        <v>8760.6568453906002</v>
      </c>
      <c r="AR456" s="18">
        <v>2.2526439524901898</v>
      </c>
      <c r="AS456" s="18">
        <v>1.01901240501603E-2</v>
      </c>
      <c r="AT456" s="18">
        <v>0.77634798508355296</v>
      </c>
      <c r="AU456" s="18">
        <v>0.64720490866150104</v>
      </c>
      <c r="AV456" s="18">
        <v>1.8520133409351401E-2</v>
      </c>
      <c r="AW456" s="18">
        <v>8.5504630840539299E-3</v>
      </c>
      <c r="AX456" s="18">
        <v>0.18641389213435</v>
      </c>
      <c r="AY456" s="18">
        <v>-22.849192678306501</v>
      </c>
      <c r="AZ456" s="18">
        <v>-4682.7687189153503</v>
      </c>
      <c r="BA456" s="18">
        <v>4.0144652246419103E-2</v>
      </c>
      <c r="BB456" s="18">
        <v>19.4630509257066</v>
      </c>
      <c r="BC456" s="18" t="s">
        <v>162</v>
      </c>
      <c r="BD456" s="35" t="s">
        <v>165</v>
      </c>
      <c r="BE456" t="s">
        <v>167</v>
      </c>
    </row>
    <row r="457" spans="1:57" x14ac:dyDescent="0.25">
      <c r="A457" s="25" t="s">
        <v>527</v>
      </c>
      <c r="B457" s="16" t="s">
        <v>5</v>
      </c>
      <c r="C457" s="16" t="s">
        <v>6</v>
      </c>
      <c r="D457" s="16">
        <v>57</v>
      </c>
      <c r="E457" s="16">
        <v>11.103</v>
      </c>
      <c r="F457" s="16">
        <v>12.108000000000001</v>
      </c>
      <c r="G457" s="15">
        <v>5.41</v>
      </c>
      <c r="H457" s="15">
        <v>4.5999999999999996</v>
      </c>
      <c r="I457" s="15">
        <v>5.9</v>
      </c>
      <c r="J457" s="15">
        <v>32.57</v>
      </c>
      <c r="K457" s="15">
        <v>41.12</v>
      </c>
      <c r="L457" s="15">
        <v>23.29</v>
      </c>
      <c r="M457" s="15">
        <v>5</v>
      </c>
      <c r="N457" s="15">
        <v>1</v>
      </c>
      <c r="O457" s="15">
        <v>5.93</v>
      </c>
      <c r="P457" s="9">
        <v>1.27539</v>
      </c>
      <c r="Q457" s="9">
        <v>1.34179</v>
      </c>
      <c r="R457" s="9">
        <v>8.6956500000000006E-2</v>
      </c>
      <c r="S457" s="9">
        <v>0.122701</v>
      </c>
      <c r="T457" s="9">
        <v>0.14398</v>
      </c>
      <c r="U457" s="9">
        <v>3.7651200000000003E-2</v>
      </c>
      <c r="V457" s="9">
        <v>4.8984399999999999</v>
      </c>
      <c r="W457" s="9">
        <v>3.65069</v>
      </c>
      <c r="X457" s="9">
        <v>4.6560499999999996</v>
      </c>
      <c r="Y457" s="9">
        <v>63.315100000000001</v>
      </c>
      <c r="Z457" s="9">
        <v>53.061</v>
      </c>
      <c r="AA457" s="9">
        <f t="shared" si="77"/>
        <v>0.61876101694915253</v>
      </c>
      <c r="AB457" s="9">
        <f t="shared" si="78"/>
        <v>0.91694915254237286</v>
      </c>
      <c r="AC457" s="9">
        <f t="shared" si="79"/>
        <v>0.77966101694915246</v>
      </c>
      <c r="AD457" s="9">
        <f t="shared" si="80"/>
        <v>5.7025218409438896</v>
      </c>
      <c r="AE457" s="9">
        <f t="shared" si="81"/>
        <v>4.7789786544177248</v>
      </c>
      <c r="AF457" s="9">
        <f t="shared" si="82"/>
        <v>4.4839112715552245</v>
      </c>
      <c r="AG457" s="9">
        <f t="shared" si="74"/>
        <v>1.8799453891798634</v>
      </c>
      <c r="AH457" s="9">
        <f t="shared" si="73"/>
        <v>0.97555709015485026</v>
      </c>
      <c r="AI457" s="9">
        <f t="shared" si="75"/>
        <v>2.3311073501956674</v>
      </c>
      <c r="AJ457" s="9">
        <f>(4*PI()*(AI457^2))/(Y457+E457)</f>
        <v>0.91760513202396654</v>
      </c>
      <c r="AK457" s="12">
        <f t="shared" si="76"/>
        <v>0.99494097807757176</v>
      </c>
      <c r="AL457" s="12" t="s">
        <v>144</v>
      </c>
      <c r="AM457" s="12" t="s">
        <v>142</v>
      </c>
      <c r="AN457" s="16">
        <v>2.4420999999999999</v>
      </c>
      <c r="AO457" s="16">
        <v>0.36910999999999999</v>
      </c>
      <c r="AP457" s="16">
        <v>5238.7</v>
      </c>
      <c r="AQ457" s="16">
        <v>4838.3</v>
      </c>
      <c r="AR457" s="16">
        <v>1.2158</v>
      </c>
      <c r="AS457" s="16">
        <v>1.3950000000000001E-2</v>
      </c>
      <c r="AT457" s="16">
        <v>0.72575999999999996</v>
      </c>
      <c r="AU457" s="16">
        <v>1.4966999999999999</v>
      </c>
      <c r="AV457" s="16">
        <v>0.11591</v>
      </c>
      <c r="AW457" s="16">
        <v>9.1182999999999993E-3</v>
      </c>
      <c r="AX457" s="16">
        <v>0.10553999999999999</v>
      </c>
      <c r="AY457" s="16">
        <v>-1.2839</v>
      </c>
      <c r="AZ457" s="16">
        <v>-266.97000000000003</v>
      </c>
      <c r="BA457" s="16">
        <v>7.4719999999999995E-2</v>
      </c>
      <c r="BB457" s="16">
        <v>17.492999999999999</v>
      </c>
      <c r="BC457" s="16" t="s">
        <v>164</v>
      </c>
      <c r="BD457" s="34" t="s">
        <v>163</v>
      </c>
      <c r="BE457" t="s">
        <v>167</v>
      </c>
    </row>
    <row r="458" spans="1:57" x14ac:dyDescent="0.25">
      <c r="A458" s="25" t="s">
        <v>528</v>
      </c>
      <c r="B458" s="16" t="s">
        <v>5</v>
      </c>
      <c r="C458" s="16" t="s">
        <v>6</v>
      </c>
      <c r="D458" s="16">
        <v>57</v>
      </c>
      <c r="E458" s="16">
        <v>17.495999999999999</v>
      </c>
      <c r="F458" s="16">
        <v>15.315</v>
      </c>
      <c r="G458" s="15">
        <v>5.27</v>
      </c>
      <c r="H458" s="15">
        <v>2.95</v>
      </c>
      <c r="I458" s="15">
        <v>4.2699999999999996</v>
      </c>
      <c r="J458" s="15">
        <v>82.7</v>
      </c>
      <c r="K458" s="15">
        <v>5.24</v>
      </c>
      <c r="L458" s="15">
        <v>12.39</v>
      </c>
      <c r="M458" s="15">
        <v>5.0999999999999996</v>
      </c>
      <c r="N458" s="15">
        <v>1</v>
      </c>
      <c r="O458" s="15">
        <v>6.39</v>
      </c>
      <c r="P458" s="9">
        <v>0.64673099999999994</v>
      </c>
      <c r="Q458" s="9">
        <v>1.1433599999999999</v>
      </c>
      <c r="R458" s="9">
        <v>0.41379300000000002</v>
      </c>
      <c r="S458" s="9">
        <v>3.7446E-2</v>
      </c>
      <c r="T458" s="9">
        <v>5.0369700000000003E-2</v>
      </c>
      <c r="U458" s="9">
        <v>1.5827600000000001E-2</v>
      </c>
      <c r="V458" s="9">
        <v>5.2741899999999999</v>
      </c>
      <c r="W458" s="9">
        <v>4.61287</v>
      </c>
      <c r="X458" s="9">
        <v>2.9832900000000002</v>
      </c>
      <c r="Y458" s="9">
        <v>42.072400000000002</v>
      </c>
      <c r="Z458" s="9">
        <v>33.582799999999999</v>
      </c>
      <c r="AA458" s="9">
        <f t="shared" si="77"/>
        <v>1.080297423887588</v>
      </c>
      <c r="AB458" s="9">
        <f t="shared" si="78"/>
        <v>1.234192037470726</v>
      </c>
      <c r="AC458" s="9">
        <f t="shared" si="79"/>
        <v>0.69086651053864179</v>
      </c>
      <c r="AD458" s="9">
        <f t="shared" si="80"/>
        <v>2.4046867855509833</v>
      </c>
      <c r="AE458" s="9">
        <f t="shared" si="81"/>
        <v>1.9194558756287152</v>
      </c>
      <c r="AF458" s="9">
        <f t="shared" si="82"/>
        <v>4.0419042219506069</v>
      </c>
      <c r="AG458" s="9">
        <f t="shared" si="74"/>
        <v>2.3599046100788907</v>
      </c>
      <c r="AH458" s="9">
        <f t="shared" si="73"/>
        <v>0.96818269489997111</v>
      </c>
      <c r="AI458" s="9">
        <f t="shared" si="75"/>
        <v>2.0014408728850261</v>
      </c>
      <c r="AJ458" s="9">
        <f>(4*PI()*(AI458^2))/(Y458+E458)</f>
        <v>0.8450442636933132</v>
      </c>
      <c r="AK458" s="12">
        <f t="shared" si="76"/>
        <v>0.66823161189358371</v>
      </c>
      <c r="AL458" s="12" t="s">
        <v>144</v>
      </c>
      <c r="AM458" s="12" t="s">
        <v>142</v>
      </c>
      <c r="AN458" s="16">
        <v>8.6364000000000001</v>
      </c>
      <c r="AO458" s="16">
        <v>1.3969</v>
      </c>
      <c r="AP458" s="16">
        <v>11302</v>
      </c>
      <c r="AQ458" s="16">
        <v>12181</v>
      </c>
      <c r="AR458" s="16">
        <v>3.6623000000000001</v>
      </c>
      <c r="AS458" s="16">
        <v>1.6792999999999999E-2</v>
      </c>
      <c r="AT458" s="16">
        <v>0.71950000000000003</v>
      </c>
      <c r="AU458" s="16">
        <v>0.38423000000000002</v>
      </c>
      <c r="AV458" s="16">
        <v>4.3442000000000003E-3</v>
      </c>
      <c r="AW458" s="16">
        <v>7.2084000000000002E-3</v>
      </c>
      <c r="AX458" s="16">
        <v>0.36087999999999998</v>
      </c>
      <c r="AY458" s="16">
        <v>4.0190000000000001</v>
      </c>
      <c r="AZ458" s="16">
        <v>4848.5</v>
      </c>
      <c r="BA458" s="16">
        <v>1.5901999999999999E-2</v>
      </c>
      <c r="BB458" s="16">
        <v>7.3116000000000003</v>
      </c>
      <c r="BC458" s="16" t="s">
        <v>164</v>
      </c>
      <c r="BD458" s="34" t="s">
        <v>163</v>
      </c>
      <c r="BE458" t="s">
        <v>167</v>
      </c>
    </row>
    <row r="459" spans="1:57" x14ac:dyDescent="0.25">
      <c r="A459" s="25" t="s">
        <v>529</v>
      </c>
      <c r="B459" s="18" t="s">
        <v>5</v>
      </c>
      <c r="C459" s="18" t="s">
        <v>14</v>
      </c>
      <c r="D459" s="18">
        <v>40</v>
      </c>
      <c r="E459" s="18">
        <v>19.6584945424264</v>
      </c>
      <c r="F459" s="18">
        <v>16.516999999999999</v>
      </c>
      <c r="G459" s="15">
        <v>6.24</v>
      </c>
      <c r="H459" s="15">
        <v>3.08</v>
      </c>
      <c r="I459" s="15">
        <v>3.04</v>
      </c>
      <c r="J459" s="15">
        <v>134.49</v>
      </c>
      <c r="K459" s="15">
        <v>22.92</v>
      </c>
      <c r="L459" s="15">
        <v>12.35</v>
      </c>
      <c r="M459" s="15">
        <v>5.75</v>
      </c>
      <c r="N459" s="15">
        <v>2</v>
      </c>
      <c r="O459" s="15">
        <f>0.8+2.71</f>
        <v>3.51</v>
      </c>
      <c r="P459" s="9">
        <v>0.63530699999999996</v>
      </c>
      <c r="Q459" s="9">
        <v>1.19712</v>
      </c>
      <c r="R459" s="9">
        <v>0.48333300000000001</v>
      </c>
      <c r="S459" s="9">
        <v>6.11646E-2</v>
      </c>
      <c r="T459" s="9">
        <v>8.3830600000000005E-2</v>
      </c>
      <c r="U459" s="9">
        <v>5.0294999999999999E-2</v>
      </c>
      <c r="V459" s="9">
        <v>5.7826599999999999</v>
      </c>
      <c r="W459" s="9">
        <v>4.83047</v>
      </c>
      <c r="X459" s="9">
        <v>3.0688300000000002</v>
      </c>
      <c r="Y459" s="9">
        <v>44.209499999999998</v>
      </c>
      <c r="Z459" s="9">
        <v>34.2789</v>
      </c>
      <c r="AA459" s="9">
        <f t="shared" si="77"/>
        <v>1.5889703947368421</v>
      </c>
      <c r="AB459" s="9">
        <f t="shared" si="78"/>
        <v>2.0526315789473686</v>
      </c>
      <c r="AC459" s="9">
        <f t="shared" si="79"/>
        <v>1.013157894736842</v>
      </c>
      <c r="AD459" s="9">
        <f t="shared" si="80"/>
        <v>2.2488751569754397</v>
      </c>
      <c r="AE459" s="9">
        <f t="shared" si="81"/>
        <v>1.7437194860481438</v>
      </c>
      <c r="AF459" s="9">
        <f t="shared" si="82"/>
        <v>4.1895208079953452</v>
      </c>
      <c r="AG459" s="9">
        <f t="shared" si="74"/>
        <v>2.5014981831583283</v>
      </c>
      <c r="AH459" s="9">
        <f t="shared" si="73"/>
        <v>0.95158785677525215</v>
      </c>
      <c r="AI459" s="9">
        <f t="shared" si="75"/>
        <v>2.0151749499187543</v>
      </c>
      <c r="AJ459" s="9">
        <f>(4*PI()*(AI459^2))/(Y459+E459)</f>
        <v>0.79900978220084629</v>
      </c>
      <c r="AK459" s="12">
        <f t="shared" si="76"/>
        <v>0.8660968660968662</v>
      </c>
      <c r="AL459" s="12" t="s">
        <v>144</v>
      </c>
      <c r="AM459" s="12" t="s">
        <v>142</v>
      </c>
      <c r="AN459" s="18">
        <v>8.7804577195743292</v>
      </c>
      <c r="AO459" s="18">
        <v>1.2109317894792999</v>
      </c>
      <c r="AP459" s="18">
        <v>11969.7047076115</v>
      </c>
      <c r="AQ459" s="18">
        <v>12339.2584433672</v>
      </c>
      <c r="AR459" s="18">
        <v>4.3749988502911297</v>
      </c>
      <c r="AS459" s="18">
        <v>1.59841942512384E-3</v>
      </c>
      <c r="AT459" s="18">
        <v>0.79467068988665801</v>
      </c>
      <c r="AU459" s="18">
        <v>0.30541554362818202</v>
      </c>
      <c r="AV459" s="19">
        <v>7.7076874784825095E-5</v>
      </c>
      <c r="AW459" s="18">
        <v>1.46135237409103E-3</v>
      </c>
      <c r="AX459" s="18">
        <v>0.30288505496319101</v>
      </c>
      <c r="AY459" s="18">
        <v>2.0881557307935399</v>
      </c>
      <c r="AZ459" s="18">
        <v>1543.0936649830401</v>
      </c>
      <c r="BA459" s="18">
        <v>1.6963777661530999E-2</v>
      </c>
      <c r="BB459" s="18">
        <v>6.5491536693711803</v>
      </c>
      <c r="BC459" s="18" t="s">
        <v>162</v>
      </c>
      <c r="BD459" s="35" t="s">
        <v>163</v>
      </c>
      <c r="BE459" t="s">
        <v>167</v>
      </c>
    </row>
    <row r="460" spans="1:57" x14ac:dyDescent="0.25">
      <c r="A460" s="25" t="s">
        <v>530</v>
      </c>
      <c r="B460" s="18" t="s">
        <v>13</v>
      </c>
      <c r="C460" s="18" t="s">
        <v>14</v>
      </c>
      <c r="D460" s="18">
        <v>40</v>
      </c>
      <c r="E460" s="18">
        <v>16.5824562635127</v>
      </c>
      <c r="F460" s="18">
        <v>14.996</v>
      </c>
      <c r="G460" s="15">
        <v>5.32</v>
      </c>
      <c r="H460" s="15">
        <v>2.9</v>
      </c>
      <c r="I460" s="15">
        <v>2.91</v>
      </c>
      <c r="J460" s="15">
        <v>70.73</v>
      </c>
      <c r="K460" s="15">
        <v>0</v>
      </c>
      <c r="L460" s="15">
        <v>30.24</v>
      </c>
      <c r="M460" s="15">
        <v>5.32</v>
      </c>
      <c r="N460" s="15">
        <v>1</v>
      </c>
      <c r="O460" s="15">
        <v>2.91</v>
      </c>
      <c r="P460" s="9">
        <v>0.64823699999999995</v>
      </c>
      <c r="Q460" s="9">
        <v>1.1852199999999999</v>
      </c>
      <c r="R460" s="9">
        <v>0.48214299999999999</v>
      </c>
      <c r="S460" s="9">
        <v>3.4066100000000002E-2</v>
      </c>
      <c r="T460" s="9">
        <v>4.5733999999999997E-2</v>
      </c>
      <c r="U460" s="9">
        <v>2.0491599999999999E-2</v>
      </c>
      <c r="V460" s="9">
        <v>5.2868599999999999</v>
      </c>
      <c r="W460" s="9">
        <v>4.4606700000000004</v>
      </c>
      <c r="X460" s="9">
        <v>2.8915700000000002</v>
      </c>
      <c r="Y460" s="9">
        <v>37.633800000000001</v>
      </c>
      <c r="Z460" s="9">
        <v>28.619399999999999</v>
      </c>
      <c r="AA460" s="9">
        <f t="shared" si="77"/>
        <v>1.532876288659794</v>
      </c>
      <c r="AB460" s="9">
        <f t="shared" si="78"/>
        <v>1.8281786941580755</v>
      </c>
      <c r="AC460" s="9">
        <f t="shared" si="79"/>
        <v>0.99656357388316141</v>
      </c>
      <c r="AD460" s="9">
        <f t="shared" si="80"/>
        <v>2.2694949048536159</v>
      </c>
      <c r="AE460" s="9">
        <f t="shared" si="81"/>
        <v>1.7258842444814919</v>
      </c>
      <c r="AF460" s="9">
        <f t="shared" si="82"/>
        <v>4.0222684843618106</v>
      </c>
      <c r="AG460" s="9">
        <f t="shared" si="74"/>
        <v>2.2974681207551968</v>
      </c>
      <c r="AH460" s="9">
        <f t="shared" si="73"/>
        <v>0.96261789410793197</v>
      </c>
      <c r="AI460" s="9">
        <f t="shared" si="75"/>
        <v>1.8975386843371007</v>
      </c>
      <c r="AJ460" s="9">
        <f>(4*PI()*(AI460^2))/(Y460+E460)</f>
        <v>0.83456778291032419</v>
      </c>
      <c r="AK460" s="12">
        <f t="shared" si="76"/>
        <v>1</v>
      </c>
      <c r="AL460" s="12" t="s">
        <v>144</v>
      </c>
      <c r="AM460" s="12" t="s">
        <v>142</v>
      </c>
      <c r="AN460" s="18">
        <v>3.9226871816034099</v>
      </c>
      <c r="AO460" s="18">
        <v>0.50251748436129895</v>
      </c>
      <c r="AP460" s="18">
        <v>6038.5335405840397</v>
      </c>
      <c r="AQ460" s="18">
        <v>5344.90496488591</v>
      </c>
      <c r="AR460" s="18">
        <v>1.7003271566811999</v>
      </c>
      <c r="AS460" s="18">
        <v>7.7252869382619096E-3</v>
      </c>
      <c r="AT460" s="18">
        <v>0.75113860623085305</v>
      </c>
      <c r="AU460" s="18">
        <v>0.88056984831401297</v>
      </c>
      <c r="AV460" s="18">
        <v>1.0870639192568201E-2</v>
      </c>
      <c r="AW460" s="18">
        <v>1.0744388739401801E-2</v>
      </c>
      <c r="AX460" s="18">
        <v>0.170114685117217</v>
      </c>
      <c r="AY460" s="18">
        <v>-8.0086193793132701</v>
      </c>
      <c r="AZ460" s="18">
        <v>-791.25834788503005</v>
      </c>
      <c r="BA460" s="18">
        <v>5.0325568507245302E-2</v>
      </c>
      <c r="BB460" s="18">
        <v>12.259070571311099</v>
      </c>
      <c r="BC460" s="18" t="s">
        <v>162</v>
      </c>
      <c r="BD460" s="35" t="s">
        <v>163</v>
      </c>
      <c r="BE460" t="s">
        <v>167</v>
      </c>
    </row>
    <row r="461" spans="1:57" x14ac:dyDescent="0.25">
      <c r="A461" s="25" t="s">
        <v>531</v>
      </c>
      <c r="B461" s="16" t="s">
        <v>26</v>
      </c>
      <c r="C461" s="16" t="s">
        <v>6</v>
      </c>
      <c r="D461" s="16">
        <v>51</v>
      </c>
      <c r="E461" s="16">
        <v>9.8935999999999993</v>
      </c>
      <c r="F461" s="16">
        <v>12.835000000000001</v>
      </c>
      <c r="G461" s="15">
        <v>5.21</v>
      </c>
      <c r="H461" s="15">
        <v>1.8</v>
      </c>
      <c r="I461" s="15">
        <v>2.37</v>
      </c>
      <c r="J461" s="15">
        <v>99.51</v>
      </c>
      <c r="K461" s="15">
        <v>6</v>
      </c>
      <c r="L461" s="15">
        <v>27.49</v>
      </c>
      <c r="M461" s="15">
        <v>4.0999999999999996</v>
      </c>
      <c r="N461" s="15">
        <v>1</v>
      </c>
      <c r="O461" s="15">
        <v>2.2799999999999998</v>
      </c>
      <c r="P461" s="9">
        <v>0.57944600000000002</v>
      </c>
      <c r="Q461" s="9">
        <v>1.61328</v>
      </c>
      <c r="R461" s="9">
        <v>0.1</v>
      </c>
      <c r="S461" s="9">
        <v>0.112516</v>
      </c>
      <c r="T461" s="9">
        <v>0.17655799999999999</v>
      </c>
      <c r="U461" s="9">
        <v>0.155755</v>
      </c>
      <c r="V461" s="9">
        <v>5.1156600000000001</v>
      </c>
      <c r="W461" s="9">
        <v>3.1709700000000001</v>
      </c>
      <c r="X461" s="9">
        <v>1.83741</v>
      </c>
      <c r="Y461" s="9">
        <v>27.094999999999999</v>
      </c>
      <c r="Z461" s="9">
        <v>14.0143</v>
      </c>
      <c r="AA461" s="9">
        <f t="shared" si="77"/>
        <v>1.3379620253164557</v>
      </c>
      <c r="AB461" s="9">
        <f t="shared" si="78"/>
        <v>2.1983122362869199</v>
      </c>
      <c r="AC461" s="9">
        <f t="shared" si="79"/>
        <v>0.75949367088607589</v>
      </c>
      <c r="AD461" s="9">
        <f t="shared" si="80"/>
        <v>2.7386391202393465</v>
      </c>
      <c r="AE461" s="9">
        <f t="shared" si="81"/>
        <v>1.4165015767769065</v>
      </c>
      <c r="AF461" s="9">
        <f t="shared" si="82"/>
        <v>4.6613124545721094</v>
      </c>
      <c r="AG461" s="9">
        <f t="shared" si="74"/>
        <v>1.7746071931410488</v>
      </c>
      <c r="AH461" s="9">
        <f t="shared" si="73"/>
        <v>0.86873282757764259</v>
      </c>
      <c r="AI461" s="9">
        <f t="shared" si="75"/>
        <v>1.4956418206614863</v>
      </c>
      <c r="AJ461" s="9">
        <f>(4*PI()*(AI461^2))/(Y461+E461)</f>
        <v>0.75997126342191912</v>
      </c>
      <c r="AK461" s="12">
        <f t="shared" si="76"/>
        <v>1.0394736842105265</v>
      </c>
      <c r="AL461" s="12" t="s">
        <v>140</v>
      </c>
      <c r="AM461" s="12" t="s">
        <v>143</v>
      </c>
      <c r="AN461" s="16">
        <v>5.1510999999999996</v>
      </c>
      <c r="AO461" s="16">
        <v>1.0803</v>
      </c>
      <c r="AP461" s="16">
        <v>15837</v>
      </c>
      <c r="AQ461" s="16">
        <v>15444</v>
      </c>
      <c r="AR461" s="16">
        <v>2.6171000000000002</v>
      </c>
      <c r="AS461" s="16">
        <v>1.2970000000000001E-2</v>
      </c>
      <c r="AT461" s="16">
        <v>0.74982000000000004</v>
      </c>
      <c r="AU461" s="16">
        <v>2.0596000000000001</v>
      </c>
      <c r="AV461" s="16">
        <v>0.12151000000000001</v>
      </c>
      <c r="AW461" s="16">
        <v>6.9791000000000002E-3</v>
      </c>
      <c r="AX461" s="16">
        <v>0.14788000000000001</v>
      </c>
      <c r="AY461" s="16">
        <v>-3.9593000000000003E-2</v>
      </c>
      <c r="AZ461" s="16">
        <v>-1516.7</v>
      </c>
      <c r="BA461" s="16">
        <v>1.2859000000000001E-2</v>
      </c>
      <c r="BB461" s="16">
        <v>4.7468000000000004</v>
      </c>
      <c r="BC461" s="16" t="s">
        <v>162</v>
      </c>
      <c r="BD461" s="34" t="s">
        <v>165</v>
      </c>
      <c r="BE461" t="s">
        <v>167</v>
      </c>
    </row>
    <row r="462" spans="1:57" x14ac:dyDescent="0.25">
      <c r="A462" s="25" t="s">
        <v>532</v>
      </c>
      <c r="B462" s="18" t="s">
        <v>374</v>
      </c>
      <c r="C462" s="18" t="s">
        <v>14</v>
      </c>
      <c r="D462" s="18">
        <v>56</v>
      </c>
      <c r="E462" s="18">
        <v>5.0260885646936702</v>
      </c>
      <c r="F462" s="18">
        <v>8.3592999999999993</v>
      </c>
      <c r="G462" s="15">
        <v>3.16</v>
      </c>
      <c r="H462" s="15">
        <v>1.6</v>
      </c>
      <c r="I462" s="15">
        <v>3.01</v>
      </c>
      <c r="J462" s="15">
        <v>80.11</v>
      </c>
      <c r="K462" s="15">
        <v>7.84</v>
      </c>
      <c r="L462" s="15">
        <v>80.97</v>
      </c>
      <c r="M462" s="15">
        <v>3.01</v>
      </c>
      <c r="N462" s="15">
        <v>3</v>
      </c>
      <c r="O462" s="15">
        <f>2.97+1.25+2.4</f>
        <v>6.620000000000001</v>
      </c>
      <c r="P462" s="9">
        <v>0.65871999999999997</v>
      </c>
      <c r="Q462" s="9">
        <v>1.29406</v>
      </c>
      <c r="R462" s="9">
        <v>0.36666700000000002</v>
      </c>
      <c r="S462" s="9">
        <v>4.2424299999999998E-2</v>
      </c>
      <c r="T462" s="9">
        <v>5.0391499999999999E-2</v>
      </c>
      <c r="U462" s="9">
        <v>-1.40708E-2</v>
      </c>
      <c r="V462" s="9">
        <v>3.1115300000000001</v>
      </c>
      <c r="W462" s="9">
        <v>2.40448</v>
      </c>
      <c r="X462" s="9">
        <v>1.58388</v>
      </c>
      <c r="Y462" s="9">
        <v>13.226599999999999</v>
      </c>
      <c r="Z462" s="9">
        <v>5.9193800000000003</v>
      </c>
      <c r="AA462" s="9">
        <f t="shared" si="77"/>
        <v>0.79883056478405323</v>
      </c>
      <c r="AB462" s="9">
        <f t="shared" si="78"/>
        <v>1.0498338870431896</v>
      </c>
      <c r="AC462" s="9">
        <f t="shared" si="79"/>
        <v>0.53156146179401997</v>
      </c>
      <c r="AD462" s="9">
        <f t="shared" si="80"/>
        <v>2.6315891233815005</v>
      </c>
      <c r="AE462" s="9">
        <f t="shared" si="81"/>
        <v>1.1777309380462091</v>
      </c>
      <c r="AF462" s="9">
        <f t="shared" si="82"/>
        <v>4.042010207318957</v>
      </c>
      <c r="AG462" s="9">
        <f t="shared" si="74"/>
        <v>1.2648532242822856</v>
      </c>
      <c r="AH462" s="9">
        <f t="shared" si="73"/>
        <v>0.95071443715971238</v>
      </c>
      <c r="AI462" s="9">
        <f t="shared" si="75"/>
        <v>1.1221800333878413</v>
      </c>
      <c r="AJ462" s="9">
        <f>(4*PI()*(AI462^2))/(Y462+E462)</f>
        <v>0.86697803480405355</v>
      </c>
      <c r="AK462" s="12">
        <f t="shared" si="76"/>
        <v>0.45468277945619323</v>
      </c>
      <c r="AL462" s="12" t="s">
        <v>144</v>
      </c>
      <c r="AM462" s="12" t="s">
        <v>142</v>
      </c>
      <c r="AN462" s="18">
        <v>0.38527605424246097</v>
      </c>
      <c r="AO462" s="18">
        <v>0.14834576867326801</v>
      </c>
      <c r="AP462" s="18">
        <v>1478.7098356081599</v>
      </c>
      <c r="AQ462" s="18">
        <v>1166.69503166344</v>
      </c>
      <c r="AR462" s="18">
        <v>0.256168991683209</v>
      </c>
      <c r="AS462" s="18">
        <v>1.4692945745731699E-2</v>
      </c>
      <c r="AT462" s="18">
        <v>0.70472794910445202</v>
      </c>
      <c r="AU462" s="18">
        <v>5.7822115819349502</v>
      </c>
      <c r="AV462" s="18">
        <v>0.60180932677457399</v>
      </c>
      <c r="AW462" s="18">
        <v>9.0994674200988793E-3</v>
      </c>
      <c r="AX462" s="18">
        <v>2.3406104988280899E-2</v>
      </c>
      <c r="AY462" s="18">
        <v>-28.427383665272799</v>
      </c>
      <c r="AZ462" s="18">
        <v>-112.90344374033</v>
      </c>
      <c r="BA462" s="18">
        <v>0.11252136859449</v>
      </c>
      <c r="BB462" s="18">
        <v>28.388913857457599</v>
      </c>
      <c r="BC462" s="18" t="s">
        <v>162</v>
      </c>
      <c r="BD462" s="35" t="s">
        <v>163</v>
      </c>
      <c r="BE462" t="s">
        <v>167</v>
      </c>
    </row>
    <row r="463" spans="1:57" x14ac:dyDescent="0.25">
      <c r="A463" s="15" t="s">
        <v>533</v>
      </c>
      <c r="B463" s="18" t="s">
        <v>5</v>
      </c>
      <c r="C463" s="18" t="s">
        <v>6</v>
      </c>
      <c r="D463" s="18">
        <v>49</v>
      </c>
      <c r="E463" s="18">
        <v>8.3948999999999998</v>
      </c>
      <c r="F463" s="18">
        <v>10.46</v>
      </c>
      <c r="G463" s="15">
        <v>3.78</v>
      </c>
      <c r="H463" s="15">
        <v>2.6</v>
      </c>
      <c r="I463" s="15">
        <v>4.99</v>
      </c>
      <c r="J463" s="15">
        <v>79.39</v>
      </c>
      <c r="K463" s="15">
        <v>20.62</v>
      </c>
      <c r="L463" s="15">
        <v>20.03</v>
      </c>
      <c r="M463" s="15">
        <v>3.6</v>
      </c>
      <c r="N463" s="15">
        <v>1</v>
      </c>
      <c r="O463" s="15">
        <v>3.47</v>
      </c>
      <c r="P463" s="9">
        <v>0.818832</v>
      </c>
      <c r="Q463" s="9">
        <v>1.17737</v>
      </c>
      <c r="R463" s="9">
        <v>6.8627499999999994E-2</v>
      </c>
      <c r="S463" s="9">
        <v>5.3137700000000003E-2</v>
      </c>
      <c r="T463" s="9">
        <v>6.2708299999999995E-2</v>
      </c>
      <c r="U463" s="9">
        <v>9.9308699999999996E-3</v>
      </c>
      <c r="V463" s="9">
        <v>3.7475399999999999</v>
      </c>
      <c r="W463" s="9">
        <v>3.1829800000000001</v>
      </c>
      <c r="X463" s="9">
        <v>2.6063200000000002</v>
      </c>
      <c r="Y463" s="9">
        <v>26.704000000000001</v>
      </c>
      <c r="Z463" s="9">
        <v>16.651900000000001</v>
      </c>
      <c r="AA463" s="9">
        <f t="shared" si="77"/>
        <v>0.63787174348697395</v>
      </c>
      <c r="AB463" s="9">
        <f t="shared" si="78"/>
        <v>0.75751503006012022</v>
      </c>
      <c r="AC463" s="9">
        <f t="shared" si="79"/>
        <v>0.52104208416833664</v>
      </c>
      <c r="AD463" s="9">
        <f t="shared" si="80"/>
        <v>3.1809789276822835</v>
      </c>
      <c r="AE463" s="9">
        <f t="shared" si="81"/>
        <v>1.9835733600162004</v>
      </c>
      <c r="AF463" s="9">
        <f t="shared" si="82"/>
        <v>4.0951246274655526</v>
      </c>
      <c r="AG463" s="9">
        <f t="shared" si="74"/>
        <v>1.6346802939793164</v>
      </c>
      <c r="AH463" s="9">
        <f t="shared" si="73"/>
        <v>0.98193109035055892</v>
      </c>
      <c r="AI463" s="9">
        <f t="shared" si="75"/>
        <v>1.5841333179816077</v>
      </c>
      <c r="AJ463" s="9">
        <f>(4*PI()*(AI463^2))/(Y463+E463)</f>
        <v>0.8984622092237522</v>
      </c>
      <c r="AK463" s="12">
        <f t="shared" si="76"/>
        <v>1.4380403458213256</v>
      </c>
      <c r="AL463" s="12" t="s">
        <v>144</v>
      </c>
      <c r="AM463" s="12" t="s">
        <v>143</v>
      </c>
      <c r="AN463" s="18">
        <v>11.173</v>
      </c>
      <c r="AO463" s="18">
        <v>0.82384999999999997</v>
      </c>
      <c r="AP463" s="18">
        <v>16238</v>
      </c>
      <c r="AQ463" s="18">
        <v>16954</v>
      </c>
      <c r="AR463" s="18">
        <v>5.8014999999999999</v>
      </c>
      <c r="AS463" s="18">
        <v>3.3115000000000002E-3</v>
      </c>
      <c r="AT463" s="18">
        <v>0.75488</v>
      </c>
      <c r="AU463" s="18">
        <v>0.21790999999999999</v>
      </c>
      <c r="AV463" s="19">
        <v>9.9493999999999993E-4</v>
      </c>
      <c r="AW463" s="18">
        <v>2.0676000000000002E-3</v>
      </c>
      <c r="AX463" s="18">
        <v>0.35998999999999998</v>
      </c>
      <c r="AY463" s="18">
        <v>7.0929000000000002</v>
      </c>
      <c r="AZ463" s="18">
        <v>17899</v>
      </c>
      <c r="BA463" s="18">
        <v>1.3256E-2</v>
      </c>
      <c r="BB463" s="18">
        <v>6.5602</v>
      </c>
      <c r="BC463" s="18" t="s">
        <v>162</v>
      </c>
      <c r="BD463" s="35" t="s">
        <v>163</v>
      </c>
      <c r="BE463" t="s">
        <v>167</v>
      </c>
    </row>
    <row r="464" spans="1:57" x14ac:dyDescent="0.25">
      <c r="A464" s="15" t="s">
        <v>534</v>
      </c>
      <c r="B464" s="18" t="s">
        <v>40</v>
      </c>
      <c r="C464" s="18" t="s">
        <v>6</v>
      </c>
      <c r="D464" s="18">
        <v>66</v>
      </c>
      <c r="E464" s="18">
        <v>14.378</v>
      </c>
      <c r="F464" s="18">
        <v>14.412000000000001</v>
      </c>
      <c r="G464" s="15">
        <v>6.29</v>
      </c>
      <c r="H464" s="15">
        <v>3.22</v>
      </c>
      <c r="I464" s="15">
        <v>2.42</v>
      </c>
      <c r="J464" s="15">
        <v>76.44</v>
      </c>
      <c r="K464" s="15">
        <v>17.7</v>
      </c>
      <c r="L464" s="15">
        <v>83.81</v>
      </c>
      <c r="M464" s="15">
        <v>4.25</v>
      </c>
      <c r="N464" s="15">
        <v>3</v>
      </c>
      <c r="O464" s="15">
        <v>5.21</v>
      </c>
      <c r="P464" s="9">
        <v>0.812477</v>
      </c>
      <c r="Q464" s="9">
        <v>1.42554</v>
      </c>
      <c r="R464" s="9">
        <v>0.27777800000000002</v>
      </c>
      <c r="S464" s="9">
        <v>9.1439699999999999E-2</v>
      </c>
      <c r="T464" s="9">
        <v>0.112138</v>
      </c>
      <c r="U464" s="9">
        <v>4.4024800000000003E-2</v>
      </c>
      <c r="V464" s="9">
        <v>5.6968300000000003</v>
      </c>
      <c r="W464" s="9">
        <v>3.99627</v>
      </c>
      <c r="X464" s="9">
        <v>3.2468699999999999</v>
      </c>
      <c r="Y464" s="9">
        <v>49.3825</v>
      </c>
      <c r="Z464" s="9">
        <v>38.607100000000003</v>
      </c>
      <c r="AA464" s="9">
        <f t="shared" si="77"/>
        <v>1.6513512396694214</v>
      </c>
      <c r="AB464" s="9">
        <f t="shared" si="78"/>
        <v>2.5991735537190084</v>
      </c>
      <c r="AC464" s="9">
        <f t="shared" si="79"/>
        <v>1.3305785123966942</v>
      </c>
      <c r="AD464" s="9">
        <f t="shared" si="80"/>
        <v>3.4345875643343997</v>
      </c>
      <c r="AE464" s="9">
        <f t="shared" si="81"/>
        <v>2.685150925024343</v>
      </c>
      <c r="AF464" s="9">
        <f t="shared" si="82"/>
        <v>4.3230967201997705</v>
      </c>
      <c r="AG464" s="9">
        <f t="shared" si="74"/>
        <v>2.1393128671492962</v>
      </c>
      <c r="AH464" s="9">
        <f t="shared" si="73"/>
        <v>0.93267410313160504</v>
      </c>
      <c r="AI464" s="9">
        <f t="shared" si="75"/>
        <v>2.0966512163493491</v>
      </c>
      <c r="AJ464" s="9">
        <f>(4*PI()*(AI464^2))/(Y464+E464)</f>
        <v>0.86638421430021406</v>
      </c>
      <c r="AK464" s="12">
        <f t="shared" si="76"/>
        <v>0.46449136276391556</v>
      </c>
      <c r="AL464" s="12" t="s">
        <v>140</v>
      </c>
      <c r="AM464" s="12" t="s">
        <v>142</v>
      </c>
      <c r="AN464" s="18">
        <v>6.2969999999999997</v>
      </c>
      <c r="AO464" s="18">
        <v>1.3185</v>
      </c>
      <c r="AP464" s="18">
        <v>12082</v>
      </c>
      <c r="AQ464" s="18">
        <v>11484</v>
      </c>
      <c r="AR464" s="18">
        <v>3.3275999999999999</v>
      </c>
      <c r="AS464" s="18">
        <v>8.3558999999999994E-3</v>
      </c>
      <c r="AT464" s="18">
        <v>0.71970999999999996</v>
      </c>
      <c r="AU464" s="18">
        <v>0.46727999999999997</v>
      </c>
      <c r="AV464" s="18">
        <v>0</v>
      </c>
      <c r="AW464" s="18">
        <v>1.9382E-2</v>
      </c>
      <c r="AX464" s="18">
        <v>0.21912000000000001</v>
      </c>
      <c r="AY464" s="18">
        <v>-0.28266999999999998</v>
      </c>
      <c r="AZ464" s="18">
        <v>-276.95999999999998</v>
      </c>
      <c r="BA464" s="18">
        <v>5.7423000000000002E-2</v>
      </c>
      <c r="BB464" s="18">
        <v>23.183</v>
      </c>
      <c r="BC464" s="18" t="s">
        <v>164</v>
      </c>
      <c r="BD464" s="35" t="s">
        <v>165</v>
      </c>
      <c r="BE464" t="s">
        <v>168</v>
      </c>
    </row>
    <row r="465" spans="1:57" x14ac:dyDescent="0.25">
      <c r="A465" s="15" t="s">
        <v>535</v>
      </c>
      <c r="B465" s="18" t="s">
        <v>26</v>
      </c>
      <c r="C465" s="18" t="s">
        <v>6</v>
      </c>
      <c r="D465" s="18">
        <v>71</v>
      </c>
      <c r="E465" s="18">
        <v>13.285</v>
      </c>
      <c r="F465" s="18">
        <v>13.342000000000001</v>
      </c>
      <c r="G465" s="15">
        <v>6.73</v>
      </c>
      <c r="H465" s="15">
        <v>5</v>
      </c>
      <c r="I465" s="15">
        <v>2.5099999999999998</v>
      </c>
      <c r="J465" s="15">
        <v>30.18</v>
      </c>
      <c r="K465" s="15">
        <v>39.54</v>
      </c>
      <c r="L465" s="15">
        <v>68.25</v>
      </c>
      <c r="M465" s="15">
        <v>5.35</v>
      </c>
      <c r="N465" s="15">
        <v>2</v>
      </c>
      <c r="O465" s="15">
        <v>4.6199999999999992</v>
      </c>
      <c r="P465" s="9">
        <v>1.24187</v>
      </c>
      <c r="Q465" s="9">
        <v>1.4918</v>
      </c>
      <c r="R465" s="9">
        <v>-0.19697000000000001</v>
      </c>
      <c r="S465" s="9">
        <v>0.153333</v>
      </c>
      <c r="T465" s="9">
        <v>0.195822</v>
      </c>
      <c r="U465" s="9">
        <v>0.140321</v>
      </c>
      <c r="V465" s="9">
        <v>6.0119999999999996</v>
      </c>
      <c r="W465" s="9">
        <v>4.0300399999999996</v>
      </c>
      <c r="X465" s="9">
        <v>5.0047899999999998</v>
      </c>
      <c r="Y465" s="9">
        <v>74.400000000000006</v>
      </c>
      <c r="Z465" s="9">
        <v>61.5426</v>
      </c>
      <c r="AA465" s="9">
        <f t="shared" si="77"/>
        <v>1.6055936254980079</v>
      </c>
      <c r="AB465" s="9">
        <f t="shared" si="78"/>
        <v>2.6812749003984067</v>
      </c>
      <c r="AC465" s="9">
        <f t="shared" si="79"/>
        <v>1.9920318725099604</v>
      </c>
      <c r="AD465" s="9">
        <f t="shared" si="80"/>
        <v>5.6003010914565303</v>
      </c>
      <c r="AE465" s="9">
        <f t="shared" si="81"/>
        <v>4.6324877681595789</v>
      </c>
      <c r="AF465" s="9">
        <f t="shared" si="82"/>
        <v>4.772973709681108</v>
      </c>
      <c r="AG465" s="9">
        <f t="shared" si="74"/>
        <v>2.0563917034338712</v>
      </c>
      <c r="AH465" s="9">
        <f t="shared" si="73"/>
        <v>0.96842228577587319</v>
      </c>
      <c r="AI465" s="9">
        <f t="shared" si="75"/>
        <v>2.4492272171140366</v>
      </c>
      <c r="AJ465" s="9">
        <f>(4*PI()*(AI465^2))/(Y465+E465)</f>
        <v>0.85969165586031915</v>
      </c>
      <c r="AK465" s="12">
        <f t="shared" si="76"/>
        <v>0.54329004329004338</v>
      </c>
      <c r="AL465" s="12" t="s">
        <v>140</v>
      </c>
      <c r="AM465" s="12" t="s">
        <v>142</v>
      </c>
      <c r="AN465" s="18">
        <v>5.1397000000000004</v>
      </c>
      <c r="AO465" s="18">
        <v>0.66608999999999996</v>
      </c>
      <c r="AP465" s="18">
        <v>7319.7</v>
      </c>
      <c r="AQ465" s="18">
        <v>6778.8</v>
      </c>
      <c r="AR465" s="18">
        <v>2.8338000000000001</v>
      </c>
      <c r="AS465" s="18">
        <v>1.0659999999999999E-2</v>
      </c>
      <c r="AT465" s="18">
        <v>0.68737000000000004</v>
      </c>
      <c r="AU465" s="18">
        <v>0.86902000000000001</v>
      </c>
      <c r="AV465" s="18">
        <v>0.12006</v>
      </c>
      <c r="AW465" s="18">
        <v>8.9940000000000003E-3</v>
      </c>
      <c r="AX465" s="18">
        <v>0.20598</v>
      </c>
      <c r="AY465" s="18">
        <v>1.7133</v>
      </c>
      <c r="AZ465" s="18">
        <v>-83.335999999999999</v>
      </c>
      <c r="BA465" s="18">
        <v>5.8647999999999999E-2</v>
      </c>
      <c r="BB465" s="18">
        <v>13.253</v>
      </c>
      <c r="BC465" s="18" t="s">
        <v>162</v>
      </c>
      <c r="BD465" s="35" t="s">
        <v>165</v>
      </c>
      <c r="BE465" t="s">
        <v>167</v>
      </c>
    </row>
    <row r="466" spans="1:57" x14ac:dyDescent="0.25">
      <c r="A466" s="15" t="s">
        <v>536</v>
      </c>
      <c r="B466" s="18" t="s">
        <v>13</v>
      </c>
      <c r="C466" s="18" t="s">
        <v>6</v>
      </c>
      <c r="D466" s="18">
        <v>71</v>
      </c>
      <c r="E466" s="18">
        <v>4.3617999999999997</v>
      </c>
      <c r="F466" s="18">
        <v>7.6586999999999996</v>
      </c>
      <c r="G466" s="15">
        <v>4.08</v>
      </c>
      <c r="H466" s="15">
        <v>2.5499999999999998</v>
      </c>
      <c r="I466" s="15">
        <v>1.27</v>
      </c>
      <c r="J466" s="15">
        <v>30.33</v>
      </c>
      <c r="K466" s="15">
        <v>32.78</v>
      </c>
      <c r="L466" s="15">
        <v>34.97</v>
      </c>
      <c r="M466" s="15">
        <v>3.35</v>
      </c>
      <c r="N466" s="15">
        <v>1</v>
      </c>
      <c r="O466" s="15">
        <v>1.1599999999999999</v>
      </c>
      <c r="P466" s="9">
        <v>1.1310100000000001</v>
      </c>
      <c r="Q466" s="9">
        <v>1.4357500000000001</v>
      </c>
      <c r="R466" s="9">
        <v>-0.12</v>
      </c>
      <c r="S466" s="9">
        <v>0.147537</v>
      </c>
      <c r="T466" s="9">
        <v>0.154525</v>
      </c>
      <c r="U466" s="9">
        <v>8.9701999999999994E-3</v>
      </c>
      <c r="V466" s="9">
        <v>3.2838599999999998</v>
      </c>
      <c r="W466" s="9">
        <v>2.28721</v>
      </c>
      <c r="X466" s="9">
        <v>2.5868600000000002</v>
      </c>
      <c r="Y466" s="9">
        <v>26.737100000000002</v>
      </c>
      <c r="Z466" s="9">
        <v>14.2926</v>
      </c>
      <c r="AA466" s="9">
        <f t="shared" si="77"/>
        <v>1.8009527559055118</v>
      </c>
      <c r="AB466" s="9">
        <f t="shared" si="78"/>
        <v>3.2125984251968505</v>
      </c>
      <c r="AC466" s="9">
        <f t="shared" si="79"/>
        <v>2.0078740157480315</v>
      </c>
      <c r="AD466" s="9">
        <f t="shared" si="80"/>
        <v>6.1298317208491913</v>
      </c>
      <c r="AE466" s="9">
        <f t="shared" si="81"/>
        <v>3.2767664725572017</v>
      </c>
      <c r="AF466" s="9">
        <f t="shared" si="82"/>
        <v>4.5398357523215864</v>
      </c>
      <c r="AG466" s="9">
        <f t="shared" si="74"/>
        <v>1.1783055892070011</v>
      </c>
      <c r="AH466" s="9">
        <f t="shared" si="73"/>
        <v>0.96668003257380686</v>
      </c>
      <c r="AI466" s="9">
        <f t="shared" si="75"/>
        <v>1.5054772950672846</v>
      </c>
      <c r="AJ466" s="9">
        <f>(4*PI()*(AI466^2))/(Y466+E466)</f>
        <v>0.91582660616072809</v>
      </c>
      <c r="AK466" s="12">
        <f t="shared" si="76"/>
        <v>1.0948275862068966</v>
      </c>
      <c r="AL466" s="12" t="s">
        <v>144</v>
      </c>
      <c r="AM466" s="12" t="s">
        <v>143</v>
      </c>
      <c r="AN466" s="18">
        <v>2.9893999999999998</v>
      </c>
      <c r="AO466" s="18">
        <v>0.22094</v>
      </c>
      <c r="AP466" s="18">
        <v>8453.2000000000007</v>
      </c>
      <c r="AQ466" s="18">
        <v>8203.2000000000007</v>
      </c>
      <c r="AR466" s="18">
        <v>1.3585</v>
      </c>
      <c r="AS466" s="18">
        <v>1.2883E-2</v>
      </c>
      <c r="AT466" s="18">
        <v>0.75631999999999999</v>
      </c>
      <c r="AU466" s="18">
        <v>1.4693000000000001</v>
      </c>
      <c r="AV466" s="18">
        <v>0.31191999999999998</v>
      </c>
      <c r="AW466" s="18">
        <v>1.2435999999999999E-2</v>
      </c>
      <c r="AX466" s="18">
        <v>0.1051</v>
      </c>
      <c r="AY466" s="18">
        <v>46.079000000000001</v>
      </c>
      <c r="AZ466" s="18">
        <v>4964.3999999999996</v>
      </c>
      <c r="BA466" s="18">
        <v>5.1237999999999999E-2</v>
      </c>
      <c r="BB466" s="18">
        <v>26.181999999999999</v>
      </c>
      <c r="BC466" s="18" t="s">
        <v>162</v>
      </c>
      <c r="BD466" s="35" t="s">
        <v>163</v>
      </c>
      <c r="BE466" t="s">
        <v>167</v>
      </c>
    </row>
    <row r="467" spans="1:57" x14ac:dyDescent="0.25">
      <c r="A467" s="15" t="s">
        <v>537</v>
      </c>
      <c r="B467" s="18" t="s">
        <v>26</v>
      </c>
      <c r="C467" s="18" t="s">
        <v>6</v>
      </c>
      <c r="D467" s="18">
        <v>78</v>
      </c>
      <c r="E467" s="18">
        <v>6.9452999999999996</v>
      </c>
      <c r="F467" s="18">
        <v>9.5147999999999993</v>
      </c>
      <c r="G467" s="15">
        <v>4.76</v>
      </c>
      <c r="H467" s="15">
        <v>3.25</v>
      </c>
      <c r="I467" s="15">
        <v>2.44</v>
      </c>
      <c r="J467" s="15">
        <v>13.52</v>
      </c>
      <c r="K467" s="15">
        <v>37.17</v>
      </c>
      <c r="L467" s="15">
        <v>36.380000000000003</v>
      </c>
      <c r="M467" s="15">
        <v>3.65</v>
      </c>
      <c r="N467" s="15">
        <v>1</v>
      </c>
      <c r="O467" s="15">
        <v>2.73</v>
      </c>
      <c r="P467" s="9">
        <v>1.09613</v>
      </c>
      <c r="Q467" s="9">
        <v>1.1429</v>
      </c>
      <c r="R467" s="9">
        <v>0.15079400000000001</v>
      </c>
      <c r="S467" s="9">
        <v>0.12692300000000001</v>
      </c>
      <c r="T467" s="9">
        <v>0.145399</v>
      </c>
      <c r="U467" s="9">
        <v>4.1473099999999999E-2</v>
      </c>
      <c r="V467" s="9">
        <v>3.36253</v>
      </c>
      <c r="W467" s="9">
        <v>2.9420899999999999</v>
      </c>
      <c r="X467" s="9">
        <v>3.2249099999999999</v>
      </c>
      <c r="Y467" s="9">
        <v>31.0242</v>
      </c>
      <c r="Z467" s="9">
        <v>18.154499999999999</v>
      </c>
      <c r="AA467" s="9">
        <f t="shared" si="77"/>
        <v>1.2057745901639343</v>
      </c>
      <c r="AB467" s="9">
        <f t="shared" si="78"/>
        <v>1.9508196721311475</v>
      </c>
      <c r="AC467" s="9">
        <f t="shared" si="79"/>
        <v>1.3319672131147542</v>
      </c>
      <c r="AD467" s="9">
        <f t="shared" si="80"/>
        <v>4.4669344736728442</v>
      </c>
      <c r="AE467" s="9">
        <f t="shared" si="81"/>
        <v>2.6139259643211954</v>
      </c>
      <c r="AF467" s="9">
        <f t="shared" si="82"/>
        <v>4.4913585836265995</v>
      </c>
      <c r="AG467" s="9">
        <f t="shared" si="74"/>
        <v>1.486861679011293</v>
      </c>
      <c r="AH467" s="9">
        <f t="shared" si="73"/>
        <v>0.98186272495187787</v>
      </c>
      <c r="AI467" s="9">
        <f t="shared" si="75"/>
        <v>1.6304164970709096</v>
      </c>
      <c r="AJ467" s="9">
        <f>(4*PI()*(AI467^2))/(Y467+E467)</f>
        <v>0.87977599487849678</v>
      </c>
      <c r="AK467" s="12">
        <f t="shared" si="76"/>
        <v>0.89377289377289371</v>
      </c>
      <c r="AL467" s="12" t="s">
        <v>144</v>
      </c>
      <c r="AM467" s="12" t="s">
        <v>143</v>
      </c>
      <c r="AN467" s="18">
        <v>7.7587999999999999</v>
      </c>
      <c r="AO467" s="18">
        <v>0.40135999999999999</v>
      </c>
      <c r="AP467" s="18">
        <v>15706</v>
      </c>
      <c r="AQ467" s="18">
        <v>13771</v>
      </c>
      <c r="AR467" s="18">
        <v>3.4590999999999998</v>
      </c>
      <c r="AS467" s="18">
        <v>9.2478999999999999E-3</v>
      </c>
      <c r="AT467" s="18">
        <v>0.76978000000000002</v>
      </c>
      <c r="AU467" s="18">
        <v>0.59997999999999996</v>
      </c>
      <c r="AV467" s="18">
        <v>0.14802999999999999</v>
      </c>
      <c r="AW467" s="18">
        <v>7.1168999999999998E-3</v>
      </c>
      <c r="AX467" s="18">
        <v>0.21154000000000001</v>
      </c>
      <c r="AY467" s="18">
        <v>-72.802999999999997</v>
      </c>
      <c r="AZ467" s="18">
        <v>-17195</v>
      </c>
      <c r="BA467" s="18">
        <v>5.3342000000000001E-2</v>
      </c>
      <c r="BB467" s="18">
        <v>30.062999999999999</v>
      </c>
      <c r="BC467" s="18" t="s">
        <v>162</v>
      </c>
      <c r="BD467" s="35" t="s">
        <v>163</v>
      </c>
      <c r="BE467" t="s">
        <v>167</v>
      </c>
    </row>
    <row r="468" spans="1:57" x14ac:dyDescent="0.25">
      <c r="A468" s="15" t="s">
        <v>538</v>
      </c>
      <c r="B468" s="18" t="s">
        <v>5</v>
      </c>
      <c r="C468" s="18" t="s">
        <v>14</v>
      </c>
      <c r="D468" s="18">
        <v>57</v>
      </c>
      <c r="E468" s="18">
        <v>9.3268000000000004</v>
      </c>
      <c r="F468" s="18">
        <v>11.24</v>
      </c>
      <c r="G468" s="15">
        <v>4.9400000000000004</v>
      </c>
      <c r="H468" s="15">
        <v>4.75</v>
      </c>
      <c r="I468" s="15">
        <v>3.57</v>
      </c>
      <c r="J468" s="15">
        <v>76.790000000000006</v>
      </c>
      <c r="K468" s="15">
        <v>41.72</v>
      </c>
      <c r="L468" s="15">
        <v>21.99</v>
      </c>
      <c r="M468" s="15">
        <v>4.05</v>
      </c>
      <c r="N468" s="15">
        <v>2</v>
      </c>
      <c r="O468" s="15">
        <v>5.7700000000000005</v>
      </c>
      <c r="P468" s="9">
        <v>1.1464000000000001</v>
      </c>
      <c r="Q468" s="9">
        <v>1.19807</v>
      </c>
      <c r="R468" s="9">
        <v>5.4053999999999998E-2</v>
      </c>
      <c r="S468" s="9">
        <v>0.11724</v>
      </c>
      <c r="T468" s="9">
        <v>0.12823100000000001</v>
      </c>
      <c r="U468" s="9">
        <v>2.77623E-2</v>
      </c>
      <c r="V468" s="9">
        <v>3.95011</v>
      </c>
      <c r="W468" s="9">
        <v>3.2970600000000001</v>
      </c>
      <c r="X468" s="9">
        <v>3.7797499999999999</v>
      </c>
      <c r="Y468" s="9">
        <v>42.9148</v>
      </c>
      <c r="Z468" s="9">
        <v>30.43</v>
      </c>
      <c r="AA468" s="9">
        <f t="shared" si="77"/>
        <v>0.92354621848739504</v>
      </c>
      <c r="AB468" s="9">
        <f t="shared" si="78"/>
        <v>1.3837535014005604</v>
      </c>
      <c r="AC468" s="9">
        <f t="shared" si="79"/>
        <v>1.3305322128851542</v>
      </c>
      <c r="AD468" s="9">
        <f t="shared" si="80"/>
        <v>4.6012351503195088</v>
      </c>
      <c r="AE468" s="9">
        <f t="shared" si="81"/>
        <v>3.2626409915512284</v>
      </c>
      <c r="AF468" s="9">
        <f t="shared" si="82"/>
        <v>4.4029030708035055</v>
      </c>
      <c r="AG468" s="9">
        <f t="shared" si="74"/>
        <v>1.7230242733226306</v>
      </c>
      <c r="AH468" s="9">
        <f t="shared" si="73"/>
        <v>0.96317444822549247</v>
      </c>
      <c r="AI468" s="9">
        <f t="shared" si="75"/>
        <v>1.9367390728989935</v>
      </c>
      <c r="AJ468" s="9">
        <f>(4*PI()*(AI468^2))/(Y468+E468)</f>
        <v>0.90226814184026416</v>
      </c>
      <c r="AK468" s="12">
        <f t="shared" si="76"/>
        <v>0.61871750433275552</v>
      </c>
      <c r="AL468" s="12" t="s">
        <v>144</v>
      </c>
      <c r="AM468" s="12" t="s">
        <v>142</v>
      </c>
      <c r="AN468" s="18">
        <v>4.4714</v>
      </c>
      <c r="AO468" s="18">
        <v>0.63027999999999995</v>
      </c>
      <c r="AP468" s="18">
        <v>4870</v>
      </c>
      <c r="AQ468" s="18">
        <v>5508.5</v>
      </c>
      <c r="AR468" s="18">
        <v>2.2242000000000002</v>
      </c>
      <c r="AS468" s="18">
        <v>6.2515000000000001E-3</v>
      </c>
      <c r="AT468" s="18">
        <v>0.72835000000000005</v>
      </c>
      <c r="AU468" s="18">
        <v>0.55589999999999995</v>
      </c>
      <c r="AV468" s="19">
        <v>7.2176999999999997E-5</v>
      </c>
      <c r="AW468" s="18">
        <v>6.9126999999999999E-3</v>
      </c>
      <c r="AX468" s="18">
        <v>0.18973999999999999</v>
      </c>
      <c r="AY468" s="18">
        <v>-7.0170000000000003</v>
      </c>
      <c r="AZ468" s="18">
        <v>-815.06</v>
      </c>
      <c r="BA468" s="18">
        <v>7.9148999999999997E-2</v>
      </c>
      <c r="BB468" s="18">
        <v>8.2280999999999995</v>
      </c>
      <c r="BC468" s="18" t="s">
        <v>162</v>
      </c>
      <c r="BD468" s="35" t="s">
        <v>165</v>
      </c>
      <c r="BE468" t="s">
        <v>167</v>
      </c>
    </row>
    <row r="469" spans="1:57" x14ac:dyDescent="0.25">
      <c r="A469" s="15" t="s">
        <v>539</v>
      </c>
      <c r="B469" s="18" t="s">
        <v>5</v>
      </c>
      <c r="C469" s="18" t="s">
        <v>14</v>
      </c>
      <c r="D469" s="18">
        <v>57</v>
      </c>
      <c r="E469" s="18">
        <v>7.9932999999999996</v>
      </c>
      <c r="F469" s="18">
        <v>10.353</v>
      </c>
      <c r="G469" s="15">
        <v>4.57</v>
      </c>
      <c r="H469" s="15">
        <v>2.75</v>
      </c>
      <c r="I469" s="15">
        <v>4.0199999999999996</v>
      </c>
      <c r="J469" s="15">
        <v>60.71</v>
      </c>
      <c r="K469" s="15">
        <v>28.38</v>
      </c>
      <c r="L469" s="15">
        <v>19.29</v>
      </c>
      <c r="M469" s="15">
        <v>4</v>
      </c>
      <c r="N469" s="15">
        <v>1</v>
      </c>
      <c r="O469" s="15">
        <v>4.0199999999999996</v>
      </c>
      <c r="P469" s="9">
        <v>0.88056400000000001</v>
      </c>
      <c r="Q469" s="9">
        <v>1.1946699999999999</v>
      </c>
      <c r="R469" s="9">
        <v>1.85185E-2</v>
      </c>
      <c r="S469" s="9">
        <v>0.115715</v>
      </c>
      <c r="T469" s="9">
        <v>0.19786899999999999</v>
      </c>
      <c r="U469" s="9">
        <v>0.164072</v>
      </c>
      <c r="V469" s="9">
        <v>3.7462399999999998</v>
      </c>
      <c r="W469" s="9">
        <v>3.1357900000000001</v>
      </c>
      <c r="X469" s="9">
        <v>2.76126</v>
      </c>
      <c r="Y469" s="9">
        <v>26.653400000000001</v>
      </c>
      <c r="Z469" s="9">
        <v>13.1457</v>
      </c>
      <c r="AA469" s="9">
        <f t="shared" si="77"/>
        <v>0.78004726368159216</v>
      </c>
      <c r="AB469" s="9">
        <f t="shared" si="78"/>
        <v>1.1368159203980102</v>
      </c>
      <c r="AC469" s="9">
        <f t="shared" si="79"/>
        <v>0.6840796019900498</v>
      </c>
      <c r="AD469" s="9">
        <f t="shared" si="80"/>
        <v>3.3344676166289271</v>
      </c>
      <c r="AE469" s="9">
        <f t="shared" si="81"/>
        <v>1.6445898439943454</v>
      </c>
      <c r="AF469" s="9">
        <f t="shared" si="82"/>
        <v>4.7851637678607091</v>
      </c>
      <c r="AG469" s="9">
        <f t="shared" si="74"/>
        <v>1.5951007533171357</v>
      </c>
      <c r="AH469" s="9">
        <f t="shared" si="73"/>
        <v>0.96805888309797328</v>
      </c>
      <c r="AI469" s="9">
        <f t="shared" si="75"/>
        <v>1.4640807681957986</v>
      </c>
      <c r="AJ469" s="9">
        <f>(4*PI()*(AI469^2))/(Y469+E469)</f>
        <v>0.77746001108778451</v>
      </c>
      <c r="AK469" s="12">
        <f t="shared" si="76"/>
        <v>1</v>
      </c>
      <c r="AL469" s="12" t="s">
        <v>140</v>
      </c>
      <c r="AM469" s="12" t="s">
        <v>143</v>
      </c>
      <c r="AN469" s="18">
        <v>3.9350000000000001</v>
      </c>
      <c r="AO469" s="18">
        <v>0.55501999999999996</v>
      </c>
      <c r="AP469" s="18">
        <v>9042.4</v>
      </c>
      <c r="AQ469" s="18">
        <v>8573.7000000000007</v>
      </c>
      <c r="AR469" s="18">
        <v>2.0179</v>
      </c>
      <c r="AS469" s="18">
        <v>1.0069E-2</v>
      </c>
      <c r="AT469" s="18">
        <v>0.76231000000000004</v>
      </c>
      <c r="AU469" s="18">
        <v>1.0513999999999999</v>
      </c>
      <c r="AV469" s="18">
        <v>5.6631000000000001E-2</v>
      </c>
      <c r="AW469" s="18">
        <v>5.6438E-3</v>
      </c>
      <c r="AX469" s="18">
        <v>0.14249999999999999</v>
      </c>
      <c r="AY469" s="18">
        <v>-5.7074999999999996</v>
      </c>
      <c r="AZ469" s="18">
        <v>-1134.5</v>
      </c>
      <c r="BA469" s="18">
        <v>3.7555999999999999E-2</v>
      </c>
      <c r="BB469" s="18">
        <v>19.288</v>
      </c>
      <c r="BC469" s="18" t="s">
        <v>162</v>
      </c>
      <c r="BD469" s="35" t="s">
        <v>163</v>
      </c>
      <c r="BE469" t="s">
        <v>167</v>
      </c>
    </row>
    <row r="470" spans="1:57" x14ac:dyDescent="0.25">
      <c r="A470" s="15" t="s">
        <v>540</v>
      </c>
      <c r="B470" s="18" t="s">
        <v>5</v>
      </c>
      <c r="C470" s="18" t="s">
        <v>6</v>
      </c>
      <c r="D470" s="18">
        <v>61</v>
      </c>
      <c r="E470" s="18">
        <v>15.557</v>
      </c>
      <c r="F470" s="18">
        <v>14.862</v>
      </c>
      <c r="G470" s="15">
        <v>5.74</v>
      </c>
      <c r="H470" s="15">
        <v>2.5</v>
      </c>
      <c r="I470" s="15">
        <v>3.31</v>
      </c>
      <c r="J470" s="15">
        <v>21.48</v>
      </c>
      <c r="K470" s="15">
        <v>0</v>
      </c>
      <c r="L470" s="15">
        <v>20.53</v>
      </c>
      <c r="M470" s="15">
        <v>5.74</v>
      </c>
      <c r="N470" s="15">
        <v>1</v>
      </c>
      <c r="O470" s="15">
        <v>2.44</v>
      </c>
      <c r="P470" s="9">
        <v>0.59551600000000005</v>
      </c>
      <c r="Q470" s="9">
        <v>1.3402099999999999</v>
      </c>
      <c r="R470" s="9">
        <v>0.47959200000000002</v>
      </c>
      <c r="S470" s="9">
        <v>8.6687600000000004E-2</v>
      </c>
      <c r="T470" s="9">
        <v>0.110966</v>
      </c>
      <c r="U470" s="9">
        <v>6.39763E-2</v>
      </c>
      <c r="V470" s="9">
        <v>5.6765999999999996</v>
      </c>
      <c r="W470" s="9">
        <v>4.2355999999999998</v>
      </c>
      <c r="X470" s="9">
        <v>2.52237</v>
      </c>
      <c r="Y470" s="9">
        <v>28.412700000000001</v>
      </c>
      <c r="Z470" s="9">
        <v>16.882400000000001</v>
      </c>
      <c r="AA470" s="9">
        <f t="shared" si="77"/>
        <v>1.2796374622356494</v>
      </c>
      <c r="AB470" s="9">
        <f t="shared" si="78"/>
        <v>1.7341389728096677</v>
      </c>
      <c r="AC470" s="9">
        <f t="shared" si="79"/>
        <v>0.75528700906344415</v>
      </c>
      <c r="AD470" s="9">
        <f t="shared" si="80"/>
        <v>1.8263611236099506</v>
      </c>
      <c r="AE470" s="9">
        <f t="shared" si="81"/>
        <v>1.0851963746223565</v>
      </c>
      <c r="AF470" s="9">
        <f t="shared" si="82"/>
        <v>4.3174075683508564</v>
      </c>
      <c r="AG470" s="9">
        <f t="shared" si="74"/>
        <v>2.2252970362091511</v>
      </c>
      <c r="AH470" s="9">
        <f t="shared" si="73"/>
        <v>0.94078546911718597</v>
      </c>
      <c r="AI470" s="9">
        <f t="shared" si="75"/>
        <v>1.591409179736702</v>
      </c>
      <c r="AJ470" s="9">
        <f>(4*PI()*(AI470^2))/(Y470+E470)</f>
        <v>0.72380250077381636</v>
      </c>
      <c r="AK470" s="12">
        <f t="shared" si="76"/>
        <v>1.3565573770491803</v>
      </c>
      <c r="AL470" s="12" t="s">
        <v>144</v>
      </c>
      <c r="AM470" s="12" t="s">
        <v>143</v>
      </c>
      <c r="AN470" s="18">
        <v>16.204999999999998</v>
      </c>
      <c r="AO470" s="18">
        <v>1.0071000000000001</v>
      </c>
      <c r="AP470" s="18">
        <v>30384</v>
      </c>
      <c r="AQ470" s="18">
        <v>31325</v>
      </c>
      <c r="AR470" s="18">
        <v>8.7196999999999996</v>
      </c>
      <c r="AS470" s="18">
        <v>1.2049000000000001E-2</v>
      </c>
      <c r="AT470" s="18">
        <v>0.74987000000000004</v>
      </c>
      <c r="AU470" s="18">
        <v>0.30847999999999998</v>
      </c>
      <c r="AV470" s="18">
        <v>2.1683999999999998E-2</v>
      </c>
      <c r="AW470" s="18">
        <v>4.4616999999999999E-3</v>
      </c>
      <c r="AX470" s="18">
        <v>0.48748999999999998</v>
      </c>
      <c r="AY470" s="18">
        <v>2.7989000000000002</v>
      </c>
      <c r="AZ470" s="18">
        <v>49129</v>
      </c>
      <c r="BA470" s="18">
        <v>4.3834E-3</v>
      </c>
      <c r="BB470" s="18">
        <v>1.9930000000000001</v>
      </c>
      <c r="BC470" s="18" t="s">
        <v>162</v>
      </c>
      <c r="BD470" s="35" t="s">
        <v>163</v>
      </c>
      <c r="BE470" t="s">
        <v>168</v>
      </c>
    </row>
    <row r="471" spans="1:57" x14ac:dyDescent="0.25">
      <c r="A471" s="15" t="s">
        <v>541</v>
      </c>
      <c r="B471" s="18" t="s">
        <v>5</v>
      </c>
      <c r="C471" s="18" t="s">
        <v>14</v>
      </c>
      <c r="D471" s="18">
        <v>40</v>
      </c>
      <c r="E471" s="18">
        <v>7.2922000000000002</v>
      </c>
      <c r="F471" s="18">
        <v>9.7720000000000002</v>
      </c>
      <c r="G471" s="15">
        <v>6.87</v>
      </c>
      <c r="H471" s="15">
        <v>6</v>
      </c>
      <c r="I471" s="15">
        <v>2.73</v>
      </c>
      <c r="J471" s="15">
        <v>18.760000000000002</v>
      </c>
      <c r="K471" s="15">
        <v>52.49</v>
      </c>
      <c r="L471" s="15">
        <v>69.8</v>
      </c>
      <c r="M471" s="15">
        <v>5</v>
      </c>
      <c r="N471" s="15">
        <v>2</v>
      </c>
      <c r="O471" s="15">
        <v>3.8899999999999997</v>
      </c>
      <c r="P471" s="9">
        <v>1.9941899999999999</v>
      </c>
      <c r="Q471" s="9">
        <v>1.59466</v>
      </c>
      <c r="R471" s="9">
        <v>-0.180672</v>
      </c>
      <c r="S471" s="9">
        <v>0.190609</v>
      </c>
      <c r="T471" s="9">
        <v>0.20331399999999999</v>
      </c>
      <c r="U471" s="9">
        <v>3.8223100000000003E-2</v>
      </c>
      <c r="V471" s="9">
        <v>4.8039500000000004</v>
      </c>
      <c r="W471" s="9">
        <v>3.0125299999999999</v>
      </c>
      <c r="X471" s="9">
        <v>6.0075399999999997</v>
      </c>
      <c r="Y471" s="9">
        <v>76.975399999999993</v>
      </c>
      <c r="Z471" s="9">
        <v>63.862699999999997</v>
      </c>
      <c r="AA471" s="9">
        <f t="shared" si="77"/>
        <v>1.1034908424908425</v>
      </c>
      <c r="AB471" s="9">
        <f t="shared" si="78"/>
        <v>2.5164835164835164</v>
      </c>
      <c r="AC471" s="9">
        <f t="shared" si="79"/>
        <v>2.197802197802198</v>
      </c>
      <c r="AD471" s="9">
        <f t="shared" si="80"/>
        <v>10.555854200378485</v>
      </c>
      <c r="AE471" s="9">
        <f t="shared" si="81"/>
        <v>8.7576725816625984</v>
      </c>
      <c r="AF471" s="9">
        <f t="shared" si="82"/>
        <v>4.8178555031673573</v>
      </c>
      <c r="AG471" s="9">
        <f t="shared" si="74"/>
        <v>1.5235417132554785</v>
      </c>
      <c r="AH471" s="9">
        <f t="shared" si="73"/>
        <v>0.9796044727386447</v>
      </c>
      <c r="AI471" s="9">
        <f t="shared" si="75"/>
        <v>2.4796262322753635</v>
      </c>
      <c r="AJ471" s="9">
        <f>(4*PI()*(AI471^2))/(Y471+E471)</f>
        <v>0.9168993888457535</v>
      </c>
      <c r="AK471" s="12">
        <f t="shared" si="76"/>
        <v>0.70179948586118257</v>
      </c>
      <c r="AL471" s="12" t="s">
        <v>144</v>
      </c>
      <c r="AM471" s="12" t="s">
        <v>142</v>
      </c>
      <c r="AN471" s="18">
        <v>3.4990999999999999</v>
      </c>
      <c r="AO471" s="18">
        <v>0.32307999999999998</v>
      </c>
      <c r="AP471" s="18">
        <v>6657.5</v>
      </c>
      <c r="AQ471" s="18">
        <v>5809.1</v>
      </c>
      <c r="AR471" s="18">
        <v>1.7544999999999999</v>
      </c>
      <c r="AS471" s="18">
        <v>2.4899000000000001E-2</v>
      </c>
      <c r="AT471" s="18">
        <v>0.69025000000000003</v>
      </c>
      <c r="AU471" s="18">
        <v>0.91161999999999999</v>
      </c>
      <c r="AV471" s="18">
        <v>6.8187999999999999E-2</v>
      </c>
      <c r="AW471" s="18">
        <v>1.6482E-2</v>
      </c>
      <c r="AX471" s="18">
        <v>0.16728000000000001</v>
      </c>
      <c r="AY471" s="18">
        <v>-5.4904000000000002</v>
      </c>
      <c r="AZ471" s="18">
        <v>-632.77</v>
      </c>
      <c r="BA471" s="18">
        <v>0.15367</v>
      </c>
      <c r="BB471" s="18">
        <v>24.382000000000001</v>
      </c>
      <c r="BC471" s="18" t="s">
        <v>162</v>
      </c>
      <c r="BD471" s="35" t="s">
        <v>165</v>
      </c>
      <c r="BE471" t="s">
        <v>167</v>
      </c>
    </row>
    <row r="472" spans="1:57" x14ac:dyDescent="0.25">
      <c r="A472" s="15" t="s">
        <v>542</v>
      </c>
      <c r="B472" s="18" t="s">
        <v>5</v>
      </c>
      <c r="C472" s="18" t="s">
        <v>6</v>
      </c>
      <c r="D472" s="18">
        <v>54</v>
      </c>
      <c r="E472" s="18">
        <v>7.5430999999999999</v>
      </c>
      <c r="F472" s="18">
        <v>10.032</v>
      </c>
      <c r="G472" s="15">
        <v>4.21</v>
      </c>
      <c r="H472" s="15">
        <v>3.05</v>
      </c>
      <c r="I472" s="15">
        <v>4.66</v>
      </c>
      <c r="J472" s="15">
        <v>99.38</v>
      </c>
      <c r="K472" s="15">
        <v>37.69</v>
      </c>
      <c r="L472" s="15">
        <v>23</v>
      </c>
      <c r="M472" s="15">
        <v>3.65</v>
      </c>
      <c r="N472" s="15">
        <v>1</v>
      </c>
      <c r="O472" s="15">
        <v>2.97</v>
      </c>
      <c r="P472" s="9">
        <v>1.0393300000000001</v>
      </c>
      <c r="Q472" s="9">
        <v>1.18187</v>
      </c>
      <c r="R472" s="9">
        <v>1.66667E-2</v>
      </c>
      <c r="S472" s="9">
        <v>0.10859000000000001</v>
      </c>
      <c r="T472" s="9">
        <v>0.133463</v>
      </c>
      <c r="U472" s="9">
        <v>5.1588299999999997E-2</v>
      </c>
      <c r="V472" s="9">
        <v>3.4869400000000002</v>
      </c>
      <c r="W472" s="9">
        <v>2.9503400000000002</v>
      </c>
      <c r="X472" s="9">
        <v>3.0663800000000001</v>
      </c>
      <c r="Y472" s="9">
        <v>29.7468</v>
      </c>
      <c r="Z472" s="9">
        <v>17.403199999999998</v>
      </c>
      <c r="AA472" s="9">
        <f t="shared" si="77"/>
        <v>0.63312017167381973</v>
      </c>
      <c r="AB472" s="9">
        <f t="shared" si="78"/>
        <v>0.90343347639484972</v>
      </c>
      <c r="AC472" s="9">
        <f t="shared" si="79"/>
        <v>0.65450643776824025</v>
      </c>
      <c r="AD472" s="9">
        <f t="shared" si="80"/>
        <v>3.9435775742068913</v>
      </c>
      <c r="AE472" s="9">
        <f t="shared" si="81"/>
        <v>2.3071681404197211</v>
      </c>
      <c r="AF472" s="9">
        <f t="shared" si="82"/>
        <v>4.4294946288190022</v>
      </c>
      <c r="AG472" s="9">
        <f t="shared" si="74"/>
        <v>1.5495300263218366</v>
      </c>
      <c r="AH472" s="9">
        <f t="shared" si="73"/>
        <v>0.97049285231448967</v>
      </c>
      <c r="AI472" s="9">
        <f t="shared" si="75"/>
        <v>1.6076080317383883</v>
      </c>
      <c r="AJ472" s="9">
        <f>(4*PI()*(AI472^2))/(Y472+E472)</f>
        <v>0.87092143583048076</v>
      </c>
      <c r="AK472" s="12">
        <f t="shared" si="76"/>
        <v>1.569023569023569</v>
      </c>
      <c r="AL472" s="12" t="s">
        <v>144</v>
      </c>
      <c r="AM472" s="12" t="s">
        <v>143</v>
      </c>
      <c r="AN472" s="18">
        <v>8.7667000000000002</v>
      </c>
      <c r="AO472" s="18">
        <v>0.75914999999999999</v>
      </c>
      <c r="AP472" s="18">
        <v>13691</v>
      </c>
      <c r="AQ472" s="18">
        <v>13694</v>
      </c>
      <c r="AR472" s="18">
        <v>4.2747999999999999</v>
      </c>
      <c r="AS472" s="18">
        <v>3.0005000000000001E-3</v>
      </c>
      <c r="AT472" s="18">
        <v>0.78263000000000005</v>
      </c>
      <c r="AU472" s="18">
        <v>0.34442</v>
      </c>
      <c r="AV472" s="18">
        <v>4.6693999999999998E-3</v>
      </c>
      <c r="AW472" s="18">
        <v>2.6026999999999999E-3</v>
      </c>
      <c r="AX472" s="18">
        <v>0.26273000000000002</v>
      </c>
      <c r="AY472" s="18">
        <v>0.52059</v>
      </c>
      <c r="AZ472" s="18">
        <v>-622.61</v>
      </c>
      <c r="BA472" s="18">
        <v>3.0224999999999998E-2</v>
      </c>
      <c r="BB472" s="18">
        <v>15.486000000000001</v>
      </c>
      <c r="BC472" s="18" t="s">
        <v>162</v>
      </c>
      <c r="BD472" s="35" t="s">
        <v>163</v>
      </c>
      <c r="BE472" t="s">
        <v>167</v>
      </c>
    </row>
    <row r="473" spans="1:57" x14ac:dyDescent="0.25">
      <c r="A473" s="15" t="s">
        <v>543</v>
      </c>
      <c r="B473" s="18" t="s">
        <v>5</v>
      </c>
      <c r="C473" s="18" t="s">
        <v>6</v>
      </c>
      <c r="D473" s="18">
        <v>53</v>
      </c>
      <c r="E473" s="18">
        <v>5.9855999999999998</v>
      </c>
      <c r="F473" s="18">
        <v>8.8203999999999994</v>
      </c>
      <c r="G473" s="15">
        <v>6.84</v>
      </c>
      <c r="H473" s="15">
        <v>4.55</v>
      </c>
      <c r="I473" s="15">
        <v>3.62</v>
      </c>
      <c r="J473" s="15">
        <v>94.25</v>
      </c>
      <c r="K473" s="15">
        <v>18.53</v>
      </c>
      <c r="L473" s="15">
        <v>67.13</v>
      </c>
      <c r="M473" s="15">
        <v>6.7</v>
      </c>
      <c r="N473" s="15">
        <v>2</v>
      </c>
      <c r="O473" s="15">
        <v>4.99</v>
      </c>
      <c r="P473" s="9">
        <v>1.67676</v>
      </c>
      <c r="Q473" s="9">
        <v>2.3071999999999999</v>
      </c>
      <c r="R473" s="9">
        <v>4.4444499999999998E-2</v>
      </c>
      <c r="S473" s="9">
        <v>0.214417</v>
      </c>
      <c r="T473" s="9">
        <v>0.27270100000000003</v>
      </c>
      <c r="U473" s="9">
        <v>0.156582</v>
      </c>
      <c r="V473" s="9">
        <v>6.2640599999999997</v>
      </c>
      <c r="W473" s="9">
        <v>2.7150099999999999</v>
      </c>
      <c r="X473" s="9">
        <v>4.5524100000000001</v>
      </c>
      <c r="Y473" s="9">
        <v>67.353899999999996</v>
      </c>
      <c r="Z473" s="9">
        <v>45.593400000000003</v>
      </c>
      <c r="AA473" s="9">
        <f t="shared" si="77"/>
        <v>0.75000276243093922</v>
      </c>
      <c r="AB473" s="9">
        <f t="shared" si="78"/>
        <v>1.8895027624309391</v>
      </c>
      <c r="AC473" s="9">
        <f t="shared" si="79"/>
        <v>1.2569060773480663</v>
      </c>
      <c r="AD473" s="9">
        <f t="shared" si="80"/>
        <v>11.252656375300722</v>
      </c>
      <c r="AE473" s="9">
        <f t="shared" si="81"/>
        <v>7.6171812349639136</v>
      </c>
      <c r="AF473" s="9">
        <f t="shared" si="82"/>
        <v>5.2774982096774874</v>
      </c>
      <c r="AG473" s="9">
        <f t="shared" si="74"/>
        <v>1.3803172297489072</v>
      </c>
      <c r="AH473" s="9">
        <f t="shared" si="73"/>
        <v>0.98326481080281669</v>
      </c>
      <c r="AI473" s="9">
        <f t="shared" si="75"/>
        <v>2.2161770686107101</v>
      </c>
      <c r="AJ473" s="9">
        <f>(4*PI()*(AI473^2))/(Y473+E473)</f>
        <v>0.84155176045919</v>
      </c>
      <c r="AK473" s="12">
        <f t="shared" si="76"/>
        <v>0.72545090180360716</v>
      </c>
      <c r="AL473" s="12" t="s">
        <v>140</v>
      </c>
      <c r="AM473" s="12" t="s">
        <v>142</v>
      </c>
      <c r="AN473" s="18">
        <v>4.7260999999999997</v>
      </c>
      <c r="AO473" s="18">
        <v>0.37085000000000001</v>
      </c>
      <c r="AP473" s="18">
        <v>13303</v>
      </c>
      <c r="AQ473" s="18">
        <v>11751</v>
      </c>
      <c r="AR473" s="18">
        <v>2.2097000000000002</v>
      </c>
      <c r="AS473" s="18">
        <v>1.4135E-2</v>
      </c>
      <c r="AT473" s="18">
        <v>0.69340999999999997</v>
      </c>
      <c r="AU473" s="18">
        <v>1.829</v>
      </c>
      <c r="AV473" s="18">
        <v>0.49252000000000001</v>
      </c>
      <c r="AW473" s="18">
        <v>1.2337000000000001E-2</v>
      </c>
      <c r="AX473" s="18">
        <v>0.14798</v>
      </c>
      <c r="AY473" s="18">
        <v>-0.31596000000000002</v>
      </c>
      <c r="AZ473" s="18">
        <v>-722.03</v>
      </c>
      <c r="BA473" s="18">
        <v>8.1281000000000006E-2</v>
      </c>
      <c r="BB473" s="18">
        <v>9.2426999999999992</v>
      </c>
      <c r="BC473" s="18" t="s">
        <v>162</v>
      </c>
      <c r="BD473" s="35" t="s">
        <v>165</v>
      </c>
      <c r="BE473" t="s">
        <v>168</v>
      </c>
    </row>
    <row r="474" spans="1:57" x14ac:dyDescent="0.25">
      <c r="A474" s="18" t="s">
        <v>544</v>
      </c>
      <c r="B474" s="18" t="s">
        <v>13</v>
      </c>
      <c r="C474" s="18" t="s">
        <v>6</v>
      </c>
      <c r="D474" s="18">
        <v>54</v>
      </c>
      <c r="E474" s="18">
        <v>10.837</v>
      </c>
      <c r="F474" s="18">
        <v>12.045</v>
      </c>
      <c r="G474" s="15">
        <v>4.55</v>
      </c>
      <c r="H474" s="15">
        <v>2.4</v>
      </c>
      <c r="I474" s="15">
        <v>2.15</v>
      </c>
      <c r="J474" s="15">
        <v>61.26</v>
      </c>
      <c r="K474" s="15">
        <v>14.77</v>
      </c>
      <c r="L474" s="15">
        <v>70.760000000000005</v>
      </c>
      <c r="M474" s="15">
        <v>4.32</v>
      </c>
      <c r="N474" s="15">
        <v>2</v>
      </c>
      <c r="O474" s="15">
        <v>3.79</v>
      </c>
      <c r="P474" s="9">
        <v>0.67472799999999999</v>
      </c>
      <c r="Q474" s="9">
        <v>1.2776099999999999</v>
      </c>
      <c r="R474" s="9">
        <v>0.138298</v>
      </c>
      <c r="S474" s="9">
        <v>5.6441999999999999E-2</v>
      </c>
      <c r="T474" s="9">
        <v>6.4438200000000001E-2</v>
      </c>
      <c r="U474" s="9">
        <v>7.4693199999999998E-3</v>
      </c>
      <c r="V474" s="9">
        <v>4.5747</v>
      </c>
      <c r="W474" s="9">
        <v>3.58067</v>
      </c>
      <c r="X474" s="9">
        <v>2.4159700000000002</v>
      </c>
      <c r="Y474" s="9">
        <v>31.613299999999999</v>
      </c>
      <c r="Z474" s="9">
        <v>21.389600000000002</v>
      </c>
      <c r="AA474" s="9">
        <f t="shared" si="77"/>
        <v>1.6654279069767444</v>
      </c>
      <c r="AB474" s="9">
        <f t="shared" si="78"/>
        <v>2.1162790697674421</v>
      </c>
      <c r="AC474" s="9">
        <f t="shared" si="79"/>
        <v>1.1162790697674418</v>
      </c>
      <c r="AD474" s="9">
        <f t="shared" si="80"/>
        <v>2.9171634216111468</v>
      </c>
      <c r="AE474" s="9">
        <f t="shared" si="81"/>
        <v>1.9737565746977948</v>
      </c>
      <c r="AF474" s="9">
        <f t="shared" si="82"/>
        <v>4.1026839017373327</v>
      </c>
      <c r="AG474" s="9">
        <f t="shared" si="74"/>
        <v>1.8572894864758536</v>
      </c>
      <c r="AH474" s="9">
        <f t="shared" si="73"/>
        <v>0.96884134600283955</v>
      </c>
      <c r="AI474" s="9">
        <f t="shared" si="75"/>
        <v>1.7220193130698114</v>
      </c>
      <c r="AJ474" s="9">
        <f>(4*PI()*(AI474^2))/(Y474+E474)</f>
        <v>0.87781932207219104</v>
      </c>
      <c r="AK474" s="12">
        <f t="shared" si="76"/>
        <v>0.56728232189973615</v>
      </c>
      <c r="AL474" s="12" t="s">
        <v>144</v>
      </c>
      <c r="AM474" s="12" t="s">
        <v>142</v>
      </c>
      <c r="AN474" s="18">
        <v>6.2769000000000004</v>
      </c>
      <c r="AO474" s="18">
        <v>0.71833999999999998</v>
      </c>
      <c r="AP474" s="18">
        <v>15895</v>
      </c>
      <c r="AQ474" s="18">
        <v>13944</v>
      </c>
      <c r="AR474" s="18">
        <v>3.0642</v>
      </c>
      <c r="AS474" s="18">
        <v>7.7321000000000004E-3</v>
      </c>
      <c r="AT474" s="18">
        <v>0.74922</v>
      </c>
      <c r="AU474" s="18">
        <v>0.48270999999999997</v>
      </c>
      <c r="AV474" s="18">
        <v>1.3133000000000001E-3</v>
      </c>
      <c r="AW474" s="18">
        <v>6.5989999999999998E-3</v>
      </c>
      <c r="AX474" s="18">
        <v>0.22417999999999999</v>
      </c>
      <c r="AY474" s="18">
        <v>-2.2776000000000001</v>
      </c>
      <c r="AZ474" s="18">
        <v>-1088.3</v>
      </c>
      <c r="BA474" s="18">
        <v>3.5118000000000003E-2</v>
      </c>
      <c r="BB474" s="18">
        <v>32.322000000000003</v>
      </c>
      <c r="BC474" s="18" t="s">
        <v>162</v>
      </c>
      <c r="BD474" s="35" t="s">
        <v>163</v>
      </c>
      <c r="BE474" t="s">
        <v>167</v>
      </c>
    </row>
    <row r="475" spans="1:57" x14ac:dyDescent="0.25">
      <c r="A475" s="18" t="s">
        <v>545</v>
      </c>
      <c r="B475" s="18" t="s">
        <v>26</v>
      </c>
      <c r="C475" s="18" t="s">
        <v>6</v>
      </c>
      <c r="D475" s="18">
        <v>54</v>
      </c>
      <c r="E475" s="18">
        <v>7.0609000000000002</v>
      </c>
      <c r="F475" s="18">
        <v>9.6290999999999993</v>
      </c>
      <c r="G475" s="15">
        <v>3.12</v>
      </c>
      <c r="H475" s="15">
        <v>2.15</v>
      </c>
      <c r="I475" s="15">
        <v>2.6</v>
      </c>
      <c r="J475" s="15">
        <v>93.53</v>
      </c>
      <c r="K475" s="15">
        <v>31.37</v>
      </c>
      <c r="L475" s="15">
        <v>51.21</v>
      </c>
      <c r="M475" s="15">
        <v>3.09</v>
      </c>
      <c r="N475" s="15">
        <v>2</v>
      </c>
      <c r="O475" s="15">
        <v>4.04</v>
      </c>
      <c r="P475" s="9">
        <v>0.74207699999999999</v>
      </c>
      <c r="Q475" s="9">
        <v>1.0770999999999999</v>
      </c>
      <c r="R475" s="9">
        <v>0.47560999999999998</v>
      </c>
      <c r="S475" s="9">
        <v>3.76827E-2</v>
      </c>
      <c r="T475" s="9">
        <v>4.45377E-2</v>
      </c>
      <c r="U475" s="9">
        <v>-1.1271E-3</v>
      </c>
      <c r="V475" s="9">
        <v>3.1166399999999999</v>
      </c>
      <c r="W475" s="9">
        <v>2.8935399999999998</v>
      </c>
      <c r="X475" s="9">
        <v>2.14723</v>
      </c>
      <c r="Y475" s="9">
        <v>17.721</v>
      </c>
      <c r="Z475" s="9">
        <v>9.2649000000000008</v>
      </c>
      <c r="AA475" s="9">
        <f t="shared" si="77"/>
        <v>1.1128999999999998</v>
      </c>
      <c r="AB475" s="9">
        <f t="shared" si="78"/>
        <v>1.2</v>
      </c>
      <c r="AC475" s="9">
        <f t="shared" si="79"/>
        <v>0.82692307692307687</v>
      </c>
      <c r="AD475" s="9">
        <f t="shared" si="80"/>
        <v>2.5097367191151267</v>
      </c>
      <c r="AE475" s="9">
        <f t="shared" si="81"/>
        <v>1.3121415117053068</v>
      </c>
      <c r="AF475" s="9">
        <f t="shared" si="82"/>
        <v>4.0172395972355863</v>
      </c>
      <c r="AG475" s="9">
        <f t="shared" si="74"/>
        <v>1.4991845367916279</v>
      </c>
      <c r="AH475" s="9">
        <f t="shared" si="73"/>
        <v>0.97824866854846149</v>
      </c>
      <c r="AI475" s="9">
        <f t="shared" si="75"/>
        <v>1.302918874983878</v>
      </c>
      <c r="AJ475" s="9">
        <f>(4*PI()*(AI475^2))/(Y475+E475)</f>
        <v>0.86081537453409529</v>
      </c>
      <c r="AK475" s="12">
        <f t="shared" si="76"/>
        <v>0.64356435643564358</v>
      </c>
      <c r="AL475" s="12" t="s">
        <v>144</v>
      </c>
      <c r="AM475" s="12" t="s">
        <v>142</v>
      </c>
      <c r="AN475" s="18">
        <v>3.6179000000000001</v>
      </c>
      <c r="AO475" s="18">
        <v>0.50180000000000002</v>
      </c>
      <c r="AP475" s="18">
        <v>5529.6</v>
      </c>
      <c r="AQ475" s="18">
        <v>5606.3</v>
      </c>
      <c r="AR475" s="18">
        <v>1.5773999999999999</v>
      </c>
      <c r="AS475" s="18">
        <v>4.1437999999999996E-3</v>
      </c>
      <c r="AT475" s="18">
        <v>0.74836000000000003</v>
      </c>
      <c r="AU475" s="18">
        <v>1.0364</v>
      </c>
      <c r="AV475" s="18">
        <v>2.529E-2</v>
      </c>
      <c r="AW475" s="18">
        <v>3.0909000000000002E-3</v>
      </c>
      <c r="AX475" s="18">
        <v>0.15021000000000001</v>
      </c>
      <c r="AY475" s="18">
        <v>-1.8089999999999999</v>
      </c>
      <c r="AZ475" s="18">
        <v>-624.5</v>
      </c>
      <c r="BA475" s="18">
        <v>3.0644999999999999E-2</v>
      </c>
      <c r="BB475" s="18">
        <v>11.718</v>
      </c>
      <c r="BC475" s="18" t="s">
        <v>162</v>
      </c>
      <c r="BD475" s="35" t="s">
        <v>165</v>
      </c>
      <c r="BE475" t="s">
        <v>167</v>
      </c>
    </row>
    <row r="476" spans="1:57" x14ac:dyDescent="0.25">
      <c r="A476" s="18" t="s">
        <v>546</v>
      </c>
      <c r="B476" s="18" t="s">
        <v>13</v>
      </c>
      <c r="C476" s="18" t="s">
        <v>14</v>
      </c>
      <c r="D476" s="18">
        <v>63</v>
      </c>
      <c r="E476" s="18">
        <v>12.959</v>
      </c>
      <c r="F476" s="18">
        <v>13.04</v>
      </c>
      <c r="G476" s="15">
        <v>8.1</v>
      </c>
      <c r="H476" s="15">
        <v>5.9</v>
      </c>
      <c r="I476" s="15">
        <v>1.52</v>
      </c>
      <c r="J476" s="15">
        <v>39.28</v>
      </c>
      <c r="K476" s="15">
        <v>15.33</v>
      </c>
      <c r="L476" s="15">
        <v>56.82</v>
      </c>
      <c r="M476" s="15">
        <v>4.3</v>
      </c>
      <c r="N476" s="15">
        <v>2</v>
      </c>
      <c r="O476" s="15">
        <v>2.5</v>
      </c>
      <c r="P476" s="9">
        <v>1.47739</v>
      </c>
      <c r="Q476" s="9">
        <v>1.9171100000000001</v>
      </c>
      <c r="R476" s="9">
        <v>0.252137</v>
      </c>
      <c r="S476" s="9">
        <v>0.19733600000000001</v>
      </c>
      <c r="T476" s="9">
        <v>0.23203299999999999</v>
      </c>
      <c r="U476" s="9">
        <v>0.10770100000000001</v>
      </c>
      <c r="V476" s="9">
        <v>7.6763599999999999</v>
      </c>
      <c r="W476" s="9">
        <v>4.0041399999999996</v>
      </c>
      <c r="X476" s="9">
        <v>5.9156899999999997</v>
      </c>
      <c r="Y476" s="9">
        <v>107.84699999999999</v>
      </c>
      <c r="Z476" s="9">
        <v>100.23399999999999</v>
      </c>
      <c r="AA476" s="9">
        <f t="shared" si="77"/>
        <v>2.6343026315789473</v>
      </c>
      <c r="AB476" s="9">
        <f t="shared" si="78"/>
        <v>5.3289473684210522</v>
      </c>
      <c r="AC476" s="9">
        <f t="shared" si="79"/>
        <v>3.8815789473684212</v>
      </c>
      <c r="AD476" s="9">
        <f t="shared" si="80"/>
        <v>8.322169920518558</v>
      </c>
      <c r="AE476" s="9">
        <f t="shared" si="81"/>
        <v>7.7347017516783705</v>
      </c>
      <c r="AF476" s="9">
        <f t="shared" si="82"/>
        <v>4.9980204351450643</v>
      </c>
      <c r="AG476" s="9">
        <f t="shared" si="74"/>
        <v>2.0310041395959151</v>
      </c>
      <c r="AH476" s="9">
        <f t="shared" si="73"/>
        <v>0.97861774300076465</v>
      </c>
      <c r="AI476" s="9">
        <f t="shared" si="75"/>
        <v>2.88165610321545</v>
      </c>
      <c r="AJ476" s="9">
        <f>(4*PI()*(AI476^2))/(Y476+E476)</f>
        <v>0.86378500604527597</v>
      </c>
      <c r="AK476" s="12">
        <f t="shared" si="76"/>
        <v>0.60799999999999998</v>
      </c>
      <c r="AL476" s="12" t="s">
        <v>140</v>
      </c>
      <c r="AM476" s="12" t="s">
        <v>142</v>
      </c>
      <c r="AN476" s="18">
        <v>2.0579000000000001</v>
      </c>
      <c r="AO476" s="18">
        <v>0.25724000000000002</v>
      </c>
      <c r="AP476" s="18">
        <v>4299.8</v>
      </c>
      <c r="AQ476" s="18">
        <v>3775.8</v>
      </c>
      <c r="AR476" s="18">
        <v>1.0089999999999999</v>
      </c>
      <c r="AS476" s="18">
        <v>1.3174999999999999E-2</v>
      </c>
      <c r="AT476" s="18">
        <v>0.70352000000000003</v>
      </c>
      <c r="AU476" s="18">
        <v>2.5085000000000002</v>
      </c>
      <c r="AV476" s="18">
        <v>0.36741000000000001</v>
      </c>
      <c r="AW476" s="18">
        <v>1.1449000000000001E-2</v>
      </c>
      <c r="AX476" s="18">
        <v>0.10662000000000001</v>
      </c>
      <c r="AY476" s="18">
        <v>-36.462000000000003</v>
      </c>
      <c r="AZ476" s="18">
        <v>-530.16999999999996</v>
      </c>
      <c r="BA476" s="18">
        <v>0.29913000000000001</v>
      </c>
      <c r="BB476" s="18">
        <v>13.26</v>
      </c>
      <c r="BC476" s="18" t="s">
        <v>162</v>
      </c>
      <c r="BD476" s="35" t="s">
        <v>165</v>
      </c>
      <c r="BE476" t="s">
        <v>168</v>
      </c>
    </row>
    <row r="477" spans="1:57" x14ac:dyDescent="0.25">
      <c r="A477" s="18" t="s">
        <v>547</v>
      </c>
      <c r="B477" s="18" t="s">
        <v>5</v>
      </c>
      <c r="C477" s="18" t="s">
        <v>6</v>
      </c>
      <c r="D477" s="18">
        <v>40</v>
      </c>
      <c r="E477" s="18">
        <v>7.4947999999999997</v>
      </c>
      <c r="F477" s="18">
        <v>9.8972999999999995</v>
      </c>
      <c r="G477" s="15">
        <v>9.64</v>
      </c>
      <c r="H477" s="15">
        <v>6.55</v>
      </c>
      <c r="I477" s="15">
        <v>3.77</v>
      </c>
      <c r="J477" s="15">
        <v>62.04</v>
      </c>
      <c r="K477" s="15">
        <v>38.5</v>
      </c>
      <c r="L477" s="15">
        <v>12.36</v>
      </c>
      <c r="M477" s="15">
        <v>6.7</v>
      </c>
      <c r="N477" s="15">
        <v>1</v>
      </c>
      <c r="O477" s="15">
        <v>3.15</v>
      </c>
      <c r="P477" s="9">
        <v>2.1606299999999998</v>
      </c>
      <c r="Q477" s="9">
        <v>2.1152700000000002</v>
      </c>
      <c r="R477" s="9">
        <v>3.07692E-2</v>
      </c>
      <c r="S477" s="9">
        <v>0.25170700000000001</v>
      </c>
      <c r="T477" s="9">
        <v>0.28439199999999998</v>
      </c>
      <c r="U477" s="9">
        <v>0.106875</v>
      </c>
      <c r="V477" s="9">
        <v>6.4481999999999999</v>
      </c>
      <c r="W477" s="9">
        <v>3.0484100000000001</v>
      </c>
      <c r="X477" s="9">
        <v>6.5864700000000003</v>
      </c>
      <c r="Y477" s="9">
        <v>119.904</v>
      </c>
      <c r="Z477" s="9">
        <v>105.69499999999999</v>
      </c>
      <c r="AA477" s="9">
        <f t="shared" si="77"/>
        <v>0.80859681697612729</v>
      </c>
      <c r="AB477" s="9">
        <f t="shared" si="78"/>
        <v>2.557029177718833</v>
      </c>
      <c r="AC477" s="9">
        <f t="shared" si="79"/>
        <v>1.7374005305039788</v>
      </c>
      <c r="AD477" s="9">
        <f t="shared" si="80"/>
        <v>15.998292149223461</v>
      </c>
      <c r="AE477" s="9">
        <f t="shared" si="81"/>
        <v>14.10244436142392</v>
      </c>
      <c r="AF477" s="9">
        <f t="shared" si="82"/>
        <v>5.363694610140886</v>
      </c>
      <c r="AG477" s="9">
        <f t="shared" si="74"/>
        <v>1.5445610816572695</v>
      </c>
      <c r="AH477" s="9">
        <f t="shared" si="73"/>
        <v>0.98054656262923878</v>
      </c>
      <c r="AI477" s="9">
        <f t="shared" si="75"/>
        <v>2.9330667360713232</v>
      </c>
      <c r="AJ477" s="9">
        <f>(4*PI()*(AI477^2))/(Y477+E477)</f>
        <v>0.84857144997206357</v>
      </c>
      <c r="AK477" s="12">
        <f t="shared" si="76"/>
        <v>1.1968253968253968</v>
      </c>
      <c r="AL477" s="12" t="s">
        <v>140</v>
      </c>
      <c r="AM477" s="12" t="s">
        <v>143</v>
      </c>
      <c r="AN477" s="18">
        <v>1.8227</v>
      </c>
      <c r="AO477" s="18">
        <v>0.23363</v>
      </c>
      <c r="AP477" s="18">
        <v>5720</v>
      </c>
      <c r="AQ477" s="18">
        <v>5412.2</v>
      </c>
      <c r="AR477" s="18">
        <v>1.0495000000000001</v>
      </c>
      <c r="AS477" s="18">
        <v>2.2369E-2</v>
      </c>
      <c r="AT477" s="18">
        <v>0.67054999999999998</v>
      </c>
      <c r="AU477" s="18">
        <v>3.9409000000000001</v>
      </c>
      <c r="AV477" s="18">
        <v>0.67867</v>
      </c>
      <c r="AW477" s="18">
        <v>2.1468000000000001E-2</v>
      </c>
      <c r="AX477" s="18">
        <v>7.1309999999999998E-2</v>
      </c>
      <c r="AY477" s="18">
        <v>4.9688999999999997</v>
      </c>
      <c r="AZ477" s="18">
        <v>603.47</v>
      </c>
      <c r="BA477" s="18">
        <v>0.13239000000000001</v>
      </c>
      <c r="BB477" s="18">
        <v>9.7190999999999992</v>
      </c>
      <c r="BC477" s="18" t="s">
        <v>162</v>
      </c>
      <c r="BD477" s="35" t="s">
        <v>165</v>
      </c>
      <c r="BE477" t="s">
        <v>168</v>
      </c>
    </row>
    <row r="478" spans="1:57" x14ac:dyDescent="0.25">
      <c r="A478" s="18" t="s">
        <v>548</v>
      </c>
      <c r="B478" s="18" t="s">
        <v>5</v>
      </c>
      <c r="C478" s="18" t="s">
        <v>6</v>
      </c>
      <c r="D478" s="18">
        <v>40</v>
      </c>
      <c r="E478" s="18">
        <v>13.932</v>
      </c>
      <c r="F478" s="18">
        <v>13.385999999999999</v>
      </c>
      <c r="G478" s="15">
        <v>5.92</v>
      </c>
      <c r="H478" s="15">
        <v>3.4</v>
      </c>
      <c r="I478" s="15">
        <v>4.66</v>
      </c>
      <c r="J478" s="15">
        <v>94.78</v>
      </c>
      <c r="K478" s="15">
        <v>19</v>
      </c>
      <c r="L478" s="15">
        <v>19.420000000000002</v>
      </c>
      <c r="M478" s="15">
        <v>4.0999999999999996</v>
      </c>
      <c r="N478" s="15">
        <v>1</v>
      </c>
      <c r="O478" s="15">
        <v>3.19</v>
      </c>
      <c r="P478" s="9">
        <v>0.82099800000000001</v>
      </c>
      <c r="Q478" s="9">
        <v>1.3613900000000001</v>
      </c>
      <c r="R478" s="9">
        <v>-2.2388100000000001E-2</v>
      </c>
      <c r="S478" s="9">
        <v>9.1235499999999997E-2</v>
      </c>
      <c r="T478" s="9">
        <v>0.101356</v>
      </c>
      <c r="U478" s="9">
        <v>1.72976E-2</v>
      </c>
      <c r="V478" s="9">
        <v>5.6599500000000003</v>
      </c>
      <c r="W478" s="9">
        <v>4.1574799999999996</v>
      </c>
      <c r="X478" s="9">
        <v>3.4132899999999999</v>
      </c>
      <c r="Y478" s="9">
        <v>54.365900000000003</v>
      </c>
      <c r="Z478" s="9">
        <v>45.410899999999998</v>
      </c>
      <c r="AA478" s="9">
        <f t="shared" si="77"/>
        <v>0.89216309012875528</v>
      </c>
      <c r="AB478" s="9">
        <f t="shared" si="78"/>
        <v>1.2703862660944205</v>
      </c>
      <c r="AC478" s="9">
        <f t="shared" si="79"/>
        <v>0.72961373390557938</v>
      </c>
      <c r="AD478" s="9">
        <f t="shared" si="80"/>
        <v>3.9022322710307207</v>
      </c>
      <c r="AE478" s="9">
        <f t="shared" si="81"/>
        <v>3.2594674131495833</v>
      </c>
      <c r="AF478" s="9">
        <f t="shared" si="82"/>
        <v>4.271232139419709</v>
      </c>
      <c r="AG478" s="9">
        <f t="shared" si="74"/>
        <v>2.1058711580513592</v>
      </c>
      <c r="AH478" s="9">
        <f t="shared" si="73"/>
        <v>0.98846397124470042</v>
      </c>
      <c r="AI478" s="9">
        <f t="shared" si="75"/>
        <v>2.2132161637298569</v>
      </c>
      <c r="AJ478" s="9">
        <f>(4*PI()*(AI478^2))/(Y478+E478)</f>
        <v>0.90126017394794866</v>
      </c>
      <c r="AK478" s="12">
        <f t="shared" si="76"/>
        <v>1.4608150470219436</v>
      </c>
      <c r="AL478" s="12" t="s">
        <v>144</v>
      </c>
      <c r="AM478" s="12" t="s">
        <v>143</v>
      </c>
      <c r="AN478" s="18">
        <v>4.7439999999999998</v>
      </c>
      <c r="AO478" s="18">
        <v>0.64822000000000002</v>
      </c>
      <c r="AP478" s="18">
        <v>9677.2999999999993</v>
      </c>
      <c r="AQ478" s="18">
        <v>8932.9</v>
      </c>
      <c r="AR478" s="18">
        <v>3.1074999999999999</v>
      </c>
      <c r="AS478" s="18">
        <v>6.3695999999999996E-3</v>
      </c>
      <c r="AT478" s="18">
        <v>0.70923999999999998</v>
      </c>
      <c r="AU478" s="18">
        <v>0.46933000000000002</v>
      </c>
      <c r="AV478" s="18">
        <v>1.9536999999999999E-2</v>
      </c>
      <c r="AW478" s="18">
        <v>3.8194000000000001E-3</v>
      </c>
      <c r="AX478" s="18">
        <v>0.20221</v>
      </c>
      <c r="AY478" s="18">
        <v>4.9180000000000001</v>
      </c>
      <c r="AZ478" s="18">
        <v>3634.3</v>
      </c>
      <c r="BA478" s="18">
        <v>2.7408999999999999E-2</v>
      </c>
      <c r="BB478" s="18">
        <v>4.3658000000000001</v>
      </c>
      <c r="BC478" s="18" t="s">
        <v>162</v>
      </c>
      <c r="BD478" s="35" t="s">
        <v>163</v>
      </c>
      <c r="BE478" t="s">
        <v>167</v>
      </c>
    </row>
    <row r="479" spans="1:57" x14ac:dyDescent="0.25">
      <c r="A479" s="18" t="s">
        <v>549</v>
      </c>
      <c r="B479" s="18" t="s">
        <v>178</v>
      </c>
      <c r="C479" s="18" t="s">
        <v>6</v>
      </c>
      <c r="D479" s="18">
        <v>46</v>
      </c>
      <c r="E479" s="18">
        <v>26.206</v>
      </c>
      <c r="F479" s="18">
        <v>18.527000000000001</v>
      </c>
      <c r="G479" s="15">
        <v>10.14</v>
      </c>
      <c r="H479" s="15">
        <v>7.75</v>
      </c>
      <c r="I479" s="15">
        <v>2.81</v>
      </c>
      <c r="J479" s="15">
        <v>9.69</v>
      </c>
      <c r="K479" s="15">
        <v>30.02</v>
      </c>
      <c r="L479" s="15">
        <v>45.88</v>
      </c>
      <c r="M479" s="15">
        <v>8.4</v>
      </c>
      <c r="N479" s="15">
        <v>2</v>
      </c>
      <c r="O479" s="15">
        <v>4.03</v>
      </c>
      <c r="P479" s="9">
        <v>1.3613200000000001</v>
      </c>
      <c r="Q479" s="9">
        <v>1.4506399999999999</v>
      </c>
      <c r="R479" s="9">
        <v>3.2894699999999999E-2</v>
      </c>
      <c r="S479" s="9">
        <v>0.13552900000000001</v>
      </c>
      <c r="T479" s="9">
        <v>0.14166200000000001</v>
      </c>
      <c r="U479" s="9">
        <v>1.4348E-2</v>
      </c>
      <c r="V479" s="9">
        <v>8.1889900000000004</v>
      </c>
      <c r="W479" s="9">
        <v>5.6450899999999997</v>
      </c>
      <c r="X479" s="9">
        <v>7.6847899999999996</v>
      </c>
      <c r="Y479" s="9">
        <v>186.04400000000001</v>
      </c>
      <c r="Z479" s="9">
        <v>268.34899999999999</v>
      </c>
      <c r="AA479" s="9">
        <f t="shared" si="77"/>
        <v>2.0089288256227755</v>
      </c>
      <c r="AB479" s="9">
        <f t="shared" si="78"/>
        <v>3.6085409252669041</v>
      </c>
      <c r="AC479" s="9">
        <f t="shared" si="79"/>
        <v>2.7580071174377223</v>
      </c>
      <c r="AD479" s="9">
        <f t="shared" si="80"/>
        <v>7.0992902388765939</v>
      </c>
      <c r="AE479" s="9">
        <f t="shared" si="81"/>
        <v>10.239983209951919</v>
      </c>
      <c r="AF479" s="9">
        <f t="shared" si="82"/>
        <v>4.471799752489753</v>
      </c>
      <c r="AG479" s="9">
        <f t="shared" si="74"/>
        <v>2.8881878189155943</v>
      </c>
      <c r="AH479" s="9">
        <f t="shared" si="73"/>
        <v>0.97949043386330847</v>
      </c>
      <c r="AI479" s="9">
        <f t="shared" si="75"/>
        <v>4.0013246599299777</v>
      </c>
      <c r="AJ479" s="9">
        <f>(4*PI()*(AI479^2))/(Y479+E479)</f>
        <v>0.9479157654709196</v>
      </c>
      <c r="AK479" s="12">
        <f t="shared" si="76"/>
        <v>0.69727047146401977</v>
      </c>
      <c r="AL479" s="12" t="s">
        <v>144</v>
      </c>
      <c r="AM479" s="12" t="s">
        <v>142</v>
      </c>
      <c r="AN479" s="18">
        <v>4.2286999999999999</v>
      </c>
      <c r="AO479" s="18">
        <v>0.47903000000000001</v>
      </c>
      <c r="AP479" s="18">
        <v>4204.8</v>
      </c>
      <c r="AQ479" s="18">
        <v>4102.8</v>
      </c>
      <c r="AR479" s="18">
        <v>2.5781999999999998</v>
      </c>
      <c r="AS479" s="18">
        <v>1.0207000000000001E-2</v>
      </c>
      <c r="AT479" s="18">
        <v>0.73070000000000002</v>
      </c>
      <c r="AU479" s="18">
        <v>0.67471999999999999</v>
      </c>
      <c r="AV479" s="18">
        <v>7.2585999999999998E-2</v>
      </c>
      <c r="AW479" s="18">
        <v>1.3594E-2</v>
      </c>
      <c r="AX479" s="18">
        <v>0.19134999999999999</v>
      </c>
      <c r="AY479" s="18">
        <v>-10.544</v>
      </c>
      <c r="AZ479" s="18">
        <v>-1420.3</v>
      </c>
      <c r="BA479" s="18">
        <v>0.15451000000000001</v>
      </c>
      <c r="BB479" s="18">
        <v>11.747</v>
      </c>
      <c r="BC479" s="18" t="s">
        <v>162</v>
      </c>
      <c r="BD479" s="35" t="s">
        <v>163</v>
      </c>
      <c r="BE479" t="s">
        <v>168</v>
      </c>
    </row>
    <row r="480" spans="1:57" x14ac:dyDescent="0.25">
      <c r="A480" s="18" t="s">
        <v>550</v>
      </c>
      <c r="B480" s="18" t="s">
        <v>5</v>
      </c>
      <c r="C480" s="18" t="s">
        <v>6</v>
      </c>
      <c r="D480" s="18">
        <v>47</v>
      </c>
      <c r="E480" s="18">
        <v>18.382999999999999</v>
      </c>
      <c r="F480" s="18">
        <v>19.042000000000002</v>
      </c>
      <c r="G480" s="15">
        <v>9.57</v>
      </c>
      <c r="H480" s="15">
        <v>7.5</v>
      </c>
      <c r="I480" s="15">
        <v>3.54</v>
      </c>
      <c r="J480" s="15">
        <v>33.75</v>
      </c>
      <c r="K480" s="15">
        <v>47.87</v>
      </c>
      <c r="L480" s="15">
        <v>22.65</v>
      </c>
      <c r="M480" s="15">
        <v>6.4</v>
      </c>
      <c r="N480" s="15">
        <v>1</v>
      </c>
      <c r="O480" s="15">
        <v>3.47</v>
      </c>
      <c r="P480" s="9">
        <v>1.64611</v>
      </c>
      <c r="Q480" s="9">
        <v>1.52511</v>
      </c>
      <c r="R480" s="9">
        <v>0.110738</v>
      </c>
      <c r="S480" s="9">
        <v>0.17404</v>
      </c>
      <c r="T480" s="9">
        <v>0.187223</v>
      </c>
      <c r="U480" s="9">
        <v>4.4287300000000002E-2</v>
      </c>
      <c r="V480" s="9">
        <v>6.9646499999999998</v>
      </c>
      <c r="W480" s="9">
        <v>4.5666599999999997</v>
      </c>
      <c r="X480" s="9">
        <v>7.51722</v>
      </c>
      <c r="Y480" s="9">
        <v>128.92599999999999</v>
      </c>
      <c r="Z480" s="9">
        <v>142.64599999999999</v>
      </c>
      <c r="AA480" s="9">
        <f t="shared" si="77"/>
        <v>1.2900169491525424</v>
      </c>
      <c r="AB480" s="9">
        <f t="shared" si="78"/>
        <v>2.7033898305084745</v>
      </c>
      <c r="AC480" s="9">
        <f t="shared" si="79"/>
        <v>2.1186440677966103</v>
      </c>
      <c r="AD480" s="9">
        <f t="shared" si="80"/>
        <v>7.0133275308709129</v>
      </c>
      <c r="AE480" s="9">
        <f t="shared" si="81"/>
        <v>7.7596692596420604</v>
      </c>
      <c r="AF480" s="9">
        <f t="shared" si="82"/>
        <v>4.7224508148961215</v>
      </c>
      <c r="AG480" s="9">
        <f t="shared" si="74"/>
        <v>2.4189854562846431</v>
      </c>
      <c r="AH480" s="9">
        <f t="shared" si="73"/>
        <v>0.79817949150345424</v>
      </c>
      <c r="AI480" s="9">
        <f t="shared" si="75"/>
        <v>3.2413330901781574</v>
      </c>
      <c r="AJ480" s="9">
        <f>(4*PI()*(AI480^2))/(Y480+E480)</f>
        <v>0.89624739924462238</v>
      </c>
      <c r="AK480" s="12">
        <f t="shared" si="76"/>
        <v>1.0201729106628241</v>
      </c>
      <c r="AL480" s="12" t="s">
        <v>144</v>
      </c>
      <c r="AM480" s="12" t="s">
        <v>143</v>
      </c>
      <c r="AN480" s="18">
        <v>5.0389999999999997</v>
      </c>
      <c r="AO480" s="18">
        <v>0.52212999999999998</v>
      </c>
      <c r="AP480" s="18">
        <v>7414.4</v>
      </c>
      <c r="AQ480" s="18">
        <v>6248.2</v>
      </c>
      <c r="AR480" s="18">
        <v>2.4209999999999998</v>
      </c>
      <c r="AS480" s="18">
        <v>2.4802000000000001E-2</v>
      </c>
      <c r="AT480" s="18">
        <v>0.66717000000000004</v>
      </c>
      <c r="AU480" s="18">
        <v>0.86790999999999996</v>
      </c>
      <c r="AV480" s="18">
        <v>0.1026</v>
      </c>
      <c r="AW480" s="18">
        <v>1.7805999999999999E-2</v>
      </c>
      <c r="AX480" s="18">
        <v>0.24224999999999999</v>
      </c>
      <c r="AY480" s="18">
        <v>14.183</v>
      </c>
      <c r="AZ480" s="18">
        <v>1163.9000000000001</v>
      </c>
      <c r="BA480" s="18">
        <v>8.9774999999999994E-2</v>
      </c>
      <c r="BB480" s="18">
        <v>18.37</v>
      </c>
      <c r="BC480" s="18" t="s">
        <v>162</v>
      </c>
      <c r="BD480" s="35" t="s">
        <v>163</v>
      </c>
      <c r="BE480" t="s">
        <v>168</v>
      </c>
    </row>
    <row r="481" spans="1:57" x14ac:dyDescent="0.25">
      <c r="A481" s="18" t="s">
        <v>551</v>
      </c>
      <c r="B481" s="18" t="s">
        <v>5</v>
      </c>
      <c r="C481" s="18" t="s">
        <v>6</v>
      </c>
      <c r="D481" s="18">
        <v>24</v>
      </c>
      <c r="E481" s="18">
        <v>5.1670999999999996</v>
      </c>
      <c r="F481" s="18">
        <v>8.2822999999999993</v>
      </c>
      <c r="G481" s="15">
        <v>7.98</v>
      </c>
      <c r="H481" s="15">
        <v>6.15</v>
      </c>
      <c r="I481" s="15">
        <v>3.51</v>
      </c>
      <c r="J481" s="15">
        <v>22.14</v>
      </c>
      <c r="K481" s="15">
        <v>57.96</v>
      </c>
      <c r="L481" s="15">
        <v>69.61</v>
      </c>
      <c r="M481" s="15">
        <v>4.2</v>
      </c>
      <c r="N481" s="15">
        <v>2</v>
      </c>
      <c r="O481" s="15">
        <v>4.8100000000000005</v>
      </c>
      <c r="P481" s="9">
        <v>2.6093500000000001</v>
      </c>
      <c r="Q481" s="9">
        <v>1.77477</v>
      </c>
      <c r="R481" s="9">
        <v>0.199187</v>
      </c>
      <c r="S481" s="9">
        <v>0.24327799999999999</v>
      </c>
      <c r="T481" s="9">
        <v>0.27180100000000001</v>
      </c>
      <c r="U481" s="9">
        <v>0.11425299999999999</v>
      </c>
      <c r="V481" s="9">
        <v>4.2375499999999997</v>
      </c>
      <c r="W481" s="9">
        <v>2.3876599999999999</v>
      </c>
      <c r="X481" s="9">
        <v>6.2302400000000002</v>
      </c>
      <c r="Y481" s="9">
        <v>65.435900000000004</v>
      </c>
      <c r="Z481" s="9">
        <v>43.740900000000003</v>
      </c>
      <c r="AA481" s="9">
        <f t="shared" si="77"/>
        <v>0.68024501424501427</v>
      </c>
      <c r="AB481" s="9">
        <f t="shared" si="78"/>
        <v>2.2735042735042739</v>
      </c>
      <c r="AC481" s="9">
        <f t="shared" si="79"/>
        <v>1.7521367521367524</v>
      </c>
      <c r="AD481" s="9">
        <f t="shared" si="80"/>
        <v>12.663950765419676</v>
      </c>
      <c r="AE481" s="9">
        <f t="shared" si="81"/>
        <v>8.4652706547192835</v>
      </c>
      <c r="AF481" s="9">
        <f t="shared" si="82"/>
        <v>5.2709747635727684</v>
      </c>
      <c r="AG481" s="9">
        <f t="shared" si="74"/>
        <v>1.2824737864378613</v>
      </c>
      <c r="AH481" s="9">
        <f t="shared" si="73"/>
        <v>0.9729206200921654</v>
      </c>
      <c r="AI481" s="9">
        <f t="shared" si="75"/>
        <v>2.1857460478986179</v>
      </c>
      <c r="AJ481" s="9">
        <f>(4*PI()*(AI481^2))/(Y481+E481)</f>
        <v>0.85032728057600981</v>
      </c>
      <c r="AK481" s="12">
        <f t="shared" si="76"/>
        <v>0.7297297297297296</v>
      </c>
      <c r="AL481" s="12" t="s">
        <v>140</v>
      </c>
      <c r="AM481" s="12" t="s">
        <v>142</v>
      </c>
      <c r="AN481" s="18">
        <v>5.0903</v>
      </c>
      <c r="AO481" s="18">
        <v>0.36942999999999998</v>
      </c>
      <c r="AP481" s="18">
        <v>13074</v>
      </c>
      <c r="AQ481" s="18">
        <v>12594</v>
      </c>
      <c r="AR481" s="18">
        <v>2.4339</v>
      </c>
      <c r="AS481" s="18">
        <v>1.2980999999999999E-2</v>
      </c>
      <c r="AT481" s="18">
        <v>0.78786999999999996</v>
      </c>
      <c r="AU481" s="18">
        <v>2.1892999999999998</v>
      </c>
      <c r="AV481" s="18">
        <v>0.38027</v>
      </c>
      <c r="AW481" s="18">
        <v>1.4808999999999999E-2</v>
      </c>
      <c r="AX481" s="18">
        <v>0.15315999999999999</v>
      </c>
      <c r="AY481" s="18">
        <v>1.9319</v>
      </c>
      <c r="AZ481" s="18">
        <v>111.82</v>
      </c>
      <c r="BA481" s="18">
        <v>4.8451000000000001E-2</v>
      </c>
      <c r="BB481" s="18">
        <v>5.1658999999999997</v>
      </c>
      <c r="BC481" s="18" t="s">
        <v>162</v>
      </c>
      <c r="BD481" s="35" t="s">
        <v>165</v>
      </c>
      <c r="BE481" t="s">
        <v>167</v>
      </c>
    </row>
    <row r="482" spans="1:57" x14ac:dyDescent="0.25">
      <c r="A482" s="18" t="s">
        <v>552</v>
      </c>
      <c r="B482" s="18" t="s">
        <v>26</v>
      </c>
      <c r="C482" s="18" t="s">
        <v>6</v>
      </c>
      <c r="D482" s="18">
        <v>26</v>
      </c>
      <c r="E482" s="18">
        <v>3.073</v>
      </c>
      <c r="F482" s="18">
        <v>6.2962999999999996</v>
      </c>
      <c r="G482" s="15">
        <v>4.03</v>
      </c>
      <c r="H482" s="15">
        <v>2.75</v>
      </c>
      <c r="I482" s="15">
        <v>1.83</v>
      </c>
      <c r="J482" s="15">
        <v>18.13</v>
      </c>
      <c r="K482" s="15">
        <v>32.14</v>
      </c>
      <c r="L482" s="15">
        <v>47.58</v>
      </c>
      <c r="M482" s="15">
        <v>3.72</v>
      </c>
      <c r="N482" s="15">
        <v>2</v>
      </c>
      <c r="O482" s="15">
        <v>2.36</v>
      </c>
      <c r="P482" s="9">
        <v>1.4076900000000001</v>
      </c>
      <c r="Q482" s="9">
        <v>1.72496</v>
      </c>
      <c r="R482" s="9">
        <v>-7.4074100000000004E-2</v>
      </c>
      <c r="S482" s="9">
        <v>0.16993900000000001</v>
      </c>
      <c r="T482" s="9">
        <v>0.195295</v>
      </c>
      <c r="U482" s="9">
        <v>5.4981099999999998E-2</v>
      </c>
      <c r="V482" s="9">
        <v>3.3698700000000001</v>
      </c>
      <c r="W482" s="9">
        <v>1.9535899999999999</v>
      </c>
      <c r="X482" s="9">
        <v>2.7500499999999999</v>
      </c>
      <c r="Y482" s="9">
        <v>25.3871</v>
      </c>
      <c r="Z482" s="9">
        <v>12.279</v>
      </c>
      <c r="AA482" s="9">
        <f t="shared" si="77"/>
        <v>1.067535519125683</v>
      </c>
      <c r="AB482" s="9">
        <f t="shared" si="78"/>
        <v>2.2021857923497268</v>
      </c>
      <c r="AC482" s="9">
        <f t="shared" si="79"/>
        <v>1.5027322404371584</v>
      </c>
      <c r="AD482" s="9">
        <f t="shared" si="80"/>
        <v>8.2613407094044913</v>
      </c>
      <c r="AE482" s="9">
        <f t="shared" si="81"/>
        <v>3.9957696062479662</v>
      </c>
      <c r="AF482" s="9">
        <f t="shared" si="82"/>
        <v>4.7698467676957961</v>
      </c>
      <c r="AG482" s="9">
        <f t="shared" si="74"/>
        <v>0.98902289166772517</v>
      </c>
      <c r="AH482" s="9">
        <f t="shared" ref="AH482:AH545" si="83">(2*PI()*AG482)/F482</f>
        <v>0.98696283553688968</v>
      </c>
      <c r="AI482" s="9">
        <f t="shared" si="75"/>
        <v>1.4311707886665108</v>
      </c>
      <c r="AJ482" s="9">
        <f>(4*PI()*(AI482^2))/(Y482+E482)</f>
        <v>0.90439128564160975</v>
      </c>
      <c r="AK482" s="12">
        <f t="shared" si="76"/>
        <v>0.77542372881355937</v>
      </c>
      <c r="AL482" s="12" t="s">
        <v>140</v>
      </c>
      <c r="AM482" s="12" t="s">
        <v>142</v>
      </c>
      <c r="AN482" s="18">
        <v>11.590999999999999</v>
      </c>
      <c r="AO482" s="18">
        <v>0.35515999999999998</v>
      </c>
      <c r="AP482" s="18">
        <v>41280</v>
      </c>
      <c r="AQ482" s="18">
        <v>36361</v>
      </c>
      <c r="AR482" s="18">
        <v>6.0553999999999997</v>
      </c>
      <c r="AS482" s="18">
        <v>1.0049000000000001E-2</v>
      </c>
      <c r="AT482" s="18">
        <v>0.74206000000000005</v>
      </c>
      <c r="AU482" s="18">
        <v>0.32440999999999998</v>
      </c>
      <c r="AV482" s="18">
        <v>0.15461</v>
      </c>
      <c r="AW482" s="18">
        <v>7.3769999999999999E-3</v>
      </c>
      <c r="AX482" s="18">
        <v>0.26808999999999999</v>
      </c>
      <c r="AY482" s="18">
        <v>-15.124000000000001</v>
      </c>
      <c r="AZ482" s="18">
        <v>-6003</v>
      </c>
      <c r="BA482" s="18">
        <v>6.1890000000000001E-2</v>
      </c>
      <c r="BB482" s="18">
        <v>51.795999999999999</v>
      </c>
      <c r="BC482" s="18" t="s">
        <v>162</v>
      </c>
      <c r="BD482" s="35" t="s">
        <v>165</v>
      </c>
      <c r="BE482" t="s">
        <v>167</v>
      </c>
    </row>
    <row r="483" spans="1:57" x14ac:dyDescent="0.25">
      <c r="A483" s="18" t="s">
        <v>553</v>
      </c>
      <c r="B483" s="18" t="s">
        <v>13</v>
      </c>
      <c r="C483" s="18" t="s">
        <v>14</v>
      </c>
      <c r="D483" s="18">
        <v>41</v>
      </c>
      <c r="E483" s="18">
        <v>19.638999999999999</v>
      </c>
      <c r="F483" s="18">
        <v>16.044</v>
      </c>
      <c r="G483" s="15">
        <v>19.440000000000001</v>
      </c>
      <c r="H483" s="15">
        <v>12.9</v>
      </c>
      <c r="I483" s="15">
        <v>2.34</v>
      </c>
      <c r="J483" s="15">
        <v>43.99</v>
      </c>
      <c r="K483" s="15">
        <v>34.75</v>
      </c>
      <c r="L483" s="15">
        <v>74.319999999999993</v>
      </c>
      <c r="M483" s="15">
        <v>7.7</v>
      </c>
      <c r="N483" s="15">
        <v>2</v>
      </c>
      <c r="O483" s="15">
        <v>3.9000000000000004</v>
      </c>
      <c r="P483" s="9">
        <v>2.6354600000000001</v>
      </c>
      <c r="Q483" s="9">
        <v>2.8944299999999998</v>
      </c>
      <c r="R483" s="9">
        <v>0.14980499999999999</v>
      </c>
      <c r="S483" s="9">
        <v>0.279808</v>
      </c>
      <c r="T483" s="9">
        <v>0.32601599999999997</v>
      </c>
      <c r="U483" s="9">
        <v>0.18457799999999999</v>
      </c>
      <c r="V483" s="9">
        <v>14.176500000000001</v>
      </c>
      <c r="W483" s="9">
        <v>4.89785</v>
      </c>
      <c r="X483" s="9">
        <v>12.908099999999999</v>
      </c>
      <c r="Y483" s="9">
        <v>407.26900000000001</v>
      </c>
      <c r="Z483" s="9">
        <v>604.76300000000003</v>
      </c>
      <c r="AA483" s="9">
        <f t="shared" si="77"/>
        <v>2.0930982905982907</v>
      </c>
      <c r="AB483" s="9">
        <f t="shared" si="78"/>
        <v>8.3076923076923084</v>
      </c>
      <c r="AC483" s="9">
        <f t="shared" si="79"/>
        <v>5.5128205128205137</v>
      </c>
      <c r="AD483" s="9">
        <f t="shared" si="80"/>
        <v>20.737766688731607</v>
      </c>
      <c r="AE483" s="9">
        <f t="shared" si="81"/>
        <v>30.79398136361322</v>
      </c>
      <c r="AF483" s="9">
        <f t="shared" si="82"/>
        <v>5.6949670073684073</v>
      </c>
      <c r="AG483" s="9">
        <f t="shared" si="74"/>
        <v>2.5002575576855008</v>
      </c>
      <c r="AH483" s="9">
        <f t="shared" si="83"/>
        <v>0.97915616745289558</v>
      </c>
      <c r="AI483" s="9">
        <f t="shared" si="75"/>
        <v>5.2460472895981889</v>
      </c>
      <c r="AJ483" s="9">
        <f>(4*PI()*(AI483^2))/(Y483+E483)</f>
        <v>0.8101025011101074</v>
      </c>
      <c r="AK483" s="12">
        <f t="shared" si="76"/>
        <v>0.59999999999999987</v>
      </c>
      <c r="AL483" s="12" t="s">
        <v>140</v>
      </c>
      <c r="AM483" s="12" t="s">
        <v>142</v>
      </c>
      <c r="AN483" s="18">
        <v>3.6558999999999999</v>
      </c>
      <c r="AO483" s="18">
        <v>0.44361</v>
      </c>
      <c r="AP483" s="18">
        <v>3729</v>
      </c>
      <c r="AQ483" s="18">
        <v>3490.4</v>
      </c>
      <c r="AR483" s="18">
        <v>1.9651000000000001</v>
      </c>
      <c r="AS483" s="18">
        <v>3.3126999999999997E-2</v>
      </c>
      <c r="AT483" s="18">
        <v>0.66222000000000003</v>
      </c>
      <c r="AU483" s="18">
        <v>2.6602000000000001</v>
      </c>
      <c r="AV483" s="18">
        <v>0.54376999999999998</v>
      </c>
      <c r="AW483" s="18">
        <v>2.7342999999999999E-2</v>
      </c>
      <c r="AX483" s="18">
        <v>0.14496000000000001</v>
      </c>
      <c r="AY483" s="18">
        <v>-62.899000000000001</v>
      </c>
      <c r="AZ483" s="18">
        <v>-5743.1</v>
      </c>
      <c r="BA483" s="18">
        <v>0.32035999999999998</v>
      </c>
      <c r="BB483" s="18">
        <v>10.916</v>
      </c>
      <c r="BC483" s="18" t="s">
        <v>162</v>
      </c>
      <c r="BD483" s="35" t="s">
        <v>165</v>
      </c>
      <c r="BE483" t="s">
        <v>168</v>
      </c>
    </row>
    <row r="484" spans="1:57" x14ac:dyDescent="0.25">
      <c r="A484" s="18" t="s">
        <v>554</v>
      </c>
      <c r="B484" s="18" t="s">
        <v>5</v>
      </c>
      <c r="C484" s="18" t="s">
        <v>6</v>
      </c>
      <c r="D484" s="18">
        <v>45</v>
      </c>
      <c r="E484" s="18">
        <v>12.843</v>
      </c>
      <c r="F484" s="18">
        <v>13.35</v>
      </c>
      <c r="G484" s="15">
        <v>5.46</v>
      </c>
      <c r="H484" s="15">
        <v>4.0999999999999996</v>
      </c>
      <c r="I484" s="15">
        <v>3.95</v>
      </c>
      <c r="J484" s="15">
        <v>56.56</v>
      </c>
      <c r="K484" s="15">
        <v>34.409999999999997</v>
      </c>
      <c r="L484" s="15">
        <v>22.98</v>
      </c>
      <c r="M484" s="15">
        <v>4.6500000000000004</v>
      </c>
      <c r="N484" s="15">
        <v>2</v>
      </c>
      <c r="O484" s="15">
        <v>4.01</v>
      </c>
      <c r="P484" s="9">
        <v>1.0887800000000001</v>
      </c>
      <c r="Q484" s="9">
        <v>1.4230499999999999</v>
      </c>
      <c r="R484" s="9">
        <v>0.16250000000000001</v>
      </c>
      <c r="S484" s="9">
        <v>9.5099000000000003E-2</v>
      </c>
      <c r="T484" s="9">
        <v>0.10656499999999999</v>
      </c>
      <c r="U484" s="9">
        <v>1.19408E-2</v>
      </c>
      <c r="V484" s="9">
        <v>5.3419499999999998</v>
      </c>
      <c r="W484" s="9">
        <v>3.7538900000000002</v>
      </c>
      <c r="X484" s="9">
        <v>4.0871500000000003</v>
      </c>
      <c r="Y484" s="9">
        <v>62.631300000000003</v>
      </c>
      <c r="Z484" s="9">
        <v>55.663499999999999</v>
      </c>
      <c r="AA484" s="9">
        <f t="shared" si="77"/>
        <v>0.95035189873417725</v>
      </c>
      <c r="AB484" s="9">
        <f t="shared" si="78"/>
        <v>1.3822784810126583</v>
      </c>
      <c r="AC484" s="9">
        <f t="shared" si="79"/>
        <v>1.0379746835443036</v>
      </c>
      <c r="AD484" s="9">
        <f t="shared" si="80"/>
        <v>4.8766876897921048</v>
      </c>
      <c r="AE484" s="9">
        <f t="shared" si="81"/>
        <v>4.3341508993225881</v>
      </c>
      <c r="AF484" s="9">
        <f t="shared" si="82"/>
        <v>4.296133344206301</v>
      </c>
      <c r="AG484" s="9">
        <f t="shared" si="74"/>
        <v>2.0218936342593357</v>
      </c>
      <c r="AH484" s="9">
        <f t="shared" si="83"/>
        <v>0.95160542138263626</v>
      </c>
      <c r="AI484" s="9">
        <f t="shared" si="75"/>
        <v>2.3686122280759676</v>
      </c>
      <c r="AJ484" s="9">
        <f>(4*PI()*(AI484^2))/(Y484+E484)</f>
        <v>0.93411146881151641</v>
      </c>
      <c r="AK484" s="12">
        <f t="shared" si="76"/>
        <v>0.98503740648379057</v>
      </c>
      <c r="AL484" s="12" t="s">
        <v>144</v>
      </c>
      <c r="AM484" s="12" t="s">
        <v>142</v>
      </c>
      <c r="AN484" s="18">
        <v>5.8415999999999997</v>
      </c>
      <c r="AO484" s="18">
        <v>0.63175000000000003</v>
      </c>
      <c r="AP484" s="18">
        <v>10002</v>
      </c>
      <c r="AQ484" s="18">
        <v>10132</v>
      </c>
      <c r="AR484" s="18">
        <v>3.1440000000000001</v>
      </c>
      <c r="AS484" s="18">
        <v>3.1167E-3</v>
      </c>
      <c r="AT484" s="18">
        <v>0.74927999999999995</v>
      </c>
      <c r="AU484" s="18">
        <v>0.38274999999999998</v>
      </c>
      <c r="AV484" s="18">
        <v>1.6056E-3</v>
      </c>
      <c r="AW484" s="18">
        <v>2.4846E-3</v>
      </c>
      <c r="AX484" s="18">
        <v>0.25613000000000002</v>
      </c>
      <c r="AY484" s="18">
        <v>7.7172999999999998</v>
      </c>
      <c r="AZ484" s="18">
        <v>3113.9</v>
      </c>
      <c r="BA484" s="18">
        <v>4.1235000000000001E-2</v>
      </c>
      <c r="BB484" s="18">
        <v>5.7680999999999996</v>
      </c>
      <c r="BC484" s="18" t="s">
        <v>162</v>
      </c>
      <c r="BD484" s="35" t="s">
        <v>163</v>
      </c>
      <c r="BE484" t="s">
        <v>167</v>
      </c>
    </row>
    <row r="485" spans="1:57" x14ac:dyDescent="0.25">
      <c r="A485" s="18" t="s">
        <v>555</v>
      </c>
      <c r="B485" s="18" t="s">
        <v>5</v>
      </c>
      <c r="C485" s="18" t="s">
        <v>6</v>
      </c>
      <c r="D485" s="18">
        <v>62</v>
      </c>
      <c r="E485" s="18">
        <v>61.49</v>
      </c>
      <c r="F485" s="18">
        <v>30.245999999999999</v>
      </c>
      <c r="G485" s="15">
        <v>21.43</v>
      </c>
      <c r="H485" s="15">
        <v>17.2</v>
      </c>
      <c r="I485" s="15">
        <v>3.16</v>
      </c>
      <c r="J485" s="15">
        <v>32.86</v>
      </c>
      <c r="K485" s="15">
        <v>36.65</v>
      </c>
      <c r="L485" s="15">
        <v>60.08</v>
      </c>
      <c r="M485" s="15">
        <v>15.6</v>
      </c>
      <c r="N485" s="15">
        <v>1</v>
      </c>
      <c r="O485" s="15">
        <v>0.99</v>
      </c>
      <c r="P485" s="9">
        <v>1.9834799999999999</v>
      </c>
      <c r="Q485" s="9">
        <v>2.2718799999999999</v>
      </c>
      <c r="R485" s="9">
        <v>-2.7696800000000001E-2</v>
      </c>
      <c r="S485" s="9">
        <v>0.17596899999999999</v>
      </c>
      <c r="T485" s="9">
        <v>0.17965800000000001</v>
      </c>
      <c r="U485" s="9">
        <v>7.4739799999999999E-3</v>
      </c>
      <c r="V485" s="9">
        <v>19.754100000000001</v>
      </c>
      <c r="W485" s="9">
        <v>8.6950299999999991</v>
      </c>
      <c r="X485" s="9">
        <v>17.246500000000001</v>
      </c>
      <c r="Y485" s="9">
        <v>969.86900000000003</v>
      </c>
      <c r="Z485" s="9">
        <v>2984.36</v>
      </c>
      <c r="AA485" s="9">
        <f t="shared" si="77"/>
        <v>2.7515917721518983</v>
      </c>
      <c r="AB485" s="9">
        <f t="shared" si="78"/>
        <v>6.7816455696202524</v>
      </c>
      <c r="AC485" s="9">
        <f t="shared" si="79"/>
        <v>5.443037974683544</v>
      </c>
      <c r="AD485" s="9">
        <f t="shared" si="80"/>
        <v>15.772792323955114</v>
      </c>
      <c r="AE485" s="9">
        <f t="shared" si="81"/>
        <v>48.53407058058221</v>
      </c>
      <c r="AF485" s="9">
        <f t="shared" si="82"/>
        <v>4.6789198367570837</v>
      </c>
      <c r="AG485" s="9">
        <f t="shared" si="74"/>
        <v>4.424124195978373</v>
      </c>
      <c r="AH485" s="9">
        <f t="shared" si="83"/>
        <v>0.9190501932589108</v>
      </c>
      <c r="AI485" s="9">
        <f t="shared" si="75"/>
        <v>8.9314272903146232</v>
      </c>
      <c r="AJ485" s="9">
        <f>(4*PI()*(AI485^2))/(Y485+E485)</f>
        <v>0.97194510160636638</v>
      </c>
      <c r="AK485" s="12">
        <f t="shared" si="76"/>
        <v>3.191919191919192</v>
      </c>
      <c r="AL485" s="12" t="s">
        <v>144</v>
      </c>
      <c r="AM485" s="12" t="s">
        <v>143</v>
      </c>
      <c r="AN485" s="18">
        <v>0.84658</v>
      </c>
      <c r="AO485" s="18">
        <v>4.1368000000000002E-2</v>
      </c>
      <c r="AP485" s="18">
        <v>841.75</v>
      </c>
      <c r="AQ485" s="18">
        <v>689.89</v>
      </c>
      <c r="AR485" s="18">
        <v>0.75690000000000002</v>
      </c>
      <c r="AS485" s="18">
        <v>6.4621999999999999E-2</v>
      </c>
      <c r="AT485" s="18">
        <v>0.61985000000000001</v>
      </c>
      <c r="AU485" s="18">
        <v>3.5386000000000002</v>
      </c>
      <c r="AV485" s="18">
        <v>0.92505999999999999</v>
      </c>
      <c r="AW485" s="18">
        <v>5.4938000000000001E-2</v>
      </c>
      <c r="AX485" s="18">
        <v>7.2894E-2</v>
      </c>
      <c r="AY485" s="18">
        <v>-831.66</v>
      </c>
      <c r="AZ485" s="18">
        <v>-2973.9</v>
      </c>
      <c r="BA485" s="18">
        <v>1.5685</v>
      </c>
      <c r="BB485" s="18">
        <v>6.4111000000000002</v>
      </c>
      <c r="BC485" s="18" t="s">
        <v>162</v>
      </c>
      <c r="BD485" s="35" t="s">
        <v>163</v>
      </c>
      <c r="BE485" t="s">
        <v>167</v>
      </c>
    </row>
    <row r="486" spans="1:57" x14ac:dyDescent="0.25">
      <c r="A486" s="18" t="s">
        <v>556</v>
      </c>
      <c r="B486" s="18" t="s">
        <v>5</v>
      </c>
      <c r="C486" s="18" t="s">
        <v>6</v>
      </c>
      <c r="D486" s="18">
        <v>60</v>
      </c>
      <c r="E486" s="18">
        <v>12.654999999999999</v>
      </c>
      <c r="F486" s="18">
        <v>12.801</v>
      </c>
      <c r="G486" s="15">
        <v>4.6900000000000004</v>
      </c>
      <c r="H486" s="15">
        <v>3</v>
      </c>
      <c r="I486" s="15">
        <v>3.8</v>
      </c>
      <c r="J486" s="15">
        <v>61.29</v>
      </c>
      <c r="K486" s="15">
        <v>23.03</v>
      </c>
      <c r="L486" s="15">
        <v>19.329999999999998</v>
      </c>
      <c r="M486" s="15">
        <v>4.3</v>
      </c>
      <c r="N486" s="15">
        <v>1</v>
      </c>
      <c r="O486" s="15">
        <v>4.16</v>
      </c>
      <c r="P486" s="9">
        <v>0.76711700000000005</v>
      </c>
      <c r="Q486" s="9">
        <v>1.12642</v>
      </c>
      <c r="R486" s="9">
        <v>0.39830500000000002</v>
      </c>
      <c r="S486" s="9">
        <v>4.1921300000000002E-2</v>
      </c>
      <c r="T486" s="9">
        <v>4.6852600000000001E-2</v>
      </c>
      <c r="U486" s="9">
        <v>2.7039299999999998E-3</v>
      </c>
      <c r="V486" s="9">
        <v>4.4504000000000001</v>
      </c>
      <c r="W486" s="9">
        <v>3.95092</v>
      </c>
      <c r="X486" s="9">
        <v>3.0308199999999998</v>
      </c>
      <c r="Y486" s="9">
        <v>37.637999999999998</v>
      </c>
      <c r="Z486" s="9">
        <v>28.573899999999998</v>
      </c>
      <c r="AA486" s="9">
        <f t="shared" si="77"/>
        <v>1.0397157894736841</v>
      </c>
      <c r="AB486" s="9">
        <f t="shared" si="78"/>
        <v>1.2342105263157896</v>
      </c>
      <c r="AC486" s="9">
        <f t="shared" si="79"/>
        <v>0.78947368421052633</v>
      </c>
      <c r="AD486" s="9">
        <f t="shared" si="80"/>
        <v>2.9741604109047808</v>
      </c>
      <c r="AE486" s="9">
        <f t="shared" si="81"/>
        <v>2.2579138680363493</v>
      </c>
      <c r="AF486" s="9">
        <f t="shared" si="82"/>
        <v>4.0269866598012163</v>
      </c>
      <c r="AG486" s="9">
        <f t="shared" si="74"/>
        <v>2.0070405102179358</v>
      </c>
      <c r="AH486" s="9">
        <f t="shared" si="83"/>
        <v>0.98512674359155961</v>
      </c>
      <c r="AI486" s="9">
        <f t="shared" si="75"/>
        <v>1.8965325625588143</v>
      </c>
      <c r="AJ486" s="9">
        <f>(4*PI()*(AI486^2))/(Y486+E486)</f>
        <v>0.89871694290995108</v>
      </c>
      <c r="AK486" s="12">
        <f t="shared" si="76"/>
        <v>0.91346153846153844</v>
      </c>
      <c r="AL486" s="12" t="s">
        <v>144</v>
      </c>
      <c r="AM486" s="12" t="s">
        <v>143</v>
      </c>
      <c r="AN486" s="18">
        <v>10.903</v>
      </c>
      <c r="AO486" s="18">
        <v>1.1627000000000001</v>
      </c>
      <c r="AP486" s="18">
        <v>11243</v>
      </c>
      <c r="AQ486" s="18">
        <v>11665</v>
      </c>
      <c r="AR486" s="18">
        <v>4.8773999999999997</v>
      </c>
      <c r="AS486" s="18">
        <v>3.8606999999999999E-3</v>
      </c>
      <c r="AT486" s="18">
        <v>0.75836000000000003</v>
      </c>
      <c r="AU486" s="18">
        <v>0.23638999999999999</v>
      </c>
      <c r="AV486" s="19">
        <v>1.0637E-4</v>
      </c>
      <c r="AW486" s="18">
        <v>2.6216999999999998E-3</v>
      </c>
      <c r="AX486" s="18">
        <v>0.41274</v>
      </c>
      <c r="AY486" s="18">
        <v>2.0445000000000002</v>
      </c>
      <c r="AZ486" s="18">
        <v>1577.1</v>
      </c>
      <c r="BA486" s="18">
        <v>1.8256000000000001E-2</v>
      </c>
      <c r="BB486" s="18">
        <v>6.2713000000000001</v>
      </c>
      <c r="BC486" s="18" t="s">
        <v>162</v>
      </c>
      <c r="BD486" s="35" t="s">
        <v>163</v>
      </c>
      <c r="BE486" t="s">
        <v>167</v>
      </c>
    </row>
    <row r="487" spans="1:57" x14ac:dyDescent="0.25">
      <c r="A487" s="18" t="s">
        <v>557</v>
      </c>
      <c r="B487" s="18" t="s">
        <v>5</v>
      </c>
      <c r="C487" s="18" t="s">
        <v>6</v>
      </c>
      <c r="D487" s="18">
        <v>43</v>
      </c>
      <c r="E487" s="18">
        <v>9.2523999999999997</v>
      </c>
      <c r="F487" s="18">
        <v>11.214</v>
      </c>
      <c r="G487" s="15">
        <v>4.6100000000000003</v>
      </c>
      <c r="H487" s="15">
        <v>1.85</v>
      </c>
      <c r="I487" s="15">
        <v>4.75</v>
      </c>
      <c r="J487" s="15">
        <v>38.340000000000003</v>
      </c>
      <c r="K487" s="15">
        <v>26.53</v>
      </c>
      <c r="L487" s="15">
        <v>21.41</v>
      </c>
      <c r="M487" s="15">
        <v>4.45</v>
      </c>
      <c r="N487" s="15">
        <v>2</v>
      </c>
      <c r="O487" s="15">
        <v>4.25</v>
      </c>
      <c r="P487" s="9">
        <v>0.86491600000000002</v>
      </c>
      <c r="Q487" s="9">
        <v>1.28176</v>
      </c>
      <c r="R487" s="9">
        <v>0.214286</v>
      </c>
      <c r="S487" s="9">
        <v>8.1581699999999993E-2</v>
      </c>
      <c r="T487" s="9">
        <v>0.109681</v>
      </c>
      <c r="U487" s="9">
        <v>4.8143199999999997E-2</v>
      </c>
      <c r="V487" s="9">
        <v>4.2331700000000003</v>
      </c>
      <c r="W487" s="9">
        <v>3.30261</v>
      </c>
      <c r="X487" s="9">
        <v>2.8564799999999999</v>
      </c>
      <c r="Y487" s="9">
        <v>31.535</v>
      </c>
      <c r="Z487" s="9">
        <v>19.783200000000001</v>
      </c>
      <c r="AA487" s="9">
        <f t="shared" si="77"/>
        <v>0.69528631578947364</v>
      </c>
      <c r="AB487" s="9">
        <f t="shared" si="78"/>
        <v>0.97052631578947379</v>
      </c>
      <c r="AC487" s="9">
        <f t="shared" si="79"/>
        <v>0.38947368421052636</v>
      </c>
      <c r="AD487" s="9">
        <f t="shared" si="80"/>
        <v>3.4083048722493623</v>
      </c>
      <c r="AE487" s="9">
        <f t="shared" si="81"/>
        <v>2.1381695560070901</v>
      </c>
      <c r="AF487" s="9">
        <f t="shared" si="82"/>
        <v>4.3111699252677038</v>
      </c>
      <c r="AG487" s="9">
        <f t="shared" si="74"/>
        <v>1.716138220227877</v>
      </c>
      <c r="AH487" s="9">
        <f t="shared" si="83"/>
        <v>0.9615493535246229</v>
      </c>
      <c r="AI487" s="9">
        <f t="shared" si="75"/>
        <v>1.6777837254712997</v>
      </c>
      <c r="AJ487" s="9">
        <f>(4*PI()*(AI487^2))/(Y487+E487)</f>
        <v>0.86727294152823786</v>
      </c>
      <c r="AK487" s="12">
        <f t="shared" si="76"/>
        <v>1.1176470588235294</v>
      </c>
      <c r="AL487" s="12" t="s">
        <v>144</v>
      </c>
      <c r="AM487" s="12" t="s">
        <v>143</v>
      </c>
      <c r="AN487" s="18">
        <v>14.234999999999999</v>
      </c>
      <c r="AO487" s="18">
        <v>1.3664000000000001</v>
      </c>
      <c r="AP487" s="18">
        <v>32979</v>
      </c>
      <c r="AQ487" s="18">
        <v>30862</v>
      </c>
      <c r="AR487" s="18">
        <v>6.2530000000000001</v>
      </c>
      <c r="AS487" s="18">
        <v>4.1556999999999997E-2</v>
      </c>
      <c r="AT487" s="18">
        <v>0.67505000000000004</v>
      </c>
      <c r="AU487" s="18">
        <v>0.32432</v>
      </c>
      <c r="AV487" s="18">
        <v>2.4206000000000002E-3</v>
      </c>
      <c r="AW487" s="18">
        <v>3.5017E-2</v>
      </c>
      <c r="AX487" s="18">
        <v>0.48957000000000001</v>
      </c>
      <c r="AY487" s="18">
        <v>3.5533000000000001</v>
      </c>
      <c r="AZ487" s="18">
        <v>13175</v>
      </c>
      <c r="BA487" s="18">
        <v>1.0586E-2</v>
      </c>
      <c r="BB487" s="18">
        <v>4.1075999999999997</v>
      </c>
      <c r="BC487" s="18" t="s">
        <v>162</v>
      </c>
      <c r="BD487" s="35" t="s">
        <v>163</v>
      </c>
      <c r="BE487" t="s">
        <v>167</v>
      </c>
    </row>
    <row r="488" spans="1:57" x14ac:dyDescent="0.25">
      <c r="A488" s="18" t="s">
        <v>558</v>
      </c>
      <c r="B488" s="18" t="s">
        <v>26</v>
      </c>
      <c r="C488" s="18" t="s">
        <v>6</v>
      </c>
      <c r="D488" s="18">
        <v>43</v>
      </c>
      <c r="E488" s="18">
        <v>7.0129999999999999</v>
      </c>
      <c r="F488" s="18">
        <v>9.5824999999999996</v>
      </c>
      <c r="G488" s="15">
        <v>3.82</v>
      </c>
      <c r="H488" s="15">
        <v>2.75</v>
      </c>
      <c r="I488" s="15">
        <v>2.4500000000000002</v>
      </c>
      <c r="J488" s="15">
        <v>46.39</v>
      </c>
      <c r="K488" s="15">
        <v>40.35</v>
      </c>
      <c r="L488" s="15">
        <v>81.81</v>
      </c>
      <c r="M488" s="15">
        <v>3.27</v>
      </c>
      <c r="N488" s="15">
        <v>2</v>
      </c>
      <c r="O488" s="15">
        <v>3.23</v>
      </c>
      <c r="P488" s="9">
        <v>0.93547999999999998</v>
      </c>
      <c r="Q488" s="9">
        <v>1.10589</v>
      </c>
      <c r="R488" s="9">
        <v>0.48148099999999999</v>
      </c>
      <c r="S488" s="9">
        <v>7.4193200000000001E-2</v>
      </c>
      <c r="T488" s="9">
        <v>9.3859300000000007E-2</v>
      </c>
      <c r="U488" s="9">
        <v>3.5135300000000001E-2</v>
      </c>
      <c r="V488" s="9">
        <v>3.2660300000000002</v>
      </c>
      <c r="W488" s="9">
        <v>2.9533</v>
      </c>
      <c r="X488" s="9">
        <v>2.7627600000000001</v>
      </c>
      <c r="Y488" s="9">
        <v>24.346900000000002</v>
      </c>
      <c r="Z488" s="9">
        <v>13.78</v>
      </c>
      <c r="AA488" s="9">
        <f t="shared" si="77"/>
        <v>1.2054285714285713</v>
      </c>
      <c r="AB488" s="9">
        <f t="shared" si="78"/>
        <v>1.5591836734693876</v>
      </c>
      <c r="AC488" s="9">
        <f t="shared" si="79"/>
        <v>1.1224489795918366</v>
      </c>
      <c r="AD488" s="9">
        <f t="shared" si="80"/>
        <v>3.4716811635534013</v>
      </c>
      <c r="AE488" s="9">
        <f t="shared" si="81"/>
        <v>1.9649222871809495</v>
      </c>
      <c r="AF488" s="9">
        <f t="shared" si="82"/>
        <v>4.2358853184869059</v>
      </c>
      <c r="AG488" s="9">
        <f t="shared" si="74"/>
        <v>1.4940907709396118</v>
      </c>
      <c r="AH488" s="9">
        <f t="shared" si="83"/>
        <v>0.979665972299545</v>
      </c>
      <c r="AI488" s="9">
        <f t="shared" si="75"/>
        <v>1.4872599031482061</v>
      </c>
      <c r="AJ488" s="9">
        <f>(4*PI()*(AI488^2))/(Y488+E488)</f>
        <v>0.88635752010264846</v>
      </c>
      <c r="AK488" s="12">
        <f t="shared" si="76"/>
        <v>0.75851393188854499</v>
      </c>
      <c r="AL488" s="12" t="s">
        <v>144</v>
      </c>
      <c r="AM488" s="12" t="s">
        <v>142</v>
      </c>
      <c r="AN488" s="18">
        <v>8.8775999999999993</v>
      </c>
      <c r="AO488" s="18">
        <v>0.88122999999999996</v>
      </c>
      <c r="AP488" s="18">
        <v>17239</v>
      </c>
      <c r="AQ488" s="18">
        <v>15205</v>
      </c>
      <c r="AR488" s="18">
        <v>4.2484999999999999</v>
      </c>
      <c r="AS488" s="18">
        <v>1.4193000000000001E-2</v>
      </c>
      <c r="AT488" s="18">
        <v>0.79603000000000002</v>
      </c>
      <c r="AU488" s="18">
        <v>0.44534000000000001</v>
      </c>
      <c r="AV488" s="18">
        <v>9.4275999999999995E-3</v>
      </c>
      <c r="AW488" s="18">
        <v>1.0348E-2</v>
      </c>
      <c r="AX488" s="18">
        <v>0.24804999999999999</v>
      </c>
      <c r="AY488" s="18">
        <v>-1.0054000000000001</v>
      </c>
      <c r="AZ488" s="18">
        <v>-1153.4000000000001</v>
      </c>
      <c r="BA488" s="18">
        <v>0.03</v>
      </c>
      <c r="BB488" s="18">
        <v>29.975999999999999</v>
      </c>
      <c r="BC488" s="18" t="s">
        <v>162</v>
      </c>
      <c r="BD488" s="35" t="s">
        <v>163</v>
      </c>
      <c r="BE488" t="s">
        <v>167</v>
      </c>
    </row>
    <row r="489" spans="1:57" x14ac:dyDescent="0.25">
      <c r="A489" s="18" t="s">
        <v>559</v>
      </c>
      <c r="B489" s="18" t="s">
        <v>13</v>
      </c>
      <c r="C489" s="18" t="s">
        <v>14</v>
      </c>
      <c r="D489" s="18">
        <v>78</v>
      </c>
      <c r="E489" s="18">
        <v>10.845000000000001</v>
      </c>
      <c r="F489" s="18">
        <v>11.904999999999999</v>
      </c>
      <c r="G489" s="15">
        <v>8.3699999999999992</v>
      </c>
      <c r="H489" s="15">
        <v>4.8</v>
      </c>
      <c r="I489" s="15">
        <v>1.32</v>
      </c>
      <c r="J489" s="15">
        <v>63.71</v>
      </c>
      <c r="K489" s="15">
        <v>31.64</v>
      </c>
      <c r="L489" s="15">
        <v>83.91</v>
      </c>
      <c r="M489" s="15">
        <v>4.2</v>
      </c>
      <c r="N489" s="15">
        <v>2</v>
      </c>
      <c r="O489" s="15">
        <v>2.77</v>
      </c>
      <c r="P489" s="9">
        <v>1.3099099999999999</v>
      </c>
      <c r="Q489" s="9">
        <v>1.86202</v>
      </c>
      <c r="R489" s="9">
        <v>4.2553199999999999E-2</v>
      </c>
      <c r="S489" s="9">
        <v>0.20859800000000001</v>
      </c>
      <c r="T489" s="9">
        <v>0.26044699999999998</v>
      </c>
      <c r="U489" s="9">
        <v>0.15487300000000001</v>
      </c>
      <c r="V489" s="9">
        <v>6.8021399999999996</v>
      </c>
      <c r="W489" s="9">
        <v>3.6530999999999998</v>
      </c>
      <c r="X489" s="9">
        <v>4.7852199999999998</v>
      </c>
      <c r="Y489" s="9">
        <v>75.733599999999996</v>
      </c>
      <c r="Z489" s="9">
        <v>55.741</v>
      </c>
      <c r="AA489" s="9">
        <f t="shared" si="77"/>
        <v>2.7674999999999996</v>
      </c>
      <c r="AB489" s="9">
        <f t="shared" si="78"/>
        <v>6.3409090909090899</v>
      </c>
      <c r="AC489" s="9">
        <f t="shared" si="79"/>
        <v>3.6363636363636362</v>
      </c>
      <c r="AD489" s="9">
        <f t="shared" si="80"/>
        <v>6.9832733978792065</v>
      </c>
      <c r="AE489" s="9">
        <f t="shared" si="81"/>
        <v>5.1397879207007833</v>
      </c>
      <c r="AF489" s="9">
        <f t="shared" si="82"/>
        <v>5.1900566434565167</v>
      </c>
      <c r="AG489" s="9">
        <f t="shared" si="74"/>
        <v>1.8579748964028577</v>
      </c>
      <c r="AH489" s="9">
        <f t="shared" si="83"/>
        <v>0.98059643596698443</v>
      </c>
      <c r="AI489" s="9">
        <f t="shared" si="75"/>
        <v>2.3697109871082422</v>
      </c>
      <c r="AJ489" s="9">
        <f>(4*PI()*(AI489^2))/(Y489+E489)</f>
        <v>0.81506091825348737</v>
      </c>
      <c r="AK489" s="12">
        <f t="shared" si="76"/>
        <v>0.47653429602888087</v>
      </c>
      <c r="AL489" s="12" t="s">
        <v>140</v>
      </c>
      <c r="AM489" s="12" t="s">
        <v>142</v>
      </c>
      <c r="AN489" s="18">
        <v>8.5783000000000005</v>
      </c>
      <c r="AO489" s="18">
        <v>0.45035999999999998</v>
      </c>
      <c r="AP489" s="18">
        <v>11302</v>
      </c>
      <c r="AQ489" s="18">
        <v>11348</v>
      </c>
      <c r="AR489" s="18">
        <v>4.3430999999999997</v>
      </c>
      <c r="AS489" s="18">
        <v>8.5073000000000006E-3</v>
      </c>
      <c r="AT489" s="18">
        <v>0.73989000000000005</v>
      </c>
      <c r="AU489" s="18">
        <v>0.51861999999999997</v>
      </c>
      <c r="AV489" s="18">
        <v>0.12406</v>
      </c>
      <c r="AW489" s="18">
        <v>5.8114999999999998E-3</v>
      </c>
      <c r="AX489" s="18">
        <v>0.28143000000000001</v>
      </c>
      <c r="AY489" s="18">
        <v>-29.367000000000001</v>
      </c>
      <c r="AZ489" s="18">
        <v>-6963.6</v>
      </c>
      <c r="BA489" s="18">
        <v>8.5455000000000003E-2</v>
      </c>
      <c r="BB489" s="18">
        <v>3.3976999999999999</v>
      </c>
      <c r="BC489" s="18" t="s">
        <v>162</v>
      </c>
      <c r="BD489" s="35" t="s">
        <v>163</v>
      </c>
      <c r="BE489" t="s">
        <v>168</v>
      </c>
    </row>
    <row r="490" spans="1:57" x14ac:dyDescent="0.25">
      <c r="A490" s="18" t="s">
        <v>560</v>
      </c>
      <c r="B490" s="18" t="s">
        <v>40</v>
      </c>
      <c r="C490" s="18" t="s">
        <v>6</v>
      </c>
      <c r="D490" s="18">
        <v>40</v>
      </c>
      <c r="E490" s="18">
        <v>3.6976</v>
      </c>
      <c r="F490" s="18">
        <v>7.0754000000000001</v>
      </c>
      <c r="G490" s="15">
        <v>2.3199999999999998</v>
      </c>
      <c r="H490" s="15">
        <v>1.3</v>
      </c>
      <c r="I490" s="15">
        <v>2.96</v>
      </c>
      <c r="J490" s="15">
        <v>64.44</v>
      </c>
      <c r="K490" s="15">
        <v>0</v>
      </c>
      <c r="L490" s="15">
        <v>66.31</v>
      </c>
      <c r="M490" s="15">
        <v>2.3199999999999998</v>
      </c>
      <c r="N490" s="15">
        <v>3</v>
      </c>
      <c r="O490" s="15">
        <v>7.15</v>
      </c>
      <c r="P490" s="9">
        <v>0.61740399999999995</v>
      </c>
      <c r="Q490" s="9">
        <v>1.06487</v>
      </c>
      <c r="R490" s="9">
        <v>0.45833299999999999</v>
      </c>
      <c r="S490" s="9">
        <v>2.4508100000000001E-2</v>
      </c>
      <c r="T490" s="9">
        <v>3.3560399999999997E-2</v>
      </c>
      <c r="U490" s="9">
        <v>-1.3558000000000001E-2</v>
      </c>
      <c r="V490" s="9">
        <v>2.2400199999999999</v>
      </c>
      <c r="W490" s="9">
        <v>2.1035499999999998</v>
      </c>
      <c r="X490" s="9">
        <v>1.29874</v>
      </c>
      <c r="Y490" s="9">
        <v>7.8882099999999999</v>
      </c>
      <c r="Z490" s="9">
        <v>2.7991000000000001</v>
      </c>
      <c r="AA490" s="9">
        <f t="shared" si="77"/>
        <v>0.71065878378378378</v>
      </c>
      <c r="AB490" s="9">
        <f t="shared" si="78"/>
        <v>0.78378378378378377</v>
      </c>
      <c r="AC490" s="9">
        <f t="shared" si="79"/>
        <v>0.4391891891891892</v>
      </c>
      <c r="AD490" s="9">
        <f t="shared" si="80"/>
        <v>2.133332431847685</v>
      </c>
      <c r="AE490" s="9">
        <f t="shared" si="81"/>
        <v>0.75700454348766777</v>
      </c>
      <c r="AF490" s="9">
        <f t="shared" si="82"/>
        <v>3.9716062706041773</v>
      </c>
      <c r="AG490" s="9">
        <f t="shared" si="74"/>
        <v>1.084888305381335</v>
      </c>
      <c r="AH490" s="9">
        <f t="shared" si="83"/>
        <v>0.96341609807261275</v>
      </c>
      <c r="AI490" s="9">
        <f t="shared" si="75"/>
        <v>0.87426535422484408</v>
      </c>
      <c r="AJ490" s="9">
        <f>(4*PI()*(AI490^2))/(Y490+E490)</f>
        <v>0.82902952658061002</v>
      </c>
      <c r="AK490" s="12">
        <f t="shared" si="76"/>
        <v>0.41398601398601398</v>
      </c>
      <c r="AL490" s="12" t="s">
        <v>144</v>
      </c>
      <c r="AM490" s="12" t="s">
        <v>142</v>
      </c>
      <c r="AN490" s="18">
        <v>4.2267999999999999</v>
      </c>
      <c r="AO490" s="18">
        <v>0.87260000000000004</v>
      </c>
      <c r="AP490" s="18">
        <v>14355</v>
      </c>
      <c r="AQ490" s="18">
        <v>11938</v>
      </c>
      <c r="AR490" s="18">
        <v>2.2134999999999998</v>
      </c>
      <c r="AS490" s="18">
        <v>7.9793999999999993E-3</v>
      </c>
      <c r="AT490" s="18">
        <v>0.68589999999999995</v>
      </c>
      <c r="AU490" s="18">
        <v>0.80398000000000003</v>
      </c>
      <c r="AV490" s="18">
        <v>8.1235000000000002E-2</v>
      </c>
      <c r="AW490" s="18">
        <v>8.0783000000000001E-3</v>
      </c>
      <c r="AX490" s="18">
        <v>0.13869999999999999</v>
      </c>
      <c r="AY490" s="18">
        <v>1.9691000000000001</v>
      </c>
      <c r="AZ490" s="18">
        <v>189.88</v>
      </c>
      <c r="BA490" s="18">
        <v>1.4187999999999999E-2</v>
      </c>
      <c r="BB490" s="18">
        <v>10.411</v>
      </c>
      <c r="BC490" s="18" t="s">
        <v>162</v>
      </c>
      <c r="BD490" s="35" t="s">
        <v>163</v>
      </c>
      <c r="BE490" t="s">
        <v>167</v>
      </c>
    </row>
    <row r="491" spans="1:57" x14ac:dyDescent="0.25">
      <c r="A491" s="18" t="s">
        <v>561</v>
      </c>
      <c r="B491" s="18" t="s">
        <v>5</v>
      </c>
      <c r="C491" s="18" t="s">
        <v>14</v>
      </c>
      <c r="D491" s="18">
        <v>47</v>
      </c>
      <c r="E491" s="18">
        <v>25.623000000000001</v>
      </c>
      <c r="F491" s="18">
        <v>18.579999999999998</v>
      </c>
      <c r="G491" s="15">
        <v>19.77</v>
      </c>
      <c r="H491" s="15">
        <v>13.6</v>
      </c>
      <c r="I491" s="15">
        <v>3.28</v>
      </c>
      <c r="J491" s="15">
        <v>19.420000000000002</v>
      </c>
      <c r="K491" s="15">
        <v>7.24</v>
      </c>
      <c r="L491" s="15">
        <v>22.89</v>
      </c>
      <c r="M491" s="15">
        <v>10.5</v>
      </c>
      <c r="N491" s="15">
        <v>1</v>
      </c>
      <c r="O491" s="15">
        <v>2.77</v>
      </c>
      <c r="P491" s="9">
        <v>2.4386000000000001</v>
      </c>
      <c r="Q491" s="9">
        <v>3.43</v>
      </c>
      <c r="R491" s="9">
        <v>-7.7205899999999994E-2</v>
      </c>
      <c r="S491" s="9">
        <v>0.237624</v>
      </c>
      <c r="T491" s="9">
        <v>0.26371</v>
      </c>
      <c r="U491" s="9">
        <v>9.1143600000000005E-2</v>
      </c>
      <c r="V491" s="9">
        <v>19.207699999999999</v>
      </c>
      <c r="W491" s="9">
        <v>5.59992</v>
      </c>
      <c r="X491" s="9">
        <v>13.655900000000001</v>
      </c>
      <c r="Y491" s="9">
        <v>562.71699999999998</v>
      </c>
      <c r="Z491" s="9">
        <v>1121.49</v>
      </c>
      <c r="AA491" s="9">
        <f t="shared" si="77"/>
        <v>1.7072926829268293</v>
      </c>
      <c r="AB491" s="9">
        <f t="shared" si="78"/>
        <v>6.0274390243902438</v>
      </c>
      <c r="AC491" s="9">
        <f t="shared" si="79"/>
        <v>4.1463414634146343</v>
      </c>
      <c r="AD491" s="9">
        <f t="shared" si="80"/>
        <v>21.961401865511451</v>
      </c>
      <c r="AE491" s="9">
        <f t="shared" si="81"/>
        <v>43.768879522304175</v>
      </c>
      <c r="AF491" s="9">
        <f t="shared" si="82"/>
        <v>5.2130645033673648</v>
      </c>
      <c r="AG491" s="9">
        <f t="shared" si="74"/>
        <v>2.8558806371568246</v>
      </c>
      <c r="AH491" s="9">
        <f t="shared" si="83"/>
        <v>0.96577111186450149</v>
      </c>
      <c r="AI491" s="9">
        <f t="shared" si="75"/>
        <v>6.4451881319012507</v>
      </c>
      <c r="AJ491" s="9">
        <f>(4*PI()*(AI491^2))/(Y491+E491)</f>
        <v>0.88726364157792426</v>
      </c>
      <c r="AK491" s="12">
        <f t="shared" si="76"/>
        <v>1.1841155234657039</v>
      </c>
      <c r="AL491" s="12" t="s">
        <v>140</v>
      </c>
      <c r="AM491" s="12" t="s">
        <v>143</v>
      </c>
      <c r="AN491" s="18">
        <v>0.92647999999999997</v>
      </c>
      <c r="AO491" s="18">
        <v>0.12137000000000001</v>
      </c>
      <c r="AP491" s="18">
        <v>1031.5</v>
      </c>
      <c r="AQ491" s="18">
        <v>927.08</v>
      </c>
      <c r="AR491" s="18">
        <v>0.74492999999999998</v>
      </c>
      <c r="AS491" s="18">
        <v>4.6316999999999997E-2</v>
      </c>
      <c r="AT491" s="18">
        <v>0.64</v>
      </c>
      <c r="AU491" s="18">
        <v>3.8050000000000002</v>
      </c>
      <c r="AV491" s="18">
        <v>0.74231999999999998</v>
      </c>
      <c r="AW491" s="18">
        <v>4.9100999999999999E-2</v>
      </c>
      <c r="AX491" s="18">
        <v>6.9098000000000007E-2</v>
      </c>
      <c r="AY491" s="18">
        <v>0.435</v>
      </c>
      <c r="AZ491" s="18">
        <v>-20.849</v>
      </c>
      <c r="BA491" s="18">
        <v>0.49197999999999997</v>
      </c>
      <c r="BB491" s="18">
        <v>5.0750999999999999</v>
      </c>
      <c r="BC491" s="18" t="s">
        <v>164</v>
      </c>
      <c r="BD491" s="35" t="s">
        <v>165</v>
      </c>
      <c r="BE491" t="s">
        <v>168</v>
      </c>
    </row>
    <row r="492" spans="1:57" x14ac:dyDescent="0.25">
      <c r="A492" s="18" t="s">
        <v>562</v>
      </c>
      <c r="B492" s="18" t="s">
        <v>13</v>
      </c>
      <c r="C492" s="18" t="s">
        <v>14</v>
      </c>
      <c r="D492" s="18">
        <v>55</v>
      </c>
      <c r="E492" s="18">
        <v>4.5505000000000004</v>
      </c>
      <c r="F492" s="18">
        <v>7.8780999999999999</v>
      </c>
      <c r="G492" s="15">
        <v>3.09</v>
      </c>
      <c r="H492" s="15">
        <v>2.15</v>
      </c>
      <c r="I492" s="15">
        <v>1.08</v>
      </c>
      <c r="J492" s="15">
        <v>68.89</v>
      </c>
      <c r="K492" s="15">
        <v>23.59</v>
      </c>
      <c r="L492" s="15">
        <v>82.2</v>
      </c>
      <c r="M492" s="15">
        <v>2.85</v>
      </c>
      <c r="N492" s="15">
        <v>2</v>
      </c>
      <c r="O492" s="15">
        <v>1.73</v>
      </c>
      <c r="P492" s="9">
        <v>0.91926200000000002</v>
      </c>
      <c r="Q492" s="9">
        <v>1.2464299999999999</v>
      </c>
      <c r="R492" s="9">
        <v>-2.3809500000000001E-2</v>
      </c>
      <c r="S492" s="9">
        <v>7.4511300000000003E-2</v>
      </c>
      <c r="T492" s="9">
        <v>8.4349599999999997E-2</v>
      </c>
      <c r="U492" s="9">
        <v>7.6477699999999999E-3</v>
      </c>
      <c r="V492" s="9">
        <v>2.9296000000000002</v>
      </c>
      <c r="W492" s="9">
        <v>2.35039</v>
      </c>
      <c r="X492" s="9">
        <v>2.1606299999999998</v>
      </c>
      <c r="Y492" s="9">
        <v>17.7864</v>
      </c>
      <c r="Z492" s="9">
        <v>8.7400900000000004</v>
      </c>
      <c r="AA492" s="9">
        <f t="shared" si="77"/>
        <v>2.1762870370370369</v>
      </c>
      <c r="AB492" s="9">
        <f t="shared" si="78"/>
        <v>2.8611111111111107</v>
      </c>
      <c r="AC492" s="9">
        <f t="shared" si="79"/>
        <v>1.9907407407407405</v>
      </c>
      <c r="AD492" s="9">
        <f t="shared" si="80"/>
        <v>3.908669376991539</v>
      </c>
      <c r="AE492" s="9">
        <f t="shared" si="81"/>
        <v>1.9206878365014832</v>
      </c>
      <c r="AF492" s="9">
        <f t="shared" si="82"/>
        <v>4.1918987584400487</v>
      </c>
      <c r="AG492" s="9">
        <f t="shared" si="74"/>
        <v>1.2035236337851201</v>
      </c>
      <c r="AH492" s="9">
        <f t="shared" si="83"/>
        <v>0.95987129036722707</v>
      </c>
      <c r="AI492" s="9">
        <f t="shared" si="75"/>
        <v>1.2778379006372764</v>
      </c>
      <c r="AJ492" s="9">
        <f>(4*PI()*(AI492^2))/(Y492+E492)</f>
        <v>0.91862549498772206</v>
      </c>
      <c r="AK492" s="12">
        <f t="shared" si="76"/>
        <v>0.62427745664739887</v>
      </c>
      <c r="AL492" s="12" t="s">
        <v>144</v>
      </c>
      <c r="AM492" s="12" t="s">
        <v>142</v>
      </c>
      <c r="AN492" s="18">
        <v>7.7439999999999998</v>
      </c>
      <c r="AO492" s="18">
        <v>0.51573000000000002</v>
      </c>
      <c r="AP492" s="18">
        <v>16539</v>
      </c>
      <c r="AQ492" s="18">
        <v>17714</v>
      </c>
      <c r="AR492" s="18">
        <v>3.3944000000000001</v>
      </c>
      <c r="AS492" s="18">
        <v>5.3175000000000002E-3</v>
      </c>
      <c r="AT492" s="18">
        <v>0.78695999999999999</v>
      </c>
      <c r="AU492" s="18">
        <v>0.44967000000000001</v>
      </c>
      <c r="AV492" s="18">
        <v>1.4264000000000001E-2</v>
      </c>
      <c r="AW492" s="18">
        <v>6.0784000000000003E-3</v>
      </c>
      <c r="AX492" s="18">
        <v>0.20025999999999999</v>
      </c>
      <c r="AY492" s="18">
        <v>-48.953000000000003</v>
      </c>
      <c r="AZ492" s="18">
        <v>-8322.7999999999993</v>
      </c>
      <c r="BA492" s="18">
        <v>4.6457999999999999E-2</v>
      </c>
      <c r="BB492" s="18">
        <v>11.369</v>
      </c>
      <c r="BC492" s="18" t="s">
        <v>162</v>
      </c>
      <c r="BD492" s="35" t="s">
        <v>165</v>
      </c>
      <c r="BE492" t="s">
        <v>167</v>
      </c>
    </row>
    <row r="493" spans="1:57" x14ac:dyDescent="0.25">
      <c r="A493" s="18" t="s">
        <v>563</v>
      </c>
      <c r="B493" s="18" t="s">
        <v>26</v>
      </c>
      <c r="C493" s="18" t="s">
        <v>14</v>
      </c>
      <c r="D493" s="18">
        <v>64</v>
      </c>
      <c r="E493" s="18">
        <v>32.491</v>
      </c>
      <c r="F493" s="18">
        <v>21.295000000000002</v>
      </c>
      <c r="G493" s="15">
        <v>11.6</v>
      </c>
      <c r="H493" s="15">
        <v>8.9</v>
      </c>
      <c r="I493" s="15">
        <v>2.57</v>
      </c>
      <c r="J493" s="15">
        <v>51.62</v>
      </c>
      <c r="K493" s="15">
        <v>40.17</v>
      </c>
      <c r="L493" s="15">
        <v>73.430000000000007</v>
      </c>
      <c r="M493" s="15">
        <v>8.0500000000000007</v>
      </c>
      <c r="N493" s="15">
        <v>2</v>
      </c>
      <c r="O493" s="15">
        <v>4.3</v>
      </c>
      <c r="P493" s="9">
        <v>1.4589300000000001</v>
      </c>
      <c r="Q493" s="9">
        <v>1.65143</v>
      </c>
      <c r="R493" s="9">
        <v>-7.8651700000000005E-2</v>
      </c>
      <c r="S493" s="9">
        <v>0.16309199999999999</v>
      </c>
      <c r="T493" s="9">
        <v>0.1971</v>
      </c>
      <c r="U493" s="9">
        <v>0.10716100000000001</v>
      </c>
      <c r="V493" s="9">
        <v>10.1408</v>
      </c>
      <c r="W493" s="9">
        <v>6.1406000000000001</v>
      </c>
      <c r="X493" s="9">
        <v>8.9586900000000007</v>
      </c>
      <c r="Y493" s="9">
        <v>240.62899999999999</v>
      </c>
      <c r="Z493" s="9">
        <v>357.11099999999999</v>
      </c>
      <c r="AA493" s="9">
        <f t="shared" si="77"/>
        <v>2.3893385214007785</v>
      </c>
      <c r="AB493" s="9">
        <f t="shared" si="78"/>
        <v>4.5136186770428015</v>
      </c>
      <c r="AC493" s="9">
        <f t="shared" si="79"/>
        <v>3.4630350194552535</v>
      </c>
      <c r="AD493" s="9">
        <f t="shared" si="80"/>
        <v>7.4060201286510106</v>
      </c>
      <c r="AE493" s="9">
        <f t="shared" si="81"/>
        <v>10.991074451386538</v>
      </c>
      <c r="AF493" s="9">
        <f t="shared" si="82"/>
        <v>4.7805641205858658</v>
      </c>
      <c r="AG493" s="9">
        <f t="shared" si="74"/>
        <v>3.215930116155751</v>
      </c>
      <c r="AH493" s="9">
        <f t="shared" si="83"/>
        <v>0.94887461163400577</v>
      </c>
      <c r="AI493" s="9">
        <f t="shared" si="75"/>
        <v>4.4012044107093589</v>
      </c>
      <c r="AJ493" s="9">
        <f>(4*PI()*(AI493^2))/(Y493+E493)</f>
        <v>0.891249787458545</v>
      </c>
      <c r="AK493" s="12">
        <f t="shared" si="76"/>
        <v>0.5976744186046512</v>
      </c>
      <c r="AL493" s="12" t="s">
        <v>140</v>
      </c>
      <c r="AM493" s="12" t="s">
        <v>142</v>
      </c>
      <c r="AN493" s="18">
        <v>1.7613000000000001</v>
      </c>
      <c r="AO493" s="18">
        <v>0.32124000000000003</v>
      </c>
      <c r="AP493" s="18">
        <v>1432.4</v>
      </c>
      <c r="AQ493" s="18">
        <v>1390.8</v>
      </c>
      <c r="AR493" s="18">
        <v>1.2347999999999999</v>
      </c>
      <c r="AS493" s="18">
        <v>3.3318E-2</v>
      </c>
      <c r="AT493" s="18">
        <v>0.63653999999999999</v>
      </c>
      <c r="AU493" s="18">
        <v>1.6870000000000001</v>
      </c>
      <c r="AV493" s="18">
        <v>0.16742000000000001</v>
      </c>
      <c r="AW493" s="18">
        <v>2.9326000000000001E-2</v>
      </c>
      <c r="AX493" s="18">
        <v>0.11237</v>
      </c>
      <c r="AY493" s="18">
        <v>-29.809000000000001</v>
      </c>
      <c r="AZ493" s="18">
        <v>-251.48</v>
      </c>
      <c r="BA493" s="18">
        <v>0.46318999999999999</v>
      </c>
      <c r="BB493" s="18">
        <v>18.236000000000001</v>
      </c>
      <c r="BC493" s="18" t="s">
        <v>164</v>
      </c>
      <c r="BD493" s="35" t="s">
        <v>165</v>
      </c>
      <c r="BE493" t="s">
        <v>167</v>
      </c>
    </row>
    <row r="494" spans="1:57" x14ac:dyDescent="0.25">
      <c r="A494" s="18" t="s">
        <v>564</v>
      </c>
      <c r="B494" s="18" t="s">
        <v>26</v>
      </c>
      <c r="C494" s="18" t="s">
        <v>6</v>
      </c>
      <c r="D494" s="18">
        <v>63</v>
      </c>
      <c r="E494" s="18">
        <v>21.475999999999999</v>
      </c>
      <c r="F494" s="18">
        <v>16.655999999999999</v>
      </c>
      <c r="G494" s="15">
        <v>7.19</v>
      </c>
      <c r="H494" s="15">
        <v>5.5</v>
      </c>
      <c r="I494" s="15">
        <v>2.16</v>
      </c>
      <c r="J494" s="15">
        <v>39.47</v>
      </c>
      <c r="K494" s="15">
        <v>38.82</v>
      </c>
      <c r="L494" s="15">
        <v>76.28</v>
      </c>
      <c r="M494" s="15">
        <v>6.1</v>
      </c>
      <c r="N494" s="15">
        <v>2</v>
      </c>
      <c r="O494" s="15">
        <v>3.75</v>
      </c>
      <c r="P494" s="9">
        <v>1.05457</v>
      </c>
      <c r="Q494" s="9">
        <v>1.3550599999999999</v>
      </c>
      <c r="R494" s="9">
        <v>0.24074100000000001</v>
      </c>
      <c r="S494" s="9">
        <v>0.102131</v>
      </c>
      <c r="T494" s="9">
        <v>0.114734</v>
      </c>
      <c r="U494" s="9">
        <v>2.9657200000000002E-2</v>
      </c>
      <c r="V494" s="9">
        <v>7.04033</v>
      </c>
      <c r="W494" s="9">
        <v>5.1955900000000002</v>
      </c>
      <c r="X494" s="9">
        <v>5.47912</v>
      </c>
      <c r="Y494" s="9">
        <v>97.639399999999995</v>
      </c>
      <c r="Z494" s="9">
        <v>106.86499999999999</v>
      </c>
      <c r="AA494" s="9">
        <f t="shared" si="77"/>
        <v>2.4053657407407405</v>
      </c>
      <c r="AB494" s="9">
        <f t="shared" si="78"/>
        <v>3.3287037037037037</v>
      </c>
      <c r="AC494" s="9">
        <f t="shared" si="79"/>
        <v>2.5462962962962963</v>
      </c>
      <c r="AD494" s="9">
        <f t="shared" si="80"/>
        <v>4.5464425405103368</v>
      </c>
      <c r="AE494" s="9">
        <f t="shared" si="81"/>
        <v>4.9760197429688953</v>
      </c>
      <c r="AF494" s="9">
        <f t="shared" si="82"/>
        <v>4.3357886942105166</v>
      </c>
      <c r="AG494" s="9">
        <f t="shared" si="74"/>
        <v>2.6145789557179353</v>
      </c>
      <c r="AH494" s="9">
        <f t="shared" si="83"/>
        <v>0.98630427948054022</v>
      </c>
      <c r="AI494" s="9">
        <f t="shared" si="75"/>
        <v>2.9438496583973586</v>
      </c>
      <c r="AJ494" s="9">
        <f>(4*PI()*(AI494^2))/(Y494+E494)</f>
        <v>0.91426733681044736</v>
      </c>
      <c r="AK494" s="12">
        <f t="shared" si="76"/>
        <v>0.57600000000000007</v>
      </c>
      <c r="AL494" s="12" t="s">
        <v>140</v>
      </c>
      <c r="AM494" s="12" t="s">
        <v>142</v>
      </c>
      <c r="AN494" s="18">
        <v>6.8333000000000004</v>
      </c>
      <c r="AO494" s="18">
        <v>0.55984</v>
      </c>
      <c r="AP494" s="18">
        <v>8680</v>
      </c>
      <c r="AQ494" s="18">
        <v>7884.1</v>
      </c>
      <c r="AR494" s="18">
        <v>3.3321000000000001</v>
      </c>
      <c r="AS494" s="18">
        <v>1.0229E-2</v>
      </c>
      <c r="AT494" s="18">
        <v>0.72399000000000002</v>
      </c>
      <c r="AU494" s="18">
        <v>0.67518</v>
      </c>
      <c r="AV494" s="18">
        <v>0.12136</v>
      </c>
      <c r="AW494" s="18">
        <v>1.3498E-2</v>
      </c>
      <c r="AX494" s="18">
        <v>0.20705999999999999</v>
      </c>
      <c r="AY494" s="18">
        <v>-79.131</v>
      </c>
      <c r="AZ494" s="18">
        <v>-1921</v>
      </c>
      <c r="BA494" s="18">
        <v>0.19492999999999999</v>
      </c>
      <c r="BB494" s="18">
        <v>111.32</v>
      </c>
      <c r="BC494" s="18" t="s">
        <v>162</v>
      </c>
      <c r="BD494" s="35" t="s">
        <v>163</v>
      </c>
      <c r="BE494" t="s">
        <v>167</v>
      </c>
    </row>
    <row r="495" spans="1:57" x14ac:dyDescent="0.25">
      <c r="A495" s="18" t="s">
        <v>565</v>
      </c>
      <c r="B495" s="18" t="s">
        <v>40</v>
      </c>
      <c r="C495" s="18" t="s">
        <v>6</v>
      </c>
      <c r="D495" s="18">
        <v>45</v>
      </c>
      <c r="E495" s="18">
        <v>20.864000000000001</v>
      </c>
      <c r="F495" s="18">
        <v>16.798999999999999</v>
      </c>
      <c r="G495" s="15">
        <v>10.84</v>
      </c>
      <c r="H495" s="15">
        <v>7.1</v>
      </c>
      <c r="I495" s="15">
        <v>2.31</v>
      </c>
      <c r="J495" s="15">
        <v>96.28</v>
      </c>
      <c r="K495" s="15">
        <v>31.38</v>
      </c>
      <c r="L495" s="15">
        <v>50.77</v>
      </c>
      <c r="M495" s="15">
        <v>8.4</v>
      </c>
      <c r="N495" s="15">
        <v>2</v>
      </c>
      <c r="O495" s="15">
        <v>4.72</v>
      </c>
      <c r="P495" s="9">
        <v>1.4144699999999999</v>
      </c>
      <c r="Q495" s="9">
        <v>1.9558</v>
      </c>
      <c r="R495" s="9">
        <v>0.13120599999999999</v>
      </c>
      <c r="S495" s="9">
        <v>0.189522</v>
      </c>
      <c r="T495" s="9">
        <v>0.28308100000000003</v>
      </c>
      <c r="U495" s="9">
        <v>0.17599500000000001</v>
      </c>
      <c r="V495" s="9">
        <v>9.8340700000000005</v>
      </c>
      <c r="W495" s="9">
        <v>5.0281599999999997</v>
      </c>
      <c r="X495" s="9">
        <v>7.1121499999999997</v>
      </c>
      <c r="Y495" s="9">
        <v>175.15899999999999</v>
      </c>
      <c r="Z495" s="9">
        <v>187.13</v>
      </c>
      <c r="AA495" s="9">
        <f t="shared" si="77"/>
        <v>2.1766926406926403</v>
      </c>
      <c r="AB495" s="9">
        <f t="shared" si="78"/>
        <v>4.6926406926406923</v>
      </c>
      <c r="AC495" s="9">
        <f t="shared" si="79"/>
        <v>3.0735930735930732</v>
      </c>
      <c r="AD495" s="9">
        <f t="shared" si="80"/>
        <v>8.395274156441717</v>
      </c>
      <c r="AE495" s="9">
        <f t="shared" si="81"/>
        <v>8.969037576687116</v>
      </c>
      <c r="AF495" s="9">
        <f t="shared" si="82"/>
        <v>5.3538990571332166</v>
      </c>
      <c r="AG495" s="9">
        <f t="shared" si="74"/>
        <v>2.5770559686080952</v>
      </c>
      <c r="AH495" s="9">
        <f t="shared" si="83"/>
        <v>0.96387405189224595</v>
      </c>
      <c r="AI495" s="9">
        <f t="shared" si="75"/>
        <v>3.5482831545260409</v>
      </c>
      <c r="AJ495" s="9">
        <f>(4*PI()*(AI495^2))/(Y495+E495)</f>
        <v>0.80712234605290023</v>
      </c>
      <c r="AK495" s="12">
        <f t="shared" si="76"/>
        <v>0.48940677966101698</v>
      </c>
      <c r="AL495" s="12" t="s">
        <v>140</v>
      </c>
      <c r="AM495" s="12" t="s">
        <v>142</v>
      </c>
      <c r="AN495" s="18">
        <v>1.1800999999999999</v>
      </c>
      <c r="AO495" s="18">
        <v>0.20033000000000001</v>
      </c>
      <c r="AP495" s="18">
        <v>2969.4</v>
      </c>
      <c r="AQ495" s="18">
        <v>2671.9</v>
      </c>
      <c r="AR495" s="18">
        <v>0.68764999999999998</v>
      </c>
      <c r="AS495" s="18">
        <v>5.5053999999999999E-2</v>
      </c>
      <c r="AT495" s="18">
        <v>0.59109</v>
      </c>
      <c r="AU495" s="18">
        <v>12.166</v>
      </c>
      <c r="AV495" s="18">
        <v>0.58187999999999995</v>
      </c>
      <c r="AW495" s="18">
        <v>4.0217000000000003E-2</v>
      </c>
      <c r="AX495" s="18">
        <v>6.8762000000000004E-2</v>
      </c>
      <c r="AY495" s="18">
        <v>-24.012</v>
      </c>
      <c r="AZ495" s="18">
        <v>-348.06</v>
      </c>
      <c r="BA495" s="18">
        <v>0.29268</v>
      </c>
      <c r="BB495" s="18">
        <v>18.986000000000001</v>
      </c>
      <c r="BC495" s="18" t="s">
        <v>164</v>
      </c>
      <c r="BD495" s="35" t="s">
        <v>165</v>
      </c>
      <c r="BE495" t="s">
        <v>167</v>
      </c>
    </row>
    <row r="496" spans="1:57" x14ac:dyDescent="0.25">
      <c r="A496" s="18" t="s">
        <v>566</v>
      </c>
      <c r="B496" s="18" t="s">
        <v>40</v>
      </c>
      <c r="C496" s="18" t="s">
        <v>6</v>
      </c>
      <c r="D496" s="18">
        <v>66</v>
      </c>
      <c r="E496" s="18">
        <v>7.4074</v>
      </c>
      <c r="F496" s="18">
        <v>9.8411000000000008</v>
      </c>
      <c r="G496" s="15">
        <v>4.43</v>
      </c>
      <c r="H496" s="15">
        <v>2.9</v>
      </c>
      <c r="I496" s="15">
        <v>2.91</v>
      </c>
      <c r="J496" s="15">
        <v>54.71</v>
      </c>
      <c r="K496" s="15">
        <v>29.64</v>
      </c>
      <c r="L496" s="15">
        <v>64.790000000000006</v>
      </c>
      <c r="M496" s="15">
        <v>4.1500000000000004</v>
      </c>
      <c r="N496" s="15">
        <v>4</v>
      </c>
      <c r="O496" s="15">
        <v>6.2700000000000005</v>
      </c>
      <c r="P496" s="9">
        <v>0.98675900000000005</v>
      </c>
      <c r="Q496" s="9">
        <v>1.423</v>
      </c>
      <c r="R496" s="9">
        <v>-6.14035E-2</v>
      </c>
      <c r="S496" s="9">
        <v>9.91234E-2</v>
      </c>
      <c r="T496" s="9">
        <v>0.107336</v>
      </c>
      <c r="U496" s="9">
        <v>9.3180199999999998E-3</v>
      </c>
      <c r="V496" s="9">
        <v>4.2006500000000004</v>
      </c>
      <c r="W496" s="9">
        <v>2.9519600000000001</v>
      </c>
      <c r="X496" s="9">
        <v>2.9128799999999999</v>
      </c>
      <c r="Y496" s="9">
        <v>35.243899999999996</v>
      </c>
      <c r="Z496" s="9">
        <v>23.4664</v>
      </c>
      <c r="AA496" s="9">
        <f t="shared" si="77"/>
        <v>1.0144192439862543</v>
      </c>
      <c r="AB496" s="9">
        <f t="shared" si="78"/>
        <v>1.5223367697594501</v>
      </c>
      <c r="AC496" s="9">
        <f t="shared" si="79"/>
        <v>0.99656357388316141</v>
      </c>
      <c r="AD496" s="9">
        <f t="shared" si="80"/>
        <v>4.7579312579312578</v>
      </c>
      <c r="AE496" s="9">
        <f t="shared" si="81"/>
        <v>3.1679671679671682</v>
      </c>
      <c r="AF496" s="9">
        <f t="shared" si="82"/>
        <v>4.2998467854532514</v>
      </c>
      <c r="AG496" s="9">
        <f t="shared" si="74"/>
        <v>1.5355287854409669</v>
      </c>
      <c r="AH496" s="9">
        <f t="shared" si="83"/>
        <v>0.98037941931633632</v>
      </c>
      <c r="AI496" s="9">
        <f t="shared" si="75"/>
        <v>1.7760394979592413</v>
      </c>
      <c r="AJ496" s="9">
        <f>(4*PI()*(AI496^2))/(Y496+E496)</f>
        <v>0.92935754923046887</v>
      </c>
      <c r="AK496" s="12">
        <f t="shared" si="76"/>
        <v>0.46411483253588515</v>
      </c>
      <c r="AL496" s="12" t="s">
        <v>144</v>
      </c>
      <c r="AM496" s="12" t="s">
        <v>142</v>
      </c>
      <c r="AN496" s="18">
        <v>3.1200999999999999</v>
      </c>
      <c r="AO496" s="18">
        <v>0.68030000000000002</v>
      </c>
      <c r="AP496" s="18">
        <v>5784.3</v>
      </c>
      <c r="AQ496" s="18">
        <v>5308.8</v>
      </c>
      <c r="AR496" s="18">
        <v>1.7472000000000001</v>
      </c>
      <c r="AS496" s="18">
        <v>1.0281E-2</v>
      </c>
      <c r="AT496" s="18">
        <v>0.68799999999999994</v>
      </c>
      <c r="AU496" s="18">
        <v>0.92179999999999995</v>
      </c>
      <c r="AV496" s="18">
        <v>1.5207E-2</v>
      </c>
      <c r="AW496" s="18">
        <v>1.2102999999999999E-2</v>
      </c>
      <c r="AX496" s="18">
        <v>0.13757</v>
      </c>
      <c r="AY496" s="18">
        <v>-5.2183000000000002</v>
      </c>
      <c r="AZ496" s="18">
        <v>-571.23</v>
      </c>
      <c r="BA496" s="18">
        <v>7.6373999999999997E-2</v>
      </c>
      <c r="BB496" s="18">
        <v>10.458</v>
      </c>
      <c r="BC496" s="18" t="s">
        <v>164</v>
      </c>
      <c r="BD496" s="35" t="s">
        <v>165</v>
      </c>
      <c r="BE496" t="s">
        <v>167</v>
      </c>
    </row>
    <row r="497" spans="1:57" x14ac:dyDescent="0.25">
      <c r="A497" s="18" t="s">
        <v>567</v>
      </c>
      <c r="B497" s="18" t="s">
        <v>178</v>
      </c>
      <c r="C497" s="18" t="s">
        <v>6</v>
      </c>
      <c r="D497" s="18">
        <v>66</v>
      </c>
      <c r="E497" s="18">
        <v>7.8967000000000001</v>
      </c>
      <c r="F497" s="18">
        <v>10.186999999999999</v>
      </c>
      <c r="G497" s="15">
        <v>4.28</v>
      </c>
      <c r="H497" s="15">
        <v>3.22</v>
      </c>
      <c r="I497" s="15">
        <v>2.2400000000000002</v>
      </c>
      <c r="J497" s="15">
        <v>45.16</v>
      </c>
      <c r="K497" s="15">
        <v>42.7</v>
      </c>
      <c r="L497" s="15">
        <v>70.92</v>
      </c>
      <c r="M497" s="15">
        <v>3.55</v>
      </c>
      <c r="N497" s="15">
        <v>2</v>
      </c>
      <c r="O497" s="15">
        <v>3.37</v>
      </c>
      <c r="P497" s="9">
        <v>1.05104</v>
      </c>
      <c r="Q497" s="9">
        <v>1.13653</v>
      </c>
      <c r="R497" s="9">
        <v>0.21875</v>
      </c>
      <c r="S497" s="9">
        <v>9.8653400000000002E-2</v>
      </c>
      <c r="T497" s="9">
        <v>0.117496</v>
      </c>
      <c r="U497" s="9">
        <v>4.2986999999999997E-2</v>
      </c>
      <c r="V497" s="9">
        <v>3.5257299999999998</v>
      </c>
      <c r="W497" s="9">
        <v>3.1021899999999998</v>
      </c>
      <c r="X497" s="9">
        <v>3.2605300000000002</v>
      </c>
      <c r="Y497" s="9">
        <v>31.976299999999998</v>
      </c>
      <c r="Z497" s="9">
        <v>19.9345</v>
      </c>
      <c r="AA497" s="9">
        <f t="shared" si="77"/>
        <v>1.3849062499999998</v>
      </c>
      <c r="AB497" s="9">
        <f t="shared" si="78"/>
        <v>1.9107142857142856</v>
      </c>
      <c r="AC497" s="9">
        <f t="shared" si="79"/>
        <v>1.4375</v>
      </c>
      <c r="AD497" s="9">
        <f t="shared" si="80"/>
        <v>4.0493244013322016</v>
      </c>
      <c r="AE497" s="9">
        <f t="shared" si="81"/>
        <v>2.5244089303126622</v>
      </c>
      <c r="AF497" s="9">
        <f t="shared" si="82"/>
        <v>4.3493528796366112</v>
      </c>
      <c r="AG497" s="9">
        <f t="shared" si="74"/>
        <v>1.5854329623883627</v>
      </c>
      <c r="AH497" s="9">
        <f t="shared" si="83"/>
        <v>0.97787072688689181</v>
      </c>
      <c r="AI497" s="9">
        <f t="shared" si="75"/>
        <v>1.6820500436367025</v>
      </c>
      <c r="AJ497" s="9">
        <f>(4*PI()*(AI497^2))/(Y497+E497)</f>
        <v>0.89167948831671906</v>
      </c>
      <c r="AK497" s="12">
        <f t="shared" si="76"/>
        <v>0.66468842729970334</v>
      </c>
      <c r="AL497" s="12" t="s">
        <v>144</v>
      </c>
      <c r="AM497" s="12" t="s">
        <v>142</v>
      </c>
      <c r="AN497" s="18">
        <v>0.59972999999999999</v>
      </c>
      <c r="AO497" s="18">
        <v>0.18562999999999999</v>
      </c>
      <c r="AP497" s="18">
        <v>1864.9</v>
      </c>
      <c r="AQ497" s="18">
        <v>1614</v>
      </c>
      <c r="AR497" s="18">
        <v>0.27971000000000001</v>
      </c>
      <c r="AS497" s="18">
        <v>4.9522999999999998E-2</v>
      </c>
      <c r="AT497" s="18">
        <v>0.70038999999999996</v>
      </c>
      <c r="AU497" s="18">
        <v>18.600999999999999</v>
      </c>
      <c r="AV497" s="18">
        <v>0.48409999999999997</v>
      </c>
      <c r="AW497" s="18">
        <v>2.0667000000000001E-2</v>
      </c>
      <c r="AX497" s="18">
        <v>3.1549000000000001E-2</v>
      </c>
      <c r="AY497" s="18">
        <v>-87.683999999999997</v>
      </c>
      <c r="AZ497" s="18">
        <v>-125.01</v>
      </c>
      <c r="BA497" s="18">
        <v>0.29078999999999999</v>
      </c>
      <c r="BB497" s="18">
        <v>103.55</v>
      </c>
      <c r="BC497" s="18" t="s">
        <v>162</v>
      </c>
      <c r="BD497" s="35" t="s">
        <v>165</v>
      </c>
      <c r="BE497" t="s">
        <v>167</v>
      </c>
    </row>
    <row r="498" spans="1:57" x14ac:dyDescent="0.25">
      <c r="A498" s="18" t="s">
        <v>568</v>
      </c>
      <c r="B498" s="18" t="s">
        <v>5</v>
      </c>
      <c r="C498" s="18" t="s">
        <v>6</v>
      </c>
      <c r="D498" s="18">
        <v>61</v>
      </c>
      <c r="E498" s="18">
        <v>4.8536000000000001</v>
      </c>
      <c r="F498" s="18">
        <v>7.8986000000000001</v>
      </c>
      <c r="G498" s="15">
        <v>3.91</v>
      </c>
      <c r="H498" s="15">
        <v>3.35</v>
      </c>
      <c r="I498" s="15">
        <v>2.8</v>
      </c>
      <c r="J498" s="15">
        <v>44.25</v>
      </c>
      <c r="K498" s="15">
        <v>56.79</v>
      </c>
      <c r="L498" s="15">
        <v>73.989999999999995</v>
      </c>
      <c r="M498" s="15">
        <v>2.9</v>
      </c>
      <c r="N498" s="15">
        <v>2</v>
      </c>
      <c r="O498" s="15">
        <v>4.2699999999999996</v>
      </c>
      <c r="P498" s="9">
        <v>1.3715299999999999</v>
      </c>
      <c r="Q498" s="9">
        <v>1.2001599999999999</v>
      </c>
      <c r="R498" s="9">
        <v>7.5757599999999994E-2</v>
      </c>
      <c r="S498" s="9">
        <v>0.13534299999999999</v>
      </c>
      <c r="T498" s="9">
        <v>0.14771500000000001</v>
      </c>
      <c r="U498" s="9">
        <v>3.0943100000000001E-2</v>
      </c>
      <c r="V498" s="9">
        <v>2.93919</v>
      </c>
      <c r="W498" s="9">
        <v>2.4490099999999999</v>
      </c>
      <c r="X498" s="9">
        <v>3.3588900000000002</v>
      </c>
      <c r="Y498" s="9">
        <v>26.9895</v>
      </c>
      <c r="Z498" s="9">
        <v>14.670999999999999</v>
      </c>
      <c r="AA498" s="9">
        <f t="shared" si="77"/>
        <v>0.8746464285714286</v>
      </c>
      <c r="AB498" s="9">
        <f t="shared" si="78"/>
        <v>1.3964285714285716</v>
      </c>
      <c r="AC498" s="9">
        <f t="shared" si="79"/>
        <v>1.1964285714285716</v>
      </c>
      <c r="AD498" s="9">
        <f t="shared" si="80"/>
        <v>5.560717817702324</v>
      </c>
      <c r="AE498" s="9">
        <f t="shared" si="81"/>
        <v>3.022704796439756</v>
      </c>
      <c r="AF498" s="9">
        <f t="shared" si="82"/>
        <v>4.5035504025468063</v>
      </c>
      <c r="AG498" s="9">
        <f t="shared" si="74"/>
        <v>1.2429597192112247</v>
      </c>
      <c r="AH498" s="9">
        <f t="shared" si="83"/>
        <v>0.98875069571367469</v>
      </c>
      <c r="AI498" s="9">
        <f t="shared" si="75"/>
        <v>1.5186476971733898</v>
      </c>
      <c r="AJ498" s="9">
        <f>(4*PI()*(AI498^2))/(Y498+E498)</f>
        <v>0.91014082456731327</v>
      </c>
      <c r="AK498" s="12">
        <f t="shared" si="76"/>
        <v>0.65573770491803285</v>
      </c>
      <c r="AL498" s="12" t="s">
        <v>144</v>
      </c>
      <c r="AM498" s="12" t="s">
        <v>142</v>
      </c>
      <c r="AN498" s="18">
        <v>3.3026</v>
      </c>
      <c r="AO498" s="18">
        <v>0.59865000000000002</v>
      </c>
      <c r="AP498" s="18">
        <v>6139.6</v>
      </c>
      <c r="AQ498" s="18">
        <v>5865.4</v>
      </c>
      <c r="AR498" s="18">
        <v>1.6336999999999999</v>
      </c>
      <c r="AS498" s="18">
        <v>1.6528999999999999E-2</v>
      </c>
      <c r="AT498" s="18">
        <v>0.73612</v>
      </c>
      <c r="AU498" s="18">
        <v>1.7521</v>
      </c>
      <c r="AV498" s="18">
        <v>9.1301999999999994E-2</v>
      </c>
      <c r="AW498" s="18">
        <v>1.0085999999999999E-2</v>
      </c>
      <c r="AX498" s="18">
        <v>0.12171999999999999</v>
      </c>
      <c r="AY498" s="18">
        <v>1.4142999999999999</v>
      </c>
      <c r="AZ498" s="18">
        <v>165.43</v>
      </c>
      <c r="BA498" s="18">
        <v>3.0466E-2</v>
      </c>
      <c r="BB498" s="18">
        <v>3.83</v>
      </c>
      <c r="BC498" s="18" t="s">
        <v>162</v>
      </c>
      <c r="BD498" s="35" t="s">
        <v>165</v>
      </c>
      <c r="BE498" t="s">
        <v>168</v>
      </c>
    </row>
    <row r="499" spans="1:57" x14ac:dyDescent="0.25">
      <c r="A499" s="18" t="s">
        <v>569</v>
      </c>
      <c r="B499" s="18" t="s">
        <v>40</v>
      </c>
      <c r="C499" s="18" t="s">
        <v>14</v>
      </c>
      <c r="D499" s="18">
        <v>39</v>
      </c>
      <c r="E499" s="18">
        <v>8.9959000000000007</v>
      </c>
      <c r="F499" s="18">
        <v>10.88</v>
      </c>
      <c r="G499" s="15">
        <v>9.99</v>
      </c>
      <c r="H499" s="15">
        <v>6.62</v>
      </c>
      <c r="I499" s="15">
        <v>3.2</v>
      </c>
      <c r="J499" s="15">
        <v>28.94</v>
      </c>
      <c r="K499" s="15">
        <v>39.479999999999997</v>
      </c>
      <c r="L499" s="15">
        <v>34.54</v>
      </c>
      <c r="M499" s="15">
        <v>7.05</v>
      </c>
      <c r="N499" s="15">
        <v>1</v>
      </c>
      <c r="O499" s="15">
        <v>2.4700000000000002</v>
      </c>
      <c r="P499" s="9">
        <v>2.0796600000000001</v>
      </c>
      <c r="Q499" s="9">
        <v>2.3605100000000001</v>
      </c>
      <c r="R499" s="9">
        <v>-0.16666700000000001</v>
      </c>
      <c r="S499" s="9">
        <v>0.2218</v>
      </c>
      <c r="T499" s="9">
        <v>0.24773600000000001</v>
      </c>
      <c r="U499" s="9">
        <v>8.0002400000000001E-2</v>
      </c>
      <c r="V499" s="9">
        <v>7.5717299999999996</v>
      </c>
      <c r="W499" s="9">
        <v>3.2076699999999998</v>
      </c>
      <c r="X499" s="9">
        <v>6.6708699999999999</v>
      </c>
      <c r="Y499" s="9">
        <v>144.16999999999999</v>
      </c>
      <c r="Z499" s="9">
        <v>150.19499999999999</v>
      </c>
      <c r="AA499" s="9">
        <f t="shared" si="77"/>
        <v>1.0023968749999999</v>
      </c>
      <c r="AB499" s="9">
        <f t="shared" si="78"/>
        <v>3.1218749999999997</v>
      </c>
      <c r="AC499" s="9">
        <f t="shared" si="79"/>
        <v>2.0687500000000001</v>
      </c>
      <c r="AD499" s="9">
        <f t="shared" si="80"/>
        <v>16.026189708645045</v>
      </c>
      <c r="AE499" s="9">
        <f t="shared" si="81"/>
        <v>16.695939261218999</v>
      </c>
      <c r="AF499" s="9">
        <f t="shared" si="82"/>
        <v>5.1023617746542023</v>
      </c>
      <c r="AG499" s="9">
        <f t="shared" si="74"/>
        <v>1.6921831771769753</v>
      </c>
      <c r="AH499" s="9">
        <f t="shared" si="83"/>
        <v>0.97723349962268768</v>
      </c>
      <c r="AI499" s="9">
        <f t="shared" si="75"/>
        <v>3.297531518423614</v>
      </c>
      <c r="AJ499" s="9">
        <f>(4*PI()*(AI499^2))/(Y499+E499)</f>
        <v>0.89212495420744886</v>
      </c>
      <c r="AK499" s="12">
        <f t="shared" si="76"/>
        <v>1.2955465587044535</v>
      </c>
      <c r="AL499" s="12" t="s">
        <v>140</v>
      </c>
      <c r="AM499" s="12" t="s">
        <v>142</v>
      </c>
      <c r="AN499" s="18">
        <v>2.3687E-2</v>
      </c>
      <c r="AO499" s="18">
        <v>1.0274999999999999E-2</v>
      </c>
      <c r="AP499" s="18">
        <v>102.34</v>
      </c>
      <c r="AQ499" s="18">
        <v>87.275000000000006</v>
      </c>
      <c r="AR499" s="18">
        <v>1.5834000000000001E-2</v>
      </c>
      <c r="AS499" s="18">
        <v>6.8464999999999998E-2</v>
      </c>
      <c r="AT499" s="18">
        <v>0.60431999999999997</v>
      </c>
      <c r="AU499" s="18">
        <v>9548.7000000000007</v>
      </c>
      <c r="AV499" s="18">
        <v>0.98016000000000003</v>
      </c>
      <c r="AW499" s="18">
        <v>4.7284E-2</v>
      </c>
      <c r="AX499" s="19">
        <v>6.6151000000000003E-4</v>
      </c>
      <c r="AY499" s="18">
        <v>27.074000000000002</v>
      </c>
      <c r="AZ499" s="18">
        <v>0.27318999999999999</v>
      </c>
      <c r="BA499" s="18">
        <v>3.7017000000000002</v>
      </c>
      <c r="BB499" s="18">
        <v>15.661</v>
      </c>
      <c r="BC499" s="18" t="s">
        <v>164</v>
      </c>
      <c r="BD499" s="35" t="s">
        <v>163</v>
      </c>
      <c r="BE499" t="s">
        <v>168</v>
      </c>
    </row>
    <row r="500" spans="1:57" x14ac:dyDescent="0.25">
      <c r="A500" s="18" t="s">
        <v>570</v>
      </c>
      <c r="B500" s="18" t="s">
        <v>13</v>
      </c>
      <c r="C500" s="18" t="s">
        <v>6</v>
      </c>
      <c r="D500" s="18">
        <v>55</v>
      </c>
      <c r="E500" s="18">
        <v>8.5030000000000001</v>
      </c>
      <c r="F500" s="18">
        <v>11.236000000000001</v>
      </c>
      <c r="G500" s="15">
        <v>6.8</v>
      </c>
      <c r="H500" s="15">
        <v>3.4</v>
      </c>
      <c r="I500" s="15">
        <v>1.55</v>
      </c>
      <c r="J500" s="15">
        <v>45</v>
      </c>
      <c r="K500" s="15">
        <v>15.48</v>
      </c>
      <c r="L500" s="15">
        <v>59.69</v>
      </c>
      <c r="M500" s="15">
        <v>4.25</v>
      </c>
      <c r="N500" s="15">
        <v>2</v>
      </c>
      <c r="O500" s="15">
        <v>2.16</v>
      </c>
      <c r="P500" s="9">
        <v>1.0943700000000001</v>
      </c>
      <c r="Q500" s="9">
        <v>1.92977</v>
      </c>
      <c r="R500" s="9">
        <v>-8.2089499999999996E-2</v>
      </c>
      <c r="S500" s="9">
        <v>0.18831100000000001</v>
      </c>
      <c r="T500" s="9">
        <v>0.214445</v>
      </c>
      <c r="U500" s="9">
        <v>8.3998900000000001E-2</v>
      </c>
      <c r="V500" s="9">
        <v>6.0766</v>
      </c>
      <c r="W500" s="9">
        <v>3.1488700000000001</v>
      </c>
      <c r="X500" s="9">
        <v>3.4460199999999999</v>
      </c>
      <c r="Y500" s="9">
        <v>53.126300000000001</v>
      </c>
      <c r="Z500" s="9">
        <v>35.852400000000003</v>
      </c>
      <c r="AA500" s="9">
        <f t="shared" si="77"/>
        <v>2.0315290322580646</v>
      </c>
      <c r="AB500" s="9">
        <f t="shared" si="78"/>
        <v>4.387096774193548</v>
      </c>
      <c r="AC500" s="9">
        <f t="shared" si="79"/>
        <v>2.193548387096774</v>
      </c>
      <c r="AD500" s="9">
        <f t="shared" si="80"/>
        <v>6.2479477831353636</v>
      </c>
      <c r="AE500" s="9">
        <f t="shared" si="81"/>
        <v>4.2164412560272844</v>
      </c>
      <c r="AF500" s="9">
        <f t="shared" si="82"/>
        <v>4.8861194694870784</v>
      </c>
      <c r="AG500" s="9">
        <f t="shared" si="74"/>
        <v>1.6451714081580595</v>
      </c>
      <c r="AH500" s="9">
        <f t="shared" si="83"/>
        <v>0.91998191701056153</v>
      </c>
      <c r="AI500" s="9">
        <f t="shared" si="75"/>
        <v>2.0455489405014737</v>
      </c>
      <c r="AJ500" s="9">
        <f>(4*PI()*(AI500^2))/(Y500+E500)</f>
        <v>0.85318336329374156</v>
      </c>
      <c r="AK500" s="12">
        <f t="shared" si="76"/>
        <v>0.71759259259259256</v>
      </c>
      <c r="AL500" s="12" t="s">
        <v>140</v>
      </c>
      <c r="AM500" s="12" t="s">
        <v>142</v>
      </c>
      <c r="AN500" s="18">
        <v>9.0105000000000004</v>
      </c>
      <c r="AO500" s="18">
        <v>0.24132999999999999</v>
      </c>
      <c r="AP500" s="18">
        <v>20079</v>
      </c>
      <c r="AQ500" s="18">
        <v>18473</v>
      </c>
      <c r="AR500" s="18">
        <v>4.1755000000000004</v>
      </c>
      <c r="AS500" s="18">
        <v>1.4083999999999999E-2</v>
      </c>
      <c r="AT500" s="18">
        <v>0.70447000000000004</v>
      </c>
      <c r="AU500" s="18">
        <v>0.64768999999999999</v>
      </c>
      <c r="AV500" s="18">
        <v>0.26518999999999998</v>
      </c>
      <c r="AW500" s="18">
        <v>6.0286000000000003E-3</v>
      </c>
      <c r="AX500" s="18">
        <v>0.29086000000000001</v>
      </c>
      <c r="AY500" s="18">
        <v>-27.687000000000001</v>
      </c>
      <c r="AZ500" s="18">
        <v>-7756.5</v>
      </c>
      <c r="BA500" s="18">
        <v>6.6339999999999996E-2</v>
      </c>
      <c r="BB500" s="18">
        <v>46.02</v>
      </c>
      <c r="BC500" s="18" t="s">
        <v>162</v>
      </c>
      <c r="BD500" s="35" t="s">
        <v>165</v>
      </c>
      <c r="BE500" t="s">
        <v>168</v>
      </c>
    </row>
    <row r="501" spans="1:57" x14ac:dyDescent="0.25">
      <c r="A501" s="18" t="s">
        <v>571</v>
      </c>
      <c r="B501" s="18" t="s">
        <v>13</v>
      </c>
      <c r="C501" s="18" t="s">
        <v>6</v>
      </c>
      <c r="D501" s="18">
        <v>73</v>
      </c>
      <c r="E501" s="18">
        <v>25.863</v>
      </c>
      <c r="F501" s="18">
        <v>18.516999999999999</v>
      </c>
      <c r="G501" s="15">
        <v>9.25</v>
      </c>
      <c r="H501" s="15">
        <v>6.6</v>
      </c>
      <c r="I501" s="15">
        <v>2.16</v>
      </c>
      <c r="J501" s="15">
        <v>91.56</v>
      </c>
      <c r="K501" s="15">
        <v>8.7200000000000006</v>
      </c>
      <c r="L501" s="15">
        <v>70.45</v>
      </c>
      <c r="M501" s="15">
        <v>8.85</v>
      </c>
      <c r="N501" s="15">
        <v>2</v>
      </c>
      <c r="O501" s="15">
        <v>3.3200000000000003</v>
      </c>
      <c r="P501" s="9">
        <v>1.1803999999999999</v>
      </c>
      <c r="Q501" s="9">
        <v>1.6333299999999999</v>
      </c>
      <c r="R501" s="9">
        <v>4.5454599999999998E-2</v>
      </c>
      <c r="S501" s="9">
        <v>0.12714500000000001</v>
      </c>
      <c r="T501" s="9">
        <v>0.13042500000000001</v>
      </c>
      <c r="U501" s="9">
        <v>6.6742700000000004E-3</v>
      </c>
      <c r="V501" s="9">
        <v>9.2130899999999993</v>
      </c>
      <c r="W501" s="9">
        <v>5.6406700000000001</v>
      </c>
      <c r="X501" s="9">
        <v>6.6582299999999996</v>
      </c>
      <c r="Y501" s="9">
        <v>177.87899999999999</v>
      </c>
      <c r="Z501" s="9">
        <v>255.82</v>
      </c>
      <c r="AA501" s="9">
        <f t="shared" si="77"/>
        <v>2.6114212962962964</v>
      </c>
      <c r="AB501" s="9">
        <f t="shared" si="78"/>
        <v>4.2824074074074074</v>
      </c>
      <c r="AC501" s="9">
        <f t="shared" si="79"/>
        <v>3.0555555555555554</v>
      </c>
      <c r="AD501" s="9">
        <f t="shared" si="80"/>
        <v>6.8777404013455516</v>
      </c>
      <c r="AE501" s="9">
        <f t="shared" si="81"/>
        <v>9.8913505780458575</v>
      </c>
      <c r="AF501" s="9">
        <f t="shared" si="82"/>
        <v>4.4140273135214558</v>
      </c>
      <c r="AG501" s="9">
        <f t="shared" si="74"/>
        <v>2.8692243875952572</v>
      </c>
      <c r="AH501" s="9">
        <f t="shared" si="83"/>
        <v>0.97358473376572152</v>
      </c>
      <c r="AI501" s="9">
        <f t="shared" si="75"/>
        <v>3.9380566724536092</v>
      </c>
      <c r="AJ501" s="9">
        <f>(4*PI()*(AI501^2))/(Y501+E501)</f>
        <v>0.95651816612066731</v>
      </c>
      <c r="AK501" s="12">
        <f t="shared" si="76"/>
        <v>0.6506024096385542</v>
      </c>
      <c r="AL501" s="12" t="s">
        <v>144</v>
      </c>
      <c r="AM501" s="12" t="s">
        <v>142</v>
      </c>
      <c r="AN501" s="18">
        <v>1.522</v>
      </c>
      <c r="AO501" s="18">
        <v>0.19961000000000001</v>
      </c>
      <c r="AP501" s="18">
        <v>1597</v>
      </c>
      <c r="AQ501" s="18">
        <v>1491.8</v>
      </c>
      <c r="AR501" s="18">
        <v>1.0592999999999999</v>
      </c>
      <c r="AS501" s="18">
        <v>1.652E-2</v>
      </c>
      <c r="AT501" s="18">
        <v>0.69042000000000003</v>
      </c>
      <c r="AU501" s="18">
        <v>1.5531999999999999</v>
      </c>
      <c r="AV501" s="18">
        <v>0.53503000000000001</v>
      </c>
      <c r="AW501" s="18">
        <v>1.5996E-2</v>
      </c>
      <c r="AX501" s="18">
        <v>9.4499E-2</v>
      </c>
      <c r="AY501" s="18">
        <v>-86.628</v>
      </c>
      <c r="AZ501" s="18">
        <v>-617.52</v>
      </c>
      <c r="BA501" s="18">
        <v>0.44816</v>
      </c>
      <c r="BB501" s="18">
        <v>4.1412000000000004</v>
      </c>
      <c r="BC501" s="18" t="s">
        <v>162</v>
      </c>
      <c r="BD501" s="35" t="s">
        <v>163</v>
      </c>
      <c r="BE501" t="s">
        <v>167</v>
      </c>
    </row>
    <row r="502" spans="1:57" x14ac:dyDescent="0.25">
      <c r="A502" s="18" t="s">
        <v>572</v>
      </c>
      <c r="B502" s="18" t="s">
        <v>26</v>
      </c>
      <c r="C502" s="18" t="s">
        <v>6</v>
      </c>
      <c r="D502" s="18">
        <v>44</v>
      </c>
      <c r="E502" s="18">
        <v>4.3323</v>
      </c>
      <c r="F502" s="18">
        <v>7.5141</v>
      </c>
      <c r="G502" s="15">
        <v>3.37</v>
      </c>
      <c r="H502" s="15">
        <v>2.42</v>
      </c>
      <c r="I502" s="15">
        <v>2.75</v>
      </c>
      <c r="J502" s="15">
        <v>66.739999999999995</v>
      </c>
      <c r="K502" s="15">
        <v>31.56</v>
      </c>
      <c r="L502" s="15">
        <v>71.7</v>
      </c>
      <c r="M502" s="15">
        <v>2.65</v>
      </c>
      <c r="N502" s="15">
        <v>2</v>
      </c>
      <c r="O502" s="15">
        <v>3.68</v>
      </c>
      <c r="P502" s="9">
        <v>1.04331</v>
      </c>
      <c r="Q502" s="9">
        <v>1.19858</v>
      </c>
      <c r="R502" s="9">
        <v>-9.5744700000000002E-2</v>
      </c>
      <c r="S502" s="9">
        <v>0.10673199999999999</v>
      </c>
      <c r="T502" s="9">
        <v>0.13495699999999999</v>
      </c>
      <c r="U502" s="9">
        <v>6.3249E-2</v>
      </c>
      <c r="V502" s="9">
        <v>2.80159</v>
      </c>
      <c r="W502" s="9">
        <v>2.3374199999999998</v>
      </c>
      <c r="X502" s="9">
        <v>2.4386399999999999</v>
      </c>
      <c r="Y502" s="9">
        <v>19.167300000000001</v>
      </c>
      <c r="Z502" s="9">
        <v>8.97818</v>
      </c>
      <c r="AA502" s="9">
        <f t="shared" si="77"/>
        <v>0.849970909090909</v>
      </c>
      <c r="AB502" s="9">
        <f t="shared" si="78"/>
        <v>1.2254545454545456</v>
      </c>
      <c r="AC502" s="9">
        <f t="shared" si="79"/>
        <v>0.88</v>
      </c>
      <c r="AD502" s="9">
        <f t="shared" si="80"/>
        <v>4.4242780970846898</v>
      </c>
      <c r="AE502" s="9">
        <f t="shared" si="81"/>
        <v>2.0723818756780461</v>
      </c>
      <c r="AF502" s="9">
        <f t="shared" si="82"/>
        <v>4.4371291343709718</v>
      </c>
      <c r="AG502" s="9">
        <f t="shared" si="74"/>
        <v>1.1743142338888839</v>
      </c>
      <c r="AH502" s="9">
        <f t="shared" si="83"/>
        <v>0.98194513519682836</v>
      </c>
      <c r="AI502" s="9">
        <f t="shared" si="75"/>
        <v>1.2893373578206089</v>
      </c>
      <c r="AJ502" s="9">
        <f>(4*PI()*(AI502^2))/(Y502+E502)</f>
        <v>0.88896062820546262</v>
      </c>
      <c r="AK502" s="12">
        <f t="shared" si="76"/>
        <v>0.74728260869565211</v>
      </c>
      <c r="AL502" s="12" t="s">
        <v>144</v>
      </c>
      <c r="AM502" s="12" t="s">
        <v>142</v>
      </c>
      <c r="AN502" s="18">
        <v>0.90391999999999995</v>
      </c>
      <c r="AO502" s="18">
        <v>0.15051999999999999</v>
      </c>
      <c r="AP502" s="18">
        <v>2377.6</v>
      </c>
      <c r="AQ502" s="18">
        <v>2157.8000000000002</v>
      </c>
      <c r="AR502" s="18">
        <v>0.45385999999999999</v>
      </c>
      <c r="AS502" s="18">
        <v>1.1441E-2</v>
      </c>
      <c r="AT502" s="18">
        <v>0.75214999999999999</v>
      </c>
      <c r="AU502" s="18">
        <v>4.2713000000000001</v>
      </c>
      <c r="AV502" s="18">
        <v>0.60274000000000005</v>
      </c>
      <c r="AW502" s="18">
        <v>1.2511E-2</v>
      </c>
      <c r="AX502" s="18">
        <v>3.8757E-2</v>
      </c>
      <c r="AY502" s="18">
        <v>-67.736000000000004</v>
      </c>
      <c r="AZ502" s="18">
        <v>-352.67</v>
      </c>
      <c r="BA502" s="18">
        <v>0.15909999999999999</v>
      </c>
      <c r="BB502" s="18">
        <v>62.527000000000001</v>
      </c>
      <c r="BC502" s="18" t="s">
        <v>164</v>
      </c>
      <c r="BD502" s="35" t="s">
        <v>163</v>
      </c>
      <c r="BE502" t="s">
        <v>167</v>
      </c>
    </row>
    <row r="503" spans="1:57" x14ac:dyDescent="0.25">
      <c r="A503" s="18" t="s">
        <v>573</v>
      </c>
      <c r="B503" s="18" t="s">
        <v>5</v>
      </c>
      <c r="C503" s="18" t="s">
        <v>6</v>
      </c>
      <c r="D503" s="18">
        <v>67</v>
      </c>
      <c r="E503" s="18">
        <v>31.364999999999998</v>
      </c>
      <c r="F503" s="18">
        <v>20.428999999999998</v>
      </c>
      <c r="G503" s="15">
        <v>11.28</v>
      </c>
      <c r="H503" s="15">
        <v>8.9</v>
      </c>
      <c r="I503" s="15">
        <v>3.82</v>
      </c>
      <c r="J503" s="15">
        <v>80.34</v>
      </c>
      <c r="K503" s="15">
        <v>51.43</v>
      </c>
      <c r="L503" s="15">
        <v>35.26</v>
      </c>
      <c r="M503" s="15">
        <v>8</v>
      </c>
      <c r="N503" s="15">
        <v>2</v>
      </c>
      <c r="O503" s="15">
        <v>5.05</v>
      </c>
      <c r="P503" s="9">
        <v>1.42702</v>
      </c>
      <c r="Q503" s="9">
        <v>1.3335600000000001</v>
      </c>
      <c r="R503" s="9">
        <v>-0.1875</v>
      </c>
      <c r="S503" s="9">
        <v>0.17153399999999999</v>
      </c>
      <c r="T503" s="9">
        <v>0.209705</v>
      </c>
      <c r="U503" s="9">
        <v>0.14715</v>
      </c>
      <c r="V503" s="9">
        <v>8.3080800000000004</v>
      </c>
      <c r="W503" s="9">
        <v>6.23</v>
      </c>
      <c r="X503" s="9">
        <v>8.8903300000000005</v>
      </c>
      <c r="Y503" s="9">
        <v>195.02</v>
      </c>
      <c r="Z503" s="9">
        <v>254.44300000000001</v>
      </c>
      <c r="AA503" s="9">
        <f t="shared" si="77"/>
        <v>1.630890052356021</v>
      </c>
      <c r="AB503" s="9">
        <f t="shared" si="78"/>
        <v>2.9528795811518322</v>
      </c>
      <c r="AC503" s="9">
        <f t="shared" si="79"/>
        <v>2.329842931937173</v>
      </c>
      <c r="AD503" s="9">
        <f t="shared" si="80"/>
        <v>6.2177586481747174</v>
      </c>
      <c r="AE503" s="9">
        <f t="shared" si="81"/>
        <v>8.1123226526382926</v>
      </c>
      <c r="AF503" s="9">
        <f t="shared" si="82"/>
        <v>4.8568215529696852</v>
      </c>
      <c r="AG503" s="9">
        <f t="shared" si="74"/>
        <v>3.1597135281785587</v>
      </c>
      <c r="AH503" s="9">
        <f t="shared" si="83"/>
        <v>0.97180799917509875</v>
      </c>
      <c r="AI503" s="9">
        <f t="shared" si="75"/>
        <v>3.9309781760916351</v>
      </c>
      <c r="AJ503" s="9">
        <f>(4*PI()*(AI503^2))/(Y503+E503)</f>
        <v>0.85775544145886307</v>
      </c>
      <c r="AK503" s="12">
        <f t="shared" si="76"/>
        <v>0.75643564356435644</v>
      </c>
      <c r="AL503" s="12" t="s">
        <v>140</v>
      </c>
      <c r="AM503" s="12" t="s">
        <v>142</v>
      </c>
      <c r="AN503" s="18">
        <v>6.0746000000000002</v>
      </c>
      <c r="AO503" s="18">
        <v>0.40075</v>
      </c>
      <c r="AP503" s="18">
        <v>6629.6</v>
      </c>
      <c r="AQ503" s="18">
        <v>6259.8</v>
      </c>
      <c r="AR503" s="18">
        <v>3.2961</v>
      </c>
      <c r="AS503" s="18">
        <v>5.6081999999999998E-3</v>
      </c>
      <c r="AT503" s="18">
        <v>0.72690999999999995</v>
      </c>
      <c r="AU503" s="18">
        <v>0.55323999999999995</v>
      </c>
      <c r="AV503" s="18">
        <v>0.15248999999999999</v>
      </c>
      <c r="AW503" s="18">
        <v>5.1387000000000004E-3</v>
      </c>
      <c r="AX503" s="18">
        <v>0.26171</v>
      </c>
      <c r="AY503" s="18">
        <v>-53.49</v>
      </c>
      <c r="AZ503" s="18">
        <v>-4096</v>
      </c>
      <c r="BA503" s="18">
        <v>0.16780999999999999</v>
      </c>
      <c r="BB503" s="18">
        <v>14.676</v>
      </c>
      <c r="BC503" s="18" t="s">
        <v>162</v>
      </c>
      <c r="BD503" s="35" t="s">
        <v>165</v>
      </c>
      <c r="BE503" t="s">
        <v>168</v>
      </c>
    </row>
    <row r="504" spans="1:57" x14ac:dyDescent="0.25">
      <c r="A504" s="18" t="s">
        <v>574</v>
      </c>
      <c r="B504" s="18" t="s">
        <v>40</v>
      </c>
      <c r="C504" s="18" t="s">
        <v>6</v>
      </c>
      <c r="D504" s="18">
        <v>75</v>
      </c>
      <c r="E504" s="18">
        <v>30.995999999999999</v>
      </c>
      <c r="F504" s="18">
        <v>20.151</v>
      </c>
      <c r="G504" s="15">
        <v>8.89</v>
      </c>
      <c r="H504" s="15">
        <v>7.15</v>
      </c>
      <c r="I504" s="15">
        <v>3.78</v>
      </c>
      <c r="J504" s="15">
        <v>19.71</v>
      </c>
      <c r="K504" s="15">
        <v>47.87</v>
      </c>
      <c r="L504" s="15">
        <v>34.6</v>
      </c>
      <c r="M504" s="15">
        <v>7.85</v>
      </c>
      <c r="N504" s="15">
        <v>2</v>
      </c>
      <c r="O504" s="15">
        <v>4.04</v>
      </c>
      <c r="P504" s="9">
        <v>1.14873</v>
      </c>
      <c r="Q504" s="9">
        <v>1.13442</v>
      </c>
      <c r="R504" s="9">
        <v>3.5714299999999997E-2</v>
      </c>
      <c r="S504" s="9">
        <v>0.115795</v>
      </c>
      <c r="T504" s="9">
        <v>0.14358299999999999</v>
      </c>
      <c r="U504" s="9">
        <v>6.4239599999999994E-2</v>
      </c>
      <c r="V504" s="9">
        <v>7.0106099999999998</v>
      </c>
      <c r="W504" s="9">
        <v>6.1799299999999997</v>
      </c>
      <c r="X504" s="9">
        <v>7.0990700000000002</v>
      </c>
      <c r="Y504" s="9">
        <v>141.25700000000001</v>
      </c>
      <c r="Z504" s="9">
        <v>176.941</v>
      </c>
      <c r="AA504" s="9">
        <f t="shared" si="77"/>
        <v>1.6349021164021165</v>
      </c>
      <c r="AB504" s="9">
        <f t="shared" si="78"/>
        <v>2.3518518518518521</v>
      </c>
      <c r="AC504" s="9">
        <f t="shared" si="79"/>
        <v>1.8915343915343916</v>
      </c>
      <c r="AD504" s="9">
        <f t="shared" si="80"/>
        <v>4.5572654536069175</v>
      </c>
      <c r="AE504" s="9">
        <f t="shared" si="81"/>
        <v>5.7085107755839468</v>
      </c>
      <c r="AF504" s="9">
        <f t="shared" si="82"/>
        <v>4.4818535388214205</v>
      </c>
      <c r="AG504" s="9">
        <f t="shared" si="74"/>
        <v>3.1410719877380679</v>
      </c>
      <c r="AH504" s="9">
        <f t="shared" si="83"/>
        <v>0.97940238013742276</v>
      </c>
      <c r="AI504" s="9">
        <f t="shared" si="75"/>
        <v>3.4826777343359936</v>
      </c>
      <c r="AJ504" s="9">
        <f>(4*PI()*(AI504^2))/(Y504+E504)</f>
        <v>0.88484998595508912</v>
      </c>
      <c r="AK504" s="12">
        <f t="shared" si="76"/>
        <v>0.93564356435643559</v>
      </c>
      <c r="AL504" s="12" t="s">
        <v>144</v>
      </c>
      <c r="AM504" s="12" t="s">
        <v>142</v>
      </c>
      <c r="AN504" s="18">
        <v>0.14154</v>
      </c>
      <c r="AO504" s="18">
        <v>7.4286000000000005E-2</v>
      </c>
      <c r="AP504" s="18">
        <v>184.41</v>
      </c>
      <c r="AQ504" s="18">
        <v>157.54</v>
      </c>
      <c r="AR504" s="18">
        <v>0.24994</v>
      </c>
      <c r="AS504" s="18">
        <v>6.1676000000000002E-2</v>
      </c>
      <c r="AT504" s="18">
        <v>0.56503000000000003</v>
      </c>
      <c r="AU504" s="18">
        <v>8.8598999999999997</v>
      </c>
      <c r="AV504" s="18">
        <v>0.78664999999999996</v>
      </c>
      <c r="AW504" s="18">
        <v>3.6678000000000002E-2</v>
      </c>
      <c r="AX504" s="18">
        <v>1.0585000000000001E-2</v>
      </c>
      <c r="AY504" s="18">
        <v>94.516000000000005</v>
      </c>
      <c r="AZ504" s="18">
        <v>15.643000000000001</v>
      </c>
      <c r="BA504" s="18">
        <v>0.70098000000000005</v>
      </c>
      <c r="BB504" s="18">
        <v>27.742000000000001</v>
      </c>
      <c r="BC504" s="18" t="s">
        <v>162</v>
      </c>
      <c r="BD504" s="35" t="s">
        <v>163</v>
      </c>
      <c r="BE504" t="s">
        <v>168</v>
      </c>
    </row>
    <row r="505" spans="1:57" x14ac:dyDescent="0.25">
      <c r="A505" s="18" t="s">
        <v>575</v>
      </c>
      <c r="B505" s="18" t="s">
        <v>13</v>
      </c>
      <c r="C505" s="18" t="s">
        <v>6</v>
      </c>
      <c r="D505" s="18">
        <v>72</v>
      </c>
      <c r="E505" s="18">
        <v>4.9596999999999998</v>
      </c>
      <c r="F505" s="18">
        <v>8.0390999999999995</v>
      </c>
      <c r="G505" s="15">
        <v>6.2</v>
      </c>
      <c r="H505" s="15">
        <v>3.12</v>
      </c>
      <c r="I505" s="15">
        <v>1.38</v>
      </c>
      <c r="J505" s="15">
        <v>28.63</v>
      </c>
      <c r="K505" s="15">
        <v>18.29</v>
      </c>
      <c r="L505" s="15">
        <v>51.14</v>
      </c>
      <c r="M505" s="15">
        <v>3.75</v>
      </c>
      <c r="N505" s="15">
        <v>2</v>
      </c>
      <c r="O505" s="15">
        <v>2.95</v>
      </c>
      <c r="P505" s="9">
        <v>1.26692</v>
      </c>
      <c r="Q505" s="9">
        <v>2.39262</v>
      </c>
      <c r="R505" s="9">
        <v>0.112903</v>
      </c>
      <c r="S505" s="9">
        <v>0.21634500000000001</v>
      </c>
      <c r="T505" s="9">
        <v>0.23530699999999999</v>
      </c>
      <c r="U505" s="9">
        <v>6.3909900000000006E-2</v>
      </c>
      <c r="V505" s="9">
        <v>5.9573700000000001</v>
      </c>
      <c r="W505" s="9">
        <v>2.4899</v>
      </c>
      <c r="X505" s="9">
        <v>3.1545100000000001</v>
      </c>
      <c r="Y505" s="9">
        <v>48.957799999999999</v>
      </c>
      <c r="Z505" s="9">
        <v>30.461600000000001</v>
      </c>
      <c r="AA505" s="9">
        <f t="shared" si="77"/>
        <v>1.8042753623188408</v>
      </c>
      <c r="AB505" s="9">
        <f t="shared" si="78"/>
        <v>4.4927536231884062</v>
      </c>
      <c r="AC505" s="9">
        <f t="shared" si="79"/>
        <v>2.2608695652173916</v>
      </c>
      <c r="AD505" s="9">
        <f t="shared" si="80"/>
        <v>9.8711212371716037</v>
      </c>
      <c r="AE505" s="9">
        <f t="shared" si="81"/>
        <v>6.1418230941387586</v>
      </c>
      <c r="AF505" s="9">
        <f t="shared" si="82"/>
        <v>5.0194186483305421</v>
      </c>
      <c r="AG505" s="9">
        <f t="shared" si="74"/>
        <v>1.2564718629980325</v>
      </c>
      <c r="AH505" s="9">
        <f t="shared" si="83"/>
        <v>0.98203101696381434</v>
      </c>
      <c r="AI505" s="9">
        <f t="shared" si="75"/>
        <v>1.9374092424929132</v>
      </c>
      <c r="AJ505" s="9">
        <f>(4*PI()*(AI505^2))/(Y505+E505)</f>
        <v>0.87482835599287623</v>
      </c>
      <c r="AK505" s="12">
        <f t="shared" si="76"/>
        <v>0.46779661016949148</v>
      </c>
      <c r="AL505" s="12" t="s">
        <v>140</v>
      </c>
      <c r="AM505" s="12" t="s">
        <v>142</v>
      </c>
      <c r="AN505" s="18">
        <v>2.7955000000000001</v>
      </c>
      <c r="AO505" s="18">
        <v>0.23207</v>
      </c>
      <c r="AP505" s="18">
        <v>7822.5</v>
      </c>
      <c r="AQ505" s="18">
        <v>7077.5</v>
      </c>
      <c r="AR505" s="18">
        <v>1.2736000000000001</v>
      </c>
      <c r="AS505" s="18">
        <v>1.3885E-2</v>
      </c>
      <c r="AT505" s="18">
        <v>0.72211999999999998</v>
      </c>
      <c r="AU505" s="18">
        <v>3.6699000000000002</v>
      </c>
      <c r="AV505" s="18">
        <v>0.40455999999999998</v>
      </c>
      <c r="AW505" s="18">
        <v>1.3096999999999999E-2</v>
      </c>
      <c r="AX505" s="18">
        <v>0.10065</v>
      </c>
      <c r="AY505" s="18">
        <v>-46.965000000000003</v>
      </c>
      <c r="AZ505" s="18">
        <v>-1192.9000000000001</v>
      </c>
      <c r="BA505" s="18">
        <v>0.21174000000000001</v>
      </c>
      <c r="BB505" s="18">
        <v>60.088999999999999</v>
      </c>
      <c r="BC505" s="18" t="s">
        <v>162</v>
      </c>
      <c r="BD505" s="35" t="s">
        <v>163</v>
      </c>
      <c r="BE505" t="s">
        <v>168</v>
      </c>
    </row>
    <row r="506" spans="1:57" x14ac:dyDescent="0.25">
      <c r="A506" s="18" t="s">
        <v>576</v>
      </c>
      <c r="B506" s="18" t="s">
        <v>5</v>
      </c>
      <c r="C506" s="18" t="s">
        <v>14</v>
      </c>
      <c r="D506" s="18">
        <v>57</v>
      </c>
      <c r="E506" s="18">
        <v>12.974</v>
      </c>
      <c r="F506" s="18">
        <v>13.061999999999999</v>
      </c>
      <c r="G506" s="15">
        <v>10.32</v>
      </c>
      <c r="H506" s="15">
        <v>8.6999999999999993</v>
      </c>
      <c r="I506" s="15">
        <v>3.54</v>
      </c>
      <c r="J506" s="15">
        <v>119.46</v>
      </c>
      <c r="K506" s="15">
        <v>26.62</v>
      </c>
      <c r="L506" s="15">
        <v>19.84</v>
      </c>
      <c r="M506" s="15">
        <v>7.5</v>
      </c>
      <c r="N506" s="15">
        <v>1</v>
      </c>
      <c r="O506" s="15">
        <v>3.88</v>
      </c>
      <c r="P506" s="9">
        <v>2.2101099999999998</v>
      </c>
      <c r="Q506" s="9">
        <v>2.0442100000000001</v>
      </c>
      <c r="R506" s="9">
        <v>0.40751399999999999</v>
      </c>
      <c r="S506" s="9">
        <v>0.23372200000000001</v>
      </c>
      <c r="T506" s="9">
        <v>0.33790799999999999</v>
      </c>
      <c r="U506" s="9">
        <v>0.296319</v>
      </c>
      <c r="V506" s="9">
        <v>8.0525800000000007</v>
      </c>
      <c r="W506" s="9">
        <v>3.9392100000000001</v>
      </c>
      <c r="X506" s="9">
        <v>8.70608</v>
      </c>
      <c r="Y506" s="9">
        <v>169.672</v>
      </c>
      <c r="Z506" s="9">
        <v>158.33699999999999</v>
      </c>
      <c r="AA506" s="9">
        <f t="shared" si="77"/>
        <v>1.112771186440678</v>
      </c>
      <c r="AB506" s="9">
        <f t="shared" si="78"/>
        <v>2.9152542372881358</v>
      </c>
      <c r="AC506" s="9">
        <f t="shared" si="79"/>
        <v>2.4576271186440675</v>
      </c>
      <c r="AD506" s="9">
        <f t="shared" si="80"/>
        <v>13.077848003699707</v>
      </c>
      <c r="AE506" s="9">
        <f t="shared" si="81"/>
        <v>12.204177585941112</v>
      </c>
      <c r="AF506" s="9">
        <f t="shared" si="82"/>
        <v>5.7972483326834219</v>
      </c>
      <c r="AG506" s="9">
        <f t="shared" si="74"/>
        <v>2.0321792399659291</v>
      </c>
      <c r="AH506" s="9">
        <f t="shared" si="83"/>
        <v>0.9775347375677006</v>
      </c>
      <c r="AI506" s="9">
        <f t="shared" si="75"/>
        <v>3.3560719857158436</v>
      </c>
      <c r="AJ506" s="9">
        <f>(4*PI()*(AI506^2))/(Y506+E506)</f>
        <v>0.77492957109670058</v>
      </c>
      <c r="AK506" s="12">
        <f t="shared" si="76"/>
        <v>0.91237113402061865</v>
      </c>
      <c r="AL506" s="12" t="s">
        <v>140</v>
      </c>
      <c r="AM506" s="12" t="s">
        <v>143</v>
      </c>
      <c r="AN506" s="18">
        <v>5.9253</v>
      </c>
      <c r="AO506" s="18">
        <v>0.58248999999999995</v>
      </c>
      <c r="AP506" s="18">
        <v>16432</v>
      </c>
      <c r="AQ506" s="18">
        <v>14752</v>
      </c>
      <c r="AR506" s="18">
        <v>3.0672000000000001</v>
      </c>
      <c r="AS506" s="18">
        <v>1.0458E-2</v>
      </c>
      <c r="AT506" s="18">
        <v>0.74355000000000004</v>
      </c>
      <c r="AU506" s="18">
        <v>0.80430000000000001</v>
      </c>
      <c r="AV506" s="18">
        <v>0.18063000000000001</v>
      </c>
      <c r="AW506" s="18">
        <v>6.9795999999999999E-3</v>
      </c>
      <c r="AX506" s="18">
        <v>0.22017</v>
      </c>
      <c r="AY506" s="18">
        <v>0.99395</v>
      </c>
      <c r="AZ506" s="18">
        <v>-1033</v>
      </c>
      <c r="BA506" s="18">
        <v>0.10843</v>
      </c>
      <c r="BB506" s="18">
        <v>18.911000000000001</v>
      </c>
      <c r="BC506" s="18" t="s">
        <v>162</v>
      </c>
      <c r="BD506" s="35" t="s">
        <v>165</v>
      </c>
      <c r="BE506" t="s">
        <v>168</v>
      </c>
    </row>
    <row r="507" spans="1:57" x14ac:dyDescent="0.25">
      <c r="A507" s="18" t="s">
        <v>577</v>
      </c>
      <c r="B507" s="18" t="s">
        <v>5</v>
      </c>
      <c r="C507" s="18" t="s">
        <v>14</v>
      </c>
      <c r="D507" s="18">
        <v>57</v>
      </c>
      <c r="E507" s="18">
        <v>13.852</v>
      </c>
      <c r="F507" s="18">
        <v>13.36</v>
      </c>
      <c r="G507" s="15">
        <v>7.29</v>
      </c>
      <c r="H507" s="15">
        <v>5.45</v>
      </c>
      <c r="I507" s="15">
        <v>3.88</v>
      </c>
      <c r="J507" s="15">
        <v>54.21</v>
      </c>
      <c r="K507" s="15">
        <v>38.26</v>
      </c>
      <c r="L507" s="15">
        <v>29.76</v>
      </c>
      <c r="M507" s="15">
        <v>5.75</v>
      </c>
      <c r="N507" s="15">
        <v>1</v>
      </c>
      <c r="O507" s="15">
        <v>4.41</v>
      </c>
      <c r="P507" s="9">
        <v>1.3115600000000001</v>
      </c>
      <c r="Q507" s="9">
        <v>1.4229000000000001</v>
      </c>
      <c r="R507" s="9">
        <v>-6.4814800000000006E-2</v>
      </c>
      <c r="S507" s="9">
        <v>0.14216999999999999</v>
      </c>
      <c r="T507" s="9">
        <v>0.156643</v>
      </c>
      <c r="U507" s="9">
        <v>2.8427500000000001E-2</v>
      </c>
      <c r="V507" s="9">
        <v>5.9316399999999998</v>
      </c>
      <c r="W507" s="9">
        <v>4.1686899999999998</v>
      </c>
      <c r="X507" s="9">
        <v>5.4674899999999997</v>
      </c>
      <c r="Y507" s="9">
        <v>91.942899999999995</v>
      </c>
      <c r="Z507" s="9">
        <v>90.799499999999995</v>
      </c>
      <c r="AA507" s="9">
        <f t="shared" si="77"/>
        <v>1.0744046391752577</v>
      </c>
      <c r="AB507" s="9">
        <f t="shared" si="78"/>
        <v>1.8788659793814433</v>
      </c>
      <c r="AC507" s="9">
        <f t="shared" si="79"/>
        <v>1.4046391752577321</v>
      </c>
      <c r="AD507" s="9">
        <f t="shared" si="80"/>
        <v>6.6375180479353153</v>
      </c>
      <c r="AE507" s="9">
        <f t="shared" si="81"/>
        <v>6.5549740109731438</v>
      </c>
      <c r="AF507" s="9">
        <f t="shared" si="82"/>
        <v>4.5512346427152348</v>
      </c>
      <c r="AG507" s="9">
        <f t="shared" si="74"/>
        <v>2.0998163118277438</v>
      </c>
      <c r="AH507" s="9">
        <f t="shared" si="83"/>
        <v>0.98754004477934942</v>
      </c>
      <c r="AI507" s="9">
        <f t="shared" si="75"/>
        <v>2.7882493903077967</v>
      </c>
      <c r="AJ507" s="9">
        <f>(4*PI()*(AI507^2))/(Y507+E507)</f>
        <v>0.92343932126865169</v>
      </c>
      <c r="AK507" s="12">
        <f t="shared" si="76"/>
        <v>0.87981859410430829</v>
      </c>
      <c r="AL507" s="12" t="s">
        <v>144</v>
      </c>
      <c r="AM507" s="12" t="s">
        <v>143</v>
      </c>
      <c r="AN507" s="18">
        <v>7.4988000000000001</v>
      </c>
      <c r="AO507" s="18">
        <v>0.76402000000000003</v>
      </c>
      <c r="AP507" s="18">
        <v>9323.1</v>
      </c>
      <c r="AQ507" s="18">
        <v>8689.7000000000007</v>
      </c>
      <c r="AR507" s="18">
        <v>3.6280000000000001</v>
      </c>
      <c r="AS507" s="18">
        <v>4.0131999999999998E-3</v>
      </c>
      <c r="AT507" s="18">
        <v>0.75346000000000002</v>
      </c>
      <c r="AU507" s="18">
        <v>0.41367999999999999</v>
      </c>
      <c r="AV507" s="18">
        <v>4.8123000000000003E-3</v>
      </c>
      <c r="AW507" s="18">
        <v>3.0006999999999998E-3</v>
      </c>
      <c r="AX507" s="18">
        <v>0.2707</v>
      </c>
      <c r="AY507" s="18">
        <v>1.7094</v>
      </c>
      <c r="AZ507" s="18">
        <v>1663.2</v>
      </c>
      <c r="BA507" s="18">
        <v>3.9578000000000002E-2</v>
      </c>
      <c r="BB507" s="18">
        <v>6.3192000000000004</v>
      </c>
      <c r="BC507" s="18" t="s">
        <v>162</v>
      </c>
      <c r="BD507" s="35" t="s">
        <v>163</v>
      </c>
      <c r="BE507" t="s">
        <v>167</v>
      </c>
    </row>
    <row r="508" spans="1:57" x14ac:dyDescent="0.25">
      <c r="A508" s="18" t="s">
        <v>578</v>
      </c>
      <c r="B508" s="18" t="s">
        <v>178</v>
      </c>
      <c r="C508" s="18" t="s">
        <v>6</v>
      </c>
      <c r="D508" s="18">
        <v>52</v>
      </c>
      <c r="E508" s="18">
        <v>7.7378999999999998</v>
      </c>
      <c r="F508" s="18">
        <v>10.077999999999999</v>
      </c>
      <c r="G508" s="15">
        <v>5.87</v>
      </c>
      <c r="H508" s="15">
        <v>4.1500000000000004</v>
      </c>
      <c r="I508" s="15">
        <v>2.5099999999999998</v>
      </c>
      <c r="J508" s="15">
        <v>39.65</v>
      </c>
      <c r="K508" s="15">
        <v>40.69</v>
      </c>
      <c r="L508" s="15">
        <v>48.79</v>
      </c>
      <c r="M508" s="15">
        <v>4.5999999999999996</v>
      </c>
      <c r="N508" s="15">
        <v>2</v>
      </c>
      <c r="O508" s="15">
        <v>3.02</v>
      </c>
      <c r="P508" s="9">
        <v>1.3645499999999999</v>
      </c>
      <c r="Q508" s="9">
        <v>1.45747</v>
      </c>
      <c r="R508" s="9">
        <v>-2.43903E-2</v>
      </c>
      <c r="S508" s="9">
        <v>0.14871699999999999</v>
      </c>
      <c r="T508" s="9">
        <v>0.182201</v>
      </c>
      <c r="U508" s="9">
        <v>8.1753300000000001E-2</v>
      </c>
      <c r="V508" s="9">
        <v>4.4398200000000001</v>
      </c>
      <c r="W508" s="9">
        <v>3.0462400000000001</v>
      </c>
      <c r="X508" s="9">
        <v>4.1567499999999997</v>
      </c>
      <c r="Y508" s="9">
        <v>49.604599999999998</v>
      </c>
      <c r="Z508" s="9">
        <v>34.359099999999998</v>
      </c>
      <c r="AA508" s="9">
        <f t="shared" si="77"/>
        <v>1.2136414342629482</v>
      </c>
      <c r="AB508" s="9">
        <f t="shared" si="78"/>
        <v>2.3386454183266934</v>
      </c>
      <c r="AC508" s="9">
        <f t="shared" si="79"/>
        <v>1.6533864541832672</v>
      </c>
      <c r="AD508" s="9">
        <f t="shared" si="80"/>
        <v>6.4106023598133861</v>
      </c>
      <c r="AE508" s="9">
        <f t="shared" si="81"/>
        <v>4.4403649569004511</v>
      </c>
      <c r="AF508" s="9">
        <f t="shared" si="82"/>
        <v>4.693470569756288</v>
      </c>
      <c r="AG508" s="9">
        <f t="shared" si="74"/>
        <v>1.5694107391953049</v>
      </c>
      <c r="AH508" s="9">
        <f t="shared" si="83"/>
        <v>0.97845787829349018</v>
      </c>
      <c r="AI508" s="9">
        <f t="shared" si="75"/>
        <v>2.0167453149063044</v>
      </c>
      <c r="AJ508" s="9">
        <f>(4*PI()*(AI508^2))/(Y508+E508)</f>
        <v>0.89132349427449475</v>
      </c>
      <c r="AK508" s="12">
        <f t="shared" si="76"/>
        <v>0.83112582781456945</v>
      </c>
      <c r="AL508" s="12" t="s">
        <v>140</v>
      </c>
      <c r="AM508" s="12" t="s">
        <v>142</v>
      </c>
      <c r="AN508" s="18">
        <v>2.7164000000000001</v>
      </c>
      <c r="AO508" s="18">
        <v>0.41232000000000002</v>
      </c>
      <c r="AP508" s="18">
        <v>4731.2</v>
      </c>
      <c r="AQ508" s="18">
        <v>4211.3999999999996</v>
      </c>
      <c r="AR508" s="18">
        <v>1.5122</v>
      </c>
      <c r="AS508" s="18">
        <v>1.5216E-2</v>
      </c>
      <c r="AT508" s="18">
        <v>0.73092999999999997</v>
      </c>
      <c r="AU508" s="18">
        <v>1.4573</v>
      </c>
      <c r="AV508" s="18">
        <v>0.16816999999999999</v>
      </c>
      <c r="AW508" s="18">
        <v>9.0775999999999999E-3</v>
      </c>
      <c r="AX508" s="18">
        <v>0.15032999999999999</v>
      </c>
      <c r="AY508" s="18">
        <v>-4.9728000000000003</v>
      </c>
      <c r="AZ508" s="18">
        <v>-613.29999999999995</v>
      </c>
      <c r="BA508" s="18">
        <v>8.7180999999999995E-2</v>
      </c>
      <c r="BB508" s="18">
        <v>6.9683000000000002</v>
      </c>
      <c r="BC508" s="18" t="s">
        <v>162</v>
      </c>
      <c r="BD508" s="35" t="s">
        <v>163</v>
      </c>
      <c r="BE508" t="s">
        <v>168</v>
      </c>
    </row>
    <row r="509" spans="1:57" x14ac:dyDescent="0.25">
      <c r="A509" s="18" t="s">
        <v>579</v>
      </c>
      <c r="B509" s="18" t="s">
        <v>13</v>
      </c>
      <c r="C509" s="18" t="s">
        <v>14</v>
      </c>
      <c r="D509" s="18">
        <v>35</v>
      </c>
      <c r="E509" s="18">
        <v>26.152999999999999</v>
      </c>
      <c r="F509" s="18">
        <v>19.379000000000001</v>
      </c>
      <c r="G509" s="15">
        <v>10.35</v>
      </c>
      <c r="H509" s="15">
        <v>7.75</v>
      </c>
      <c r="I509" s="15">
        <v>2.1800000000000002</v>
      </c>
      <c r="J509" s="15">
        <v>39.04</v>
      </c>
      <c r="K509" s="15">
        <v>23.53</v>
      </c>
      <c r="L509" s="15">
        <v>59.96</v>
      </c>
      <c r="M509" s="15">
        <v>10.3</v>
      </c>
      <c r="N509" s="15">
        <v>2</v>
      </c>
      <c r="O509" s="15">
        <v>3.1399999999999997</v>
      </c>
      <c r="P509" s="9">
        <v>1.3985799999999999</v>
      </c>
      <c r="Q509" s="9">
        <v>1.79983</v>
      </c>
      <c r="R509" s="9">
        <v>0.214286</v>
      </c>
      <c r="S509" s="9">
        <v>0.151888</v>
      </c>
      <c r="T509" s="9">
        <v>0.18223400000000001</v>
      </c>
      <c r="U509" s="9">
        <v>6.6670400000000005E-2</v>
      </c>
      <c r="V509" s="9">
        <v>10.022600000000001</v>
      </c>
      <c r="W509" s="9">
        <v>5.5686099999999996</v>
      </c>
      <c r="X509" s="9">
        <v>7.78817</v>
      </c>
      <c r="Y509" s="9">
        <v>192.15100000000001</v>
      </c>
      <c r="Z509" s="9">
        <v>261.93599999999998</v>
      </c>
      <c r="AA509" s="9">
        <f t="shared" si="77"/>
        <v>2.5544082568807336</v>
      </c>
      <c r="AB509" s="9">
        <f t="shared" si="78"/>
        <v>4.7477064220183482</v>
      </c>
      <c r="AC509" s="9">
        <f t="shared" si="79"/>
        <v>3.5550458715596327</v>
      </c>
      <c r="AD509" s="9">
        <f t="shared" si="80"/>
        <v>7.3471877031315724</v>
      </c>
      <c r="AE509" s="9">
        <f t="shared" si="81"/>
        <v>10.015524031659847</v>
      </c>
      <c r="AF509" s="9">
        <f t="shared" si="82"/>
        <v>4.6936696686887389</v>
      </c>
      <c r="AG509" s="9">
        <f t="shared" si="74"/>
        <v>2.8852657509083417</v>
      </c>
      <c r="AH509" s="9">
        <f t="shared" si="83"/>
        <v>0.93547961057927487</v>
      </c>
      <c r="AI509" s="9">
        <f t="shared" si="75"/>
        <v>3.9691927914590157</v>
      </c>
      <c r="AJ509" s="9">
        <f>(4*PI()*(AI509^2))/(Y509+E509)</f>
        <v>0.90688570970439686</v>
      </c>
      <c r="AK509" s="12">
        <f t="shared" si="76"/>
        <v>0.69426751592356695</v>
      </c>
      <c r="AL509" s="12" t="s">
        <v>140</v>
      </c>
      <c r="AM509" s="12" t="s">
        <v>142</v>
      </c>
      <c r="AN509" s="18">
        <v>1.6503000000000001</v>
      </c>
      <c r="AO509" s="18">
        <v>0.29313</v>
      </c>
      <c r="AP509" s="18">
        <v>3382.4</v>
      </c>
      <c r="AQ509" s="18">
        <v>3024.4</v>
      </c>
      <c r="AR509" s="18">
        <v>1.0496000000000001</v>
      </c>
      <c r="AS509" s="18">
        <v>3.5110000000000002E-2</v>
      </c>
      <c r="AT509" s="18">
        <v>0.62848000000000004</v>
      </c>
      <c r="AU509" s="18">
        <v>2.7978000000000001</v>
      </c>
      <c r="AV509" s="18">
        <v>0.42814000000000002</v>
      </c>
      <c r="AW509" s="18">
        <v>3.0696999999999999E-2</v>
      </c>
      <c r="AX509" s="18">
        <v>9.2851000000000003E-2</v>
      </c>
      <c r="AY509" s="18">
        <v>-54.893999999999998</v>
      </c>
      <c r="AZ509" s="18">
        <v>-261.16000000000003</v>
      </c>
      <c r="BA509" s="18">
        <v>0.63744000000000001</v>
      </c>
      <c r="BB509" s="18">
        <v>12.2</v>
      </c>
      <c r="BC509" s="18" t="s">
        <v>162</v>
      </c>
      <c r="BD509" s="35" t="s">
        <v>165</v>
      </c>
      <c r="BE509" t="s">
        <v>168</v>
      </c>
    </row>
    <row r="510" spans="1:57" x14ac:dyDescent="0.25">
      <c r="A510" s="18" t="s">
        <v>580</v>
      </c>
      <c r="B510" s="18" t="s">
        <v>13</v>
      </c>
      <c r="C510" s="18" t="s">
        <v>14</v>
      </c>
      <c r="D510" s="18">
        <v>49</v>
      </c>
      <c r="E510" s="18">
        <v>26.103999999999999</v>
      </c>
      <c r="F510" s="18">
        <v>18.417000000000002</v>
      </c>
      <c r="G510" s="15">
        <v>6.61</v>
      </c>
      <c r="H510" s="15">
        <v>4.55</v>
      </c>
      <c r="I510" s="15">
        <v>2.34</v>
      </c>
      <c r="J510" s="15">
        <v>100.71</v>
      </c>
      <c r="K510" s="15">
        <v>28.95</v>
      </c>
      <c r="L510" s="15">
        <v>53.08</v>
      </c>
      <c r="M510" s="15">
        <v>6.15</v>
      </c>
      <c r="N510" s="15">
        <v>2</v>
      </c>
      <c r="O510" s="15">
        <v>4.41</v>
      </c>
      <c r="P510" s="9">
        <v>0.79474800000000001</v>
      </c>
      <c r="Q510" s="9">
        <v>1.07141</v>
      </c>
      <c r="R510" s="9">
        <v>0.48876399999999998</v>
      </c>
      <c r="S510" s="9">
        <v>4.9370499999999998E-2</v>
      </c>
      <c r="T510" s="9">
        <v>6.04185E-2</v>
      </c>
      <c r="U510" s="9">
        <v>2.08098E-2</v>
      </c>
      <c r="V510" s="9">
        <v>6.1104500000000002</v>
      </c>
      <c r="W510" s="9">
        <v>5.7031999999999998</v>
      </c>
      <c r="X510" s="9">
        <v>4.53261</v>
      </c>
      <c r="Y510" s="9">
        <v>78.256799999999998</v>
      </c>
      <c r="Z510" s="9">
        <v>83.844300000000004</v>
      </c>
      <c r="AA510" s="9">
        <f t="shared" si="77"/>
        <v>2.4372649572649574</v>
      </c>
      <c r="AB510" s="9">
        <f t="shared" si="78"/>
        <v>2.824786324786325</v>
      </c>
      <c r="AC510" s="9">
        <f t="shared" si="79"/>
        <v>1.9444444444444444</v>
      </c>
      <c r="AD510" s="9">
        <f t="shared" si="80"/>
        <v>2.99788538155072</v>
      </c>
      <c r="AE510" s="9">
        <f t="shared" si="81"/>
        <v>3.2119330370824399</v>
      </c>
      <c r="AF510" s="9">
        <f t="shared" si="82"/>
        <v>4.0851347800204749</v>
      </c>
      <c r="AG510" s="9">
        <f t="shared" si="74"/>
        <v>2.8825615811187228</v>
      </c>
      <c r="AH510" s="9">
        <f t="shared" si="83"/>
        <v>0.98342121808793592</v>
      </c>
      <c r="AI510" s="9">
        <f t="shared" si="75"/>
        <v>2.7151571930651799</v>
      </c>
      <c r="AJ510" s="9">
        <f>(4*PI()*(AI510^2))/(Y510+E510)</f>
        <v>0.88769223379689699</v>
      </c>
      <c r="AK510" s="12">
        <f t="shared" si="76"/>
        <v>0.53061224489795911</v>
      </c>
      <c r="AL510" s="12" t="s">
        <v>144</v>
      </c>
      <c r="AM510" s="12" t="s">
        <v>142</v>
      </c>
      <c r="AN510" s="18">
        <v>3.3285</v>
      </c>
      <c r="AO510" s="18">
        <v>0.51554999999999995</v>
      </c>
      <c r="AP510" s="18">
        <v>3535.9</v>
      </c>
      <c r="AQ510" s="18">
        <v>3234.4</v>
      </c>
      <c r="AR510" s="18">
        <v>1.9817</v>
      </c>
      <c r="AS510" s="18">
        <v>3.1246999999999998E-3</v>
      </c>
      <c r="AT510" s="18">
        <v>0.73784000000000005</v>
      </c>
      <c r="AU510" s="18">
        <v>0.67122000000000004</v>
      </c>
      <c r="AV510" s="18">
        <v>7.8863000000000006E-3</v>
      </c>
      <c r="AW510" s="18">
        <v>4.9506999999999997E-3</v>
      </c>
      <c r="AX510" s="18">
        <v>0.16356000000000001</v>
      </c>
      <c r="AY510" s="18">
        <v>-3.7686000000000002</v>
      </c>
      <c r="AZ510" s="18">
        <v>-341.26</v>
      </c>
      <c r="BA510" s="18">
        <v>8.0957000000000001E-2</v>
      </c>
      <c r="BB510" s="18">
        <v>22.901</v>
      </c>
      <c r="BC510" s="18" t="s">
        <v>162</v>
      </c>
      <c r="BD510" s="35" t="s">
        <v>165</v>
      </c>
      <c r="BE510" t="s">
        <v>167</v>
      </c>
    </row>
    <row r="511" spans="1:57" x14ac:dyDescent="0.25">
      <c r="A511" s="18" t="s">
        <v>581</v>
      </c>
      <c r="B511" s="18" t="s">
        <v>5</v>
      </c>
      <c r="C511" s="18" t="s">
        <v>14</v>
      </c>
      <c r="D511" s="18">
        <v>55</v>
      </c>
      <c r="E511" s="18">
        <v>20.981000000000002</v>
      </c>
      <c r="F511" s="18">
        <v>16.550999999999998</v>
      </c>
      <c r="G511" s="15">
        <v>7.36</v>
      </c>
      <c r="H511" s="15">
        <v>4.8499999999999996</v>
      </c>
      <c r="I511" s="15">
        <v>4.21</v>
      </c>
      <c r="J511" s="15">
        <v>127.34</v>
      </c>
      <c r="K511" s="15">
        <v>12.87</v>
      </c>
      <c r="L511" s="15">
        <v>19.21</v>
      </c>
      <c r="M511" s="15">
        <v>7.15</v>
      </c>
      <c r="N511" s="15">
        <v>1</v>
      </c>
      <c r="O511" s="15">
        <v>3.1</v>
      </c>
      <c r="P511" s="9">
        <v>0.95156700000000005</v>
      </c>
      <c r="Q511" s="9">
        <v>1.40916</v>
      </c>
      <c r="R511" s="9">
        <v>0.13541700000000001</v>
      </c>
      <c r="S511" s="9">
        <v>9.9553600000000006E-2</v>
      </c>
      <c r="T511" s="9">
        <v>0.10981200000000001</v>
      </c>
      <c r="U511" s="9">
        <v>1.41663E-2</v>
      </c>
      <c r="V511" s="9">
        <v>7.1991300000000003</v>
      </c>
      <c r="W511" s="9">
        <v>5.1088199999999997</v>
      </c>
      <c r="X511" s="9">
        <v>4.8613900000000001</v>
      </c>
      <c r="Y511" s="9">
        <v>100.613</v>
      </c>
      <c r="Z511" s="9">
        <v>112.71899999999999</v>
      </c>
      <c r="AA511" s="9">
        <f t="shared" si="77"/>
        <v>1.2134964370546317</v>
      </c>
      <c r="AB511" s="9">
        <f t="shared" si="78"/>
        <v>1.7482185273159145</v>
      </c>
      <c r="AC511" s="9">
        <f t="shared" si="79"/>
        <v>1.1520190023752968</v>
      </c>
      <c r="AD511" s="9">
        <f t="shared" si="80"/>
        <v>4.795433964062723</v>
      </c>
      <c r="AE511" s="9">
        <f t="shared" si="81"/>
        <v>5.3724322005624128</v>
      </c>
      <c r="AF511" s="9">
        <f t="shared" si="82"/>
        <v>4.3117742426191601</v>
      </c>
      <c r="AG511" s="9">
        <f t="shared" si="74"/>
        <v>2.5842716037642237</v>
      </c>
      <c r="AH511" s="9">
        <f t="shared" si="83"/>
        <v>0.98105597066840655</v>
      </c>
      <c r="AI511" s="9">
        <f t="shared" si="75"/>
        <v>2.9966510423506398</v>
      </c>
      <c r="AJ511" s="9">
        <f>(4*PI()*(AI511^2))/(Y511+E511)</f>
        <v>0.92804719813163583</v>
      </c>
      <c r="AK511" s="12">
        <f t="shared" si="76"/>
        <v>1.3580645161290321</v>
      </c>
      <c r="AL511" s="12" t="s">
        <v>144</v>
      </c>
      <c r="AM511" s="12" t="s">
        <v>143</v>
      </c>
      <c r="AN511" s="18">
        <v>7.4721000000000002</v>
      </c>
      <c r="AO511" s="18">
        <v>1.0428999999999999</v>
      </c>
      <c r="AP511" s="18">
        <v>6918.1</v>
      </c>
      <c r="AQ511" s="18">
        <v>7159.8</v>
      </c>
      <c r="AR511" s="18">
        <v>4.4377000000000004</v>
      </c>
      <c r="AS511" s="18">
        <v>3.9398999999999997E-3</v>
      </c>
      <c r="AT511" s="18">
        <v>0.74275999999999998</v>
      </c>
      <c r="AU511" s="18">
        <v>0.29576000000000002</v>
      </c>
      <c r="AV511" s="19">
        <v>2.5132000000000003E-4</v>
      </c>
      <c r="AW511" s="18">
        <v>2.5901000000000001E-3</v>
      </c>
      <c r="AX511" s="18">
        <v>0.32685999999999998</v>
      </c>
      <c r="AY511" s="18">
        <v>1.4468000000000001</v>
      </c>
      <c r="AZ511" s="18">
        <v>369.22</v>
      </c>
      <c r="BA511" s="18">
        <v>4.8959000000000003E-2</v>
      </c>
      <c r="BB511" s="18">
        <v>6.8249000000000004</v>
      </c>
      <c r="BC511" s="18" t="s">
        <v>162</v>
      </c>
      <c r="BD511" s="35" t="s">
        <v>163</v>
      </c>
      <c r="BE511" t="s">
        <v>167</v>
      </c>
    </row>
    <row r="512" spans="1:57" x14ac:dyDescent="0.25">
      <c r="A512" s="18" t="s">
        <v>582</v>
      </c>
      <c r="B512" s="18" t="s">
        <v>5</v>
      </c>
      <c r="C512" s="18" t="s">
        <v>6</v>
      </c>
      <c r="D512" s="18">
        <v>36</v>
      </c>
      <c r="E512" s="18">
        <v>5.3901000000000003</v>
      </c>
      <c r="F512" s="18">
        <v>8.7356999999999996</v>
      </c>
      <c r="G512" s="15">
        <v>3.75</v>
      </c>
      <c r="H512" s="15">
        <v>1.8</v>
      </c>
      <c r="I512" s="15">
        <v>2.6</v>
      </c>
      <c r="J512" s="15">
        <v>68.180000000000007</v>
      </c>
      <c r="K512" s="15">
        <v>25.53</v>
      </c>
      <c r="L512" s="15">
        <v>52.02</v>
      </c>
      <c r="M512" s="15">
        <v>2.8</v>
      </c>
      <c r="N512" s="15">
        <v>2</v>
      </c>
      <c r="O512" s="15">
        <v>3.66</v>
      </c>
      <c r="P512" s="9">
        <v>0.73755000000000004</v>
      </c>
      <c r="Q512" s="9">
        <v>1.2526200000000001</v>
      </c>
      <c r="R512" s="9">
        <v>0.47142899999999999</v>
      </c>
      <c r="S512" s="9">
        <v>8.0133399999999994E-2</v>
      </c>
      <c r="T512" s="9">
        <v>9.7547700000000001E-2</v>
      </c>
      <c r="U512" s="9">
        <v>1.80892E-2</v>
      </c>
      <c r="V512" s="9">
        <v>3.0917599999999998</v>
      </c>
      <c r="W512" s="9">
        <v>2.4682300000000001</v>
      </c>
      <c r="X512" s="9">
        <v>1.8204400000000001</v>
      </c>
      <c r="Y512" s="9">
        <v>14.3523</v>
      </c>
      <c r="Z512" s="9">
        <v>6.1987899999999998</v>
      </c>
      <c r="AA512" s="9">
        <f t="shared" si="77"/>
        <v>0.94931923076923075</v>
      </c>
      <c r="AB512" s="9">
        <f t="shared" si="78"/>
        <v>1.4423076923076923</v>
      </c>
      <c r="AC512" s="9">
        <f t="shared" si="79"/>
        <v>0.69230769230769229</v>
      </c>
      <c r="AD512" s="9">
        <f t="shared" si="80"/>
        <v>2.6627149774586738</v>
      </c>
      <c r="AE512" s="9">
        <f t="shared" si="81"/>
        <v>1.1500324669301125</v>
      </c>
      <c r="AF512" s="9">
        <f t="shared" si="82"/>
        <v>4.2532106025476626</v>
      </c>
      <c r="AG512" s="9">
        <f t="shared" si="74"/>
        <v>1.3098557621048397</v>
      </c>
      <c r="AH512" s="9">
        <f t="shared" si="83"/>
        <v>0.94211871733022523</v>
      </c>
      <c r="AI512" s="9">
        <f t="shared" si="75"/>
        <v>1.139565881831941</v>
      </c>
      <c r="AJ512" s="9">
        <f>(4*PI()*(AI512^2))/(Y512+E512)</f>
        <v>0.82658742391704165</v>
      </c>
      <c r="AK512" s="12">
        <f t="shared" si="76"/>
        <v>0.7103825136612022</v>
      </c>
      <c r="AL512" s="12" t="s">
        <v>144</v>
      </c>
      <c r="AM512" s="12" t="s">
        <v>142</v>
      </c>
      <c r="AN512" s="18">
        <v>19.62</v>
      </c>
      <c r="AO512" s="18">
        <v>1.2279</v>
      </c>
      <c r="AP512" s="18">
        <v>45549</v>
      </c>
      <c r="AQ512" s="18">
        <v>38139</v>
      </c>
      <c r="AR512" s="18">
        <v>9.2975999999999992</v>
      </c>
      <c r="AS512" s="18">
        <v>1.8443000000000001E-3</v>
      </c>
      <c r="AT512" s="18">
        <v>0.77864999999999995</v>
      </c>
      <c r="AU512" s="18">
        <v>0.15401999999999999</v>
      </c>
      <c r="AV512" s="19">
        <v>6.0913000000000004E-4</v>
      </c>
      <c r="AW512" s="18">
        <v>1.6685000000000001E-3</v>
      </c>
      <c r="AX512" s="18">
        <v>0.43635000000000002</v>
      </c>
      <c r="AY512" s="18">
        <v>1.9314</v>
      </c>
      <c r="AZ512" s="18">
        <v>-115.47</v>
      </c>
      <c r="BA512" s="18">
        <v>1.1117999999999999E-2</v>
      </c>
      <c r="BB512" s="18">
        <v>14.911</v>
      </c>
      <c r="BC512" s="18" t="s">
        <v>162</v>
      </c>
      <c r="BD512" s="35" t="s">
        <v>163</v>
      </c>
      <c r="BE512" t="s">
        <v>167</v>
      </c>
    </row>
    <row r="513" spans="1:57" x14ac:dyDescent="0.25">
      <c r="A513" s="18" t="s">
        <v>583</v>
      </c>
      <c r="B513" s="18" t="s">
        <v>5</v>
      </c>
      <c r="C513" s="18" t="s">
        <v>6</v>
      </c>
      <c r="D513" s="18">
        <v>66</v>
      </c>
      <c r="E513" s="18">
        <v>7.5880999999999998</v>
      </c>
      <c r="F513" s="18">
        <v>9.9558</v>
      </c>
      <c r="G513" s="15">
        <v>6.79</v>
      </c>
      <c r="H513" s="15">
        <v>4.8</v>
      </c>
      <c r="I513" s="15">
        <v>3.65</v>
      </c>
      <c r="J513" s="15">
        <v>47.66</v>
      </c>
      <c r="K513" s="15">
        <v>3.2</v>
      </c>
      <c r="L513" s="15">
        <v>28.27</v>
      </c>
      <c r="M513" s="15">
        <v>5.85</v>
      </c>
      <c r="N513" s="15">
        <v>1</v>
      </c>
      <c r="O513" s="15">
        <v>3.37</v>
      </c>
      <c r="P513" s="9">
        <v>1.5953900000000001</v>
      </c>
      <c r="Q513" s="9">
        <v>2.2238199999999999</v>
      </c>
      <c r="R513" s="9">
        <v>8.3333400000000002E-2</v>
      </c>
      <c r="S513" s="9">
        <v>0.18306500000000001</v>
      </c>
      <c r="T513" s="9">
        <v>0.206847</v>
      </c>
      <c r="U513" s="9">
        <v>4.3919699999999999E-2</v>
      </c>
      <c r="V513" s="9">
        <v>6.7604899999999999</v>
      </c>
      <c r="W513" s="9">
        <v>3.0400299999999998</v>
      </c>
      <c r="X513" s="9">
        <v>4.8500399999999999</v>
      </c>
      <c r="Y513" s="9">
        <v>89.860699999999994</v>
      </c>
      <c r="Z513" s="9">
        <v>80.016300000000001</v>
      </c>
      <c r="AA513" s="9">
        <f t="shared" si="77"/>
        <v>0.83288493150684928</v>
      </c>
      <c r="AB513" s="9">
        <f t="shared" si="78"/>
        <v>1.8602739726027397</v>
      </c>
      <c r="AC513" s="9">
        <f t="shared" si="79"/>
        <v>1.3150684931506849</v>
      </c>
      <c r="AD513" s="9">
        <f t="shared" si="80"/>
        <v>11.842318894057801</v>
      </c>
      <c r="AE513" s="9">
        <f t="shared" si="81"/>
        <v>10.544971732054139</v>
      </c>
      <c r="AF513" s="9">
        <f t="shared" si="82"/>
        <v>4.8393179154003683</v>
      </c>
      <c r="AG513" s="9">
        <f t="shared" si="74"/>
        <v>1.554145182198633</v>
      </c>
      <c r="AH513" s="9">
        <f t="shared" si="83"/>
        <v>0.98083350147797188</v>
      </c>
      <c r="AI513" s="9">
        <f t="shared" si="75"/>
        <v>2.6731907646928481</v>
      </c>
      <c r="AJ513" s="9">
        <f>(4*PI()*(AI513^2))/(Y513+E513)</f>
        <v>0.92149561433082039</v>
      </c>
      <c r="AK513" s="12">
        <f t="shared" si="76"/>
        <v>1.0830860534124629</v>
      </c>
      <c r="AL513" s="12" t="s">
        <v>140</v>
      </c>
      <c r="AM513" s="12" t="s">
        <v>143</v>
      </c>
      <c r="AN513" s="18">
        <v>3.4621</v>
      </c>
      <c r="AO513" s="18">
        <v>0.37745000000000001</v>
      </c>
      <c r="AP513" s="18">
        <v>10438</v>
      </c>
      <c r="AQ513" s="18">
        <v>9809.6</v>
      </c>
      <c r="AR513" s="18">
        <v>1.9657</v>
      </c>
      <c r="AS513" s="18">
        <v>1.0916E-2</v>
      </c>
      <c r="AT513" s="18">
        <v>0.75578000000000001</v>
      </c>
      <c r="AU513" s="18">
        <v>1.2065999999999999</v>
      </c>
      <c r="AV513" s="18">
        <v>0.17494000000000001</v>
      </c>
      <c r="AW513" s="18">
        <v>7.5382000000000001E-3</v>
      </c>
      <c r="AX513" s="18">
        <v>0.13396</v>
      </c>
      <c r="AY513" s="18">
        <v>2.1206999999999998</v>
      </c>
      <c r="AZ513" s="18">
        <v>275.93</v>
      </c>
      <c r="BA513" s="18">
        <v>0.108</v>
      </c>
      <c r="BB513" s="18">
        <v>11.446999999999999</v>
      </c>
      <c r="BC513" s="18" t="s">
        <v>162</v>
      </c>
      <c r="BD513" s="35" t="s">
        <v>163</v>
      </c>
      <c r="BE513" t="s">
        <v>167</v>
      </c>
    </row>
    <row r="514" spans="1:57" x14ac:dyDescent="0.25">
      <c r="A514" s="18" t="s">
        <v>584</v>
      </c>
      <c r="B514" s="18" t="s">
        <v>5</v>
      </c>
      <c r="C514" s="18" t="s">
        <v>6</v>
      </c>
      <c r="D514" s="18">
        <v>72</v>
      </c>
      <c r="E514" s="18">
        <v>17.187999999999999</v>
      </c>
      <c r="F514" s="18">
        <v>14.93</v>
      </c>
      <c r="G514" s="15">
        <v>8.91</v>
      </c>
      <c r="H514" s="15">
        <v>6.85</v>
      </c>
      <c r="I514" s="15">
        <v>3.41</v>
      </c>
      <c r="J514" s="15">
        <v>60.37</v>
      </c>
      <c r="K514" s="15">
        <v>38.06</v>
      </c>
      <c r="L514" s="15">
        <v>34.74</v>
      </c>
      <c r="M514" s="15">
        <v>5.6</v>
      </c>
      <c r="N514" s="15">
        <v>1</v>
      </c>
      <c r="O514" s="15">
        <v>3.91</v>
      </c>
      <c r="P514" s="9">
        <v>1.4739500000000001</v>
      </c>
      <c r="Q514" s="9">
        <v>1.50149</v>
      </c>
      <c r="R514" s="9">
        <v>-0.1</v>
      </c>
      <c r="S514" s="9">
        <v>0.161772</v>
      </c>
      <c r="T514" s="9">
        <v>0.194802</v>
      </c>
      <c r="U514" s="9">
        <v>7.9831600000000003E-2</v>
      </c>
      <c r="V514" s="9">
        <v>6.9468300000000003</v>
      </c>
      <c r="W514" s="9">
        <v>4.6266299999999996</v>
      </c>
      <c r="X514" s="9">
        <v>6.8194100000000004</v>
      </c>
      <c r="Y514" s="9">
        <v>128.31899999999999</v>
      </c>
      <c r="Z514" s="9">
        <v>139.66200000000001</v>
      </c>
      <c r="AA514" s="9">
        <f t="shared" si="77"/>
        <v>1.3567829912023459</v>
      </c>
      <c r="AB514" s="9">
        <f t="shared" si="78"/>
        <v>2.6129032258064515</v>
      </c>
      <c r="AC514" s="9">
        <f t="shared" si="79"/>
        <v>2.0087976539589443</v>
      </c>
      <c r="AD514" s="9">
        <f t="shared" si="80"/>
        <v>7.4656155457295785</v>
      </c>
      <c r="AE514" s="9">
        <f t="shared" si="81"/>
        <v>8.1255527111938566</v>
      </c>
      <c r="AF514" s="9">
        <f t="shared" si="82"/>
        <v>4.7669302258158517</v>
      </c>
      <c r="AG514" s="9">
        <f t="shared" ref="AG514:AG577" si="84">SQRT(E514/PI())</f>
        <v>2.3390404707330297</v>
      </c>
      <c r="AH514" s="9">
        <f t="shared" si="83"/>
        <v>0.9843687018491758</v>
      </c>
      <c r="AI514" s="9">
        <f t="shared" ref="AI514:AI577" si="85">(3*Z514/(4*PI()))^(1/3)</f>
        <v>3.2185719042122458</v>
      </c>
      <c r="AJ514" s="9">
        <f>(4*PI()*(AI514^2))/(Y514+E514)</f>
        <v>0.89464844020725298</v>
      </c>
      <c r="AK514" s="12">
        <f t="shared" si="76"/>
        <v>0.87212276214833762</v>
      </c>
      <c r="AL514" s="12" t="s">
        <v>140</v>
      </c>
      <c r="AM514" s="12" t="s">
        <v>143</v>
      </c>
      <c r="AN514" s="18">
        <v>4.8815</v>
      </c>
      <c r="AO514" s="18">
        <v>0.47406999999999999</v>
      </c>
      <c r="AP514" s="18">
        <v>6048.2</v>
      </c>
      <c r="AQ514" s="18">
        <v>5524.7</v>
      </c>
      <c r="AR514" s="18">
        <v>2.7542</v>
      </c>
      <c r="AS514" s="18">
        <v>1.1469E-2</v>
      </c>
      <c r="AT514" s="18">
        <v>0.71274999999999999</v>
      </c>
      <c r="AU514" s="18">
        <v>1.0375000000000001</v>
      </c>
      <c r="AV514" s="18">
        <v>0.14743000000000001</v>
      </c>
      <c r="AW514" s="18">
        <v>4.4485000000000002E-3</v>
      </c>
      <c r="AX514" s="18">
        <v>0.22511</v>
      </c>
      <c r="AY514" s="18">
        <v>1.2273000000000001</v>
      </c>
      <c r="AZ514" s="18">
        <v>224.21</v>
      </c>
      <c r="BA514" s="18">
        <v>6.7250000000000004E-2</v>
      </c>
      <c r="BB514" s="18">
        <v>4.5951000000000004</v>
      </c>
      <c r="BC514" s="18" t="s">
        <v>162</v>
      </c>
      <c r="BD514" s="35" t="s">
        <v>163</v>
      </c>
      <c r="BE514" t="s">
        <v>167</v>
      </c>
    </row>
    <row r="515" spans="1:57" x14ac:dyDescent="0.25">
      <c r="A515" s="18" t="s">
        <v>585</v>
      </c>
      <c r="B515" s="18" t="s">
        <v>13</v>
      </c>
      <c r="C515" s="18" t="s">
        <v>14</v>
      </c>
      <c r="D515" s="18">
        <v>41</v>
      </c>
      <c r="E515" s="18">
        <v>12.115</v>
      </c>
      <c r="F515" s="18">
        <v>12.59</v>
      </c>
      <c r="G515" s="15">
        <v>6.72</v>
      </c>
      <c r="H515" s="15">
        <v>4.4000000000000004</v>
      </c>
      <c r="I515" s="15">
        <v>1.55</v>
      </c>
      <c r="J515" s="15">
        <v>60.17</v>
      </c>
      <c r="K515" s="15">
        <v>36.590000000000003</v>
      </c>
      <c r="L515" s="15">
        <v>81.400000000000006</v>
      </c>
      <c r="M515" s="15">
        <v>4.3</v>
      </c>
      <c r="N515" s="15">
        <v>2</v>
      </c>
      <c r="O515" s="15">
        <v>3.23</v>
      </c>
      <c r="P515" s="9">
        <v>1.1443000000000001</v>
      </c>
      <c r="Q515" s="9">
        <v>1.17781</v>
      </c>
      <c r="R515" s="9">
        <v>0.12790699999999999</v>
      </c>
      <c r="S515" s="9">
        <v>0.13053899999999999</v>
      </c>
      <c r="T515" s="9">
        <v>0.14424200000000001</v>
      </c>
      <c r="U515" s="9">
        <v>3.8430199999999998E-2</v>
      </c>
      <c r="V515" s="9">
        <v>4.5233800000000004</v>
      </c>
      <c r="W515" s="9">
        <v>3.8405100000000001</v>
      </c>
      <c r="X515" s="9">
        <v>4.3946800000000001</v>
      </c>
      <c r="Y515" s="9">
        <v>57.134900000000002</v>
      </c>
      <c r="Z515" s="9">
        <v>45.463999999999999</v>
      </c>
      <c r="AA515" s="9">
        <f t="shared" si="77"/>
        <v>2.4777483870967743</v>
      </c>
      <c r="AB515" s="9">
        <f t="shared" si="78"/>
        <v>4.3354838709677415</v>
      </c>
      <c r="AC515" s="9">
        <f t="shared" si="79"/>
        <v>2.838709677419355</v>
      </c>
      <c r="AD515" s="9">
        <f t="shared" si="80"/>
        <v>4.7160462236896414</v>
      </c>
      <c r="AE515" s="9">
        <f t="shared" si="81"/>
        <v>3.7527032604209656</v>
      </c>
      <c r="AF515" s="9">
        <f t="shared" si="82"/>
        <v>4.4852815480553661</v>
      </c>
      <c r="AG515" s="9">
        <f t="shared" si="84"/>
        <v>1.9637525992641294</v>
      </c>
      <c r="AH515" s="9">
        <f t="shared" si="83"/>
        <v>0.98003347725433676</v>
      </c>
      <c r="AI515" s="9">
        <f t="shared" si="85"/>
        <v>2.2140784824027149</v>
      </c>
      <c r="AJ515" s="9">
        <f>(4*PI()*(AI515^2))/(Y515+E515)</f>
        <v>0.88956305143396841</v>
      </c>
      <c r="AK515" s="12">
        <f t="shared" ref="AK515:AK578" si="86">I515/O515</f>
        <v>0.47987616099071206</v>
      </c>
      <c r="AL515" s="12" t="s">
        <v>140</v>
      </c>
      <c r="AM515" s="12" t="s">
        <v>142</v>
      </c>
      <c r="AN515" s="18">
        <v>9.7431999999999999</v>
      </c>
      <c r="AO515" s="18">
        <v>0.71326000000000001</v>
      </c>
      <c r="AP515" s="18">
        <v>15968</v>
      </c>
      <c r="AQ515" s="18">
        <v>14525</v>
      </c>
      <c r="AR515" s="18">
        <v>4.8289</v>
      </c>
      <c r="AS515" s="18">
        <v>5.5928999999999996E-3</v>
      </c>
      <c r="AT515" s="18">
        <v>0.73856999999999995</v>
      </c>
      <c r="AU515" s="18">
        <v>0.38338</v>
      </c>
      <c r="AV515" s="18">
        <v>3.4571999999999999E-2</v>
      </c>
      <c r="AW515" s="18">
        <v>4.1576E-3</v>
      </c>
      <c r="AX515" s="18">
        <v>0.29609000000000002</v>
      </c>
      <c r="AY515" s="18">
        <v>-3.8957999999999999</v>
      </c>
      <c r="AZ515" s="18">
        <v>-1295.3</v>
      </c>
      <c r="BA515" s="18">
        <v>6.1664999999999998E-2</v>
      </c>
      <c r="BB515" s="18">
        <v>20.838999999999999</v>
      </c>
      <c r="BC515" s="18" t="s">
        <v>162</v>
      </c>
      <c r="BD515" s="35" t="s">
        <v>165</v>
      </c>
      <c r="BE515" t="s">
        <v>168</v>
      </c>
    </row>
    <row r="516" spans="1:57" x14ac:dyDescent="0.25">
      <c r="A516" s="18" t="s">
        <v>586</v>
      </c>
      <c r="B516" s="18" t="s">
        <v>5</v>
      </c>
      <c r="C516" s="18" t="s">
        <v>14</v>
      </c>
      <c r="D516" s="18">
        <v>41</v>
      </c>
      <c r="E516" s="18">
        <v>6.8693999999999997</v>
      </c>
      <c r="F516" s="18">
        <v>9.7181999999999995</v>
      </c>
      <c r="G516" s="15">
        <v>3.76</v>
      </c>
      <c r="H516" s="15">
        <v>2.35</v>
      </c>
      <c r="I516" s="15">
        <v>3.8</v>
      </c>
      <c r="J516" s="15">
        <v>62.57</v>
      </c>
      <c r="K516" s="15">
        <v>27.82</v>
      </c>
      <c r="L516" s="15">
        <v>22.14</v>
      </c>
      <c r="M516" s="15">
        <v>3.55</v>
      </c>
      <c r="N516" s="15">
        <v>1</v>
      </c>
      <c r="O516" s="15">
        <v>2.96</v>
      </c>
      <c r="P516" s="9">
        <v>0.83392100000000002</v>
      </c>
      <c r="Q516" s="9">
        <v>1.2442</v>
      </c>
      <c r="R516" s="9">
        <v>0.47826099999999999</v>
      </c>
      <c r="S516" s="9">
        <v>5.7237099999999999E-2</v>
      </c>
      <c r="T516" s="9">
        <v>6.9228999999999999E-2</v>
      </c>
      <c r="U516" s="9">
        <v>1.2287899999999999E-2</v>
      </c>
      <c r="V516" s="9">
        <v>3.5087999999999999</v>
      </c>
      <c r="W516" s="9">
        <v>2.8201299999999998</v>
      </c>
      <c r="X516" s="9">
        <v>2.3517600000000001</v>
      </c>
      <c r="Y516" s="9">
        <v>21.529800000000002</v>
      </c>
      <c r="Z516" s="9">
        <v>11.9293</v>
      </c>
      <c r="AA516" s="9">
        <f t="shared" si="77"/>
        <v>0.74213947368421052</v>
      </c>
      <c r="AB516" s="9">
        <f t="shared" si="78"/>
        <v>0.98947368421052628</v>
      </c>
      <c r="AC516" s="9">
        <f t="shared" si="79"/>
        <v>0.61842105263157898</v>
      </c>
      <c r="AD516" s="9">
        <f t="shared" si="80"/>
        <v>3.1341601886627655</v>
      </c>
      <c r="AE516" s="9">
        <f t="shared" si="81"/>
        <v>1.7365854368649372</v>
      </c>
      <c r="AF516" s="9">
        <f t="shared" si="82"/>
        <v>4.1237913994483124</v>
      </c>
      <c r="AG516" s="9">
        <f t="shared" si="84"/>
        <v>1.4787149597373157</v>
      </c>
      <c r="AH516" s="9">
        <f t="shared" si="83"/>
        <v>0.95604536936142048</v>
      </c>
      <c r="AI516" s="9">
        <f t="shared" si="85"/>
        <v>1.4174533794846902</v>
      </c>
      <c r="AJ516" s="9">
        <f>(4*PI()*(AI516^2))/(Y516+E516)</f>
        <v>0.88904004887113663</v>
      </c>
      <c r="AK516" s="12">
        <f t="shared" si="86"/>
        <v>1.2837837837837838</v>
      </c>
      <c r="AL516" s="12" t="s">
        <v>144</v>
      </c>
      <c r="AM516" s="12" t="s">
        <v>143</v>
      </c>
      <c r="AN516" s="18">
        <v>6.0522</v>
      </c>
      <c r="AO516" s="18">
        <v>0.91422000000000003</v>
      </c>
      <c r="AP516" s="18">
        <v>9494.2000000000007</v>
      </c>
      <c r="AQ516" s="18">
        <v>9669</v>
      </c>
      <c r="AR516" s="18">
        <v>3.0966999999999998</v>
      </c>
      <c r="AS516" s="18">
        <v>1.8093000000000001E-2</v>
      </c>
      <c r="AT516" s="18">
        <v>0.69367000000000001</v>
      </c>
      <c r="AU516" s="18">
        <v>0.46300000000000002</v>
      </c>
      <c r="AV516" s="18">
        <v>4.0029999999999996E-3</v>
      </c>
      <c r="AW516" s="18">
        <v>1.0132E-2</v>
      </c>
      <c r="AX516" s="18">
        <v>0.26345000000000002</v>
      </c>
      <c r="AY516" s="18">
        <v>0.34706999999999999</v>
      </c>
      <c r="AZ516" s="18">
        <v>-1613.4</v>
      </c>
      <c r="BA516" s="18">
        <v>2.0022999999999999E-2</v>
      </c>
      <c r="BB516" s="18">
        <v>7.4614000000000003</v>
      </c>
      <c r="BC516" s="18" t="s">
        <v>162</v>
      </c>
      <c r="BD516" s="35" t="s">
        <v>163</v>
      </c>
      <c r="BE516" t="s">
        <v>167</v>
      </c>
    </row>
    <row r="517" spans="1:57" x14ac:dyDescent="0.25">
      <c r="A517" s="18" t="s">
        <v>587</v>
      </c>
      <c r="B517" s="18" t="s">
        <v>5</v>
      </c>
      <c r="C517" s="18" t="s">
        <v>6</v>
      </c>
      <c r="D517" s="18">
        <v>55</v>
      </c>
      <c r="E517" s="18">
        <v>7.7945000000000002</v>
      </c>
      <c r="F517" s="18">
        <v>10.069000000000001</v>
      </c>
      <c r="G517" s="15">
        <v>5.92</v>
      </c>
      <c r="H517" s="15">
        <v>5.0999999999999996</v>
      </c>
      <c r="I517" s="15">
        <v>3.74</v>
      </c>
      <c r="J517" s="15">
        <v>62.01</v>
      </c>
      <c r="K517" s="15">
        <v>56.81</v>
      </c>
      <c r="L517" s="15">
        <v>20.28</v>
      </c>
      <c r="M517" s="15">
        <v>3.9</v>
      </c>
      <c r="N517" s="15">
        <v>1</v>
      </c>
      <c r="O517" s="15">
        <v>4.17</v>
      </c>
      <c r="P517" s="9">
        <v>1.6230599999999999</v>
      </c>
      <c r="Q517" s="9">
        <v>1.21435</v>
      </c>
      <c r="R517" s="10">
        <v>2.2800399999999999E-9</v>
      </c>
      <c r="S517" s="9">
        <v>0.17632999999999999</v>
      </c>
      <c r="T517" s="9">
        <v>0.20943000000000001</v>
      </c>
      <c r="U517" s="9">
        <v>0.103322</v>
      </c>
      <c r="V517" s="9">
        <v>3.7961299999999998</v>
      </c>
      <c r="W517" s="9">
        <v>3.1260699999999999</v>
      </c>
      <c r="X517" s="9">
        <v>5.0738000000000003</v>
      </c>
      <c r="Y517" s="9">
        <v>49.165700000000001</v>
      </c>
      <c r="Z517" s="9">
        <v>32.224899999999998</v>
      </c>
      <c r="AA517" s="9">
        <f t="shared" ref="AA517:AA580" si="87">W517/I517</f>
        <v>0.83584759358288763</v>
      </c>
      <c r="AB517" s="9">
        <f t="shared" ref="AB517:AB580" si="88">G517/I517</f>
        <v>1.5828877005347592</v>
      </c>
      <c r="AC517" s="9">
        <f t="shared" ref="AC517:AC580" si="89">H517/I517</f>
        <v>1.3636363636363635</v>
      </c>
      <c r="AD517" s="9">
        <f t="shared" ref="AD517:AD580" si="90">Y517/E517</f>
        <v>6.3077426390403488</v>
      </c>
      <c r="AE517" s="9">
        <f t="shared" ref="AE517:AE580" si="91">Z517/E517</f>
        <v>4.1343126563602537</v>
      </c>
      <c r="AF517" s="9">
        <f t="shared" ref="AF517:AF580" si="92">Y517/(Z517)^(2/3)</f>
        <v>4.8551334839028488</v>
      </c>
      <c r="AG517" s="9">
        <f t="shared" si="84"/>
        <v>1.575140123246042</v>
      </c>
      <c r="AH517" s="9">
        <f t="shared" si="83"/>
        <v>0.98290766502419036</v>
      </c>
      <c r="AI517" s="9">
        <f t="shared" si="85"/>
        <v>1.9740932173133539</v>
      </c>
      <c r="AJ517" s="9">
        <f>(4*PI()*(AI517^2))/(Y517+E517)</f>
        <v>0.85975294309940709</v>
      </c>
      <c r="AK517" s="12">
        <f t="shared" si="86"/>
        <v>0.89688249400479625</v>
      </c>
      <c r="AL517" s="12" t="s">
        <v>144</v>
      </c>
      <c r="AM517" s="12" t="s">
        <v>143</v>
      </c>
      <c r="AN517" s="18">
        <v>7.8478000000000003</v>
      </c>
      <c r="AO517" s="18">
        <v>0.80798000000000003</v>
      </c>
      <c r="AP517" s="18">
        <v>10439</v>
      </c>
      <c r="AQ517" s="18">
        <v>10687</v>
      </c>
      <c r="AR517" s="18">
        <v>4.0454999999999997</v>
      </c>
      <c r="AS517" s="18">
        <v>5.6933000000000001E-3</v>
      </c>
      <c r="AT517" s="18">
        <v>0.74875999999999998</v>
      </c>
      <c r="AU517" s="18">
        <v>0.45812999999999998</v>
      </c>
      <c r="AV517" s="18">
        <v>4.3686999999999997E-3</v>
      </c>
      <c r="AW517" s="18">
        <v>3.9061999999999999E-3</v>
      </c>
      <c r="AX517" s="18">
        <v>0.26046000000000002</v>
      </c>
      <c r="AY517" s="18">
        <v>2.5575000000000001</v>
      </c>
      <c r="AZ517" s="18">
        <v>1444.6</v>
      </c>
      <c r="BA517" s="18">
        <v>3.2486000000000001E-2</v>
      </c>
      <c r="BB517" s="18">
        <v>7.8417000000000003</v>
      </c>
      <c r="BC517" s="18" t="s">
        <v>162</v>
      </c>
      <c r="BD517" s="35" t="s">
        <v>163</v>
      </c>
      <c r="BE517" t="s">
        <v>167</v>
      </c>
    </row>
    <row r="518" spans="1:57" x14ac:dyDescent="0.25">
      <c r="A518" s="18" t="s">
        <v>588</v>
      </c>
      <c r="B518" s="18" t="s">
        <v>5</v>
      </c>
      <c r="C518" s="18" t="s">
        <v>6</v>
      </c>
      <c r="D518" s="20">
        <v>55</v>
      </c>
      <c r="E518" s="18">
        <v>13.829000000000001</v>
      </c>
      <c r="F518" s="18">
        <v>13.359</v>
      </c>
      <c r="G518" s="15">
        <v>7.05</v>
      </c>
      <c r="H518" s="15">
        <v>5.5</v>
      </c>
      <c r="I518" s="15">
        <v>3.76</v>
      </c>
      <c r="J518" s="15">
        <v>38.270000000000003</v>
      </c>
      <c r="K518" s="15">
        <v>33.69</v>
      </c>
      <c r="L518" s="15">
        <v>85.49</v>
      </c>
      <c r="M518" s="15">
        <v>6.8</v>
      </c>
      <c r="N518" s="15">
        <v>2</v>
      </c>
      <c r="O518" s="15">
        <v>5.3</v>
      </c>
      <c r="P518" s="9">
        <v>1.3415900000000001</v>
      </c>
      <c r="Q518" s="9">
        <v>1.7226900000000001</v>
      </c>
      <c r="R518" s="9">
        <v>9.6330299999999994E-2</v>
      </c>
      <c r="S518" s="9">
        <v>0.14511499999999999</v>
      </c>
      <c r="T518" s="9">
        <v>0.153729</v>
      </c>
      <c r="U518" s="9">
        <v>1.8052499999999999E-2</v>
      </c>
      <c r="V518" s="9">
        <v>7.1034600000000001</v>
      </c>
      <c r="W518" s="9">
        <v>4.1234599999999997</v>
      </c>
      <c r="X518" s="9">
        <v>5.5319799999999999</v>
      </c>
      <c r="Y518" s="9">
        <v>115.907</v>
      </c>
      <c r="Z518" s="9">
        <v>129.18700000000001</v>
      </c>
      <c r="AA518" s="9">
        <f t="shared" si="87"/>
        <v>1.0966648936170214</v>
      </c>
      <c r="AB518" s="9">
        <f t="shared" si="88"/>
        <v>1.875</v>
      </c>
      <c r="AC518" s="9">
        <f t="shared" si="89"/>
        <v>1.4627659574468086</v>
      </c>
      <c r="AD518" s="9">
        <f t="shared" si="90"/>
        <v>8.3814447899341964</v>
      </c>
      <c r="AE518" s="9">
        <f t="shared" si="91"/>
        <v>9.3417456070576321</v>
      </c>
      <c r="AF518" s="9">
        <f t="shared" si="92"/>
        <v>4.535555195627242</v>
      </c>
      <c r="AG518" s="9">
        <f t="shared" si="84"/>
        <v>2.0980723095345502</v>
      </c>
      <c r="AH518" s="9">
        <f t="shared" si="83"/>
        <v>0.98679370526744714</v>
      </c>
      <c r="AI518" s="9">
        <f t="shared" si="85"/>
        <v>3.1360049144559383</v>
      </c>
      <c r="AJ518" s="9">
        <f>(4*PI()*(AI518^2))/(Y518+E518)</f>
        <v>0.95258300611129054</v>
      </c>
      <c r="AK518" s="12">
        <f t="shared" si="86"/>
        <v>0.7094339622641509</v>
      </c>
      <c r="AL518" s="12" t="s">
        <v>144</v>
      </c>
      <c r="AM518" s="12" t="s">
        <v>142</v>
      </c>
      <c r="AN518" s="29">
        <v>4.1073000000000004</v>
      </c>
      <c r="AO518" s="29">
        <v>0.49940000000000001</v>
      </c>
      <c r="AP518" s="29">
        <v>6834.6</v>
      </c>
      <c r="AQ518" s="29">
        <v>6295.4</v>
      </c>
      <c r="AR518" s="29">
        <v>2.3349000000000002</v>
      </c>
      <c r="AS518" s="29">
        <v>1.5068E-2</v>
      </c>
      <c r="AT518" s="29">
        <v>0.71564000000000005</v>
      </c>
      <c r="AU518" s="29">
        <v>0.70606000000000002</v>
      </c>
      <c r="AV518" s="29">
        <v>2.7882000000000001E-2</v>
      </c>
      <c r="AW518" s="18">
        <v>1.1679E-2</v>
      </c>
      <c r="AX518" s="18">
        <v>0.19345999999999999</v>
      </c>
      <c r="AY518" s="18">
        <v>-4.1768000000000001</v>
      </c>
      <c r="AZ518" s="18">
        <v>-378.48</v>
      </c>
      <c r="BA518" s="18">
        <v>0.19331000000000001</v>
      </c>
      <c r="BB518" s="18">
        <v>15.734999999999999</v>
      </c>
      <c r="BC518" s="18" t="s">
        <v>162</v>
      </c>
      <c r="BD518" s="35" t="s">
        <v>165</v>
      </c>
      <c r="BE518" t="s">
        <v>167</v>
      </c>
    </row>
    <row r="519" spans="1:57" x14ac:dyDescent="0.25">
      <c r="A519" s="18" t="s">
        <v>589</v>
      </c>
      <c r="B519" s="18" t="s">
        <v>5</v>
      </c>
      <c r="C519" s="18" t="s">
        <v>6</v>
      </c>
      <c r="D519" s="18">
        <v>44</v>
      </c>
      <c r="E519" s="18">
        <v>17.914999999999999</v>
      </c>
      <c r="F519" s="18">
        <v>15.444000000000001</v>
      </c>
      <c r="G519" s="15">
        <v>6.75</v>
      </c>
      <c r="H519" s="15">
        <v>4.95</v>
      </c>
      <c r="I519" s="15">
        <v>3.54</v>
      </c>
      <c r="J519" s="15">
        <v>19.88</v>
      </c>
      <c r="K519" s="15">
        <v>34.21</v>
      </c>
      <c r="L519" s="15">
        <v>38.450000000000003</v>
      </c>
      <c r="M519" s="15">
        <v>5.7</v>
      </c>
      <c r="N519" s="15">
        <v>2</v>
      </c>
      <c r="O519" s="15">
        <v>4.0299999999999994</v>
      </c>
      <c r="P519" s="9">
        <v>1.0664</v>
      </c>
      <c r="Q519" s="9">
        <v>1.2952300000000001</v>
      </c>
      <c r="R519" s="9">
        <v>0.16326499999999999</v>
      </c>
      <c r="S519" s="9">
        <v>9.7026000000000001E-2</v>
      </c>
      <c r="T519" s="9">
        <v>0.10408299999999999</v>
      </c>
      <c r="U519" s="9">
        <v>9.5930500000000005E-3</v>
      </c>
      <c r="V519" s="9">
        <v>6.0311300000000001</v>
      </c>
      <c r="W519" s="9">
        <v>4.6564199999999998</v>
      </c>
      <c r="X519" s="9">
        <v>4.9656000000000002</v>
      </c>
      <c r="Y519" s="9">
        <v>90.470200000000006</v>
      </c>
      <c r="Z519" s="9">
        <v>97.039599999999993</v>
      </c>
      <c r="AA519" s="9">
        <f t="shared" si="87"/>
        <v>1.3153728813559322</v>
      </c>
      <c r="AB519" s="9">
        <f t="shared" si="88"/>
        <v>1.9067796610169492</v>
      </c>
      <c r="AC519" s="9">
        <f t="shared" si="89"/>
        <v>1.3983050847457628</v>
      </c>
      <c r="AD519" s="9">
        <f t="shared" si="90"/>
        <v>5.0499692994697183</v>
      </c>
      <c r="AE519" s="9">
        <f t="shared" si="91"/>
        <v>5.4166675969857661</v>
      </c>
      <c r="AF519" s="9">
        <f t="shared" si="92"/>
        <v>4.2842310582735132</v>
      </c>
      <c r="AG519" s="9">
        <f t="shared" si="84"/>
        <v>2.3879953121776873</v>
      </c>
      <c r="AH519" s="9">
        <f t="shared" si="83"/>
        <v>0.97152402610001121</v>
      </c>
      <c r="AI519" s="9">
        <f t="shared" si="85"/>
        <v>2.8507127805170382</v>
      </c>
      <c r="AJ519" s="9">
        <f>(4*PI()*(AI519^2))/(Y519+E519)</f>
        <v>0.94220804099796684</v>
      </c>
      <c r="AK519" s="12">
        <f t="shared" si="86"/>
        <v>0.87841191066997537</v>
      </c>
      <c r="AL519" s="12" t="s">
        <v>144</v>
      </c>
      <c r="AM519" s="12" t="s">
        <v>142</v>
      </c>
      <c r="AN519" s="18">
        <v>4.7390999999999996</v>
      </c>
      <c r="AO519" s="18">
        <v>0.54147999999999996</v>
      </c>
      <c r="AP519" s="18">
        <v>5453.3</v>
      </c>
      <c r="AQ519" s="18">
        <v>5398.8</v>
      </c>
      <c r="AR519" s="18">
        <v>2.8058999999999998</v>
      </c>
      <c r="AS519" s="18">
        <v>3.6438E-3</v>
      </c>
      <c r="AT519" s="18">
        <v>0.77622000000000002</v>
      </c>
      <c r="AU519" s="18">
        <v>0.43862000000000001</v>
      </c>
      <c r="AV519" s="18">
        <v>1.1349E-2</v>
      </c>
      <c r="AW519" s="18">
        <v>4.8625999999999999E-3</v>
      </c>
      <c r="AX519" s="18">
        <v>0.20066999999999999</v>
      </c>
      <c r="AY519" s="18">
        <v>14.259</v>
      </c>
      <c r="AZ519" s="18">
        <v>991.56</v>
      </c>
      <c r="BA519" s="18">
        <v>7.8912999999999997E-2</v>
      </c>
      <c r="BB519" s="18">
        <v>21.036999999999999</v>
      </c>
      <c r="BC519" s="18" t="s">
        <v>162</v>
      </c>
      <c r="BD519" s="35" t="s">
        <v>163</v>
      </c>
      <c r="BE519" t="s">
        <v>167</v>
      </c>
    </row>
    <row r="520" spans="1:57" x14ac:dyDescent="0.25">
      <c r="A520" s="18" t="s">
        <v>590</v>
      </c>
      <c r="B520" s="18" t="s">
        <v>26</v>
      </c>
      <c r="C520" s="18" t="s">
        <v>14</v>
      </c>
      <c r="D520" s="18">
        <v>63</v>
      </c>
      <c r="E520" s="18">
        <v>26.715</v>
      </c>
      <c r="F520" s="18">
        <v>19.172000000000001</v>
      </c>
      <c r="G520" s="15">
        <v>6.99</v>
      </c>
      <c r="H520" s="15">
        <v>2</v>
      </c>
      <c r="I520" s="15">
        <v>2.76</v>
      </c>
      <c r="J520" s="15">
        <v>84.81</v>
      </c>
      <c r="K520" s="15">
        <v>0</v>
      </c>
      <c r="L520" s="15">
        <v>78.87</v>
      </c>
      <c r="M520" s="15">
        <v>6.99</v>
      </c>
      <c r="N520" s="15">
        <v>3</v>
      </c>
      <c r="O520" s="15">
        <v>5.41</v>
      </c>
      <c r="P520" s="9">
        <v>0.35974400000000001</v>
      </c>
      <c r="Q520" s="9">
        <v>1.23329</v>
      </c>
      <c r="R520" s="9">
        <v>0.47435899999999998</v>
      </c>
      <c r="S520" s="9">
        <v>8.4062700000000004E-2</v>
      </c>
      <c r="T520" s="9">
        <v>9.0306999999999998E-2</v>
      </c>
      <c r="U520" s="9">
        <v>1.02428E-2</v>
      </c>
      <c r="V520" s="9">
        <v>6.9337600000000004</v>
      </c>
      <c r="W520" s="9">
        <v>5.6221500000000004</v>
      </c>
      <c r="X520" s="9">
        <v>2.0225300000000002</v>
      </c>
      <c r="Y520" s="9">
        <v>40.717599999999997</v>
      </c>
      <c r="Z520" s="9">
        <v>29.978100000000001</v>
      </c>
      <c r="AA520" s="9">
        <f t="shared" si="87"/>
        <v>2.0370108695652176</v>
      </c>
      <c r="AB520" s="9">
        <f t="shared" si="88"/>
        <v>2.5326086956521743</v>
      </c>
      <c r="AC520" s="9">
        <f t="shared" si="89"/>
        <v>0.7246376811594204</v>
      </c>
      <c r="AD520" s="9">
        <f t="shared" si="90"/>
        <v>1.5241474826876287</v>
      </c>
      <c r="AE520" s="9">
        <f t="shared" si="91"/>
        <v>1.1221448624368333</v>
      </c>
      <c r="AF520" s="9">
        <f t="shared" si="92"/>
        <v>4.2193553456629287</v>
      </c>
      <c r="AG520" s="9">
        <f t="shared" si="84"/>
        <v>2.916101611638382</v>
      </c>
      <c r="AH520" s="9">
        <f t="shared" si="83"/>
        <v>0.95568572921390538</v>
      </c>
      <c r="AI520" s="9">
        <f t="shared" si="85"/>
        <v>1.9271040534124551</v>
      </c>
      <c r="AJ520" s="9">
        <f>(4*PI()*(AI520^2))/(Y520+E520)</f>
        <v>0.69207042220405157</v>
      </c>
      <c r="AK520" s="12">
        <f t="shared" si="86"/>
        <v>0.51016635859519399</v>
      </c>
      <c r="AL520" s="12" t="s">
        <v>144</v>
      </c>
      <c r="AM520" s="12" t="s">
        <v>142</v>
      </c>
      <c r="AN520" s="18">
        <v>3.8864999999999998</v>
      </c>
      <c r="AO520" s="18">
        <v>0.57157000000000002</v>
      </c>
      <c r="AP520" s="18">
        <v>3385.9</v>
      </c>
      <c r="AQ520" s="18">
        <v>3437.4</v>
      </c>
      <c r="AR520" s="18">
        <v>2.0371999999999999</v>
      </c>
      <c r="AS520" s="18">
        <v>7.1763E-3</v>
      </c>
      <c r="AT520" s="18">
        <v>0.72624</v>
      </c>
      <c r="AU520" s="18">
        <v>0.57145000000000001</v>
      </c>
      <c r="AV520" s="18">
        <v>0</v>
      </c>
      <c r="AW520" s="18">
        <v>3.8322E-3</v>
      </c>
      <c r="AX520" s="18">
        <v>0.20974000000000001</v>
      </c>
      <c r="AY520" s="18">
        <v>-1.0468999999999999</v>
      </c>
      <c r="AZ520" s="18">
        <v>-1110</v>
      </c>
      <c r="BA520" s="18">
        <v>2.0556000000000001E-2</v>
      </c>
      <c r="BB520" s="18">
        <v>6.2252000000000001</v>
      </c>
      <c r="BC520" s="18" t="s">
        <v>162</v>
      </c>
      <c r="BD520" s="35" t="s">
        <v>163</v>
      </c>
      <c r="BE520" t="s">
        <v>167</v>
      </c>
    </row>
    <row r="521" spans="1:57" x14ac:dyDescent="0.25">
      <c r="A521" s="18" t="s">
        <v>591</v>
      </c>
      <c r="B521" s="18" t="s">
        <v>26</v>
      </c>
      <c r="C521" s="18" t="s">
        <v>14</v>
      </c>
      <c r="D521" s="18">
        <v>37</v>
      </c>
      <c r="E521" s="18">
        <v>23.193999999999999</v>
      </c>
      <c r="F521" s="18">
        <v>17.882999999999999</v>
      </c>
      <c r="G521" s="15">
        <v>9.81</v>
      </c>
      <c r="H521" s="15">
        <v>7.3</v>
      </c>
      <c r="I521" s="15">
        <v>2.65</v>
      </c>
      <c r="J521" s="15">
        <v>23.88</v>
      </c>
      <c r="K521" s="15">
        <v>44.02</v>
      </c>
      <c r="L521" s="15">
        <v>54.98</v>
      </c>
      <c r="M521" s="15">
        <v>7</v>
      </c>
      <c r="N521" s="15">
        <v>2</v>
      </c>
      <c r="O521" s="15">
        <v>3.5599999999999996</v>
      </c>
      <c r="P521" s="9">
        <v>1.3974500000000001</v>
      </c>
      <c r="Q521" s="9">
        <v>1.5084299999999999</v>
      </c>
      <c r="R521" s="9">
        <v>0.141379</v>
      </c>
      <c r="S521" s="9">
        <v>0.13895399999999999</v>
      </c>
      <c r="T521" s="9">
        <v>0.14241699999999999</v>
      </c>
      <c r="U521" s="9">
        <v>5.5824200000000003E-3</v>
      </c>
      <c r="V521" s="9">
        <v>7.9069599999999998</v>
      </c>
      <c r="W521" s="9">
        <v>5.2418500000000003</v>
      </c>
      <c r="X521" s="9">
        <v>7.3252199999999998</v>
      </c>
      <c r="Y521" s="9">
        <v>162.66999999999999</v>
      </c>
      <c r="Z521" s="9">
        <v>219.11</v>
      </c>
      <c r="AA521" s="9">
        <f t="shared" si="87"/>
        <v>1.9780566037735852</v>
      </c>
      <c r="AB521" s="9">
        <f t="shared" si="88"/>
        <v>3.7018867924528305</v>
      </c>
      <c r="AC521" s="9">
        <f t="shared" si="89"/>
        <v>2.7547169811320753</v>
      </c>
      <c r="AD521" s="9">
        <f t="shared" si="90"/>
        <v>7.013451754764163</v>
      </c>
      <c r="AE521" s="9">
        <f t="shared" si="91"/>
        <v>9.4468396999223945</v>
      </c>
      <c r="AF521" s="9">
        <f t="shared" si="92"/>
        <v>4.475751859447997</v>
      </c>
      <c r="AG521" s="9">
        <f t="shared" si="84"/>
        <v>2.7171454690808958</v>
      </c>
      <c r="AH521" s="9">
        <f t="shared" si="83"/>
        <v>0.95466803605651562</v>
      </c>
      <c r="AI521" s="9">
        <f t="shared" si="85"/>
        <v>3.7398816860228501</v>
      </c>
      <c r="AJ521" s="9">
        <f>(4*PI()*(AI521^2))/(Y521+E521)</f>
        <v>0.94564974759619769</v>
      </c>
      <c r="AK521" s="12">
        <f t="shared" si="86"/>
        <v>0.74438202247191021</v>
      </c>
      <c r="AL521" s="12" t="s">
        <v>144</v>
      </c>
      <c r="AM521" s="12" t="s">
        <v>142</v>
      </c>
      <c r="AN521" s="18">
        <v>2.6070000000000002</v>
      </c>
      <c r="AO521" s="18">
        <v>0.27279999999999999</v>
      </c>
      <c r="AP521" s="18">
        <v>3632.4</v>
      </c>
      <c r="AQ521" s="18">
        <v>3281.2</v>
      </c>
      <c r="AR521" s="18">
        <v>1.6334</v>
      </c>
      <c r="AS521" s="18">
        <v>1.7866E-2</v>
      </c>
      <c r="AT521" s="18">
        <v>0.67856000000000005</v>
      </c>
      <c r="AU521" s="18">
        <v>1.3313999999999999</v>
      </c>
      <c r="AV521" s="18">
        <v>0.30498999999999998</v>
      </c>
      <c r="AW521" s="18">
        <v>1.8367999999999999E-2</v>
      </c>
      <c r="AX521" s="18">
        <v>0.11663</v>
      </c>
      <c r="AY521" s="18">
        <v>-64.317999999999998</v>
      </c>
      <c r="AZ521" s="18">
        <v>-409.11</v>
      </c>
      <c r="BA521" s="18">
        <v>0.57442000000000004</v>
      </c>
      <c r="BB521" s="18">
        <v>61.613999999999997</v>
      </c>
      <c r="BC521" s="18" t="s">
        <v>162</v>
      </c>
      <c r="BD521" s="35" t="s">
        <v>163</v>
      </c>
      <c r="BE521" t="s">
        <v>168</v>
      </c>
    </row>
    <row r="522" spans="1:57" x14ac:dyDescent="0.25">
      <c r="A522" s="18" t="s">
        <v>592</v>
      </c>
      <c r="B522" s="18" t="s">
        <v>13</v>
      </c>
      <c r="C522" s="18" t="s">
        <v>6</v>
      </c>
      <c r="D522" s="18">
        <v>62</v>
      </c>
      <c r="E522" s="18">
        <v>26.387</v>
      </c>
      <c r="F522" s="18">
        <v>18.818999999999999</v>
      </c>
      <c r="G522" s="15">
        <v>9.6</v>
      </c>
      <c r="H522" s="15">
        <v>6.7</v>
      </c>
      <c r="I522" s="15">
        <v>2.21</v>
      </c>
      <c r="J522" s="15">
        <v>87.41</v>
      </c>
      <c r="K522" s="15">
        <v>40.42</v>
      </c>
      <c r="L522" s="15">
        <v>58.26</v>
      </c>
      <c r="M522" s="15">
        <v>7.5</v>
      </c>
      <c r="N522" s="15">
        <v>2</v>
      </c>
      <c r="O522" s="15">
        <v>3.45</v>
      </c>
      <c r="P522" s="9">
        <v>1.17424</v>
      </c>
      <c r="Q522" s="9">
        <v>1.57494</v>
      </c>
      <c r="R522" s="9">
        <v>-0.212121</v>
      </c>
      <c r="S522" s="9">
        <v>0.140454</v>
      </c>
      <c r="T522" s="9">
        <v>0.15484500000000001</v>
      </c>
      <c r="U522" s="9">
        <v>5.0051100000000001E-2</v>
      </c>
      <c r="V522" s="9">
        <v>8.9593100000000003</v>
      </c>
      <c r="W522" s="9">
        <v>5.6886599999999996</v>
      </c>
      <c r="X522" s="9">
        <v>6.6798599999999997</v>
      </c>
      <c r="Y522" s="9">
        <v>172.67699999999999</v>
      </c>
      <c r="Z522" s="9">
        <v>234.446</v>
      </c>
      <c r="AA522" s="9">
        <f t="shared" si="87"/>
        <v>2.5740542986425337</v>
      </c>
      <c r="AB522" s="9">
        <f t="shared" si="88"/>
        <v>4.3438914027149318</v>
      </c>
      <c r="AC522" s="9">
        <f t="shared" si="89"/>
        <v>3.0316742081447967</v>
      </c>
      <c r="AD522" s="9">
        <f t="shared" si="90"/>
        <v>6.5440178875961648</v>
      </c>
      <c r="AE522" s="9">
        <f t="shared" si="91"/>
        <v>8.8849054458634935</v>
      </c>
      <c r="AF522" s="9">
        <f t="shared" si="92"/>
        <v>4.5415692763200388</v>
      </c>
      <c r="AG522" s="9">
        <f t="shared" si="84"/>
        <v>2.8981447456487892</v>
      </c>
      <c r="AH522" s="9">
        <f t="shared" si="83"/>
        <v>0.96761679600086037</v>
      </c>
      <c r="AI522" s="9">
        <f t="shared" si="85"/>
        <v>3.8251758572014811</v>
      </c>
      <c r="AJ522" s="9">
        <f>(4*PI()*(AI522^2))/(Y522+E522)</f>
        <v>0.92367661702827308</v>
      </c>
      <c r="AK522" s="12">
        <f t="shared" si="86"/>
        <v>0.64057971014492754</v>
      </c>
      <c r="AL522" s="12" t="s">
        <v>140</v>
      </c>
      <c r="AM522" s="12" t="s">
        <v>142</v>
      </c>
      <c r="AN522" s="18">
        <v>4.4413999999999998</v>
      </c>
      <c r="AO522" s="18">
        <v>0.49936000000000003</v>
      </c>
      <c r="AP522" s="18">
        <v>4592.8</v>
      </c>
      <c r="AQ522" s="18">
        <v>4322.7</v>
      </c>
      <c r="AR522" s="18">
        <v>2.6884999999999999</v>
      </c>
      <c r="AS522" s="18">
        <v>8.5435000000000007E-3</v>
      </c>
      <c r="AT522" s="18">
        <v>0.72419999999999995</v>
      </c>
      <c r="AU522" s="18">
        <v>0.56081999999999999</v>
      </c>
      <c r="AV522" s="18">
        <v>5.5896000000000001E-2</v>
      </c>
      <c r="AW522" s="18">
        <v>1.2916E-2</v>
      </c>
      <c r="AX522" s="18">
        <v>0.20507</v>
      </c>
      <c r="AY522" s="18">
        <v>-10.865</v>
      </c>
      <c r="AZ522" s="18">
        <v>-745.71</v>
      </c>
      <c r="BA522" s="18">
        <v>0.18287</v>
      </c>
      <c r="BB522" s="18">
        <v>5.1223999999999998</v>
      </c>
      <c r="BC522" s="18" t="s">
        <v>162</v>
      </c>
      <c r="BD522" s="35" t="s">
        <v>165</v>
      </c>
      <c r="BE522" t="s">
        <v>167</v>
      </c>
    </row>
    <row r="523" spans="1:57" x14ac:dyDescent="0.25">
      <c r="A523" s="18" t="s">
        <v>593</v>
      </c>
      <c r="B523" s="18" t="s">
        <v>26</v>
      </c>
      <c r="C523" s="18" t="s">
        <v>6</v>
      </c>
      <c r="D523" s="18">
        <v>47</v>
      </c>
      <c r="E523" s="18">
        <v>20.379000000000001</v>
      </c>
      <c r="F523" s="18">
        <v>17.451000000000001</v>
      </c>
      <c r="G523" s="15">
        <v>7.3</v>
      </c>
      <c r="H523" s="15">
        <v>4.5</v>
      </c>
      <c r="I523" s="15">
        <v>2.29</v>
      </c>
      <c r="J523" s="15">
        <v>98.06</v>
      </c>
      <c r="K523" s="15">
        <v>50.25</v>
      </c>
      <c r="L523" s="15">
        <v>26.51</v>
      </c>
      <c r="M523" s="15">
        <v>6.25</v>
      </c>
      <c r="N523" s="15">
        <v>2</v>
      </c>
      <c r="O523" s="15">
        <v>3.93</v>
      </c>
      <c r="P523" s="9">
        <v>0.95795600000000003</v>
      </c>
      <c r="Q523" s="9">
        <v>1.46678</v>
      </c>
      <c r="R523" s="9">
        <v>-6.17978E-2</v>
      </c>
      <c r="S523" s="9">
        <v>0.112638</v>
      </c>
      <c r="T523" s="9">
        <v>0.170546</v>
      </c>
      <c r="U523" s="9">
        <v>0.13200100000000001</v>
      </c>
      <c r="V523" s="9">
        <v>6.8904399999999999</v>
      </c>
      <c r="W523" s="9">
        <v>4.6976599999999999</v>
      </c>
      <c r="X523" s="9">
        <v>4.5001499999999997</v>
      </c>
      <c r="Y523" s="9">
        <v>84.976699999999994</v>
      </c>
      <c r="Z523" s="9">
        <v>78.691400000000002</v>
      </c>
      <c r="AA523" s="9">
        <f t="shared" si="87"/>
        <v>2.0513799126637555</v>
      </c>
      <c r="AB523" s="9">
        <f t="shared" si="88"/>
        <v>3.1877729257641918</v>
      </c>
      <c r="AC523" s="9">
        <f t="shared" si="89"/>
        <v>1.965065502183406</v>
      </c>
      <c r="AD523" s="9">
        <f t="shared" si="90"/>
        <v>4.1698169684479112</v>
      </c>
      <c r="AE523" s="9">
        <f t="shared" si="91"/>
        <v>3.8613965356494431</v>
      </c>
      <c r="AF523" s="9">
        <f t="shared" si="92"/>
        <v>4.6275204535311634</v>
      </c>
      <c r="AG523" s="9">
        <f t="shared" si="84"/>
        <v>2.546927005341824</v>
      </c>
      <c r="AH523" s="9">
        <f t="shared" si="83"/>
        <v>0.91701417330941792</v>
      </c>
      <c r="AI523" s="9">
        <f t="shared" si="85"/>
        <v>2.6583544542407642</v>
      </c>
      <c r="AJ523" s="9">
        <f>(4*PI()*(AI523^2))/(Y523+E523)</f>
        <v>0.8429030050102021</v>
      </c>
      <c r="AK523" s="12">
        <f t="shared" si="86"/>
        <v>0.58269720101781164</v>
      </c>
      <c r="AL523" s="12" t="s">
        <v>140</v>
      </c>
      <c r="AM523" s="12" t="s">
        <v>142</v>
      </c>
      <c r="AN523" s="18">
        <v>4.6284999999999998</v>
      </c>
      <c r="AO523" s="18">
        <v>0.40606999999999999</v>
      </c>
      <c r="AP523" s="18">
        <v>9690.6</v>
      </c>
      <c r="AQ523" s="18">
        <v>9040.7999999999993</v>
      </c>
      <c r="AR523" s="18">
        <v>2.3485999999999998</v>
      </c>
      <c r="AS523" s="18">
        <v>1.5468000000000001E-2</v>
      </c>
      <c r="AT523" s="18">
        <v>0.74312999999999996</v>
      </c>
      <c r="AU523" s="18">
        <v>1.6859</v>
      </c>
      <c r="AV523" s="18">
        <v>0.32865</v>
      </c>
      <c r="AW523" s="18">
        <v>1.6004000000000001E-2</v>
      </c>
      <c r="AX523" s="18">
        <v>0.13628999999999999</v>
      </c>
      <c r="AY523" s="18">
        <v>-22.367000000000001</v>
      </c>
      <c r="AZ523" s="18">
        <v>-1018.9</v>
      </c>
      <c r="BA523" s="18">
        <v>0.1067</v>
      </c>
      <c r="BB523" s="18">
        <v>90.179000000000002</v>
      </c>
      <c r="BC523" s="18" t="s">
        <v>164</v>
      </c>
      <c r="BD523" s="35" t="s">
        <v>165</v>
      </c>
      <c r="BE523" t="s">
        <v>167</v>
      </c>
    </row>
    <row r="524" spans="1:57" x14ac:dyDescent="0.25">
      <c r="A524" s="18" t="s">
        <v>594</v>
      </c>
      <c r="B524" s="18" t="s">
        <v>26</v>
      </c>
      <c r="C524" s="18" t="s">
        <v>6</v>
      </c>
      <c r="D524" s="18">
        <v>61</v>
      </c>
      <c r="E524" s="18">
        <v>36.933</v>
      </c>
      <c r="F524" s="18">
        <v>23.056000000000001</v>
      </c>
      <c r="G524" s="15">
        <v>14.42</v>
      </c>
      <c r="H524" s="15">
        <v>9.4</v>
      </c>
      <c r="I524" s="15">
        <v>2.25</v>
      </c>
      <c r="J524" s="15">
        <v>26</v>
      </c>
      <c r="K524" s="15">
        <v>30.57</v>
      </c>
      <c r="L524" s="15">
        <v>63.65</v>
      </c>
      <c r="M524" s="15">
        <v>7.35</v>
      </c>
      <c r="N524" s="15">
        <v>2</v>
      </c>
      <c r="O524" s="15">
        <v>4.24</v>
      </c>
      <c r="P524" s="9">
        <v>1.45733</v>
      </c>
      <c r="Q524" s="9">
        <v>1.7472099999999999</v>
      </c>
      <c r="R524" s="9">
        <v>0.179144</v>
      </c>
      <c r="S524" s="9">
        <v>0.18645</v>
      </c>
      <c r="T524" s="9">
        <v>0.21379999999999999</v>
      </c>
      <c r="U524" s="9">
        <v>9.4366199999999997E-2</v>
      </c>
      <c r="V524" s="9">
        <v>11.3246</v>
      </c>
      <c r="W524" s="9">
        <v>6.48156</v>
      </c>
      <c r="X524" s="9">
        <v>9.4457900000000006</v>
      </c>
      <c r="Y524" s="9">
        <v>279.37799999999999</v>
      </c>
      <c r="Z524" s="9">
        <v>432.88799999999998</v>
      </c>
      <c r="AA524" s="9">
        <f t="shared" si="87"/>
        <v>2.8806933333333333</v>
      </c>
      <c r="AB524" s="9">
        <f t="shared" si="88"/>
        <v>6.4088888888888889</v>
      </c>
      <c r="AC524" s="9">
        <f t="shared" si="89"/>
        <v>4.177777777777778</v>
      </c>
      <c r="AD524" s="9">
        <f t="shared" si="90"/>
        <v>7.5644545528389244</v>
      </c>
      <c r="AE524" s="9">
        <f t="shared" si="91"/>
        <v>11.720900008122817</v>
      </c>
      <c r="AF524" s="9">
        <f t="shared" si="92"/>
        <v>4.8821206303585338</v>
      </c>
      <c r="AG524" s="9">
        <f t="shared" si="84"/>
        <v>3.4287226523044909</v>
      </c>
      <c r="AH524" s="9">
        <f t="shared" si="83"/>
        <v>0.93439017138069902</v>
      </c>
      <c r="AI524" s="9">
        <f t="shared" si="85"/>
        <v>4.6927668658387089</v>
      </c>
      <c r="AJ524" s="9">
        <f>(4*PI()*(AI524^2))/(Y524+E524)</f>
        <v>0.87489015058743591</v>
      </c>
      <c r="AK524" s="12">
        <f t="shared" si="86"/>
        <v>0.53066037735849059</v>
      </c>
      <c r="AL524" s="12" t="s">
        <v>140</v>
      </c>
      <c r="AM524" s="12" t="s">
        <v>142</v>
      </c>
      <c r="AN524" s="18">
        <v>3.3149000000000002</v>
      </c>
      <c r="AO524" s="18">
        <v>0.40955000000000003</v>
      </c>
      <c r="AP524" s="18">
        <v>2912.4</v>
      </c>
      <c r="AQ524" s="18">
        <v>2613.6999999999998</v>
      </c>
      <c r="AR524" s="18">
        <v>1.956</v>
      </c>
      <c r="AS524" s="18">
        <v>4.0009999999999997E-2</v>
      </c>
      <c r="AT524" s="18">
        <v>0.68698000000000004</v>
      </c>
      <c r="AU524" s="18">
        <v>1.7859</v>
      </c>
      <c r="AV524" s="18">
        <v>0.20424999999999999</v>
      </c>
      <c r="AW524" s="18">
        <v>4.3137000000000002E-2</v>
      </c>
      <c r="AX524" s="18">
        <v>0.16647000000000001</v>
      </c>
      <c r="AY524" s="18">
        <v>-41.322000000000003</v>
      </c>
      <c r="AZ524" s="18">
        <v>-609.17999999999995</v>
      </c>
      <c r="BA524" s="18">
        <v>0.42098000000000002</v>
      </c>
      <c r="BB524" s="18">
        <v>18.684999999999999</v>
      </c>
      <c r="BC524" s="18" t="s">
        <v>164</v>
      </c>
      <c r="BD524" s="35" t="s">
        <v>165</v>
      </c>
      <c r="BE524" t="s">
        <v>167</v>
      </c>
    </row>
    <row r="525" spans="1:57" x14ac:dyDescent="0.25">
      <c r="A525" s="18" t="s">
        <v>595</v>
      </c>
      <c r="B525" s="18" t="s">
        <v>40</v>
      </c>
      <c r="C525" s="18" t="s">
        <v>14</v>
      </c>
      <c r="D525" s="18">
        <v>47</v>
      </c>
      <c r="E525" s="18">
        <v>13.387</v>
      </c>
      <c r="F525" s="18">
        <v>13.592000000000001</v>
      </c>
      <c r="G525" s="15">
        <v>7.37</v>
      </c>
      <c r="H525" s="15">
        <v>5.3</v>
      </c>
      <c r="I525" s="15">
        <v>1.91</v>
      </c>
      <c r="J525" s="15">
        <v>25.92</v>
      </c>
      <c r="K525" s="15">
        <v>38.35</v>
      </c>
      <c r="L525" s="15">
        <v>64.73</v>
      </c>
      <c r="M525" s="15">
        <v>4.7</v>
      </c>
      <c r="N525" s="15">
        <v>4</v>
      </c>
      <c r="O525" s="15">
        <v>4.53</v>
      </c>
      <c r="P525" s="9">
        <v>1.2959799999999999</v>
      </c>
      <c r="Q525" s="9">
        <v>1.50112</v>
      </c>
      <c r="R525" s="9">
        <v>1.9230799999999999E-2</v>
      </c>
      <c r="S525" s="9">
        <v>0.148952</v>
      </c>
      <c r="T525" s="9">
        <v>0.165827</v>
      </c>
      <c r="U525" s="9">
        <v>4.6429900000000003E-2</v>
      </c>
      <c r="V525" s="9">
        <v>6.09124</v>
      </c>
      <c r="W525" s="9">
        <v>4.0578000000000003</v>
      </c>
      <c r="X525" s="9">
        <v>5.2588200000000001</v>
      </c>
      <c r="Y525" s="9">
        <v>88.146699999999996</v>
      </c>
      <c r="Z525" s="9">
        <v>83.8459</v>
      </c>
      <c r="AA525" s="9">
        <f t="shared" si="87"/>
        <v>2.1245026178010473</v>
      </c>
      <c r="AB525" s="9">
        <f t="shared" si="88"/>
        <v>3.8586387434554976</v>
      </c>
      <c r="AC525" s="9">
        <f t="shared" si="89"/>
        <v>2.7748691099476441</v>
      </c>
      <c r="AD525" s="9">
        <f t="shared" si="90"/>
        <v>6.5844998879509964</v>
      </c>
      <c r="AE525" s="9">
        <f t="shared" si="91"/>
        <v>6.2632329872264139</v>
      </c>
      <c r="AF525" s="9">
        <f t="shared" si="92"/>
        <v>4.6013454282502657</v>
      </c>
      <c r="AG525" s="9">
        <f t="shared" si="84"/>
        <v>2.0642709236779959</v>
      </c>
      <c r="AH525" s="9">
        <f t="shared" si="83"/>
        <v>0.95425226145465103</v>
      </c>
      <c r="AI525" s="9">
        <f t="shared" si="85"/>
        <v>2.7151744640618385</v>
      </c>
      <c r="AJ525" s="9">
        <f>(4*PI()*(AI525^2))/(Y525+E525)</f>
        <v>0.91242070601235592</v>
      </c>
      <c r="AK525" s="12">
        <f t="shared" si="86"/>
        <v>0.42163355408388514</v>
      </c>
      <c r="AL525" s="12" t="s">
        <v>140</v>
      </c>
      <c r="AM525" s="12" t="s">
        <v>142</v>
      </c>
      <c r="AN525" s="18">
        <v>1.0290999999999999</v>
      </c>
      <c r="AO525" s="18">
        <v>0.22986000000000001</v>
      </c>
      <c r="AP525" s="18">
        <v>1910.3</v>
      </c>
      <c r="AQ525" s="18">
        <v>1653</v>
      </c>
      <c r="AR525" s="18">
        <v>0.68532000000000004</v>
      </c>
      <c r="AS525" s="18">
        <v>1.5917000000000001E-2</v>
      </c>
      <c r="AT525" s="18">
        <v>0.69362000000000001</v>
      </c>
      <c r="AU525" s="18">
        <v>2.4794999999999998</v>
      </c>
      <c r="AV525" s="18">
        <v>0.30912000000000001</v>
      </c>
      <c r="AW525" s="18">
        <v>1.5125E-2</v>
      </c>
      <c r="AX525" s="18">
        <v>6.5269999999999995E-2</v>
      </c>
      <c r="AY525" s="18">
        <v>-20.565000000000001</v>
      </c>
      <c r="AZ525" s="18">
        <v>-206.9</v>
      </c>
      <c r="BA525" s="18">
        <v>0.26323000000000002</v>
      </c>
      <c r="BB525" s="18">
        <v>13.77</v>
      </c>
      <c r="BC525" s="18" t="s">
        <v>162</v>
      </c>
      <c r="BD525" s="35" t="s">
        <v>165</v>
      </c>
      <c r="BE525" t="s">
        <v>168</v>
      </c>
    </row>
    <row r="526" spans="1:57" x14ac:dyDescent="0.25">
      <c r="A526" s="18" t="s">
        <v>596</v>
      </c>
      <c r="B526" s="18" t="s">
        <v>13</v>
      </c>
      <c r="C526" s="18" t="s">
        <v>14</v>
      </c>
      <c r="D526" s="18">
        <v>47</v>
      </c>
      <c r="E526" s="18">
        <v>7.0483000000000002</v>
      </c>
      <c r="F526" s="18">
        <v>9.5871999999999993</v>
      </c>
      <c r="G526" s="15">
        <v>4.74</v>
      </c>
      <c r="H526" s="15">
        <v>3.25</v>
      </c>
      <c r="I526" s="15">
        <v>1.64</v>
      </c>
      <c r="J526" s="15">
        <v>59.82</v>
      </c>
      <c r="K526" s="15">
        <v>41.37</v>
      </c>
      <c r="L526" s="15">
        <v>81.739999999999995</v>
      </c>
      <c r="M526" s="15">
        <v>4.3</v>
      </c>
      <c r="N526" s="15">
        <v>2</v>
      </c>
      <c r="O526" s="15">
        <v>2.86</v>
      </c>
      <c r="P526" s="9">
        <v>1.1006</v>
      </c>
      <c r="Q526" s="9">
        <v>1.36409</v>
      </c>
      <c r="R526" s="9">
        <v>-0.15625</v>
      </c>
      <c r="S526" s="9">
        <v>0.12728700000000001</v>
      </c>
      <c r="T526" s="9">
        <v>0.14838100000000001</v>
      </c>
      <c r="U526" s="9">
        <v>6.08075E-2</v>
      </c>
      <c r="V526" s="9">
        <v>4.0344800000000003</v>
      </c>
      <c r="W526" s="9">
        <v>2.95764</v>
      </c>
      <c r="X526" s="9">
        <v>3.2551800000000002</v>
      </c>
      <c r="Y526" s="9">
        <v>33.930100000000003</v>
      </c>
      <c r="Z526" s="9">
        <v>20.6554</v>
      </c>
      <c r="AA526" s="9">
        <f t="shared" si="87"/>
        <v>1.8034390243902441</v>
      </c>
      <c r="AB526" s="9">
        <f t="shared" si="88"/>
        <v>2.8902439024390247</v>
      </c>
      <c r="AC526" s="9">
        <f t="shared" si="89"/>
        <v>1.9817073170731709</v>
      </c>
      <c r="AD526" s="9">
        <f t="shared" si="90"/>
        <v>4.813940950300073</v>
      </c>
      <c r="AE526" s="9">
        <f t="shared" si="91"/>
        <v>2.9305506292297432</v>
      </c>
      <c r="AF526" s="9">
        <f t="shared" si="92"/>
        <v>4.5070882991821692</v>
      </c>
      <c r="AG526" s="9">
        <f t="shared" si="84"/>
        <v>1.4978463108040196</v>
      </c>
      <c r="AH526" s="9">
        <f t="shared" si="83"/>
        <v>0.98164698060507394</v>
      </c>
      <c r="AI526" s="9">
        <f t="shared" si="85"/>
        <v>1.7020866553815981</v>
      </c>
      <c r="AJ526" s="9">
        <f>(4*PI()*(AI526^2))/(Y526+E526)</f>
        <v>0.88841974112397071</v>
      </c>
      <c r="AK526" s="12">
        <f t="shared" si="86"/>
        <v>0.57342657342657344</v>
      </c>
      <c r="AL526" s="12" t="s">
        <v>140</v>
      </c>
      <c r="AM526" s="12" t="s">
        <v>142</v>
      </c>
      <c r="AN526" s="18">
        <v>10.87</v>
      </c>
      <c r="AO526" s="18">
        <v>0.78305999999999998</v>
      </c>
      <c r="AP526" s="18">
        <v>15714</v>
      </c>
      <c r="AQ526" s="18">
        <v>15907</v>
      </c>
      <c r="AR526" s="18">
        <v>5.0206</v>
      </c>
      <c r="AS526" s="18">
        <v>1.4038999999999999E-2</v>
      </c>
      <c r="AT526" s="18">
        <v>0.71128000000000002</v>
      </c>
      <c r="AU526" s="18">
        <v>0.29515999999999998</v>
      </c>
      <c r="AV526" s="18">
        <v>8.1054999999999999E-3</v>
      </c>
      <c r="AW526" s="18">
        <v>1.7183E-2</v>
      </c>
      <c r="AX526" s="18">
        <v>0.32956999999999997</v>
      </c>
      <c r="AY526" s="18">
        <v>14.298999999999999</v>
      </c>
      <c r="AZ526" s="18">
        <v>11143</v>
      </c>
      <c r="BA526" s="18">
        <v>2.3555E-2</v>
      </c>
      <c r="BB526" s="18">
        <v>6.1452999999999998</v>
      </c>
      <c r="BC526" s="18" t="s">
        <v>162</v>
      </c>
      <c r="BD526" s="35" t="s">
        <v>165</v>
      </c>
      <c r="BE526" t="s">
        <v>167</v>
      </c>
    </row>
    <row r="527" spans="1:57" x14ac:dyDescent="0.25">
      <c r="A527" s="18" t="s">
        <v>597</v>
      </c>
      <c r="B527" s="18" t="s">
        <v>26</v>
      </c>
      <c r="C527" s="18" t="s">
        <v>14</v>
      </c>
      <c r="D527" s="18">
        <v>47</v>
      </c>
      <c r="E527" s="18">
        <v>13.372</v>
      </c>
      <c r="F527" s="18">
        <v>13.266</v>
      </c>
      <c r="G527" s="15">
        <v>7.84</v>
      </c>
      <c r="H527" s="15">
        <v>4.5</v>
      </c>
      <c r="I527" s="15">
        <v>2.63</v>
      </c>
      <c r="J527" s="15">
        <v>59.1</v>
      </c>
      <c r="K527" s="15">
        <v>27.33</v>
      </c>
      <c r="L527" s="15">
        <v>78.44</v>
      </c>
      <c r="M527" s="15">
        <v>4.2</v>
      </c>
      <c r="N527" s="15">
        <v>2</v>
      </c>
      <c r="O527" s="15">
        <v>3.96</v>
      </c>
      <c r="P527" s="9">
        <v>1.1039399999999999</v>
      </c>
      <c r="Q527" s="9">
        <v>1.6391800000000001</v>
      </c>
      <c r="R527" s="9">
        <v>-0.102273</v>
      </c>
      <c r="S527" s="9">
        <v>0.14569699999999999</v>
      </c>
      <c r="T527" s="9">
        <v>0.15024399999999999</v>
      </c>
      <c r="U527" s="9">
        <v>1.0018900000000001E-2</v>
      </c>
      <c r="V527" s="9">
        <v>6.6736800000000001</v>
      </c>
      <c r="W527" s="9">
        <v>4.0713400000000002</v>
      </c>
      <c r="X527" s="9">
        <v>4.4945199999999996</v>
      </c>
      <c r="Y527" s="9">
        <v>85.334500000000006</v>
      </c>
      <c r="Z527" s="9">
        <v>82.114099999999993</v>
      </c>
      <c r="AA527" s="9">
        <f t="shared" si="87"/>
        <v>1.5480380228136883</v>
      </c>
      <c r="AB527" s="9">
        <f t="shared" si="88"/>
        <v>2.9809885931558937</v>
      </c>
      <c r="AC527" s="9">
        <f t="shared" si="89"/>
        <v>1.7110266159695817</v>
      </c>
      <c r="AD527" s="9">
        <f t="shared" si="90"/>
        <v>6.3815809153454985</v>
      </c>
      <c r="AE527" s="9">
        <f t="shared" si="91"/>
        <v>6.1407493269518394</v>
      </c>
      <c r="AF527" s="9">
        <f t="shared" si="92"/>
        <v>4.5169590848681187</v>
      </c>
      <c r="AG527" s="9">
        <f t="shared" si="84"/>
        <v>2.0631141020432313</v>
      </c>
      <c r="AH527" s="9">
        <f t="shared" si="83"/>
        <v>0.97715424491127967</v>
      </c>
      <c r="AI527" s="9">
        <f t="shared" si="85"/>
        <v>2.6963506879670138</v>
      </c>
      <c r="AJ527" s="9">
        <f>(4*PI()*(AI527^2))/(Y527+E527)</f>
        <v>0.9255861837931566</v>
      </c>
      <c r="AK527" s="12">
        <f t="shared" si="86"/>
        <v>0.66414141414141414</v>
      </c>
      <c r="AL527" s="12" t="s">
        <v>144</v>
      </c>
      <c r="AM527" s="12" t="s">
        <v>142</v>
      </c>
      <c r="AN527" s="18">
        <v>5.3930999999999996</v>
      </c>
      <c r="AO527" s="18">
        <v>0.57037000000000004</v>
      </c>
      <c r="AP527" s="18">
        <v>6624</v>
      </c>
      <c r="AQ527" s="18">
        <v>6324</v>
      </c>
      <c r="AR527" s="18">
        <v>2.7625000000000002</v>
      </c>
      <c r="AS527" s="18">
        <v>4.7266000000000001E-3</v>
      </c>
      <c r="AT527" s="18">
        <v>0.74814000000000003</v>
      </c>
      <c r="AU527" s="18">
        <v>0.50344</v>
      </c>
      <c r="AV527" s="18">
        <v>7.9667000000000002E-3</v>
      </c>
      <c r="AW527" s="18">
        <v>4.457E-3</v>
      </c>
      <c r="AX527" s="18">
        <v>0.22731999999999999</v>
      </c>
      <c r="AY527" s="18">
        <v>-9.9045000000000005</v>
      </c>
      <c r="AZ527" s="18">
        <v>-1310.8</v>
      </c>
      <c r="BA527" s="18">
        <v>0.11108999999999999</v>
      </c>
      <c r="BB527" s="18">
        <v>14.349</v>
      </c>
      <c r="BC527" s="18" t="s">
        <v>162</v>
      </c>
      <c r="BD527" s="35" t="s">
        <v>165</v>
      </c>
      <c r="BE527" t="s">
        <v>167</v>
      </c>
    </row>
    <row r="528" spans="1:57" x14ac:dyDescent="0.25">
      <c r="A528" s="18" t="s">
        <v>598</v>
      </c>
      <c r="B528" s="18" t="s">
        <v>13</v>
      </c>
      <c r="C528" s="18" t="s">
        <v>6</v>
      </c>
      <c r="D528" s="18">
        <v>57</v>
      </c>
      <c r="E528" s="18">
        <v>32.244999999999997</v>
      </c>
      <c r="F528" s="18">
        <v>22.731999999999999</v>
      </c>
      <c r="G528" s="15">
        <v>9.61</v>
      </c>
      <c r="H528" s="15">
        <v>6.4</v>
      </c>
      <c r="I528" s="15">
        <v>1.82</v>
      </c>
      <c r="J528" s="15">
        <v>72.010000000000005</v>
      </c>
      <c r="K528" s="15">
        <v>6.52</v>
      </c>
      <c r="L528" s="15">
        <v>82.67</v>
      </c>
      <c r="M528" s="15">
        <v>9.4</v>
      </c>
      <c r="N528" s="15">
        <v>2</v>
      </c>
      <c r="O528" s="15">
        <v>3.04</v>
      </c>
      <c r="P528" s="9">
        <v>1.1171199999999999</v>
      </c>
      <c r="Q528" s="9">
        <v>1.7048099999999999</v>
      </c>
      <c r="R528" s="9">
        <v>1.5873000000000002E-2</v>
      </c>
      <c r="S528" s="9">
        <v>0.116559</v>
      </c>
      <c r="T528" s="9">
        <v>0.13350899999999999</v>
      </c>
      <c r="U528" s="9">
        <v>2.04546E-2</v>
      </c>
      <c r="V528" s="9">
        <v>9.7642100000000003</v>
      </c>
      <c r="W528" s="9">
        <v>5.7274599999999998</v>
      </c>
      <c r="X528" s="9">
        <v>6.3982299999999999</v>
      </c>
      <c r="Y528" s="9">
        <v>182.26599999999999</v>
      </c>
      <c r="Z528" s="9">
        <v>263.93299999999999</v>
      </c>
      <c r="AA528" s="9">
        <f t="shared" si="87"/>
        <v>3.1469560439560436</v>
      </c>
      <c r="AB528" s="9">
        <f t="shared" si="88"/>
        <v>5.2802197802197801</v>
      </c>
      <c r="AC528" s="9">
        <f t="shared" si="89"/>
        <v>3.5164835164835164</v>
      </c>
      <c r="AD528" s="9">
        <f t="shared" si="90"/>
        <v>5.6525352767870993</v>
      </c>
      <c r="AE528" s="9">
        <f t="shared" si="91"/>
        <v>8.1852380213986677</v>
      </c>
      <c r="AF528" s="9">
        <f t="shared" si="92"/>
        <v>4.4297226276368775</v>
      </c>
      <c r="AG528" s="9">
        <f t="shared" si="84"/>
        <v>3.2037325543803323</v>
      </c>
      <c r="AH528" s="9">
        <f t="shared" si="83"/>
        <v>0.88552020560511313</v>
      </c>
      <c r="AI528" s="9">
        <f t="shared" si="85"/>
        <v>3.9792543065765122</v>
      </c>
      <c r="AJ528" s="9">
        <f>(4*PI()*(AI528^2))/(Y528+E528)</f>
        <v>0.92760629345039458</v>
      </c>
      <c r="AK528" s="12">
        <f t="shared" si="86"/>
        <v>0.59868421052631582</v>
      </c>
      <c r="AL528" s="12" t="s">
        <v>144</v>
      </c>
      <c r="AM528" s="12" t="s">
        <v>142</v>
      </c>
      <c r="AN528" s="18">
        <v>2.6886000000000001</v>
      </c>
      <c r="AO528" s="18">
        <v>0.20416999999999999</v>
      </c>
      <c r="AP528" s="18">
        <v>3892</v>
      </c>
      <c r="AQ528" s="18">
        <v>3235.9</v>
      </c>
      <c r="AR528" s="18">
        <v>1.5787</v>
      </c>
      <c r="AS528" s="18">
        <v>1.5861E-2</v>
      </c>
      <c r="AT528" s="18">
        <v>0.68664999999999998</v>
      </c>
      <c r="AU528" s="18">
        <v>1.5218</v>
      </c>
      <c r="AV528" s="18">
        <v>0.61778</v>
      </c>
      <c r="AW528" s="18">
        <v>1.47E-2</v>
      </c>
      <c r="AX528" s="18">
        <v>0.10946</v>
      </c>
      <c r="AY528" s="18">
        <v>414.02</v>
      </c>
      <c r="AZ528" s="18">
        <v>3944.9</v>
      </c>
      <c r="BA528" s="18">
        <v>0.19064999999999999</v>
      </c>
      <c r="BB528" s="18">
        <v>200.74</v>
      </c>
      <c r="BC528" s="18" t="s">
        <v>162</v>
      </c>
      <c r="BD528" s="35" t="s">
        <v>165</v>
      </c>
      <c r="BE528" t="s">
        <v>168</v>
      </c>
    </row>
    <row r="529" spans="1:57" x14ac:dyDescent="0.25">
      <c r="A529" s="18" t="s">
        <v>599</v>
      </c>
      <c r="B529" s="18" t="s">
        <v>5</v>
      </c>
      <c r="C529" s="18" t="s">
        <v>6</v>
      </c>
      <c r="D529" s="18">
        <v>33</v>
      </c>
      <c r="E529" s="18">
        <v>19.946000000000002</v>
      </c>
      <c r="F529" s="18">
        <v>16.512</v>
      </c>
      <c r="G529" s="15">
        <v>5.84</v>
      </c>
      <c r="H529" s="15">
        <v>3.75</v>
      </c>
      <c r="I529" s="15">
        <v>3.83</v>
      </c>
      <c r="J529" s="15">
        <v>20.399999999999999</v>
      </c>
      <c r="K529" s="15">
        <v>23.76</v>
      </c>
      <c r="L529" s="15">
        <v>12</v>
      </c>
      <c r="M529" s="15">
        <v>7.7</v>
      </c>
      <c r="N529" s="15">
        <v>2</v>
      </c>
      <c r="O529" s="15">
        <v>3.12</v>
      </c>
      <c r="P529" s="9">
        <v>0.78698000000000001</v>
      </c>
      <c r="Q529" s="9">
        <v>1.2079599999999999</v>
      </c>
      <c r="R529" s="9">
        <v>0.24324299999999999</v>
      </c>
      <c r="S529" s="9">
        <v>4.93433E-2</v>
      </c>
      <c r="T529" s="9">
        <v>5.7745199999999997E-2</v>
      </c>
      <c r="U529" s="9">
        <v>6.4154199999999998E-3</v>
      </c>
      <c r="V529" s="9">
        <v>5.7588800000000004</v>
      </c>
      <c r="W529" s="9">
        <v>4.7674399999999997</v>
      </c>
      <c r="X529" s="9">
        <v>3.7518799999999999</v>
      </c>
      <c r="Y529" s="9">
        <v>63.533000000000001</v>
      </c>
      <c r="Z529" s="9">
        <v>61.594299999999997</v>
      </c>
      <c r="AA529" s="9">
        <f t="shared" si="87"/>
        <v>1.2447624020887726</v>
      </c>
      <c r="AB529" s="9">
        <f t="shared" si="88"/>
        <v>1.5248041775456918</v>
      </c>
      <c r="AC529" s="9">
        <f t="shared" si="89"/>
        <v>0.97911227154046998</v>
      </c>
      <c r="AD529" s="9">
        <f t="shared" si="90"/>
        <v>3.185250175473779</v>
      </c>
      <c r="AE529" s="9">
        <f t="shared" si="91"/>
        <v>3.0880527424044919</v>
      </c>
      <c r="AF529" s="9">
        <f t="shared" si="92"/>
        <v>4.0735433938127992</v>
      </c>
      <c r="AG529" s="9">
        <f t="shared" si="84"/>
        <v>2.5197239908017486</v>
      </c>
      <c r="AH529" s="9">
        <f t="shared" si="83"/>
        <v>0.95881133461442936</v>
      </c>
      <c r="AI529" s="9">
        <f t="shared" si="85"/>
        <v>2.4499128647020982</v>
      </c>
      <c r="AJ529" s="9">
        <f>(4*PI()*(AI529^2))/(Y529+E529)</f>
        <v>0.90351195310570842</v>
      </c>
      <c r="AK529" s="12">
        <f t="shared" si="86"/>
        <v>1.2275641025641026</v>
      </c>
      <c r="AL529" s="12" t="s">
        <v>144</v>
      </c>
      <c r="AM529" s="12" t="s">
        <v>143</v>
      </c>
      <c r="AN529" s="18">
        <v>13.659000000000001</v>
      </c>
      <c r="AO529" s="18">
        <v>1.052</v>
      </c>
      <c r="AP529" s="18">
        <v>21518</v>
      </c>
      <c r="AQ529" s="18">
        <v>21647</v>
      </c>
      <c r="AR529" s="18">
        <v>6.6052999999999997</v>
      </c>
      <c r="AS529" s="18">
        <v>4.8709000000000002E-2</v>
      </c>
      <c r="AT529" s="18">
        <v>0.60518000000000005</v>
      </c>
      <c r="AU529" s="18">
        <v>0.32461000000000001</v>
      </c>
      <c r="AV529" s="18">
        <v>1.9900000000000001E-2</v>
      </c>
      <c r="AW529" s="18">
        <v>2.7902E-2</v>
      </c>
      <c r="AX529" s="18">
        <v>0.54774</v>
      </c>
      <c r="AY529" s="18">
        <v>4.4363000000000001</v>
      </c>
      <c r="AZ529" s="18">
        <v>27453</v>
      </c>
      <c r="BA529" s="18">
        <v>1.2120000000000001E-2</v>
      </c>
      <c r="BB529" s="18">
        <v>3.9068000000000001</v>
      </c>
      <c r="BC529" s="18" t="s">
        <v>162</v>
      </c>
      <c r="BD529" s="35" t="s">
        <v>165</v>
      </c>
      <c r="BE529" t="s">
        <v>167</v>
      </c>
    </row>
    <row r="530" spans="1:57" x14ac:dyDescent="0.25">
      <c r="A530" s="18" t="s">
        <v>600</v>
      </c>
      <c r="B530" s="18" t="s">
        <v>26</v>
      </c>
      <c r="C530" s="18" t="s">
        <v>6</v>
      </c>
      <c r="D530" s="18">
        <v>46</v>
      </c>
      <c r="E530" s="18">
        <v>5.819</v>
      </c>
      <c r="F530" s="18">
        <v>8.7459000000000007</v>
      </c>
      <c r="G530" s="15">
        <v>5.35</v>
      </c>
      <c r="H530" s="15">
        <v>4.5999999999999996</v>
      </c>
      <c r="I530" s="15">
        <v>1.89</v>
      </c>
      <c r="J530" s="15">
        <v>64.05</v>
      </c>
      <c r="K530" s="15">
        <v>56.01</v>
      </c>
      <c r="L530" s="15">
        <v>39.590000000000003</v>
      </c>
      <c r="M530" s="15">
        <v>3.8</v>
      </c>
      <c r="N530" s="15">
        <v>3</v>
      </c>
      <c r="O530" s="15">
        <v>4.4399999999999995</v>
      </c>
      <c r="P530" s="9">
        <v>1.71119</v>
      </c>
      <c r="Q530" s="9">
        <v>1.1507799999999999</v>
      </c>
      <c r="R530" s="9">
        <v>0.236264</v>
      </c>
      <c r="S530" s="9">
        <v>0.178013</v>
      </c>
      <c r="T530" s="9">
        <v>0.19212799999999999</v>
      </c>
      <c r="U530" s="9">
        <v>4.5941799999999998E-2</v>
      </c>
      <c r="V530" s="9">
        <v>3.0939399999999999</v>
      </c>
      <c r="W530" s="9">
        <v>2.6885599999999998</v>
      </c>
      <c r="X530" s="9">
        <v>4.6006400000000003</v>
      </c>
      <c r="Y530" s="9">
        <v>36.970599999999997</v>
      </c>
      <c r="Z530" s="9">
        <v>21.706399999999999</v>
      </c>
      <c r="AA530" s="9">
        <f t="shared" si="87"/>
        <v>1.4225185185185185</v>
      </c>
      <c r="AB530" s="9">
        <f t="shared" si="88"/>
        <v>2.8306878306878307</v>
      </c>
      <c r="AC530" s="9">
        <f t="shared" si="89"/>
        <v>2.4338624338624339</v>
      </c>
      <c r="AD530" s="9">
        <f t="shared" si="90"/>
        <v>6.3534284241278565</v>
      </c>
      <c r="AE530" s="9">
        <f t="shared" si="91"/>
        <v>3.7302629317752189</v>
      </c>
      <c r="AF530" s="9">
        <f t="shared" si="92"/>
        <v>4.7511414933559371</v>
      </c>
      <c r="AG530" s="9">
        <f t="shared" si="84"/>
        <v>1.3609721627217355</v>
      </c>
      <c r="AH530" s="9">
        <f t="shared" si="83"/>
        <v>0.97774274760672231</v>
      </c>
      <c r="AI530" s="9">
        <f t="shared" si="85"/>
        <v>1.7304792556733661</v>
      </c>
      <c r="AJ530" s="9">
        <f>(4*PI()*(AI530^2))/(Y530+E530)</f>
        <v>0.87943639022789388</v>
      </c>
      <c r="AK530" s="12">
        <f t="shared" si="86"/>
        <v>0.42567567567567571</v>
      </c>
      <c r="AL530" s="12" t="s">
        <v>140</v>
      </c>
      <c r="AM530" s="12" t="s">
        <v>142</v>
      </c>
      <c r="AN530" s="18">
        <v>6.3635000000000002</v>
      </c>
      <c r="AO530" s="18">
        <v>0.53620999999999996</v>
      </c>
      <c r="AP530" s="18">
        <v>10769</v>
      </c>
      <c r="AQ530" s="18">
        <v>9571</v>
      </c>
      <c r="AR530" s="18">
        <v>3.0550000000000002</v>
      </c>
      <c r="AS530" s="18">
        <v>6.5972000000000001E-3</v>
      </c>
      <c r="AT530" s="18">
        <v>0.73970999999999998</v>
      </c>
      <c r="AU530" s="18">
        <v>0.56189999999999996</v>
      </c>
      <c r="AV530" s="18">
        <v>3.7155000000000001E-2</v>
      </c>
      <c r="AW530" s="18">
        <v>4.8314999999999999E-3</v>
      </c>
      <c r="AX530" s="18">
        <v>0.2349</v>
      </c>
      <c r="AY530" s="18">
        <v>-6.0149999999999997</v>
      </c>
      <c r="AZ530" s="18">
        <v>-1828.9</v>
      </c>
      <c r="BA530" s="18">
        <v>6.2953999999999996E-2</v>
      </c>
      <c r="BB530" s="18">
        <v>9.0730000000000004</v>
      </c>
      <c r="BC530" s="18" t="s">
        <v>162</v>
      </c>
      <c r="BD530" s="35" t="s">
        <v>163</v>
      </c>
      <c r="BE530" t="s">
        <v>168</v>
      </c>
    </row>
    <row r="531" spans="1:57" x14ac:dyDescent="0.25">
      <c r="A531" s="18" t="s">
        <v>601</v>
      </c>
      <c r="B531" s="18" t="s">
        <v>40</v>
      </c>
      <c r="C531" s="18" t="s">
        <v>6</v>
      </c>
      <c r="D531" s="18">
        <v>41</v>
      </c>
      <c r="E531" s="18">
        <v>12.391</v>
      </c>
      <c r="F531" s="18">
        <v>12.619</v>
      </c>
      <c r="G531" s="15">
        <v>11.03</v>
      </c>
      <c r="H531" s="15">
        <v>5.95</v>
      </c>
      <c r="I531" s="15">
        <v>1.96</v>
      </c>
      <c r="J531" s="15">
        <v>76.78</v>
      </c>
      <c r="K531" s="15">
        <v>26.57</v>
      </c>
      <c r="L531" s="15">
        <v>62.17</v>
      </c>
      <c r="M531" s="15">
        <v>9.5</v>
      </c>
      <c r="N531" s="15">
        <v>4</v>
      </c>
      <c r="O531" s="15">
        <v>4.71</v>
      </c>
      <c r="P531" s="9">
        <v>1.5125900000000001</v>
      </c>
      <c r="Q531" s="9">
        <v>2.41595</v>
      </c>
      <c r="R531" s="9">
        <v>-2.99145E-2</v>
      </c>
      <c r="S531" s="9">
        <v>0.24526200000000001</v>
      </c>
      <c r="T531" s="9">
        <v>0.29533399999999999</v>
      </c>
      <c r="U531" s="9">
        <v>0.20388100000000001</v>
      </c>
      <c r="V531" s="9">
        <v>9.4664999999999999</v>
      </c>
      <c r="W531" s="9">
        <v>3.9183300000000001</v>
      </c>
      <c r="X531" s="9">
        <v>5.9268200000000002</v>
      </c>
      <c r="Y531" s="9">
        <v>131.27500000000001</v>
      </c>
      <c r="Z531" s="9">
        <v>118.31399999999999</v>
      </c>
      <c r="AA531" s="9">
        <f t="shared" si="87"/>
        <v>1.9991479591836736</v>
      </c>
      <c r="AB531" s="9">
        <f t="shared" si="88"/>
        <v>5.6275510204081627</v>
      </c>
      <c r="AC531" s="9">
        <f t="shared" si="89"/>
        <v>3.035714285714286</v>
      </c>
      <c r="AD531" s="9">
        <f t="shared" si="90"/>
        <v>10.594383019933824</v>
      </c>
      <c r="AE531" s="9">
        <f t="shared" si="91"/>
        <v>9.5483818900815098</v>
      </c>
      <c r="AF531" s="9">
        <f t="shared" si="92"/>
        <v>5.4470070248405591</v>
      </c>
      <c r="AG531" s="9">
        <f t="shared" si="84"/>
        <v>1.985995417845507</v>
      </c>
      <c r="AH531" s="9">
        <f t="shared" si="83"/>
        <v>0.98885626670361149</v>
      </c>
      <c r="AI531" s="9">
        <f t="shared" si="85"/>
        <v>3.0454338879815395</v>
      </c>
      <c r="AJ531" s="9">
        <f>(4*PI()*(AI531^2))/(Y531+E531)</f>
        <v>0.81124907744467278</v>
      </c>
      <c r="AK531" s="12">
        <f t="shared" si="86"/>
        <v>0.41613588110403399</v>
      </c>
      <c r="AL531" s="12" t="s">
        <v>140</v>
      </c>
      <c r="AM531" s="12" t="s">
        <v>142</v>
      </c>
      <c r="AN531" s="18">
        <v>2.76</v>
      </c>
      <c r="AO531" s="18">
        <v>0.35787000000000002</v>
      </c>
      <c r="AP531" s="18">
        <v>3401.8</v>
      </c>
      <c r="AQ531" s="18">
        <v>3237.4</v>
      </c>
      <c r="AR531" s="18">
        <v>1.5381</v>
      </c>
      <c r="AS531" s="18">
        <v>1.5413E-2</v>
      </c>
      <c r="AT531" s="18">
        <v>0.66903000000000001</v>
      </c>
      <c r="AU531" s="18">
        <v>4.5625999999999998</v>
      </c>
      <c r="AV531" s="18">
        <v>0.37368000000000001</v>
      </c>
      <c r="AW531" s="18">
        <v>9.6328000000000004E-3</v>
      </c>
      <c r="AX531" s="18">
        <v>0.12388</v>
      </c>
      <c r="AY531" s="18">
        <v>-7.6680999999999999</v>
      </c>
      <c r="AZ531" s="18">
        <v>-482.35</v>
      </c>
      <c r="BA531" s="18">
        <v>0.18945999999999999</v>
      </c>
      <c r="BB531" s="18">
        <v>12.385</v>
      </c>
      <c r="BC531" s="18" t="s">
        <v>162</v>
      </c>
      <c r="BD531" s="35" t="s">
        <v>165</v>
      </c>
      <c r="BE531" t="s">
        <v>168</v>
      </c>
    </row>
    <row r="532" spans="1:57" x14ac:dyDescent="0.25">
      <c r="A532" s="18" t="s">
        <v>602</v>
      </c>
      <c r="B532" s="18" t="s">
        <v>13</v>
      </c>
      <c r="C532" s="18" t="s">
        <v>14</v>
      </c>
      <c r="D532" s="18">
        <v>27</v>
      </c>
      <c r="E532" s="18">
        <v>8.2392000000000003</v>
      </c>
      <c r="F532" s="18">
        <v>10.371</v>
      </c>
      <c r="G532" s="15">
        <v>5.69</v>
      </c>
      <c r="H532" s="15">
        <v>4.05</v>
      </c>
      <c r="I532" s="15">
        <v>1.47</v>
      </c>
      <c r="J532" s="15">
        <v>104.68</v>
      </c>
      <c r="K532" s="15">
        <v>39.4</v>
      </c>
      <c r="L532" s="15">
        <v>24.38</v>
      </c>
      <c r="M532" s="15">
        <v>4.4000000000000004</v>
      </c>
      <c r="N532" s="15">
        <v>1</v>
      </c>
      <c r="O532" s="15">
        <v>1.29</v>
      </c>
      <c r="P532" s="9">
        <v>1.2776400000000001</v>
      </c>
      <c r="Q532" s="9">
        <v>1.2697099999999999</v>
      </c>
      <c r="R532" s="9">
        <v>3.7499999999999999E-2</v>
      </c>
      <c r="S532" s="9">
        <v>0.15410199999999999</v>
      </c>
      <c r="T532" s="9">
        <v>0.18324699999999999</v>
      </c>
      <c r="U532" s="9">
        <v>9.1893699999999995E-2</v>
      </c>
      <c r="V532" s="9">
        <v>4.0480200000000002</v>
      </c>
      <c r="W532" s="9">
        <v>3.1881499999999998</v>
      </c>
      <c r="X532" s="9">
        <v>4.0733100000000002</v>
      </c>
      <c r="Y532" s="9">
        <v>43.247700000000002</v>
      </c>
      <c r="Z532" s="9">
        <v>27.917100000000001</v>
      </c>
      <c r="AA532" s="9">
        <f t="shared" si="87"/>
        <v>2.1688095238095237</v>
      </c>
      <c r="AB532" s="9">
        <f t="shared" si="88"/>
        <v>3.8707482993197284</v>
      </c>
      <c r="AC532" s="9">
        <f t="shared" si="89"/>
        <v>2.7551020408163263</v>
      </c>
      <c r="AD532" s="9">
        <f t="shared" si="90"/>
        <v>5.2490168948441598</v>
      </c>
      <c r="AE532" s="9">
        <f t="shared" si="91"/>
        <v>3.3883265365569475</v>
      </c>
      <c r="AF532" s="9">
        <f t="shared" si="92"/>
        <v>4.6994764860718119</v>
      </c>
      <c r="AG532" s="9">
        <f t="shared" si="84"/>
        <v>1.6194501579997727</v>
      </c>
      <c r="AH532" s="9">
        <f t="shared" si="83"/>
        <v>0.98113059863598795</v>
      </c>
      <c r="AI532" s="9">
        <f t="shared" si="85"/>
        <v>1.8818885402910721</v>
      </c>
      <c r="AJ532" s="9">
        <f>(4*PI()*(AI532^2))/(Y532+E532)</f>
        <v>0.86437244821404335</v>
      </c>
      <c r="AK532" s="12">
        <f t="shared" si="86"/>
        <v>1.1395348837209303</v>
      </c>
      <c r="AL532" s="12" t="s">
        <v>140</v>
      </c>
      <c r="AM532" s="12" t="s">
        <v>143</v>
      </c>
      <c r="AN532" s="18">
        <v>3.6314000000000002</v>
      </c>
      <c r="AO532" s="18">
        <v>0.25857000000000002</v>
      </c>
      <c r="AP532" s="18">
        <v>5065.8999999999996</v>
      </c>
      <c r="AQ532" s="18">
        <v>4819</v>
      </c>
      <c r="AR532" s="18">
        <v>1.7048000000000001</v>
      </c>
      <c r="AS532" s="18">
        <v>8.1163999999999993E-3</v>
      </c>
      <c r="AT532" s="18">
        <v>0.74429999999999996</v>
      </c>
      <c r="AU532" s="18">
        <v>1.4103000000000001</v>
      </c>
      <c r="AV532" s="18">
        <v>0.36320000000000002</v>
      </c>
      <c r="AW532" s="18">
        <v>6.0191000000000003E-3</v>
      </c>
      <c r="AX532" s="18">
        <v>0.15431</v>
      </c>
      <c r="AY532" s="18">
        <v>-11.132</v>
      </c>
      <c r="AZ532" s="18">
        <v>-1662.5</v>
      </c>
      <c r="BA532" s="18">
        <v>6.0519999999999997E-2</v>
      </c>
      <c r="BB532" s="18">
        <v>10.388999999999999</v>
      </c>
      <c r="BC532" s="18" t="s">
        <v>164</v>
      </c>
      <c r="BD532" s="35" t="s">
        <v>165</v>
      </c>
      <c r="BE532" t="s">
        <v>168</v>
      </c>
    </row>
    <row r="533" spans="1:57" x14ac:dyDescent="0.25">
      <c r="A533" s="18" t="s">
        <v>603</v>
      </c>
      <c r="B533" s="18" t="s">
        <v>5</v>
      </c>
      <c r="C533" s="18" t="s">
        <v>6</v>
      </c>
      <c r="D533" s="18">
        <v>48</v>
      </c>
      <c r="E533" s="18">
        <v>4.9486999999999997</v>
      </c>
      <c r="F533" s="18">
        <v>8.0596999999999994</v>
      </c>
      <c r="G533" s="15">
        <v>3.5</v>
      </c>
      <c r="H533" s="15">
        <v>2.15</v>
      </c>
      <c r="I533" s="15">
        <v>2.97</v>
      </c>
      <c r="J533" s="15">
        <v>133.9</v>
      </c>
      <c r="K533" s="15">
        <v>26.57</v>
      </c>
      <c r="L533" s="15">
        <v>17.78</v>
      </c>
      <c r="M533" s="15">
        <v>3.2</v>
      </c>
      <c r="N533" s="15">
        <v>2</v>
      </c>
      <c r="O533" s="15">
        <v>4.66</v>
      </c>
      <c r="P533" s="9">
        <v>0.885656</v>
      </c>
      <c r="Q533" s="9">
        <v>1.31149</v>
      </c>
      <c r="R533" s="9">
        <v>-4.7619000000000002E-2</v>
      </c>
      <c r="S533" s="9">
        <v>9.6481499999999998E-2</v>
      </c>
      <c r="T533" s="9">
        <v>0.11772000000000001</v>
      </c>
      <c r="U533" s="9">
        <v>3.5987600000000002E-2</v>
      </c>
      <c r="V533" s="9">
        <v>3.22939</v>
      </c>
      <c r="W533" s="9">
        <v>2.46238</v>
      </c>
      <c r="X533" s="9">
        <v>2.1808200000000002</v>
      </c>
      <c r="Y533" s="9">
        <v>19.8063</v>
      </c>
      <c r="Z533" s="9">
        <v>9.7141400000000004</v>
      </c>
      <c r="AA533" s="9">
        <f t="shared" si="87"/>
        <v>0.82908417508417498</v>
      </c>
      <c r="AB533" s="9">
        <f t="shared" si="88"/>
        <v>1.1784511784511784</v>
      </c>
      <c r="AC533" s="9">
        <f t="shared" si="89"/>
        <v>0.72390572390572383</v>
      </c>
      <c r="AD533" s="9">
        <f t="shared" si="90"/>
        <v>4.0023238426253362</v>
      </c>
      <c r="AE533" s="9">
        <f t="shared" si="91"/>
        <v>1.9629680522157336</v>
      </c>
      <c r="AF533" s="9">
        <f t="shared" si="92"/>
        <v>4.3504459840057166</v>
      </c>
      <c r="AG533" s="9">
        <f t="shared" si="84"/>
        <v>1.2550777401251783</v>
      </c>
      <c r="AH533" s="9">
        <f t="shared" si="83"/>
        <v>0.97843418689562633</v>
      </c>
      <c r="AI533" s="9">
        <f t="shared" si="85"/>
        <v>1.3236461973189084</v>
      </c>
      <c r="AJ533" s="9">
        <f>(4*PI()*(AI533^2))/(Y533+E533)</f>
        <v>0.88938697708506331</v>
      </c>
      <c r="AK533" s="12">
        <f t="shared" si="86"/>
        <v>0.63733905579399142</v>
      </c>
      <c r="AL533" s="12" t="s">
        <v>144</v>
      </c>
      <c r="AM533" s="12" t="s">
        <v>143</v>
      </c>
      <c r="AN533" s="18">
        <v>12.347</v>
      </c>
      <c r="AO533" s="18">
        <v>1.0624</v>
      </c>
      <c r="AP533" s="18">
        <v>23794</v>
      </c>
      <c r="AQ533" s="18">
        <v>23352</v>
      </c>
      <c r="AR533" s="18">
        <v>6.0377999999999998</v>
      </c>
      <c r="AS533" s="18">
        <v>2.4740999999999999E-3</v>
      </c>
      <c r="AT533" s="18">
        <v>0.76192000000000004</v>
      </c>
      <c r="AU533" s="18">
        <v>0.26834999999999998</v>
      </c>
      <c r="AV533" s="18">
        <v>0</v>
      </c>
      <c r="AW533" s="18">
        <v>1.8511999999999999E-3</v>
      </c>
      <c r="AX533" s="18">
        <v>0.32027</v>
      </c>
      <c r="AY533" s="18">
        <v>1.2969999999999999</v>
      </c>
      <c r="AZ533" s="18">
        <v>488.42</v>
      </c>
      <c r="BA533" s="18">
        <v>1.8748000000000001E-2</v>
      </c>
      <c r="BB533" s="18">
        <v>13.865</v>
      </c>
      <c r="BC533" s="18" t="s">
        <v>162</v>
      </c>
      <c r="BD533" s="35" t="s">
        <v>163</v>
      </c>
      <c r="BE533" t="s">
        <v>167</v>
      </c>
    </row>
    <row r="534" spans="1:57" x14ac:dyDescent="0.25">
      <c r="A534" s="18" t="s">
        <v>604</v>
      </c>
      <c r="B534" s="18" t="s">
        <v>5</v>
      </c>
      <c r="C534" s="18" t="s">
        <v>6</v>
      </c>
      <c r="D534" s="18">
        <v>48</v>
      </c>
      <c r="E534" s="18">
        <v>42.015000000000001</v>
      </c>
      <c r="F534" s="18">
        <v>23.498000000000001</v>
      </c>
      <c r="G534" s="15">
        <v>18.13</v>
      </c>
      <c r="H534" s="15">
        <v>11.9</v>
      </c>
      <c r="I534" s="15">
        <v>2.92</v>
      </c>
      <c r="J534" s="15">
        <v>44.57</v>
      </c>
      <c r="K534" s="15">
        <v>24.76</v>
      </c>
      <c r="L534" s="15">
        <v>26.22</v>
      </c>
      <c r="M534" s="15">
        <v>10.6</v>
      </c>
      <c r="N534" s="15">
        <v>1</v>
      </c>
      <c r="O534" s="15">
        <v>2.2000000000000002</v>
      </c>
      <c r="P534" s="9">
        <v>1.6552100000000001</v>
      </c>
      <c r="Q534" s="9">
        <v>2.3588300000000002</v>
      </c>
      <c r="R534" s="9">
        <v>-1.0548500000000001E-2</v>
      </c>
      <c r="S534" s="9">
        <v>0.20998600000000001</v>
      </c>
      <c r="T534" s="9">
        <v>0.224381</v>
      </c>
      <c r="U534" s="9">
        <v>5.3713900000000002E-2</v>
      </c>
      <c r="V534" s="9">
        <v>16.9968</v>
      </c>
      <c r="W534" s="9">
        <v>7.2055999999999996</v>
      </c>
      <c r="X534" s="9">
        <v>11.9268</v>
      </c>
      <c r="Y534" s="9">
        <v>544.94399999999996</v>
      </c>
      <c r="Z534" s="9">
        <v>1155.55</v>
      </c>
      <c r="AA534" s="9">
        <f t="shared" si="87"/>
        <v>2.4676712328767123</v>
      </c>
      <c r="AB534" s="9">
        <f t="shared" si="88"/>
        <v>6.2089041095890405</v>
      </c>
      <c r="AC534" s="9">
        <f t="shared" si="89"/>
        <v>4.0753424657534252</v>
      </c>
      <c r="AD534" s="9">
        <f t="shared" si="90"/>
        <v>12.970224919671544</v>
      </c>
      <c r="AE534" s="9">
        <f t="shared" si="91"/>
        <v>27.503272640723548</v>
      </c>
      <c r="AF534" s="9">
        <f t="shared" si="92"/>
        <v>4.9487180852471173</v>
      </c>
      <c r="AG534" s="9">
        <f t="shared" si="84"/>
        <v>3.6570192600001392</v>
      </c>
      <c r="AH534" s="9">
        <f t="shared" si="83"/>
        <v>0.9778589532090235</v>
      </c>
      <c r="AI534" s="9">
        <f t="shared" si="85"/>
        <v>6.5097859832030673</v>
      </c>
      <c r="AJ534" s="9">
        <f>(4*PI()*(AI534^2))/(Y534+E534)</f>
        <v>0.90726784609121247</v>
      </c>
      <c r="AK534" s="12">
        <f t="shared" si="86"/>
        <v>1.3272727272727272</v>
      </c>
      <c r="AL534" s="12" t="s">
        <v>140</v>
      </c>
      <c r="AM534" s="12" t="s">
        <v>143</v>
      </c>
      <c r="AN534" s="18">
        <v>1.5785</v>
      </c>
      <c r="AO534" s="18">
        <v>0.13103000000000001</v>
      </c>
      <c r="AP534" s="18">
        <v>1345.2</v>
      </c>
      <c r="AQ534" s="18">
        <v>1235.5</v>
      </c>
      <c r="AR534" s="18">
        <v>1.3182</v>
      </c>
      <c r="AS534" s="18">
        <v>0.12881999999999999</v>
      </c>
      <c r="AT534" s="18">
        <v>0.53500000000000003</v>
      </c>
      <c r="AU534" s="18">
        <v>3.456</v>
      </c>
      <c r="AV534" s="18">
        <v>0.60697000000000001</v>
      </c>
      <c r="AW534" s="18">
        <v>0.10906</v>
      </c>
      <c r="AX534" s="18">
        <v>0.13195000000000001</v>
      </c>
      <c r="AY534" s="18">
        <v>-27.216000000000001</v>
      </c>
      <c r="AZ534" s="18">
        <v>-1102.7</v>
      </c>
      <c r="BA534" s="18">
        <v>0.45801999999999998</v>
      </c>
      <c r="BB534" s="18">
        <v>3.7002999999999999</v>
      </c>
      <c r="BC534" s="18" t="s">
        <v>164</v>
      </c>
      <c r="BD534" s="35" t="s">
        <v>165</v>
      </c>
      <c r="BE534" t="s">
        <v>168</v>
      </c>
    </row>
    <row r="535" spans="1:57" x14ac:dyDescent="0.25">
      <c r="A535" s="18" t="s">
        <v>605</v>
      </c>
      <c r="B535" s="18" t="s">
        <v>13</v>
      </c>
      <c r="C535" s="18" t="s">
        <v>6</v>
      </c>
      <c r="D535" s="18">
        <v>55</v>
      </c>
      <c r="E535" s="18">
        <v>4.8632999999999997</v>
      </c>
      <c r="F535" s="18">
        <v>8.2093000000000007</v>
      </c>
      <c r="G535" s="15">
        <v>3.88</v>
      </c>
      <c r="H535" s="15">
        <v>2.1</v>
      </c>
      <c r="I535" s="15">
        <v>1.53</v>
      </c>
      <c r="J535" s="15">
        <v>49.67</v>
      </c>
      <c r="K535" s="15">
        <v>25.4</v>
      </c>
      <c r="L535" s="15">
        <v>66.790000000000006</v>
      </c>
      <c r="M535" s="15">
        <v>2.95</v>
      </c>
      <c r="N535" s="15">
        <v>2</v>
      </c>
      <c r="O535" s="15">
        <v>1.6</v>
      </c>
      <c r="P535" s="9">
        <v>0.89669500000000002</v>
      </c>
      <c r="Q535" s="9">
        <v>1.55078</v>
      </c>
      <c r="R535" s="9">
        <v>6.0975599999999998E-2</v>
      </c>
      <c r="S535" s="9">
        <v>0.12390900000000001</v>
      </c>
      <c r="T535" s="9">
        <v>0.143396</v>
      </c>
      <c r="U535" s="9">
        <v>4.0590500000000002E-2</v>
      </c>
      <c r="V535" s="9">
        <v>3.6734800000000001</v>
      </c>
      <c r="W535" s="9">
        <v>2.3687999999999998</v>
      </c>
      <c r="X535" s="9">
        <v>2.1240899999999998</v>
      </c>
      <c r="Y535" s="9">
        <v>22.378399999999999</v>
      </c>
      <c r="Z535" s="9">
        <v>11.161</v>
      </c>
      <c r="AA535" s="9">
        <f t="shared" si="87"/>
        <v>1.5482352941176469</v>
      </c>
      <c r="AB535" s="9">
        <f t="shared" si="88"/>
        <v>2.5359477124183005</v>
      </c>
      <c r="AC535" s="9">
        <f t="shared" si="89"/>
        <v>1.3725490196078431</v>
      </c>
      <c r="AD535" s="9">
        <f t="shared" si="90"/>
        <v>4.6014845886537952</v>
      </c>
      <c r="AE535" s="9">
        <f t="shared" si="91"/>
        <v>2.2949437624658153</v>
      </c>
      <c r="AF535" s="9">
        <f t="shared" si="92"/>
        <v>4.4808488420090384</v>
      </c>
      <c r="AG535" s="9">
        <f t="shared" si="84"/>
        <v>1.2442011370665231</v>
      </c>
      <c r="AH535" s="9">
        <f t="shared" si="83"/>
        <v>0.95227928125327521</v>
      </c>
      <c r="AI535" s="9">
        <f t="shared" si="85"/>
        <v>1.3863455719816455</v>
      </c>
      <c r="AJ535" s="9">
        <f>(4*PI()*(AI535^2))/(Y535+E535)</f>
        <v>0.8865814847328759</v>
      </c>
      <c r="AK535" s="12">
        <f t="shared" si="86"/>
        <v>0.95624999999999993</v>
      </c>
      <c r="AL535" s="12" t="s">
        <v>140</v>
      </c>
      <c r="AM535" s="12" t="s">
        <v>142</v>
      </c>
      <c r="AN535" s="18">
        <v>3.6734</v>
      </c>
      <c r="AO535" s="18">
        <v>0.36523</v>
      </c>
      <c r="AP535" s="18">
        <v>7768.9</v>
      </c>
      <c r="AQ535" s="18">
        <v>8315.1</v>
      </c>
      <c r="AR535" s="18">
        <v>1.6</v>
      </c>
      <c r="AS535" s="18">
        <v>7.5659999999999998E-3</v>
      </c>
      <c r="AT535" s="18">
        <v>0.74546000000000001</v>
      </c>
      <c r="AU535" s="18">
        <v>1.2821</v>
      </c>
      <c r="AV535" s="18">
        <v>0.15753</v>
      </c>
      <c r="AW535" s="18">
        <v>7.8332999999999996E-3</v>
      </c>
      <c r="AX535" s="18">
        <v>0.12903000000000001</v>
      </c>
      <c r="AY535" s="18">
        <v>-39.182000000000002</v>
      </c>
      <c r="AZ535" s="18">
        <v>-3180.2</v>
      </c>
      <c r="BA535" s="18">
        <v>6.4822000000000005E-2</v>
      </c>
      <c r="BB535" s="18">
        <v>14.108000000000001</v>
      </c>
      <c r="BC535" s="18" t="s">
        <v>162</v>
      </c>
      <c r="BD535" s="35" t="s">
        <v>163</v>
      </c>
      <c r="BE535" t="s">
        <v>168</v>
      </c>
    </row>
    <row r="536" spans="1:57" x14ac:dyDescent="0.25">
      <c r="A536" s="18" t="s">
        <v>606</v>
      </c>
      <c r="B536" s="18" t="s">
        <v>26</v>
      </c>
      <c r="C536" s="18" t="s">
        <v>6</v>
      </c>
      <c r="D536" s="18">
        <v>49</v>
      </c>
      <c r="E536" s="18">
        <v>16.77</v>
      </c>
      <c r="F536" s="18">
        <v>15.749000000000001</v>
      </c>
      <c r="G536" s="15">
        <v>7.72</v>
      </c>
      <c r="H536" s="15">
        <v>5.75</v>
      </c>
      <c r="I536" s="15">
        <v>2.34</v>
      </c>
      <c r="J536" s="15">
        <v>26.14</v>
      </c>
      <c r="K536" s="15">
        <v>40.9</v>
      </c>
      <c r="L536" s="15">
        <v>66.180000000000007</v>
      </c>
      <c r="M536" s="15">
        <v>6.5</v>
      </c>
      <c r="N536" s="15">
        <v>2</v>
      </c>
      <c r="O536" s="15">
        <v>3.9</v>
      </c>
      <c r="P536" s="9">
        <v>1.3378000000000001</v>
      </c>
      <c r="Q536" s="9">
        <v>1.4474199999999999</v>
      </c>
      <c r="R536" s="9">
        <v>0.29824600000000001</v>
      </c>
      <c r="S536" s="9">
        <v>0.129329</v>
      </c>
      <c r="T536" s="9">
        <v>0.134743</v>
      </c>
      <c r="U536" s="9">
        <v>7.8719500000000008E-3</v>
      </c>
      <c r="V536" s="9">
        <v>6.2340900000000001</v>
      </c>
      <c r="W536" s="9">
        <v>4.3070399999999998</v>
      </c>
      <c r="X536" s="9">
        <v>5.7619600000000002</v>
      </c>
      <c r="Y536" s="9">
        <v>98.315799999999996</v>
      </c>
      <c r="Z536" s="9">
        <v>104.33799999999999</v>
      </c>
      <c r="AA536" s="9">
        <f t="shared" si="87"/>
        <v>1.8406153846153845</v>
      </c>
      <c r="AB536" s="9">
        <f t="shared" si="88"/>
        <v>3.2991452991452994</v>
      </c>
      <c r="AC536" s="9">
        <f t="shared" si="89"/>
        <v>2.4572649572649574</v>
      </c>
      <c r="AD536" s="9">
        <f t="shared" si="90"/>
        <v>5.862599880739416</v>
      </c>
      <c r="AE536" s="9">
        <f t="shared" si="91"/>
        <v>6.2217054263565892</v>
      </c>
      <c r="AF536" s="9">
        <f t="shared" si="92"/>
        <v>4.4360351524661015</v>
      </c>
      <c r="AG536" s="9">
        <f t="shared" si="84"/>
        <v>2.3104235090784049</v>
      </c>
      <c r="AH536" s="9">
        <f t="shared" si="83"/>
        <v>0.92176132107459097</v>
      </c>
      <c r="AI536" s="9">
        <f t="shared" si="85"/>
        <v>2.9204602498418906</v>
      </c>
      <c r="AJ536" s="9">
        <f>(4*PI()*(AI536^2))/(Y536+E536)</f>
        <v>0.93130239961421435</v>
      </c>
      <c r="AK536" s="12">
        <f t="shared" si="86"/>
        <v>0.6</v>
      </c>
      <c r="AL536" s="12" t="s">
        <v>144</v>
      </c>
      <c r="AM536" s="12" t="s">
        <v>142</v>
      </c>
      <c r="AN536" s="18">
        <v>2.2791999999999999</v>
      </c>
      <c r="AO536" s="18">
        <v>0.22162000000000001</v>
      </c>
      <c r="AP536" s="18">
        <v>2213.1</v>
      </c>
      <c r="AQ536" s="18">
        <v>1918.8</v>
      </c>
      <c r="AR536" s="18">
        <v>1.2181999999999999</v>
      </c>
      <c r="AS536" s="18">
        <v>1.8974000000000001E-2</v>
      </c>
      <c r="AT536" s="18">
        <v>0.68317000000000005</v>
      </c>
      <c r="AU536" s="18">
        <v>1.5334000000000001</v>
      </c>
      <c r="AV536" s="18">
        <v>0.28033999999999998</v>
      </c>
      <c r="AW536" s="18">
        <v>1.6296999999999999E-2</v>
      </c>
      <c r="AX536" s="18">
        <v>0.10556</v>
      </c>
      <c r="AY536" s="18">
        <v>-348.67</v>
      </c>
      <c r="AZ536" s="18">
        <v>-978.57</v>
      </c>
      <c r="BA536" s="18">
        <v>0.53346000000000005</v>
      </c>
      <c r="BB536" s="18">
        <v>28.401</v>
      </c>
      <c r="BC536" s="18" t="s">
        <v>162</v>
      </c>
      <c r="BD536" s="35" t="s">
        <v>163</v>
      </c>
      <c r="BE536" t="s">
        <v>167</v>
      </c>
    </row>
    <row r="537" spans="1:57" x14ac:dyDescent="0.25">
      <c r="A537" s="18" t="s">
        <v>607</v>
      </c>
      <c r="B537" s="18" t="s">
        <v>26</v>
      </c>
      <c r="C537" s="18" t="s">
        <v>6</v>
      </c>
      <c r="D537" s="18">
        <v>64</v>
      </c>
      <c r="E537" s="18">
        <v>13.228</v>
      </c>
      <c r="F537" s="18">
        <v>13.113</v>
      </c>
      <c r="G537" s="15">
        <v>6.29</v>
      </c>
      <c r="H537" s="15">
        <v>4.3</v>
      </c>
      <c r="I537" s="15">
        <v>2.29</v>
      </c>
      <c r="J537" s="15">
        <v>58.14</v>
      </c>
      <c r="K537" s="15">
        <v>26.37</v>
      </c>
      <c r="L537" s="15">
        <v>73.36</v>
      </c>
      <c r="M537" s="15">
        <v>5.5</v>
      </c>
      <c r="N537" s="15">
        <v>2</v>
      </c>
      <c r="O537" s="15">
        <v>4.21</v>
      </c>
      <c r="P537" s="9">
        <v>1.0749200000000001</v>
      </c>
      <c r="Q537" s="9">
        <v>1.37317</v>
      </c>
      <c r="R537" s="9">
        <v>6.4705899999999997E-2</v>
      </c>
      <c r="S537" s="9">
        <v>0.110509</v>
      </c>
      <c r="T537" s="9">
        <v>0.113596</v>
      </c>
      <c r="U537" s="9">
        <v>4.8069300000000001E-3</v>
      </c>
      <c r="V537" s="9">
        <v>5.54643</v>
      </c>
      <c r="W537" s="9">
        <v>4.0391399999999997</v>
      </c>
      <c r="X537" s="9">
        <v>4.3417700000000004</v>
      </c>
      <c r="Y537" s="9">
        <v>67.372900000000001</v>
      </c>
      <c r="Z537" s="9">
        <v>61.371099999999998</v>
      </c>
      <c r="AA537" s="9">
        <f t="shared" si="87"/>
        <v>1.7638165938864627</v>
      </c>
      <c r="AB537" s="9">
        <f t="shared" si="88"/>
        <v>2.7467248908296944</v>
      </c>
      <c r="AC537" s="9">
        <f t="shared" si="89"/>
        <v>1.8777292576419213</v>
      </c>
      <c r="AD537" s="9">
        <f t="shared" si="90"/>
        <v>5.093203810099789</v>
      </c>
      <c r="AE537" s="9">
        <f t="shared" si="91"/>
        <v>4.6394844269730875</v>
      </c>
      <c r="AF537" s="9">
        <f t="shared" si="92"/>
        <v>4.33021343540348</v>
      </c>
      <c r="AG537" s="9">
        <f t="shared" si="84"/>
        <v>2.0519754322211519</v>
      </c>
      <c r="AH537" s="9">
        <f t="shared" si="83"/>
        <v>0.98321832429081235</v>
      </c>
      <c r="AI537" s="9">
        <f t="shared" si="85"/>
        <v>2.4469500234919201</v>
      </c>
      <c r="AJ537" s="9">
        <f>(4*PI()*(AI537^2))/(Y537+E537)</f>
        <v>0.93351257302637158</v>
      </c>
      <c r="AK537" s="12">
        <f t="shared" si="86"/>
        <v>0.5439429928741093</v>
      </c>
      <c r="AL537" s="12" t="s">
        <v>144</v>
      </c>
      <c r="AM537" s="12" t="s">
        <v>142</v>
      </c>
      <c r="AN537" s="18">
        <v>6.2972999999999999</v>
      </c>
      <c r="AO537" s="18">
        <v>0.60724999999999996</v>
      </c>
      <c r="AP537" s="18">
        <v>9084.5</v>
      </c>
      <c r="AQ537" s="18">
        <v>8194.6</v>
      </c>
      <c r="AR537" s="18">
        <v>3.1244000000000001</v>
      </c>
      <c r="AS537" s="18">
        <v>8.9260999999999993E-3</v>
      </c>
      <c r="AT537" s="18">
        <v>0.70843999999999996</v>
      </c>
      <c r="AU537" s="18">
        <v>0.48948000000000003</v>
      </c>
      <c r="AV537" s="18">
        <v>2.7989E-2</v>
      </c>
      <c r="AW537" s="18">
        <v>1.2127000000000001E-2</v>
      </c>
      <c r="AX537" s="18">
        <v>0.21879000000000001</v>
      </c>
      <c r="AY537" s="18">
        <v>-25.100999999999999</v>
      </c>
      <c r="AZ537" s="18">
        <v>-1680.7</v>
      </c>
      <c r="BA537" s="18">
        <v>0.10687000000000001</v>
      </c>
      <c r="BB537" s="18">
        <v>60.057000000000002</v>
      </c>
      <c r="BC537" s="18" t="s">
        <v>162</v>
      </c>
      <c r="BD537" s="35" t="s">
        <v>163</v>
      </c>
      <c r="BE537" t="s">
        <v>167</v>
      </c>
    </row>
    <row r="538" spans="1:57" x14ac:dyDescent="0.25">
      <c r="A538" s="18" t="s">
        <v>608</v>
      </c>
      <c r="B538" s="18" t="s">
        <v>26</v>
      </c>
      <c r="C538" s="18" t="s">
        <v>6</v>
      </c>
      <c r="D538" s="18">
        <v>56</v>
      </c>
      <c r="E538" s="18">
        <v>19.25</v>
      </c>
      <c r="F538" s="18">
        <v>16.437999999999999</v>
      </c>
      <c r="G538" s="15">
        <v>6.82</v>
      </c>
      <c r="H538" s="15">
        <v>3.5</v>
      </c>
      <c r="I538" s="15">
        <v>2.95</v>
      </c>
      <c r="J538" s="15">
        <v>54.83</v>
      </c>
      <c r="K538" s="15">
        <v>16.579999999999998</v>
      </c>
      <c r="L538" s="15">
        <v>64.430000000000007</v>
      </c>
      <c r="M538" s="15">
        <v>6.3</v>
      </c>
      <c r="N538" s="15">
        <v>2</v>
      </c>
      <c r="O538" s="15">
        <v>3.7800000000000002</v>
      </c>
      <c r="P538" s="9">
        <v>0.74601600000000001</v>
      </c>
      <c r="Q538" s="9">
        <v>1.3637900000000001</v>
      </c>
      <c r="R538" s="9">
        <v>0.210145</v>
      </c>
      <c r="S538" s="9">
        <v>7.4318999999999996E-2</v>
      </c>
      <c r="T538" s="9">
        <v>8.3170499999999994E-2</v>
      </c>
      <c r="U538" s="9">
        <v>1.7484599999999999E-2</v>
      </c>
      <c r="V538" s="9">
        <v>6.4579300000000002</v>
      </c>
      <c r="W538" s="9">
        <v>4.73529</v>
      </c>
      <c r="X538" s="9">
        <v>3.5326</v>
      </c>
      <c r="Y538" s="9">
        <v>63.464100000000002</v>
      </c>
      <c r="Z538" s="9">
        <v>59.021999999999998</v>
      </c>
      <c r="AA538" s="9">
        <f t="shared" si="87"/>
        <v>1.6051830508474576</v>
      </c>
      <c r="AB538" s="9">
        <f t="shared" si="88"/>
        <v>2.311864406779661</v>
      </c>
      <c r="AC538" s="9">
        <f t="shared" si="89"/>
        <v>1.1864406779661016</v>
      </c>
      <c r="AD538" s="9">
        <f t="shared" si="90"/>
        <v>3.2968363636363636</v>
      </c>
      <c r="AE538" s="9">
        <f t="shared" si="91"/>
        <v>3.066077922077922</v>
      </c>
      <c r="AF538" s="9">
        <f t="shared" si="92"/>
        <v>4.1865104321853837</v>
      </c>
      <c r="AG538" s="9">
        <f t="shared" si="84"/>
        <v>2.4753717516845768</v>
      </c>
      <c r="AH538" s="9">
        <f t="shared" si="83"/>
        <v>0.94617468183428211</v>
      </c>
      <c r="AI538" s="9">
        <f t="shared" si="85"/>
        <v>2.4153223726102908</v>
      </c>
      <c r="AJ538" s="9">
        <f>(4*PI()*(AI538^2))/(Y538+E538)</f>
        <v>0.88629953963877228</v>
      </c>
      <c r="AK538" s="12">
        <f t="shared" si="86"/>
        <v>0.78042328042328046</v>
      </c>
      <c r="AL538" s="12" t="s">
        <v>144</v>
      </c>
      <c r="AM538" s="12" t="s">
        <v>142</v>
      </c>
      <c r="AN538" s="18">
        <v>9.6142000000000003</v>
      </c>
      <c r="AO538" s="18">
        <v>1.0177</v>
      </c>
      <c r="AP538" s="18">
        <v>10821</v>
      </c>
      <c r="AQ538" s="18">
        <v>10799</v>
      </c>
      <c r="AR538" s="18">
        <v>5.2487000000000004</v>
      </c>
      <c r="AS538" s="18">
        <v>1.1801000000000001E-2</v>
      </c>
      <c r="AT538" s="18">
        <v>0.71406999999999998</v>
      </c>
      <c r="AU538" s="18">
        <v>0.23421</v>
      </c>
      <c r="AV538" s="19">
        <v>8.1134999999999996E-4</v>
      </c>
      <c r="AW538" s="18">
        <v>1.0874999999999999E-2</v>
      </c>
      <c r="AX538" s="18">
        <v>0.30143999999999999</v>
      </c>
      <c r="AY538" s="18">
        <v>-2.7437</v>
      </c>
      <c r="AZ538" s="18">
        <v>-1464.9</v>
      </c>
      <c r="BA538" s="18">
        <v>4.4391E-2</v>
      </c>
      <c r="BB538" s="18">
        <v>22.597000000000001</v>
      </c>
      <c r="BC538" s="18" t="s">
        <v>164</v>
      </c>
      <c r="BD538" s="35" t="s">
        <v>165</v>
      </c>
      <c r="BE538" t="s">
        <v>167</v>
      </c>
    </row>
    <row r="539" spans="1:57" x14ac:dyDescent="0.25">
      <c r="A539" s="18" t="s">
        <v>609</v>
      </c>
      <c r="B539" s="18" t="s">
        <v>26</v>
      </c>
      <c r="C539" s="18" t="s">
        <v>14</v>
      </c>
      <c r="D539" s="18">
        <v>68</v>
      </c>
      <c r="E539" s="18">
        <v>15.686</v>
      </c>
      <c r="F539" s="18">
        <v>14.564</v>
      </c>
      <c r="G539" s="15">
        <v>6.6</v>
      </c>
      <c r="H539" s="15">
        <v>4.7</v>
      </c>
      <c r="I539" s="15">
        <v>2.23</v>
      </c>
      <c r="J539" s="15">
        <v>76.03</v>
      </c>
      <c r="K539" s="15">
        <v>43.84</v>
      </c>
      <c r="L539" s="15">
        <v>40.369999999999997</v>
      </c>
      <c r="M539" s="15">
        <v>4.9000000000000004</v>
      </c>
      <c r="N539" s="15">
        <v>2</v>
      </c>
      <c r="O539" s="15">
        <v>4.0299999999999994</v>
      </c>
      <c r="P539" s="9">
        <v>1.0911</v>
      </c>
      <c r="Q539" s="9">
        <v>1.20292</v>
      </c>
      <c r="R539" s="9">
        <v>0.17741899999999999</v>
      </c>
      <c r="S539" s="9">
        <v>0.105265</v>
      </c>
      <c r="T539" s="9">
        <v>0.10831499999999999</v>
      </c>
      <c r="U539" s="9">
        <v>5.6189500000000002E-3</v>
      </c>
      <c r="V539" s="9">
        <v>5.2196400000000001</v>
      </c>
      <c r="W539" s="9">
        <v>4.3391200000000003</v>
      </c>
      <c r="X539" s="9">
        <v>4.7344099999999996</v>
      </c>
      <c r="Y539" s="9">
        <v>68.1404</v>
      </c>
      <c r="Z539" s="9">
        <v>62.981499999999997</v>
      </c>
      <c r="AA539" s="9">
        <f t="shared" si="87"/>
        <v>1.9457937219730943</v>
      </c>
      <c r="AB539" s="9">
        <f t="shared" si="88"/>
        <v>2.9596412556053808</v>
      </c>
      <c r="AC539" s="9">
        <f t="shared" si="89"/>
        <v>2.1076233183856505</v>
      </c>
      <c r="AD539" s="9">
        <f t="shared" si="90"/>
        <v>4.3440265204641078</v>
      </c>
      <c r="AE539" s="9">
        <f t="shared" si="91"/>
        <v>4.0151408899655738</v>
      </c>
      <c r="AF539" s="9">
        <f t="shared" si="92"/>
        <v>4.3045657462188656</v>
      </c>
      <c r="AG539" s="9">
        <f t="shared" si="84"/>
        <v>2.2345041675232875</v>
      </c>
      <c r="AH539" s="9">
        <f t="shared" si="83"/>
        <v>0.96400739866890095</v>
      </c>
      <c r="AI539" s="9">
        <f t="shared" si="85"/>
        <v>2.4681684517202558</v>
      </c>
      <c r="AJ539" s="9">
        <f>(4*PI()*(AI539^2))/(Y539+E539)</f>
        <v>0.91322678796136469</v>
      </c>
      <c r="AK539" s="12">
        <f t="shared" si="86"/>
        <v>0.55334987593052121</v>
      </c>
      <c r="AL539" s="12" t="s">
        <v>144</v>
      </c>
      <c r="AM539" s="12" t="s">
        <v>142</v>
      </c>
      <c r="AN539" s="18">
        <v>4.7504</v>
      </c>
      <c r="AO539" s="18">
        <v>0.57828000000000002</v>
      </c>
      <c r="AP539" s="18">
        <v>5434.4</v>
      </c>
      <c r="AQ539" s="18">
        <v>4888.8</v>
      </c>
      <c r="AR539" s="18">
        <v>2.3456000000000001</v>
      </c>
      <c r="AS539" s="18">
        <v>5.0222000000000001E-3</v>
      </c>
      <c r="AT539" s="18">
        <v>0.748</v>
      </c>
      <c r="AU539" s="18">
        <v>0.56781000000000004</v>
      </c>
      <c r="AV539" s="18">
        <v>8.5324000000000007E-3</v>
      </c>
      <c r="AW539" s="18">
        <v>1.1542999999999999E-2</v>
      </c>
      <c r="AX539" s="18">
        <v>0.17827000000000001</v>
      </c>
      <c r="AY539" s="18">
        <v>-11.709</v>
      </c>
      <c r="AZ539" s="18">
        <v>-805.43</v>
      </c>
      <c r="BA539" s="18">
        <v>9.4060000000000005E-2</v>
      </c>
      <c r="BB539" s="18">
        <v>25.738</v>
      </c>
      <c r="BC539" s="18" t="s">
        <v>162</v>
      </c>
      <c r="BD539" s="35" t="s">
        <v>165</v>
      </c>
      <c r="BE539" t="s">
        <v>167</v>
      </c>
    </row>
    <row r="540" spans="1:57" x14ac:dyDescent="0.25">
      <c r="A540" s="18" t="s">
        <v>610</v>
      </c>
      <c r="B540" s="18" t="s">
        <v>13</v>
      </c>
      <c r="C540" s="18" t="s">
        <v>14</v>
      </c>
      <c r="D540" s="18">
        <v>62</v>
      </c>
      <c r="E540" s="18">
        <v>20.324000000000002</v>
      </c>
      <c r="F540" s="18">
        <v>16.361000000000001</v>
      </c>
      <c r="G540" s="15">
        <v>7.45</v>
      </c>
      <c r="H540" s="15">
        <v>5.9</v>
      </c>
      <c r="I540" s="15">
        <v>2.17</v>
      </c>
      <c r="J540" s="15">
        <v>90.71</v>
      </c>
      <c r="K540" s="15">
        <v>32.26</v>
      </c>
      <c r="L540" s="15">
        <v>49.04</v>
      </c>
      <c r="M540" s="15">
        <v>5.4</v>
      </c>
      <c r="N540" s="15">
        <v>2</v>
      </c>
      <c r="O540" s="15">
        <v>3.31</v>
      </c>
      <c r="P540" s="9">
        <v>1.18723</v>
      </c>
      <c r="Q540" s="9">
        <v>1.3015099999999999</v>
      </c>
      <c r="R540" s="9">
        <v>0.20085500000000001</v>
      </c>
      <c r="S540" s="9">
        <v>0.12246</v>
      </c>
      <c r="T540" s="9">
        <v>0.166769</v>
      </c>
      <c r="U540" s="9">
        <v>7.7507099999999995E-2</v>
      </c>
      <c r="V540" s="9">
        <v>6.5201399999999996</v>
      </c>
      <c r="W540" s="9">
        <v>5.0096600000000002</v>
      </c>
      <c r="X540" s="9">
        <v>5.9476300000000002</v>
      </c>
      <c r="Y540" s="9">
        <v>94.051599999999993</v>
      </c>
      <c r="Z540" s="9">
        <v>92.254099999999994</v>
      </c>
      <c r="AA540" s="9">
        <f t="shared" si="87"/>
        <v>2.3085990783410142</v>
      </c>
      <c r="AB540" s="9">
        <f t="shared" si="88"/>
        <v>3.4331797235023043</v>
      </c>
      <c r="AC540" s="9">
        <f t="shared" si="89"/>
        <v>2.7188940092165903</v>
      </c>
      <c r="AD540" s="9">
        <f t="shared" si="90"/>
        <v>4.6276126746703401</v>
      </c>
      <c r="AE540" s="9">
        <f t="shared" si="91"/>
        <v>4.5391704388899816</v>
      </c>
      <c r="AF540" s="9">
        <f t="shared" si="92"/>
        <v>4.6065494464888221</v>
      </c>
      <c r="AG540" s="9">
        <f t="shared" si="84"/>
        <v>2.5434877878219431</v>
      </c>
      <c r="AH540" s="9">
        <f t="shared" si="83"/>
        <v>0.97678657156858018</v>
      </c>
      <c r="AI540" s="9">
        <f t="shared" si="85"/>
        <v>2.8030597526815049</v>
      </c>
      <c r="AJ540" s="9">
        <f>(4*PI()*(AI540^2))/(Y540+E540)</f>
        <v>0.86325914956210092</v>
      </c>
      <c r="AK540" s="12">
        <f t="shared" si="86"/>
        <v>0.65558912386706947</v>
      </c>
      <c r="AL540" s="12" t="s">
        <v>140</v>
      </c>
      <c r="AM540" s="12" t="s">
        <v>142</v>
      </c>
      <c r="AN540" s="18">
        <v>3.2966000000000002</v>
      </c>
      <c r="AO540" s="18">
        <v>0.38768999999999998</v>
      </c>
      <c r="AP540" s="18">
        <v>5114.3</v>
      </c>
      <c r="AQ540" s="18">
        <v>4723</v>
      </c>
      <c r="AR540" s="18">
        <v>1.7907999999999999</v>
      </c>
      <c r="AS540" s="18">
        <v>1.7731E-2</v>
      </c>
      <c r="AT540" s="18">
        <v>0.70620000000000005</v>
      </c>
      <c r="AU540" s="18">
        <v>2.1913999999999998</v>
      </c>
      <c r="AV540" s="18">
        <v>0.31648999999999999</v>
      </c>
      <c r="AW540" s="18">
        <v>1.745E-2</v>
      </c>
      <c r="AX540" s="18">
        <v>0.12485</v>
      </c>
      <c r="AY540" s="18">
        <v>-20.071000000000002</v>
      </c>
      <c r="AZ540" s="18">
        <v>-692.45</v>
      </c>
      <c r="BA540" s="18">
        <v>0.13567000000000001</v>
      </c>
      <c r="BB540" s="18">
        <v>32.976999999999997</v>
      </c>
      <c r="BC540" s="18" t="s">
        <v>162</v>
      </c>
      <c r="BD540" s="35" t="s">
        <v>165</v>
      </c>
      <c r="BE540" t="s">
        <v>167</v>
      </c>
    </row>
    <row r="541" spans="1:57" x14ac:dyDescent="0.25">
      <c r="A541" s="18" t="s">
        <v>611</v>
      </c>
      <c r="B541" s="18" t="s">
        <v>13</v>
      </c>
      <c r="C541" s="18" t="s">
        <v>6</v>
      </c>
      <c r="D541" s="18">
        <v>65</v>
      </c>
      <c r="E541" s="18">
        <v>7.2721</v>
      </c>
      <c r="F541" s="18">
        <v>9.7559000000000005</v>
      </c>
      <c r="G541" s="15">
        <v>8.2899999999999991</v>
      </c>
      <c r="H541" s="15">
        <v>8.0500000000000007</v>
      </c>
      <c r="I541" s="15">
        <v>1.41</v>
      </c>
      <c r="J541" s="15">
        <v>23.53</v>
      </c>
      <c r="K541" s="15">
        <v>75.42</v>
      </c>
      <c r="L541" s="15">
        <v>75.22</v>
      </c>
      <c r="M541" s="15">
        <v>4.4000000000000004</v>
      </c>
      <c r="N541" s="15">
        <v>2</v>
      </c>
      <c r="O541" s="15">
        <v>2.41</v>
      </c>
      <c r="P541" s="9">
        <v>2.6988300000000001</v>
      </c>
      <c r="Q541" s="9">
        <v>1.46062</v>
      </c>
      <c r="R541" s="9">
        <v>3.7499999999999999E-2</v>
      </c>
      <c r="S541" s="9">
        <v>0.24362400000000001</v>
      </c>
      <c r="T541" s="9">
        <v>0.26531900000000003</v>
      </c>
      <c r="U541" s="9">
        <v>9.4347500000000001E-2</v>
      </c>
      <c r="V541" s="9">
        <v>4.3586</v>
      </c>
      <c r="W541" s="9">
        <v>2.9840800000000001</v>
      </c>
      <c r="X541" s="9">
        <v>8.0535300000000003</v>
      </c>
      <c r="Y541" s="9">
        <v>85.303700000000006</v>
      </c>
      <c r="Z541" s="9">
        <v>65.976399999999998</v>
      </c>
      <c r="AA541" s="9">
        <f t="shared" si="87"/>
        <v>2.1163687943262413</v>
      </c>
      <c r="AB541" s="9">
        <f t="shared" si="88"/>
        <v>5.8794326241134751</v>
      </c>
      <c r="AC541" s="9">
        <f t="shared" si="89"/>
        <v>5.7092198581560289</v>
      </c>
      <c r="AD541" s="9">
        <f t="shared" si="90"/>
        <v>11.730270485829404</v>
      </c>
      <c r="AE541" s="9">
        <f t="shared" si="91"/>
        <v>9.0725375063599234</v>
      </c>
      <c r="AF541" s="9">
        <f t="shared" si="92"/>
        <v>5.2244686295917209</v>
      </c>
      <c r="AG541" s="9">
        <f t="shared" si="84"/>
        <v>1.5214405421563946</v>
      </c>
      <c r="AH541" s="9">
        <f t="shared" si="83"/>
        <v>0.97986786049717622</v>
      </c>
      <c r="AI541" s="9">
        <f t="shared" si="85"/>
        <v>2.5066863826311536</v>
      </c>
      <c r="AJ541" s="9">
        <f>(4*PI()*(AI541^2))/(Y541+E541)</f>
        <v>0.85292804344649753</v>
      </c>
      <c r="AK541" s="12">
        <f t="shared" si="86"/>
        <v>0.58506224066390033</v>
      </c>
      <c r="AL541" s="12" t="s">
        <v>140</v>
      </c>
      <c r="AM541" s="12" t="s">
        <v>142</v>
      </c>
      <c r="AN541" s="18">
        <v>2.8481999999999998</v>
      </c>
      <c r="AO541" s="18">
        <v>0.25679000000000002</v>
      </c>
      <c r="AP541" s="18">
        <v>3582.2</v>
      </c>
      <c r="AQ541" s="18">
        <v>3406.7</v>
      </c>
      <c r="AR541" s="18">
        <v>1.4045000000000001</v>
      </c>
      <c r="AS541" s="18">
        <v>3.9899999999999998E-2</v>
      </c>
      <c r="AT541" s="18">
        <v>0.64039999999999997</v>
      </c>
      <c r="AU541" s="18">
        <v>2.2456</v>
      </c>
      <c r="AV541" s="18">
        <v>0.33272000000000002</v>
      </c>
      <c r="AW541" s="18">
        <v>4.0260999999999998E-2</v>
      </c>
      <c r="AX541" s="18">
        <v>0.12192</v>
      </c>
      <c r="AY541" s="18">
        <v>10.973000000000001</v>
      </c>
      <c r="AZ541" s="18">
        <v>779.84</v>
      </c>
      <c r="BA541" s="18">
        <v>0.11434999999999999</v>
      </c>
      <c r="BB541" s="18">
        <v>7.7442000000000002</v>
      </c>
      <c r="BC541" s="18" t="s">
        <v>164</v>
      </c>
      <c r="BD541" s="35" t="s">
        <v>165</v>
      </c>
      <c r="BE541" t="s">
        <v>167</v>
      </c>
    </row>
    <row r="542" spans="1:57" x14ac:dyDescent="0.25">
      <c r="A542" s="18" t="s">
        <v>612</v>
      </c>
      <c r="B542" s="18" t="s">
        <v>5</v>
      </c>
      <c r="C542" s="18" t="s">
        <v>6</v>
      </c>
      <c r="D542" s="18">
        <v>65</v>
      </c>
      <c r="E542" s="18">
        <v>15.583</v>
      </c>
      <c r="F542" s="18">
        <v>14.465999999999999</v>
      </c>
      <c r="G542" s="15">
        <v>9.07</v>
      </c>
      <c r="H542" s="15">
        <v>7.2</v>
      </c>
      <c r="I542" s="15">
        <v>3.25</v>
      </c>
      <c r="J542" s="15">
        <v>56.22</v>
      </c>
      <c r="K542" s="15">
        <v>45.5</v>
      </c>
      <c r="L542" s="15">
        <v>81.99</v>
      </c>
      <c r="M542" s="15">
        <v>7.9</v>
      </c>
      <c r="N542" s="15">
        <v>2</v>
      </c>
      <c r="O542" s="15">
        <v>3.94</v>
      </c>
      <c r="P542" s="9">
        <v>1.6896500000000001</v>
      </c>
      <c r="Q542" s="9">
        <v>1.8851599999999999</v>
      </c>
      <c r="R542" s="9">
        <v>3.8461500000000003E-2</v>
      </c>
      <c r="S542" s="9">
        <v>0.17780699999999999</v>
      </c>
      <c r="T542" s="9">
        <v>0.19181200000000001</v>
      </c>
      <c r="U542" s="9">
        <v>3.6085300000000001E-2</v>
      </c>
      <c r="V542" s="9">
        <v>8.0357900000000004</v>
      </c>
      <c r="W542" s="9">
        <v>4.26267</v>
      </c>
      <c r="X542" s="9">
        <v>7.2024100000000004</v>
      </c>
      <c r="Y542" s="9">
        <v>173.26900000000001</v>
      </c>
      <c r="Z542" s="9">
        <v>220.363</v>
      </c>
      <c r="AA542" s="9">
        <f t="shared" si="87"/>
        <v>1.3115907692307691</v>
      </c>
      <c r="AB542" s="9">
        <f t="shared" si="88"/>
        <v>2.7907692307692309</v>
      </c>
      <c r="AC542" s="9">
        <f t="shared" si="89"/>
        <v>2.2153846153846155</v>
      </c>
      <c r="AD542" s="9">
        <f t="shared" si="90"/>
        <v>11.119104151960469</v>
      </c>
      <c r="AE542" s="9">
        <f t="shared" si="91"/>
        <v>14.141243662966053</v>
      </c>
      <c r="AF542" s="9">
        <f t="shared" si="92"/>
        <v>4.7492870360226158</v>
      </c>
      <c r="AG542" s="9">
        <f t="shared" si="84"/>
        <v>2.2271557997594176</v>
      </c>
      <c r="AH542" s="9">
        <f t="shared" si="83"/>
        <v>0.96734637065174711</v>
      </c>
      <c r="AI542" s="9">
        <f t="shared" si="85"/>
        <v>3.7469970884098358</v>
      </c>
      <c r="AJ542" s="9">
        <f>(4*PI()*(AI542^2))/(Y542+E542)</f>
        <v>0.93423253305056575</v>
      </c>
      <c r="AK542" s="12">
        <f t="shared" si="86"/>
        <v>0.82487309644670048</v>
      </c>
      <c r="AL542" s="12" t="s">
        <v>140</v>
      </c>
      <c r="AM542" s="12" t="s">
        <v>142</v>
      </c>
      <c r="AN542" s="18">
        <v>5.0286999999999997</v>
      </c>
      <c r="AO542" s="18">
        <v>0.33694000000000002</v>
      </c>
      <c r="AP542" s="18">
        <v>5111.7</v>
      </c>
      <c r="AQ542" s="18">
        <v>4548.5</v>
      </c>
      <c r="AR542" s="18">
        <v>2.9205000000000001</v>
      </c>
      <c r="AS542" s="18">
        <v>7.5224999999999997E-3</v>
      </c>
      <c r="AT542" s="18">
        <v>0.74770999999999999</v>
      </c>
      <c r="AU542" s="18">
        <v>0.58845999999999998</v>
      </c>
      <c r="AV542" s="18">
        <v>0.16652</v>
      </c>
      <c r="AW542" s="18">
        <v>1.7639999999999999E-2</v>
      </c>
      <c r="AX542" s="18">
        <v>0.20458000000000001</v>
      </c>
      <c r="AY542" s="18">
        <v>-37.274999999999999</v>
      </c>
      <c r="AZ542" s="18">
        <v>-1548.6</v>
      </c>
      <c r="BA542" s="18">
        <v>0.32896999999999998</v>
      </c>
      <c r="BB542" s="18">
        <v>11.297000000000001</v>
      </c>
      <c r="BC542" s="18" t="s">
        <v>162</v>
      </c>
      <c r="BD542" s="35" t="s">
        <v>163</v>
      </c>
      <c r="BE542" t="s">
        <v>167</v>
      </c>
    </row>
    <row r="543" spans="1:57" x14ac:dyDescent="0.25">
      <c r="A543" s="18" t="s">
        <v>613</v>
      </c>
      <c r="B543" s="18" t="s">
        <v>5</v>
      </c>
      <c r="C543" s="18" t="s">
        <v>6</v>
      </c>
      <c r="D543" s="18">
        <v>51</v>
      </c>
      <c r="E543" s="18">
        <v>5.9402999999999997</v>
      </c>
      <c r="F543" s="18">
        <v>8.8480000000000008</v>
      </c>
      <c r="G543" s="15">
        <v>2.95</v>
      </c>
      <c r="H543" s="15">
        <v>1.25</v>
      </c>
      <c r="I543" s="15">
        <v>2.95</v>
      </c>
      <c r="J543" s="15">
        <v>51.46</v>
      </c>
      <c r="K543" s="15">
        <v>0</v>
      </c>
      <c r="L543" s="15">
        <v>50.16</v>
      </c>
      <c r="M543" s="15">
        <v>2.95</v>
      </c>
      <c r="N543" s="15">
        <v>2</v>
      </c>
      <c r="O543" s="15">
        <v>4.7300000000000004</v>
      </c>
      <c r="P543" s="9">
        <v>0.43521199999999999</v>
      </c>
      <c r="Q543" s="9">
        <v>1.0428500000000001</v>
      </c>
      <c r="R543" s="9">
        <v>0.45454499999999998</v>
      </c>
      <c r="S543" s="9">
        <v>6.4499200000000007E-2</v>
      </c>
      <c r="T543" s="9">
        <v>8.3723000000000006E-2</v>
      </c>
      <c r="U543" s="9">
        <v>1.5865000000000001E-2</v>
      </c>
      <c r="V543" s="9">
        <v>2.8442500000000002</v>
      </c>
      <c r="W543" s="9">
        <v>2.7273900000000002</v>
      </c>
      <c r="X543" s="9">
        <v>1.18699</v>
      </c>
      <c r="Y543" s="9">
        <v>8.9429800000000004</v>
      </c>
      <c r="Z543" s="9">
        <v>3.1192700000000002</v>
      </c>
      <c r="AA543" s="9">
        <f t="shared" si="87"/>
        <v>0.92453898305084747</v>
      </c>
      <c r="AB543" s="9">
        <f t="shared" si="88"/>
        <v>1</v>
      </c>
      <c r="AC543" s="9">
        <f t="shared" si="89"/>
        <v>0.42372881355932202</v>
      </c>
      <c r="AD543" s="9">
        <f t="shared" si="90"/>
        <v>1.5054761544029764</v>
      </c>
      <c r="AE543" s="9">
        <f t="shared" si="91"/>
        <v>0.52510310927057557</v>
      </c>
      <c r="AF543" s="9">
        <f t="shared" si="92"/>
        <v>4.1890313825132361</v>
      </c>
      <c r="AG543" s="9">
        <f t="shared" si="84"/>
        <v>1.3750840763013628</v>
      </c>
      <c r="AH543" s="9">
        <f t="shared" si="83"/>
        <v>0.97648147201100077</v>
      </c>
      <c r="AI543" s="9">
        <f t="shared" si="85"/>
        <v>0.90640324781527337</v>
      </c>
      <c r="AJ543" s="9">
        <f>(4*PI()*(AI543^2))/(Y543+E543)</f>
        <v>0.69367192527733224</v>
      </c>
      <c r="AK543" s="12">
        <f t="shared" si="86"/>
        <v>0.62367864693446085</v>
      </c>
      <c r="AL543" s="12" t="s">
        <v>144</v>
      </c>
      <c r="AM543" s="12" t="s">
        <v>142</v>
      </c>
      <c r="AN543" s="18">
        <v>7.7092000000000001</v>
      </c>
      <c r="AO543" s="18">
        <v>0.67805000000000004</v>
      </c>
      <c r="AP543" s="18">
        <v>17053</v>
      </c>
      <c r="AQ543" s="18">
        <v>14936</v>
      </c>
      <c r="AR543" s="18">
        <v>3.9704000000000002</v>
      </c>
      <c r="AS543" s="18">
        <v>2.4818000000000002E-3</v>
      </c>
      <c r="AT543" s="18">
        <v>0.76007999999999998</v>
      </c>
      <c r="AU543" s="18">
        <v>0.44916</v>
      </c>
      <c r="AV543" s="18">
        <v>4.2875999999999999E-3</v>
      </c>
      <c r="AW543" s="18">
        <v>3.4014000000000002E-3</v>
      </c>
      <c r="AX543" s="18">
        <v>0.20813999999999999</v>
      </c>
      <c r="AY543" s="18">
        <v>-3.2021999999999999</v>
      </c>
      <c r="AZ543" s="18">
        <v>-4911.8</v>
      </c>
      <c r="BA543" s="18">
        <v>7.9625000000000008E-3</v>
      </c>
      <c r="BB543" s="18">
        <v>25.649000000000001</v>
      </c>
      <c r="BC543" s="18" t="s">
        <v>162</v>
      </c>
      <c r="BD543" s="35" t="s">
        <v>163</v>
      </c>
      <c r="BE543" t="s">
        <v>167</v>
      </c>
    </row>
    <row r="544" spans="1:57" x14ac:dyDescent="0.25">
      <c r="A544" s="18" t="s">
        <v>614</v>
      </c>
      <c r="B544" s="18" t="s">
        <v>26</v>
      </c>
      <c r="C544" s="18" t="s">
        <v>6</v>
      </c>
      <c r="D544" s="18">
        <v>51</v>
      </c>
      <c r="E544" s="18">
        <v>15.79</v>
      </c>
      <c r="F544" s="18">
        <v>15.401</v>
      </c>
      <c r="G544" s="15">
        <v>8.3000000000000007</v>
      </c>
      <c r="H544" s="15">
        <v>4.3</v>
      </c>
      <c r="I544" s="15">
        <v>2.38</v>
      </c>
      <c r="J544" s="15">
        <v>63.12</v>
      </c>
      <c r="K544" s="15">
        <v>16.25</v>
      </c>
      <c r="L544" s="15">
        <v>71.319999999999993</v>
      </c>
      <c r="M544" s="15">
        <v>5.5</v>
      </c>
      <c r="N544" s="15">
        <v>2</v>
      </c>
      <c r="O544" s="15">
        <v>3.8200000000000003</v>
      </c>
      <c r="P544" s="9">
        <v>1.0253000000000001</v>
      </c>
      <c r="Q544" s="9">
        <v>1.80477</v>
      </c>
      <c r="R544" s="9">
        <v>0.17058799999999999</v>
      </c>
      <c r="S544" s="9">
        <v>0.15071999999999999</v>
      </c>
      <c r="T544" s="9">
        <v>0.16398699999999999</v>
      </c>
      <c r="U544" s="9">
        <v>4.2085200000000003E-2</v>
      </c>
      <c r="V544" s="9">
        <v>7.5945299999999998</v>
      </c>
      <c r="W544" s="9">
        <v>4.2080299999999999</v>
      </c>
      <c r="X544" s="9">
        <v>4.3144999999999998</v>
      </c>
      <c r="Y544" s="9">
        <v>83.487399999999994</v>
      </c>
      <c r="Z544" s="9">
        <v>77.542500000000004</v>
      </c>
      <c r="AA544" s="9">
        <f t="shared" si="87"/>
        <v>1.7680798319327731</v>
      </c>
      <c r="AB544" s="9">
        <f t="shared" si="88"/>
        <v>3.4873949579831938</v>
      </c>
      <c r="AC544" s="9">
        <f t="shared" si="89"/>
        <v>1.8067226890756303</v>
      </c>
      <c r="AD544" s="9">
        <f t="shared" si="90"/>
        <v>5.2873590880303984</v>
      </c>
      <c r="AE544" s="9">
        <f t="shared" si="91"/>
        <v>4.9108613046231797</v>
      </c>
      <c r="AF544" s="9">
        <f t="shared" si="92"/>
        <v>4.5912161259619673</v>
      </c>
      <c r="AG544" s="9">
        <f t="shared" si="84"/>
        <v>2.2418994408407471</v>
      </c>
      <c r="AH544" s="9">
        <f t="shared" si="83"/>
        <v>0.91463344113140144</v>
      </c>
      <c r="AI544" s="9">
        <f t="shared" si="85"/>
        <v>2.6453535886420232</v>
      </c>
      <c r="AJ544" s="9">
        <f>(4*PI()*(AI544^2))/(Y544+E544)</f>
        <v>0.88578215930868631</v>
      </c>
      <c r="AK544" s="12">
        <f t="shared" si="86"/>
        <v>0.62303664921465962</v>
      </c>
      <c r="AL544" s="12" t="s">
        <v>140</v>
      </c>
      <c r="AM544" s="12" t="s">
        <v>142</v>
      </c>
      <c r="AN544" s="18">
        <v>6.2267000000000001</v>
      </c>
      <c r="AO544" s="18">
        <v>0.62829000000000002</v>
      </c>
      <c r="AP544" s="18">
        <v>8037.2</v>
      </c>
      <c r="AQ544" s="18">
        <v>7764.1</v>
      </c>
      <c r="AR544" s="18">
        <v>3.2216</v>
      </c>
      <c r="AS544" s="18">
        <v>3.8942E-3</v>
      </c>
      <c r="AT544" s="18">
        <v>0.74456999999999995</v>
      </c>
      <c r="AU544" s="18">
        <v>0.46836</v>
      </c>
      <c r="AV544" s="18">
        <v>2.852E-2</v>
      </c>
      <c r="AW544" s="18">
        <v>5.0543000000000003E-3</v>
      </c>
      <c r="AX544" s="18">
        <v>0.23264000000000001</v>
      </c>
      <c r="AY544" s="18">
        <v>-40.625</v>
      </c>
      <c r="AZ544" s="18">
        <v>-1792.7</v>
      </c>
      <c r="BA544" s="18">
        <v>0.15654999999999999</v>
      </c>
      <c r="BB544" s="18">
        <v>35.189</v>
      </c>
      <c r="BC544" s="18" t="s">
        <v>162</v>
      </c>
      <c r="BD544" s="35" t="s">
        <v>163</v>
      </c>
      <c r="BE544" t="s">
        <v>167</v>
      </c>
    </row>
    <row r="545" spans="1:57" x14ac:dyDescent="0.25">
      <c r="A545" s="18" t="s">
        <v>615</v>
      </c>
      <c r="B545" s="18" t="s">
        <v>13</v>
      </c>
      <c r="C545" s="18" t="s">
        <v>6</v>
      </c>
      <c r="D545" s="18">
        <v>75</v>
      </c>
      <c r="E545" s="18">
        <v>32.548000000000002</v>
      </c>
      <c r="F545" s="18">
        <v>21.292000000000002</v>
      </c>
      <c r="G545" s="15">
        <v>8.52</v>
      </c>
      <c r="H545" s="15">
        <v>4.05</v>
      </c>
      <c r="I545" s="15">
        <v>2.54</v>
      </c>
      <c r="J545" s="15">
        <v>84.79</v>
      </c>
      <c r="K545" s="15">
        <v>14.18</v>
      </c>
      <c r="L545" s="15">
        <v>75.11</v>
      </c>
      <c r="M545" s="15">
        <v>8.3000000000000007</v>
      </c>
      <c r="N545" s="15">
        <v>2</v>
      </c>
      <c r="O545" s="15">
        <v>3.71</v>
      </c>
      <c r="P545" s="9">
        <v>0.66196600000000005</v>
      </c>
      <c r="Q545" s="9">
        <v>1.33704</v>
      </c>
      <c r="R545" s="9">
        <v>0.42499999999999999</v>
      </c>
      <c r="S545" s="9">
        <v>5.2315500000000001E-2</v>
      </c>
      <c r="T545" s="9">
        <v>5.7928800000000003E-2</v>
      </c>
      <c r="U545" s="9">
        <v>1.22025E-2</v>
      </c>
      <c r="V545" s="9">
        <v>8.1954899999999995</v>
      </c>
      <c r="W545" s="9">
        <v>6.1295900000000003</v>
      </c>
      <c r="X545" s="9">
        <v>4.0575799999999997</v>
      </c>
      <c r="Y545" s="9">
        <v>84.704700000000003</v>
      </c>
      <c r="Z545" s="9">
        <v>94.792900000000003</v>
      </c>
      <c r="AA545" s="9">
        <f t="shared" si="87"/>
        <v>2.4132244094488189</v>
      </c>
      <c r="AB545" s="9">
        <f t="shared" si="88"/>
        <v>3.3543307086614171</v>
      </c>
      <c r="AC545" s="9">
        <f t="shared" si="89"/>
        <v>1.5944881889763778</v>
      </c>
      <c r="AD545" s="9">
        <f t="shared" si="90"/>
        <v>2.6024548359346196</v>
      </c>
      <c r="AE545" s="9">
        <f t="shared" si="91"/>
        <v>2.912403219859899</v>
      </c>
      <c r="AF545" s="9">
        <f t="shared" si="92"/>
        <v>4.0743371957831194</v>
      </c>
      <c r="AG545" s="9">
        <f t="shared" si="84"/>
        <v>3.2187497845452384</v>
      </c>
      <c r="AH545" s="9">
        <f t="shared" si="83"/>
        <v>0.94984037919134412</v>
      </c>
      <c r="AI545" s="9">
        <f t="shared" si="85"/>
        <v>2.8285404914336785</v>
      </c>
      <c r="AJ545" s="9">
        <f>(4*PI()*(AI545^2))/(Y545+E545)</f>
        <v>0.85745593811589838</v>
      </c>
      <c r="AK545" s="12">
        <f t="shared" si="86"/>
        <v>0.6846361185983828</v>
      </c>
      <c r="AL545" s="12" t="s">
        <v>144</v>
      </c>
      <c r="AM545" s="12" t="s">
        <v>142</v>
      </c>
      <c r="AN545" s="18">
        <v>5.9726999999999997</v>
      </c>
      <c r="AO545" s="18">
        <v>0.81577</v>
      </c>
      <c r="AP545" s="18">
        <v>5542.2</v>
      </c>
      <c r="AQ545" s="18">
        <v>5710.6</v>
      </c>
      <c r="AR545" s="18">
        <v>3.0657000000000001</v>
      </c>
      <c r="AS545" s="18">
        <v>6.3255999999999998E-3</v>
      </c>
      <c r="AT545" s="18">
        <v>0.78247</v>
      </c>
      <c r="AU545" s="18">
        <v>0.55467999999999995</v>
      </c>
      <c r="AV545" s="18">
        <v>2.3615000000000001E-2</v>
      </c>
      <c r="AW545" s="18">
        <v>5.7187000000000002E-3</v>
      </c>
      <c r="AX545" s="18">
        <v>0.23413</v>
      </c>
      <c r="AY545" s="18">
        <v>-9.0500000000000007</v>
      </c>
      <c r="AZ545" s="18">
        <v>-1024.8</v>
      </c>
      <c r="BA545" s="18">
        <v>6.6385E-2</v>
      </c>
      <c r="BB545" s="18">
        <v>11.981</v>
      </c>
      <c r="BC545" s="18" t="s">
        <v>162</v>
      </c>
      <c r="BD545" s="35" t="s">
        <v>165</v>
      </c>
      <c r="BE545" t="s">
        <v>167</v>
      </c>
    </row>
    <row r="546" spans="1:57" x14ac:dyDescent="0.25">
      <c r="A546" s="18" t="s">
        <v>616</v>
      </c>
      <c r="B546" s="18" t="s">
        <v>13</v>
      </c>
      <c r="C546" s="18" t="s">
        <v>6</v>
      </c>
      <c r="D546" s="18">
        <v>68</v>
      </c>
      <c r="E546" s="18">
        <v>11.084</v>
      </c>
      <c r="F546" s="18">
        <v>12.151999999999999</v>
      </c>
      <c r="G546" s="15">
        <v>5.0199999999999996</v>
      </c>
      <c r="H546" s="15">
        <v>3.75</v>
      </c>
      <c r="I546" s="15">
        <v>1.77</v>
      </c>
      <c r="J546" s="15">
        <v>38.119999999999997</v>
      </c>
      <c r="K546" s="15">
        <v>38.57</v>
      </c>
      <c r="L546" s="15">
        <v>51.08</v>
      </c>
      <c r="M546" s="15">
        <v>4.3499999999999996</v>
      </c>
      <c r="N546" s="15">
        <v>2</v>
      </c>
      <c r="O546" s="15">
        <v>2.8</v>
      </c>
      <c r="P546" s="9">
        <v>1.0328200000000001</v>
      </c>
      <c r="Q546" s="9">
        <v>1.2232400000000001</v>
      </c>
      <c r="R546" s="9">
        <v>5.4054100000000001E-2</v>
      </c>
      <c r="S546" s="9">
        <v>9.0924099999999994E-2</v>
      </c>
      <c r="T546" s="9">
        <v>9.4729999999999995E-2</v>
      </c>
      <c r="U546" s="9">
        <v>6.87018E-3</v>
      </c>
      <c r="V546" s="9">
        <v>4.48956</v>
      </c>
      <c r="W546" s="9">
        <v>3.67021</v>
      </c>
      <c r="X546" s="9">
        <v>3.7906599999999999</v>
      </c>
      <c r="Y546" s="9">
        <v>47.758899999999997</v>
      </c>
      <c r="Z546" s="9">
        <v>37.803899999999999</v>
      </c>
      <c r="AA546" s="9">
        <f t="shared" si="87"/>
        <v>2.0735649717514124</v>
      </c>
      <c r="AB546" s="9">
        <f t="shared" si="88"/>
        <v>2.8361581920903953</v>
      </c>
      <c r="AC546" s="9">
        <f t="shared" si="89"/>
        <v>2.1186440677966103</v>
      </c>
      <c r="AD546" s="9">
        <f t="shared" si="90"/>
        <v>4.3088145073980515</v>
      </c>
      <c r="AE546" s="9">
        <f t="shared" si="91"/>
        <v>3.4106730422230243</v>
      </c>
      <c r="AF546" s="9">
        <f t="shared" si="92"/>
        <v>4.2399745027450484</v>
      </c>
      <c r="AG546" s="9">
        <f t="shared" si="84"/>
        <v>1.8783361729097205</v>
      </c>
      <c r="AH546" s="9">
        <f t="shared" ref="AH546:AH609" si="93">(2*PI()*AG546)/F546</f>
        <v>0.97119274552092583</v>
      </c>
      <c r="AI546" s="9">
        <f t="shared" si="85"/>
        <v>2.0820093017215657</v>
      </c>
      <c r="AJ546" s="9">
        <f>(4*PI()*(AI546^2))/(Y546+E546)</f>
        <v>0.92572315472798439</v>
      </c>
      <c r="AK546" s="12">
        <f t="shared" si="86"/>
        <v>0.63214285714285723</v>
      </c>
      <c r="AL546" s="12" t="s">
        <v>144</v>
      </c>
      <c r="AM546" s="12" t="s">
        <v>142</v>
      </c>
      <c r="AN546" s="18">
        <v>3.8988</v>
      </c>
      <c r="AO546" s="18">
        <v>0.52583999999999997</v>
      </c>
      <c r="AP546" s="18">
        <v>3843.1</v>
      </c>
      <c r="AQ546" s="18">
        <v>3989.3</v>
      </c>
      <c r="AR546" s="18">
        <v>1.9025000000000001</v>
      </c>
      <c r="AS546" s="18">
        <v>7.5732000000000004E-3</v>
      </c>
      <c r="AT546" s="18">
        <v>0.70742000000000005</v>
      </c>
      <c r="AU546" s="18">
        <v>0.70082999999999995</v>
      </c>
      <c r="AV546" s="18">
        <v>8.0540000000000004E-3</v>
      </c>
      <c r="AW546" s="18">
        <v>6.4907999999999997E-3</v>
      </c>
      <c r="AX546" s="18">
        <v>0.16372</v>
      </c>
      <c r="AY546" s="18">
        <v>-15.413</v>
      </c>
      <c r="AZ546" s="18">
        <v>-957.45</v>
      </c>
      <c r="BA546" s="18">
        <v>9.6055000000000001E-2</v>
      </c>
      <c r="BB546" s="18">
        <v>11.071</v>
      </c>
      <c r="BC546" s="18" t="s">
        <v>162</v>
      </c>
      <c r="BD546" s="35" t="s">
        <v>163</v>
      </c>
      <c r="BE546" t="s">
        <v>167</v>
      </c>
    </row>
    <row r="547" spans="1:57" x14ac:dyDescent="0.25">
      <c r="A547" s="18" t="s">
        <v>617</v>
      </c>
      <c r="B547" s="18" t="s">
        <v>13</v>
      </c>
      <c r="C547" s="18" t="s">
        <v>6</v>
      </c>
      <c r="D547" s="18">
        <v>58</v>
      </c>
      <c r="E547" s="18">
        <v>14.529</v>
      </c>
      <c r="F547" s="18">
        <v>14.01</v>
      </c>
      <c r="G547" s="15">
        <v>5.87</v>
      </c>
      <c r="H547" s="15">
        <v>3.6</v>
      </c>
      <c r="I547" s="15">
        <v>1.86</v>
      </c>
      <c r="J547" s="15">
        <v>38.659999999999997</v>
      </c>
      <c r="K547" s="15">
        <v>26.84</v>
      </c>
      <c r="L547" s="15">
        <v>64.510000000000005</v>
      </c>
      <c r="M547" s="15">
        <v>5.3</v>
      </c>
      <c r="N547" s="15">
        <v>2</v>
      </c>
      <c r="O547" s="15">
        <v>3.26</v>
      </c>
      <c r="P547" s="9">
        <v>0.85547600000000001</v>
      </c>
      <c r="Q547" s="9">
        <v>1.19523</v>
      </c>
      <c r="R547" s="9">
        <v>0.48571399999999998</v>
      </c>
      <c r="S547" s="9">
        <v>8.5672899999999996E-2</v>
      </c>
      <c r="T547" s="9">
        <v>0.11157499999999999</v>
      </c>
      <c r="U547" s="9">
        <v>6.6507499999999997E-2</v>
      </c>
      <c r="V547" s="9">
        <v>5.0249300000000003</v>
      </c>
      <c r="W547" s="9">
        <v>4.2041500000000003</v>
      </c>
      <c r="X547" s="9">
        <v>3.5965500000000001</v>
      </c>
      <c r="Y547" s="9">
        <v>47.427700000000002</v>
      </c>
      <c r="Z547" s="9">
        <v>36.372100000000003</v>
      </c>
      <c r="AA547" s="9">
        <f t="shared" si="87"/>
        <v>2.2602956989247311</v>
      </c>
      <c r="AB547" s="9">
        <f t="shared" si="88"/>
        <v>3.1559139784946235</v>
      </c>
      <c r="AC547" s="9">
        <f t="shared" si="89"/>
        <v>1.9354838709677418</v>
      </c>
      <c r="AD547" s="9">
        <f t="shared" si="90"/>
        <v>3.2643471677334985</v>
      </c>
      <c r="AE547" s="9">
        <f t="shared" si="91"/>
        <v>2.50341386193131</v>
      </c>
      <c r="AF547" s="9">
        <f t="shared" si="92"/>
        <v>4.320358772712888</v>
      </c>
      <c r="AG547" s="9">
        <f t="shared" si="84"/>
        <v>2.1505172253121563</v>
      </c>
      <c r="AH547" s="9">
        <f t="shared" si="93"/>
        <v>0.96446097308479317</v>
      </c>
      <c r="AI547" s="9">
        <f t="shared" si="85"/>
        <v>2.0553853452556767</v>
      </c>
      <c r="AJ547" s="9">
        <f>(4*PI()*(AI547^2))/(Y547+E547)</f>
        <v>0.85685650394434554</v>
      </c>
      <c r="AK547" s="12">
        <f t="shared" si="86"/>
        <v>0.57055214723926384</v>
      </c>
      <c r="AL547" s="12" t="s">
        <v>144</v>
      </c>
      <c r="AM547" s="12" t="s">
        <v>142</v>
      </c>
      <c r="AN547" s="18">
        <v>3.2458999999999998</v>
      </c>
      <c r="AO547" s="18">
        <v>0.43924999999999997</v>
      </c>
      <c r="AP547" s="18">
        <v>5090</v>
      </c>
      <c r="AQ547" s="18">
        <v>4955</v>
      </c>
      <c r="AR547" s="18">
        <v>1.6388</v>
      </c>
      <c r="AS547" s="18">
        <v>1.0965000000000001E-2</v>
      </c>
      <c r="AT547" s="18">
        <v>0.68272999999999995</v>
      </c>
      <c r="AU547" s="18">
        <v>0.92579999999999996</v>
      </c>
      <c r="AV547" s="18">
        <v>4.8992000000000001E-2</v>
      </c>
      <c r="AW547" s="18">
        <v>9.4081000000000008E-3</v>
      </c>
      <c r="AX547" s="18">
        <v>0.13805999999999999</v>
      </c>
      <c r="AY547" s="18">
        <v>-19.356999999999999</v>
      </c>
      <c r="AZ547" s="18">
        <v>-886.37</v>
      </c>
      <c r="BA547" s="18">
        <v>7.6908000000000004E-2</v>
      </c>
      <c r="BB547" s="18">
        <v>29.699000000000002</v>
      </c>
      <c r="BC547" s="18" t="s">
        <v>162</v>
      </c>
      <c r="BD547" s="35" t="s">
        <v>163</v>
      </c>
      <c r="BE547" t="s">
        <v>167</v>
      </c>
    </row>
    <row r="548" spans="1:57" x14ac:dyDescent="0.25">
      <c r="A548" s="18" t="s">
        <v>618</v>
      </c>
      <c r="B548" s="18" t="s">
        <v>5</v>
      </c>
      <c r="C548" s="18" t="s">
        <v>6</v>
      </c>
      <c r="D548" s="18">
        <v>76</v>
      </c>
      <c r="E548" s="18">
        <v>48.972999999999999</v>
      </c>
      <c r="F548" s="18">
        <v>25.260999999999999</v>
      </c>
      <c r="G548" s="15">
        <v>13.36</v>
      </c>
      <c r="H548" s="15">
        <v>10.5</v>
      </c>
      <c r="I548" s="15">
        <v>3.38</v>
      </c>
      <c r="J548" s="15">
        <v>107.31</v>
      </c>
      <c r="K548" s="15">
        <v>36.4</v>
      </c>
      <c r="L548" s="15">
        <v>37.520000000000003</v>
      </c>
      <c r="M548" s="15">
        <v>11.6</v>
      </c>
      <c r="N548" s="15">
        <v>1</v>
      </c>
      <c r="O548" s="15">
        <v>4.09</v>
      </c>
      <c r="P548" s="9">
        <v>1.36903</v>
      </c>
      <c r="Q548" s="9">
        <v>1.63052</v>
      </c>
      <c r="R548" s="9">
        <v>-3.0805699999999998E-2</v>
      </c>
      <c r="S548" s="9">
        <v>0.13712199999999999</v>
      </c>
      <c r="T548" s="9">
        <v>0.14199899999999999</v>
      </c>
      <c r="U548" s="9">
        <v>1.06549E-2</v>
      </c>
      <c r="V548" s="9">
        <v>12.645200000000001</v>
      </c>
      <c r="W548" s="9">
        <v>7.7552899999999996</v>
      </c>
      <c r="X548" s="9">
        <v>10.6172</v>
      </c>
      <c r="Y548" s="9">
        <v>397.64699999999999</v>
      </c>
      <c r="Z548" s="9">
        <v>838.04499999999996</v>
      </c>
      <c r="AA548" s="9">
        <f t="shared" si="87"/>
        <v>2.2944644970414201</v>
      </c>
      <c r="AB548" s="9">
        <f t="shared" si="88"/>
        <v>3.9526627218934909</v>
      </c>
      <c r="AC548" s="9">
        <f t="shared" si="89"/>
        <v>3.1065088757396451</v>
      </c>
      <c r="AD548" s="9">
        <f t="shared" si="90"/>
        <v>8.1197190288526322</v>
      </c>
      <c r="AE548" s="9">
        <f t="shared" si="91"/>
        <v>17.112388458946768</v>
      </c>
      <c r="AF548" s="9">
        <f t="shared" si="92"/>
        <v>4.4735553740566099</v>
      </c>
      <c r="AG548" s="9">
        <f t="shared" si="84"/>
        <v>3.948238854993297</v>
      </c>
      <c r="AH548" s="9">
        <f t="shared" si="93"/>
        <v>0.98204807263882821</v>
      </c>
      <c r="AI548" s="9">
        <f t="shared" si="85"/>
        <v>5.8487031135437535</v>
      </c>
      <c r="AJ548" s="9">
        <f>(4*PI()*(AI548^2))/(Y548+E548)</f>
        <v>0.96247808598355744</v>
      </c>
      <c r="AK548" s="12">
        <f t="shared" si="86"/>
        <v>0.82640586797066018</v>
      </c>
      <c r="AL548" s="12" t="s">
        <v>144</v>
      </c>
      <c r="AM548" s="12" t="s">
        <v>143</v>
      </c>
      <c r="AN548" s="18">
        <v>3.3820000000000001</v>
      </c>
      <c r="AO548" s="18">
        <v>0.38774999999999998</v>
      </c>
      <c r="AP548" s="18">
        <v>2186.6</v>
      </c>
      <c r="AQ548" s="18">
        <v>2065.1999999999998</v>
      </c>
      <c r="AR548" s="18">
        <v>2.7547999999999999</v>
      </c>
      <c r="AS548" s="18">
        <v>1.0369E-2</v>
      </c>
      <c r="AT548" s="18">
        <v>0.74294000000000004</v>
      </c>
      <c r="AU548" s="18">
        <v>0.50234999999999996</v>
      </c>
      <c r="AV548" s="18">
        <v>0.11862</v>
      </c>
      <c r="AW548" s="18">
        <v>8.1312999999999993E-3</v>
      </c>
      <c r="AX548" s="18">
        <v>0.23191999999999999</v>
      </c>
      <c r="AY548" s="18">
        <v>-2.4567000000000001</v>
      </c>
      <c r="AZ548" s="18">
        <v>-431.94</v>
      </c>
      <c r="BA548" s="18">
        <v>0.20427000000000001</v>
      </c>
      <c r="BB548" s="18">
        <v>4.3735999999999997</v>
      </c>
      <c r="BC548" s="18" t="s">
        <v>162</v>
      </c>
      <c r="BD548" s="35" t="s">
        <v>163</v>
      </c>
      <c r="BE548" t="s">
        <v>167</v>
      </c>
    </row>
    <row r="549" spans="1:57" x14ac:dyDescent="0.25">
      <c r="A549" s="18" t="s">
        <v>619</v>
      </c>
      <c r="B549" s="18" t="s">
        <v>5</v>
      </c>
      <c r="C549" s="18" t="s">
        <v>6</v>
      </c>
      <c r="D549" s="18">
        <v>43</v>
      </c>
      <c r="E549" s="18">
        <v>23.202000000000002</v>
      </c>
      <c r="F549" s="18">
        <v>17.497</v>
      </c>
      <c r="G549" s="15">
        <v>8.0299999999999994</v>
      </c>
      <c r="H549" s="15">
        <v>5.35</v>
      </c>
      <c r="I549" s="15">
        <v>3.15</v>
      </c>
      <c r="J549" s="15">
        <v>29.22</v>
      </c>
      <c r="K549" s="15">
        <v>4.96</v>
      </c>
      <c r="L549" s="15">
        <v>25.94</v>
      </c>
      <c r="M549" s="15">
        <v>8</v>
      </c>
      <c r="N549" s="15">
        <v>2</v>
      </c>
      <c r="O549" s="15">
        <v>4.0200000000000005</v>
      </c>
      <c r="P549" s="9">
        <v>1.0274000000000001</v>
      </c>
      <c r="Q549" s="9">
        <v>1.54433</v>
      </c>
      <c r="R549" s="9">
        <v>-4.6729099999999997E-3</v>
      </c>
      <c r="S549" s="9">
        <v>0.120341</v>
      </c>
      <c r="T549" s="9">
        <v>0.125667</v>
      </c>
      <c r="U549" s="9">
        <v>7.6547999999999998E-3</v>
      </c>
      <c r="V549" s="9">
        <v>8.1301299999999994</v>
      </c>
      <c r="W549" s="9">
        <v>5.2645</v>
      </c>
      <c r="X549" s="9">
        <v>5.4087399999999999</v>
      </c>
      <c r="Y549" s="9">
        <v>134.41</v>
      </c>
      <c r="Z549" s="9">
        <v>169.41499999999999</v>
      </c>
      <c r="AA549" s="9">
        <f t="shared" si="87"/>
        <v>1.6712698412698412</v>
      </c>
      <c r="AB549" s="9">
        <f t="shared" si="88"/>
        <v>2.549206349206349</v>
      </c>
      <c r="AC549" s="9">
        <f t="shared" si="89"/>
        <v>1.6984126984126984</v>
      </c>
      <c r="AD549" s="9">
        <f t="shared" si="90"/>
        <v>5.7930350831824837</v>
      </c>
      <c r="AE549" s="9">
        <f t="shared" si="91"/>
        <v>7.301741229204378</v>
      </c>
      <c r="AF549" s="9">
        <f t="shared" si="92"/>
        <v>4.389991449401391</v>
      </c>
      <c r="AG549" s="9">
        <f t="shared" si="84"/>
        <v>2.717614023226314</v>
      </c>
      <c r="AH549" s="9">
        <f t="shared" si="93"/>
        <v>0.97589715387327991</v>
      </c>
      <c r="AI549" s="9">
        <f t="shared" si="85"/>
        <v>3.4325832869987831</v>
      </c>
      <c r="AJ549" s="9">
        <f>(4*PI()*(AI549^2))/(Y549+E549)</f>
        <v>0.93942637957699948</v>
      </c>
      <c r="AK549" s="12">
        <f t="shared" si="86"/>
        <v>0.78358208955223874</v>
      </c>
      <c r="AL549" s="12" t="s">
        <v>144</v>
      </c>
      <c r="AM549" s="12" t="s">
        <v>142</v>
      </c>
      <c r="AN549" s="18">
        <v>1.5359</v>
      </c>
      <c r="AO549" s="18">
        <v>0.18411</v>
      </c>
      <c r="AP549" s="30">
        <v>0</v>
      </c>
      <c r="AQ549" s="30">
        <v>0</v>
      </c>
      <c r="AR549" s="18">
        <v>0.99995000000000001</v>
      </c>
      <c r="AS549" s="18">
        <v>7.6635999999999996E-3</v>
      </c>
      <c r="AT549" s="18">
        <v>0.74570000000000003</v>
      </c>
      <c r="AU549" s="18">
        <v>1.2134</v>
      </c>
      <c r="AV549" s="18">
        <v>0.38774999999999998</v>
      </c>
      <c r="AW549" s="18">
        <v>7.2056000000000004E-3</v>
      </c>
      <c r="AX549" s="18">
        <v>0.12373000000000001</v>
      </c>
      <c r="AY549" s="18">
        <v>91.55</v>
      </c>
      <c r="AZ549" s="18">
        <v>3235.2</v>
      </c>
      <c r="BA549" s="18">
        <v>0.11026</v>
      </c>
      <c r="BB549" s="18">
        <v>4.4474999999999998</v>
      </c>
      <c r="BC549" s="18" t="s">
        <v>162</v>
      </c>
      <c r="BD549" s="35" t="s">
        <v>163</v>
      </c>
      <c r="BE549" t="s">
        <v>167</v>
      </c>
    </row>
    <row r="550" spans="1:57" x14ac:dyDescent="0.25">
      <c r="A550" s="18" t="s">
        <v>620</v>
      </c>
      <c r="B550" s="18" t="s">
        <v>26</v>
      </c>
      <c r="C550" s="18" t="s">
        <v>6</v>
      </c>
      <c r="D550" s="18">
        <v>50</v>
      </c>
      <c r="E550" s="18">
        <v>4.0026999999999999</v>
      </c>
      <c r="F550" s="18">
        <v>7.2321999999999997</v>
      </c>
      <c r="G550" s="15">
        <v>2.35</v>
      </c>
      <c r="H550" s="15">
        <v>1.1000000000000001</v>
      </c>
      <c r="I550" s="15">
        <v>2.4</v>
      </c>
      <c r="J550" s="15">
        <v>72.34</v>
      </c>
      <c r="K550" s="15">
        <v>0</v>
      </c>
      <c r="L550" s="15">
        <v>70.459999999999994</v>
      </c>
      <c r="M550" s="15">
        <v>2.35</v>
      </c>
      <c r="N550" s="15">
        <v>2</v>
      </c>
      <c r="O550" s="15">
        <v>3.37</v>
      </c>
      <c r="P550" s="9">
        <v>0.50698900000000002</v>
      </c>
      <c r="Q550" s="9">
        <v>1.08744</v>
      </c>
      <c r="R550" s="9">
        <v>0.45238099999999998</v>
      </c>
      <c r="S550" s="9">
        <v>1.0172499999999999E-2</v>
      </c>
      <c r="T550" s="9">
        <v>1.6443200000000002E-2</v>
      </c>
      <c r="U550" s="9">
        <v>-3.26305E-2</v>
      </c>
      <c r="V550" s="9">
        <v>2.3937499999999998</v>
      </c>
      <c r="W550" s="9">
        <v>2.2012700000000001</v>
      </c>
      <c r="X550" s="9">
        <v>1.11602</v>
      </c>
      <c r="Y550" s="9">
        <v>7.59884</v>
      </c>
      <c r="Z550" s="9">
        <v>2.71712</v>
      </c>
      <c r="AA550" s="9">
        <f t="shared" si="87"/>
        <v>0.91719583333333343</v>
      </c>
      <c r="AB550" s="9">
        <f t="shared" si="88"/>
        <v>0.97916666666666674</v>
      </c>
      <c r="AC550" s="9">
        <f t="shared" si="89"/>
        <v>0.45833333333333337</v>
      </c>
      <c r="AD550" s="9">
        <f t="shared" si="90"/>
        <v>1.898428560721513</v>
      </c>
      <c r="AE550" s="9">
        <f t="shared" si="91"/>
        <v>0.67882179528818054</v>
      </c>
      <c r="AF550" s="9">
        <f t="shared" si="92"/>
        <v>3.902486601845248</v>
      </c>
      <c r="AG550" s="9">
        <f t="shared" si="84"/>
        <v>1.1287599308213678</v>
      </c>
      <c r="AH550" s="9">
        <f t="shared" si="93"/>
        <v>0.98064320852159303</v>
      </c>
      <c r="AI550" s="9">
        <f t="shared" si="85"/>
        <v>0.86564548853217038</v>
      </c>
      <c r="AJ550" s="9">
        <f>(4*PI()*(AI550^2))/(Y550+E550)</f>
        <v>0.81166040836196596</v>
      </c>
      <c r="AK550" s="12">
        <f t="shared" si="86"/>
        <v>0.71216617210682487</v>
      </c>
      <c r="AL550" s="12" t="s">
        <v>144</v>
      </c>
      <c r="AM550" s="12" t="s">
        <v>142</v>
      </c>
      <c r="AN550" s="18">
        <v>8.6586999999999996</v>
      </c>
      <c r="AO550" s="18">
        <v>0.86975999999999998</v>
      </c>
      <c r="AP550" s="18">
        <v>22065</v>
      </c>
      <c r="AQ550" s="18">
        <v>22544</v>
      </c>
      <c r="AR550" s="18">
        <v>4.4055999999999997</v>
      </c>
      <c r="AS550" s="18">
        <v>2.2245999999999998E-2</v>
      </c>
      <c r="AT550" s="18">
        <v>0.69205000000000005</v>
      </c>
      <c r="AU550" s="18">
        <v>0.54590000000000005</v>
      </c>
      <c r="AV550" s="18">
        <v>2.8568E-2</v>
      </c>
      <c r="AW550" s="18">
        <v>6.7698000000000003E-3</v>
      </c>
      <c r="AX550" s="18">
        <v>0.30325999999999997</v>
      </c>
      <c r="AY550" s="18">
        <v>1.4201999999999999</v>
      </c>
      <c r="AZ550" s="18">
        <v>-1403.8</v>
      </c>
      <c r="BA550" s="18">
        <v>5.7193000000000001E-3</v>
      </c>
      <c r="BB550" s="18">
        <v>4.6946000000000003</v>
      </c>
      <c r="BC550" s="18" t="s">
        <v>162</v>
      </c>
      <c r="BD550" s="35" t="s">
        <v>163</v>
      </c>
      <c r="BE550" t="s">
        <v>167</v>
      </c>
    </row>
    <row r="551" spans="1:57" x14ac:dyDescent="0.25">
      <c r="A551" s="18" t="s">
        <v>621</v>
      </c>
      <c r="B551" s="18" t="s">
        <v>26</v>
      </c>
      <c r="C551" s="18" t="s">
        <v>6</v>
      </c>
      <c r="D551" s="18">
        <v>50</v>
      </c>
      <c r="E551" s="18">
        <v>9.0747</v>
      </c>
      <c r="F551" s="18">
        <v>10.971</v>
      </c>
      <c r="G551" s="15">
        <v>4.3499999999999996</v>
      </c>
      <c r="H551" s="15">
        <v>2.5</v>
      </c>
      <c r="I551" s="15">
        <v>2.2400000000000002</v>
      </c>
      <c r="J551" s="15">
        <v>70.02</v>
      </c>
      <c r="K551" s="15">
        <v>28.93</v>
      </c>
      <c r="L551" s="15">
        <v>80.05</v>
      </c>
      <c r="M551" s="15">
        <v>3.9</v>
      </c>
      <c r="N551" s="15">
        <v>2</v>
      </c>
      <c r="O551" s="15">
        <v>2.52</v>
      </c>
      <c r="P551" s="9">
        <v>0.76611300000000004</v>
      </c>
      <c r="Q551" s="9">
        <v>1.2384999999999999</v>
      </c>
      <c r="R551" s="9">
        <v>3.0612199999999999E-2</v>
      </c>
      <c r="S551" s="9">
        <v>8.7736300000000003E-2</v>
      </c>
      <c r="T551" s="9">
        <v>0.111621</v>
      </c>
      <c r="U551" s="9">
        <v>4.7140599999999998E-2</v>
      </c>
      <c r="V551" s="9">
        <v>4.0554399999999999</v>
      </c>
      <c r="W551" s="9">
        <v>3.27447</v>
      </c>
      <c r="X551" s="9">
        <v>2.50861</v>
      </c>
      <c r="Y551" s="9">
        <v>29.7668</v>
      </c>
      <c r="Z551" s="9">
        <v>18.083500000000001</v>
      </c>
      <c r="AA551" s="9">
        <f t="shared" si="87"/>
        <v>1.4618169642857142</v>
      </c>
      <c r="AB551" s="9">
        <f t="shared" si="88"/>
        <v>1.9419642857142854</v>
      </c>
      <c r="AC551" s="9">
        <f t="shared" si="89"/>
        <v>1.1160714285714284</v>
      </c>
      <c r="AD551" s="9">
        <f t="shared" si="90"/>
        <v>3.280196590520899</v>
      </c>
      <c r="AE551" s="9">
        <f t="shared" si="91"/>
        <v>1.9927380519466209</v>
      </c>
      <c r="AF551" s="9">
        <f t="shared" si="92"/>
        <v>4.3205976241905155</v>
      </c>
      <c r="AG551" s="9">
        <f t="shared" si="84"/>
        <v>1.6995783960006214</v>
      </c>
      <c r="AH551" s="9">
        <f t="shared" si="93"/>
        <v>0.97336304859638623</v>
      </c>
      <c r="AI551" s="9">
        <f t="shared" si="85"/>
        <v>1.628288267942414</v>
      </c>
      <c r="AJ551" s="9">
        <f>(4*PI()*(AI551^2))/(Y551+E551)</f>
        <v>0.85778107074536003</v>
      </c>
      <c r="AK551" s="12">
        <f t="shared" si="86"/>
        <v>0.88888888888888895</v>
      </c>
      <c r="AL551" s="12" t="s">
        <v>140</v>
      </c>
      <c r="AM551" s="12" t="s">
        <v>142</v>
      </c>
      <c r="AN551" s="18">
        <v>5.7103999999999999</v>
      </c>
      <c r="AO551" s="18">
        <v>0.51751999999999998</v>
      </c>
      <c r="AP551" s="18">
        <v>13278</v>
      </c>
      <c r="AQ551" s="18">
        <v>12625</v>
      </c>
      <c r="AR551" s="18">
        <v>2.6351</v>
      </c>
      <c r="AS551" s="18">
        <v>5.7838999999999998E-3</v>
      </c>
      <c r="AT551" s="18">
        <v>0.75048999999999999</v>
      </c>
      <c r="AU551" s="18">
        <v>0.60834999999999995</v>
      </c>
      <c r="AV551" s="18">
        <v>3.3943000000000001E-2</v>
      </c>
      <c r="AW551" s="18">
        <v>7.4037E-3</v>
      </c>
      <c r="AX551" s="18">
        <v>0.16053999999999999</v>
      </c>
      <c r="AY551" s="18">
        <v>-68.507999999999996</v>
      </c>
      <c r="AZ551" s="18">
        <v>-2305.6999999999998</v>
      </c>
      <c r="BA551" s="18">
        <v>8.1604999999999997E-2</v>
      </c>
      <c r="BB551" s="18">
        <v>102.56</v>
      </c>
      <c r="BC551" s="18" t="s">
        <v>162</v>
      </c>
      <c r="BD551" s="35" t="s">
        <v>165</v>
      </c>
      <c r="BE551" t="s">
        <v>167</v>
      </c>
    </row>
    <row r="552" spans="1:57" x14ac:dyDescent="0.25">
      <c r="A552" s="18" t="s">
        <v>622</v>
      </c>
      <c r="B552" s="18" t="s">
        <v>26</v>
      </c>
      <c r="C552" s="18" t="s">
        <v>6</v>
      </c>
      <c r="D552" s="18">
        <v>50</v>
      </c>
      <c r="E552" s="18">
        <v>4.8701999999999996</v>
      </c>
      <c r="F552" s="18">
        <v>8.0533999999999999</v>
      </c>
      <c r="G552" s="15">
        <v>2.87</v>
      </c>
      <c r="H552" s="15">
        <v>1.6</v>
      </c>
      <c r="I552" s="15">
        <v>1.85</v>
      </c>
      <c r="J552" s="15">
        <v>57.5</v>
      </c>
      <c r="K552" s="15">
        <v>30.05</v>
      </c>
      <c r="L552" s="15">
        <v>77.08</v>
      </c>
      <c r="M552" s="15">
        <v>2.4</v>
      </c>
      <c r="N552" s="15">
        <v>2</v>
      </c>
      <c r="O552" s="15">
        <v>2.23</v>
      </c>
      <c r="P552" s="9">
        <v>0.661802</v>
      </c>
      <c r="Q552" s="9">
        <v>1.0711999999999999</v>
      </c>
      <c r="R552" s="9">
        <v>0.466667</v>
      </c>
      <c r="S552" s="9">
        <v>3.8146100000000002E-2</v>
      </c>
      <c r="T552" s="9">
        <v>4.5311400000000002E-2</v>
      </c>
      <c r="U552" s="9">
        <v>-1.40214E-2</v>
      </c>
      <c r="V552" s="9">
        <v>2.58392</v>
      </c>
      <c r="W552" s="9">
        <v>2.4121800000000002</v>
      </c>
      <c r="X552" s="9">
        <v>1.5963799999999999</v>
      </c>
      <c r="Y552" s="9">
        <v>12.032400000000001</v>
      </c>
      <c r="Z552" s="9">
        <v>5.1773699999999998</v>
      </c>
      <c r="AA552" s="9">
        <f t="shared" si="87"/>
        <v>1.303881081081081</v>
      </c>
      <c r="AB552" s="9">
        <f t="shared" si="88"/>
        <v>1.5513513513513513</v>
      </c>
      <c r="AC552" s="9">
        <f t="shared" si="89"/>
        <v>0.86486486486486491</v>
      </c>
      <c r="AD552" s="9">
        <f t="shared" si="90"/>
        <v>2.4706172231119874</v>
      </c>
      <c r="AE552" s="9">
        <f t="shared" si="91"/>
        <v>1.0630713317728224</v>
      </c>
      <c r="AF552" s="9">
        <f t="shared" si="92"/>
        <v>4.0204943771076769</v>
      </c>
      <c r="AG552" s="9">
        <f t="shared" si="84"/>
        <v>1.2450834541075138</v>
      </c>
      <c r="AH552" s="9">
        <f t="shared" si="93"/>
        <v>0.97140214878942299</v>
      </c>
      <c r="AI552" s="9">
        <f t="shared" si="85"/>
        <v>1.0731823740224296</v>
      </c>
      <c r="AJ552" s="9">
        <f>(4*PI()*(AI552^2))/(Y552+E552)</f>
        <v>0.8562555754705411</v>
      </c>
      <c r="AK552" s="12">
        <f t="shared" si="86"/>
        <v>0.82959641255605387</v>
      </c>
      <c r="AL552" s="12" t="s">
        <v>144</v>
      </c>
      <c r="AM552" s="12" t="s">
        <v>142</v>
      </c>
      <c r="AN552" s="18">
        <v>8.4618000000000002</v>
      </c>
      <c r="AO552" s="18">
        <v>0.79647000000000001</v>
      </c>
      <c r="AP552" s="18">
        <v>13989</v>
      </c>
      <c r="AQ552" s="18">
        <v>14893</v>
      </c>
      <c r="AR552" s="18">
        <v>3.6896</v>
      </c>
      <c r="AS552" s="18">
        <v>1.3077E-3</v>
      </c>
      <c r="AT552" s="18">
        <v>0.78700000000000003</v>
      </c>
      <c r="AU552" s="18">
        <v>0.33117000000000002</v>
      </c>
      <c r="AV552" s="19">
        <v>7.8425999999999995E-4</v>
      </c>
      <c r="AW552" s="18">
        <v>2.0912000000000001E-3</v>
      </c>
      <c r="AX552" s="18">
        <v>0.22475999999999999</v>
      </c>
      <c r="AY552" s="18">
        <v>-15.002000000000001</v>
      </c>
      <c r="AZ552" s="18">
        <v>-4366.5</v>
      </c>
      <c r="BA552" s="18">
        <v>2.4917000000000002E-2</v>
      </c>
      <c r="BB552" s="18">
        <v>25.559000000000001</v>
      </c>
      <c r="BC552" s="18" t="s">
        <v>162</v>
      </c>
      <c r="BD552" s="35" t="s">
        <v>163</v>
      </c>
      <c r="BE552" t="s">
        <v>167</v>
      </c>
    </row>
    <row r="553" spans="1:57" x14ac:dyDescent="0.25">
      <c r="A553" s="18" t="s">
        <v>623</v>
      </c>
      <c r="B553" s="18" t="s">
        <v>13</v>
      </c>
      <c r="C553" s="18" t="s">
        <v>14</v>
      </c>
      <c r="D553" s="18">
        <v>43</v>
      </c>
      <c r="E553" s="18">
        <v>7.6258999999999997</v>
      </c>
      <c r="F553" s="18">
        <v>9.9030000000000005</v>
      </c>
      <c r="G553" s="15">
        <v>7.12</v>
      </c>
      <c r="H553" s="15">
        <v>3.1</v>
      </c>
      <c r="I553" s="15">
        <v>1.84</v>
      </c>
      <c r="J553" s="15">
        <v>103.09</v>
      </c>
      <c r="K553" s="15">
        <v>10.01</v>
      </c>
      <c r="L553" s="15">
        <v>51.24</v>
      </c>
      <c r="M553" s="15">
        <v>5.3</v>
      </c>
      <c r="N553" s="15">
        <v>1</v>
      </c>
      <c r="O553" s="15">
        <v>2.48</v>
      </c>
      <c r="P553" s="9">
        <v>1.02725</v>
      </c>
      <c r="Q553" s="9">
        <v>2.2542300000000002</v>
      </c>
      <c r="R553" s="9">
        <v>-2.45902E-2</v>
      </c>
      <c r="S553" s="9">
        <v>0.21246999999999999</v>
      </c>
      <c r="T553" s="9">
        <v>0.228299</v>
      </c>
      <c r="U553" s="9">
        <v>6.22242E-2</v>
      </c>
      <c r="V553" s="9">
        <v>6.9036499999999998</v>
      </c>
      <c r="W553" s="9">
        <v>3.0625300000000002</v>
      </c>
      <c r="X553" s="9">
        <v>3.1459899999999998</v>
      </c>
      <c r="Y553" s="9">
        <v>56.537599999999998</v>
      </c>
      <c r="Z553" s="9">
        <v>38.323799999999999</v>
      </c>
      <c r="AA553" s="9">
        <f t="shared" si="87"/>
        <v>1.6644184782608695</v>
      </c>
      <c r="AB553" s="9">
        <f t="shared" si="88"/>
        <v>3.8695652173913042</v>
      </c>
      <c r="AC553" s="9">
        <f t="shared" si="89"/>
        <v>1.6847826086956521</v>
      </c>
      <c r="AD553" s="9">
        <f t="shared" si="90"/>
        <v>7.4138921307648937</v>
      </c>
      <c r="AE553" s="9">
        <f t="shared" si="91"/>
        <v>5.0254789598604752</v>
      </c>
      <c r="AF553" s="9">
        <f t="shared" si="92"/>
        <v>4.9738382618283117</v>
      </c>
      <c r="AG553" s="9">
        <f t="shared" si="84"/>
        <v>1.5580113481772107</v>
      </c>
      <c r="AH553" s="9">
        <f t="shared" si="93"/>
        <v>0.98851600639059967</v>
      </c>
      <c r="AI553" s="9">
        <f t="shared" si="85"/>
        <v>2.0915101919820986</v>
      </c>
      <c r="AJ553" s="9">
        <f>(4*PI()*(AI553^2))/(Y553+E553)</f>
        <v>0.85672568738955968</v>
      </c>
      <c r="AK553" s="12">
        <f t="shared" si="86"/>
        <v>0.74193548387096775</v>
      </c>
      <c r="AL553" s="12" t="s">
        <v>140</v>
      </c>
      <c r="AM553" s="12" t="s">
        <v>143</v>
      </c>
      <c r="AN553" s="18">
        <v>11.362</v>
      </c>
      <c r="AO553" s="18">
        <v>0.63666999999999996</v>
      </c>
      <c r="AP553" s="18">
        <v>20565</v>
      </c>
      <c r="AQ553" s="18">
        <v>18749</v>
      </c>
      <c r="AR553" s="18">
        <v>5.7305000000000001</v>
      </c>
      <c r="AS553" s="18">
        <v>6.1659000000000002E-3</v>
      </c>
      <c r="AT553" s="18">
        <v>0.74377000000000004</v>
      </c>
      <c r="AU553" s="18">
        <v>0.47426000000000001</v>
      </c>
      <c r="AV553" s="18">
        <v>7.2229000000000002E-2</v>
      </c>
      <c r="AW553" s="18">
        <v>2.0652999999999999E-3</v>
      </c>
      <c r="AX553" s="18">
        <v>0.35466999999999999</v>
      </c>
      <c r="AY553" s="18">
        <v>-0.49752999999999997</v>
      </c>
      <c r="AZ553" s="18">
        <v>-2259.1999999999998</v>
      </c>
      <c r="BA553" s="18">
        <v>3.9049E-2</v>
      </c>
      <c r="BB553" s="18">
        <v>6.9917999999999996</v>
      </c>
      <c r="BC553" s="18" t="s">
        <v>162</v>
      </c>
      <c r="BD553" s="35" t="s">
        <v>165</v>
      </c>
      <c r="BE553" t="s">
        <v>168</v>
      </c>
    </row>
    <row r="554" spans="1:57" x14ac:dyDescent="0.25">
      <c r="A554" s="18" t="s">
        <v>624</v>
      </c>
      <c r="B554" s="18" t="s">
        <v>13</v>
      </c>
      <c r="C554" s="18" t="s">
        <v>6</v>
      </c>
      <c r="D554" s="18">
        <v>64</v>
      </c>
      <c r="E554" s="18">
        <v>6.6444999999999999</v>
      </c>
      <c r="F554" s="18">
        <v>9.2725000000000009</v>
      </c>
      <c r="G554" s="15">
        <v>4.7699999999999996</v>
      </c>
      <c r="H554" s="15">
        <v>2.4500000000000002</v>
      </c>
      <c r="I554" s="15">
        <v>2.69</v>
      </c>
      <c r="J554" s="15">
        <v>64.739999999999995</v>
      </c>
      <c r="K554" s="15">
        <v>13.37</v>
      </c>
      <c r="L554" s="15">
        <v>50.61</v>
      </c>
      <c r="M554" s="15">
        <v>4.5999999999999996</v>
      </c>
      <c r="N554" s="15">
        <v>2</v>
      </c>
      <c r="O554" s="15">
        <v>3.6399999999999997</v>
      </c>
      <c r="P554" s="9">
        <v>0.86675000000000002</v>
      </c>
      <c r="Q554" s="9">
        <v>1.6251500000000001</v>
      </c>
      <c r="R554" s="9">
        <v>-4.1666700000000001E-2</v>
      </c>
      <c r="S554" s="9">
        <v>0.14169100000000001</v>
      </c>
      <c r="T554" s="9">
        <v>0.171324</v>
      </c>
      <c r="U554" s="9">
        <v>6.1448900000000001E-2</v>
      </c>
      <c r="V554" s="9">
        <v>4.6364999999999998</v>
      </c>
      <c r="W554" s="9">
        <v>2.8529599999999999</v>
      </c>
      <c r="X554" s="9">
        <v>2.4727999999999999</v>
      </c>
      <c r="Y554" s="9">
        <v>34.8613</v>
      </c>
      <c r="Z554" s="9">
        <v>20.648199999999999</v>
      </c>
      <c r="AA554" s="9">
        <f t="shared" si="87"/>
        <v>1.0605799256505577</v>
      </c>
      <c r="AB554" s="9">
        <f t="shared" si="88"/>
        <v>1.7732342007434942</v>
      </c>
      <c r="AC554" s="9">
        <f t="shared" si="89"/>
        <v>0.91078066914498146</v>
      </c>
      <c r="AD554" s="9">
        <f t="shared" si="90"/>
        <v>5.2466400782602154</v>
      </c>
      <c r="AE554" s="9">
        <f t="shared" si="91"/>
        <v>3.1075626457972758</v>
      </c>
      <c r="AF554" s="9">
        <f t="shared" si="92"/>
        <v>4.6318602336366057</v>
      </c>
      <c r="AG554" s="9">
        <f t="shared" si="84"/>
        <v>1.4543074086135288</v>
      </c>
      <c r="AH554" s="9">
        <f t="shared" si="93"/>
        <v>0.98546054914240411</v>
      </c>
      <c r="AI554" s="9">
        <f t="shared" si="85"/>
        <v>1.7018888629054594</v>
      </c>
      <c r="AJ554" s="9">
        <f>(4*PI()*(AI554^2))/(Y554+E554)</f>
        <v>0.87692705174425678</v>
      </c>
      <c r="AK554" s="12">
        <f t="shared" si="86"/>
        <v>0.73901098901098905</v>
      </c>
      <c r="AL554" s="12" t="s">
        <v>140</v>
      </c>
      <c r="AM554" s="12" t="s">
        <v>142</v>
      </c>
      <c r="AN554" s="18">
        <v>2.6945999999999999</v>
      </c>
      <c r="AO554" s="18">
        <v>0.57913000000000003</v>
      </c>
      <c r="AP554" s="18">
        <v>5705.6</v>
      </c>
      <c r="AQ554" s="18">
        <v>5251.3</v>
      </c>
      <c r="AR554" s="18">
        <v>1.2947</v>
      </c>
      <c r="AS554" s="18">
        <v>1.0713E-2</v>
      </c>
      <c r="AT554" s="18">
        <v>0.76246999999999998</v>
      </c>
      <c r="AU554" s="18">
        <v>2.1276999999999999</v>
      </c>
      <c r="AV554" s="18">
        <v>0.16181999999999999</v>
      </c>
      <c r="AW554" s="18">
        <v>6.0422999999999996E-3</v>
      </c>
      <c r="AX554" s="18">
        <v>0.1206</v>
      </c>
      <c r="AY554" s="18">
        <v>-1.1894</v>
      </c>
      <c r="AZ554" s="18">
        <v>-255.67</v>
      </c>
      <c r="BA554" s="18">
        <v>7.2509000000000004E-2</v>
      </c>
      <c r="BB554" s="18">
        <v>11.992000000000001</v>
      </c>
      <c r="BC554" s="18" t="s">
        <v>162</v>
      </c>
      <c r="BD554" s="35" t="s">
        <v>165</v>
      </c>
      <c r="BE554" t="s">
        <v>168</v>
      </c>
    </row>
    <row r="555" spans="1:57" x14ac:dyDescent="0.25">
      <c r="A555" s="18" t="s">
        <v>625</v>
      </c>
      <c r="B555" s="18" t="s">
        <v>5</v>
      </c>
      <c r="C555" s="18" t="s">
        <v>6</v>
      </c>
      <c r="D555" s="18">
        <v>64</v>
      </c>
      <c r="E555" s="18">
        <v>18.254000000000001</v>
      </c>
      <c r="F555" s="18">
        <v>15.742000000000001</v>
      </c>
      <c r="G555" s="15">
        <v>5.67</v>
      </c>
      <c r="H555" s="15">
        <v>2.35</v>
      </c>
      <c r="I555" s="15">
        <v>4.46</v>
      </c>
      <c r="J555" s="15">
        <v>79.63</v>
      </c>
      <c r="K555" s="15">
        <v>6.21</v>
      </c>
      <c r="L555" s="15">
        <v>13.82</v>
      </c>
      <c r="M555" s="15">
        <v>5.5</v>
      </c>
      <c r="N555" s="15">
        <v>2</v>
      </c>
      <c r="O555" s="15">
        <v>4.96</v>
      </c>
      <c r="P555" s="9">
        <v>0.50435300000000005</v>
      </c>
      <c r="Q555" s="9">
        <v>1.20241</v>
      </c>
      <c r="R555" s="9">
        <v>0.411111</v>
      </c>
      <c r="S555" s="9">
        <v>2.15237E-2</v>
      </c>
      <c r="T555" s="9">
        <v>2.93642E-2</v>
      </c>
      <c r="U555" s="9">
        <v>7.2742099999999997E-3</v>
      </c>
      <c r="V555" s="9">
        <v>5.5734700000000004</v>
      </c>
      <c r="W555" s="9">
        <v>4.63523</v>
      </c>
      <c r="X555" s="9">
        <v>2.33779</v>
      </c>
      <c r="Y555" s="9">
        <v>35.378</v>
      </c>
      <c r="Z555" s="9">
        <v>26.7592</v>
      </c>
      <c r="AA555" s="9">
        <f t="shared" si="87"/>
        <v>1.0392892376681615</v>
      </c>
      <c r="AB555" s="9">
        <f t="shared" si="88"/>
        <v>1.2713004484304933</v>
      </c>
      <c r="AC555" s="9">
        <f t="shared" si="89"/>
        <v>0.52690582959641263</v>
      </c>
      <c r="AD555" s="9">
        <f t="shared" si="90"/>
        <v>1.9380957598334609</v>
      </c>
      <c r="AE555" s="9">
        <f t="shared" si="91"/>
        <v>1.465936233154377</v>
      </c>
      <c r="AF555" s="9">
        <f t="shared" si="92"/>
        <v>3.9544357823915806</v>
      </c>
      <c r="AG555" s="9">
        <f t="shared" si="84"/>
        <v>2.4104830765634748</v>
      </c>
      <c r="AH555" s="9">
        <f t="shared" si="93"/>
        <v>0.96210849001833754</v>
      </c>
      <c r="AI555" s="9">
        <f t="shared" si="85"/>
        <v>1.8555023358225136</v>
      </c>
      <c r="AJ555" s="9">
        <f>(4*PI()*(AI555^2))/(Y555+E555)</f>
        <v>0.80669410297414235</v>
      </c>
      <c r="AK555" s="12">
        <f t="shared" si="86"/>
        <v>0.89919354838709675</v>
      </c>
      <c r="AL555" s="12" t="s">
        <v>144</v>
      </c>
      <c r="AM555" s="12" t="s">
        <v>143</v>
      </c>
      <c r="AN555" s="18">
        <v>5.2153999999999998</v>
      </c>
      <c r="AO555" s="18">
        <v>0.75388999999999995</v>
      </c>
      <c r="AP555" s="18">
        <v>6038.5</v>
      </c>
      <c r="AQ555" s="18">
        <v>6287</v>
      </c>
      <c r="AR555" s="18">
        <v>2.7401</v>
      </c>
      <c r="AS555" s="18">
        <v>9.4231000000000002E-3</v>
      </c>
      <c r="AT555" s="18">
        <v>0.76075000000000004</v>
      </c>
      <c r="AU555" s="18">
        <v>0.50968999999999998</v>
      </c>
      <c r="AV555" s="18">
        <v>3.3394000000000002E-3</v>
      </c>
      <c r="AW555" s="18">
        <v>3.4229E-3</v>
      </c>
      <c r="AX555" s="18">
        <v>0.24318000000000001</v>
      </c>
      <c r="AY555" s="18">
        <v>3.7435</v>
      </c>
      <c r="AZ555" s="18">
        <v>3155.4</v>
      </c>
      <c r="BA555" s="18">
        <v>1.4940999999999999E-2</v>
      </c>
      <c r="BB555" s="18">
        <v>4.6402000000000001</v>
      </c>
      <c r="BC555" s="18" t="s">
        <v>162</v>
      </c>
      <c r="BD555" s="35" t="s">
        <v>163</v>
      </c>
      <c r="BE555" t="s">
        <v>168</v>
      </c>
    </row>
    <row r="556" spans="1:57" x14ac:dyDescent="0.25">
      <c r="A556" s="18" t="s">
        <v>626</v>
      </c>
      <c r="B556" s="18" t="s">
        <v>178</v>
      </c>
      <c r="C556" s="18" t="s">
        <v>6</v>
      </c>
      <c r="D556" s="18">
        <v>42</v>
      </c>
      <c r="E556" s="18">
        <v>6.8581000000000003</v>
      </c>
      <c r="F556" s="18">
        <v>9.5103000000000009</v>
      </c>
      <c r="G556" s="15">
        <v>5.47</v>
      </c>
      <c r="H556" s="15">
        <v>4.9000000000000004</v>
      </c>
      <c r="I556" s="15">
        <v>3.25</v>
      </c>
      <c r="J556" s="15">
        <v>18.61</v>
      </c>
      <c r="K556" s="15">
        <v>62.6</v>
      </c>
      <c r="L556" s="15">
        <v>77.34</v>
      </c>
      <c r="M556" s="15">
        <v>3.4</v>
      </c>
      <c r="N556" s="15">
        <v>2</v>
      </c>
      <c r="O556" s="15">
        <v>4.83</v>
      </c>
      <c r="P556" s="9">
        <v>1.69672</v>
      </c>
      <c r="Q556" s="9">
        <v>1.3650599999999999</v>
      </c>
      <c r="R556" s="9">
        <v>0.15979399999999999</v>
      </c>
      <c r="S556" s="9">
        <v>0.16839299999999999</v>
      </c>
      <c r="T556" s="9">
        <v>0.17966499999999999</v>
      </c>
      <c r="U556" s="9">
        <v>3.60486E-2</v>
      </c>
      <c r="V556" s="9">
        <v>3.94712</v>
      </c>
      <c r="W556" s="9">
        <v>2.89154</v>
      </c>
      <c r="X556" s="9">
        <v>4.9061399999999997</v>
      </c>
      <c r="Y556" s="9">
        <v>46.7517</v>
      </c>
      <c r="Z556" s="9">
        <v>31.584299999999999</v>
      </c>
      <c r="AA556" s="9">
        <f t="shared" si="87"/>
        <v>0.88970461538461543</v>
      </c>
      <c r="AB556" s="9">
        <f t="shared" si="88"/>
        <v>1.6830769230769229</v>
      </c>
      <c r="AC556" s="9">
        <f t="shared" si="89"/>
        <v>1.5076923076923079</v>
      </c>
      <c r="AD556" s="9">
        <f t="shared" si="90"/>
        <v>6.8170047097592628</v>
      </c>
      <c r="AE556" s="9">
        <f t="shared" si="91"/>
        <v>4.6054009127892561</v>
      </c>
      <c r="AF556" s="9">
        <f t="shared" si="92"/>
        <v>4.6789661508407088</v>
      </c>
      <c r="AG556" s="9">
        <f t="shared" si="84"/>
        <v>1.4774982336493858</v>
      </c>
      <c r="AH556" s="9">
        <f t="shared" si="93"/>
        <v>0.97614115149360292</v>
      </c>
      <c r="AI556" s="9">
        <f t="shared" si="85"/>
        <v>1.9609245433107196</v>
      </c>
      <c r="AJ556" s="9">
        <f>(4*PI()*(AI556^2))/(Y556+E556)</f>
        <v>0.90133750278612224</v>
      </c>
      <c r="AK556" s="12">
        <f t="shared" si="86"/>
        <v>0.67287784679089024</v>
      </c>
      <c r="AL556" s="12" t="s">
        <v>140</v>
      </c>
      <c r="AM556" s="12" t="s">
        <v>142</v>
      </c>
      <c r="AN556" s="18">
        <v>6.2865000000000004E-2</v>
      </c>
      <c r="AO556" s="18">
        <v>2.2107999999999999E-2</v>
      </c>
      <c r="AP556" s="18">
        <v>182.1</v>
      </c>
      <c r="AQ556" s="18">
        <v>142.25</v>
      </c>
      <c r="AR556" s="18">
        <v>3.1912999999999997E-2</v>
      </c>
      <c r="AS556" s="18">
        <v>3.6635000000000001E-2</v>
      </c>
      <c r="AT556" s="18">
        <v>0.68383000000000005</v>
      </c>
      <c r="AU556" s="18">
        <v>1090.2</v>
      </c>
      <c r="AV556" s="18">
        <v>0.95716999999999997</v>
      </c>
      <c r="AW556" s="18">
        <v>2.7751000000000001E-2</v>
      </c>
      <c r="AX556" s="18">
        <v>2.2130000000000001E-3</v>
      </c>
      <c r="AY556" s="18">
        <v>194.52</v>
      </c>
      <c r="AZ556" s="18">
        <v>1.8182</v>
      </c>
      <c r="BA556" s="18">
        <v>1.575</v>
      </c>
      <c r="BB556" s="18">
        <v>75.638999999999996</v>
      </c>
      <c r="BC556" s="18" t="s">
        <v>162</v>
      </c>
      <c r="BD556" s="35" t="s">
        <v>163</v>
      </c>
      <c r="BE556" t="s">
        <v>168</v>
      </c>
    </row>
    <row r="557" spans="1:57" x14ac:dyDescent="0.25">
      <c r="A557" s="18" t="s">
        <v>627</v>
      </c>
      <c r="B557" s="18" t="s">
        <v>13</v>
      </c>
      <c r="C557" s="18" t="s">
        <v>14</v>
      </c>
      <c r="D557" s="18">
        <v>59</v>
      </c>
      <c r="E557" s="18">
        <v>14.596</v>
      </c>
      <c r="F557" s="18">
        <v>13.736000000000001</v>
      </c>
      <c r="G557" s="15">
        <v>5.41</v>
      </c>
      <c r="H557" s="15">
        <v>3.9</v>
      </c>
      <c r="I557" s="15">
        <v>2.4300000000000002</v>
      </c>
      <c r="J557" s="15">
        <v>50.31</v>
      </c>
      <c r="K557" s="15">
        <v>31.93</v>
      </c>
      <c r="L557" s="15">
        <v>69.44</v>
      </c>
      <c r="M557" s="15">
        <v>4.3</v>
      </c>
      <c r="N557" s="15">
        <v>2</v>
      </c>
      <c r="O557" s="15">
        <v>4.87</v>
      </c>
      <c r="P557" s="9">
        <v>0.92939899999999998</v>
      </c>
      <c r="Q557" s="9">
        <v>1.13348</v>
      </c>
      <c r="R557" s="9">
        <v>0.44805200000000001</v>
      </c>
      <c r="S557" s="9">
        <v>8.0102999999999994E-2</v>
      </c>
      <c r="T557" s="9">
        <v>9.7235000000000002E-2</v>
      </c>
      <c r="U557" s="9">
        <v>4.8384900000000002E-2</v>
      </c>
      <c r="V557" s="9">
        <v>4.7685000000000004</v>
      </c>
      <c r="W557" s="9">
        <v>4.2069700000000001</v>
      </c>
      <c r="X557" s="9">
        <v>3.9099599999999999</v>
      </c>
      <c r="Y557" s="9">
        <v>45.244700000000002</v>
      </c>
      <c r="Z557" s="9">
        <v>34.713799999999999</v>
      </c>
      <c r="AA557" s="9">
        <f t="shared" si="87"/>
        <v>1.7312633744855965</v>
      </c>
      <c r="AB557" s="9">
        <f t="shared" si="88"/>
        <v>2.2263374485596708</v>
      </c>
      <c r="AC557" s="9">
        <f t="shared" si="89"/>
        <v>1.6049382716049381</v>
      </c>
      <c r="AD557" s="9">
        <f t="shared" si="90"/>
        <v>3.0998013154288846</v>
      </c>
      <c r="AE557" s="9">
        <f t="shared" si="91"/>
        <v>2.378309125787887</v>
      </c>
      <c r="AF557" s="9">
        <f t="shared" si="92"/>
        <v>4.2517358489748212</v>
      </c>
      <c r="AG557" s="9">
        <f t="shared" si="84"/>
        <v>2.1554700412528609</v>
      </c>
      <c r="AH557" s="9">
        <f t="shared" si="93"/>
        <v>0.98596517860117594</v>
      </c>
      <c r="AI557" s="9">
        <f t="shared" si="85"/>
        <v>2.0236614062707656</v>
      </c>
      <c r="AJ557" s="9">
        <f>(4*PI()*(AI557^2))/(Y557+E557)</f>
        <v>0.85998108134575058</v>
      </c>
      <c r="AK557" s="12">
        <f t="shared" si="86"/>
        <v>0.49897330595482547</v>
      </c>
      <c r="AL557" s="12" t="s">
        <v>144</v>
      </c>
      <c r="AM557" s="12" t="s">
        <v>142</v>
      </c>
      <c r="AN557" s="18">
        <v>8.4762000000000004</v>
      </c>
      <c r="AO557" s="18">
        <v>1.0566</v>
      </c>
      <c r="AP557" s="18">
        <v>10577</v>
      </c>
      <c r="AQ557" s="18">
        <v>11675</v>
      </c>
      <c r="AR557" s="18">
        <v>4.3414999999999999</v>
      </c>
      <c r="AS557" s="18">
        <v>4.1216999999999998E-3</v>
      </c>
      <c r="AT557" s="18">
        <v>0.75239</v>
      </c>
      <c r="AU557" s="18">
        <v>0.31742999999999999</v>
      </c>
      <c r="AV557" s="18">
        <v>3.7125000000000001E-3</v>
      </c>
      <c r="AW557" s="18">
        <v>2.3527999999999999E-3</v>
      </c>
      <c r="AX557" s="18">
        <v>0.30808000000000002</v>
      </c>
      <c r="AY557" s="18">
        <v>0.41783999999999999</v>
      </c>
      <c r="AZ557" s="18">
        <v>-679.44</v>
      </c>
      <c r="BA557" s="18">
        <v>3.2177999999999998E-2</v>
      </c>
      <c r="BB557" s="18">
        <v>11.760999999999999</v>
      </c>
      <c r="BC557" s="18" t="s">
        <v>162</v>
      </c>
      <c r="BD557" s="35" t="s">
        <v>165</v>
      </c>
      <c r="BE557" t="s">
        <v>168</v>
      </c>
    </row>
    <row r="558" spans="1:57" x14ac:dyDescent="0.25">
      <c r="A558" s="16" t="s">
        <v>628</v>
      </c>
      <c r="B558" s="16" t="s">
        <v>5</v>
      </c>
      <c r="C558" s="16" t="s">
        <v>6</v>
      </c>
      <c r="D558" s="16">
        <v>52</v>
      </c>
      <c r="E558" s="16">
        <v>16.414000000000001</v>
      </c>
      <c r="F558" s="16">
        <v>14.78</v>
      </c>
      <c r="G558" s="15">
        <v>7.91</v>
      </c>
      <c r="H558" s="15">
        <v>7.05</v>
      </c>
      <c r="I558" s="15">
        <v>2.74</v>
      </c>
      <c r="J558" s="15">
        <v>71.430000000000007</v>
      </c>
      <c r="K558" s="15">
        <v>60.58</v>
      </c>
      <c r="L558" s="15">
        <v>20.21</v>
      </c>
      <c r="M558" s="15">
        <v>5.3</v>
      </c>
      <c r="N558" s="15">
        <v>1</v>
      </c>
      <c r="O558" s="15">
        <v>2.88</v>
      </c>
      <c r="P558" s="9">
        <v>1.57683</v>
      </c>
      <c r="Q558" s="9">
        <v>1.3105500000000001</v>
      </c>
      <c r="R558" s="9">
        <v>6.4285700000000001E-2</v>
      </c>
      <c r="S558" s="9">
        <v>0.15129600000000001</v>
      </c>
      <c r="T558" s="9">
        <v>0.16731399999999999</v>
      </c>
      <c r="U558" s="9">
        <v>4.1081899999999998E-2</v>
      </c>
      <c r="V558" s="9">
        <v>5.86639</v>
      </c>
      <c r="W558" s="9">
        <v>4.47628</v>
      </c>
      <c r="X558" s="9">
        <v>7.0583499999999999</v>
      </c>
      <c r="Y558" s="9">
        <v>102.569</v>
      </c>
      <c r="Z558" s="9">
        <v>104.96299999999999</v>
      </c>
      <c r="AA558" s="9">
        <f t="shared" si="87"/>
        <v>1.6336788321167881</v>
      </c>
      <c r="AB558" s="9">
        <f t="shared" si="88"/>
        <v>2.886861313868613</v>
      </c>
      <c r="AC558" s="9">
        <f t="shared" si="89"/>
        <v>2.5729927007299267</v>
      </c>
      <c r="AD558" s="9">
        <f t="shared" si="90"/>
        <v>6.2488729133666379</v>
      </c>
      <c r="AE558" s="9">
        <f t="shared" si="91"/>
        <v>6.3947240160838303</v>
      </c>
      <c r="AF558" s="9">
        <f t="shared" si="92"/>
        <v>4.6095510743401737</v>
      </c>
      <c r="AG558" s="9">
        <f t="shared" si="84"/>
        <v>2.2857686829206365</v>
      </c>
      <c r="AH558" s="9">
        <f t="shared" si="93"/>
        <v>0.97171232774953853</v>
      </c>
      <c r="AI558" s="9">
        <f t="shared" si="85"/>
        <v>2.9262799740583003</v>
      </c>
      <c r="AJ558" s="9">
        <f>(4*PI()*(AI558^2))/(Y558+E558)</f>
        <v>0.90439197407600214</v>
      </c>
      <c r="AK558" s="12">
        <f t="shared" si="86"/>
        <v>0.95138888888888895</v>
      </c>
      <c r="AL558" s="12" t="s">
        <v>144</v>
      </c>
      <c r="AM558" s="12" t="s">
        <v>143</v>
      </c>
      <c r="AN558" s="16">
        <v>4.1342999999999996</v>
      </c>
      <c r="AO558" s="16">
        <v>0.50209000000000004</v>
      </c>
      <c r="AP558" s="16">
        <v>5390.3</v>
      </c>
      <c r="AQ558" s="16">
        <v>5149.7</v>
      </c>
      <c r="AR558" s="16">
        <v>2.2387999999999999</v>
      </c>
      <c r="AS558" s="16">
        <v>6.9525999999999998E-3</v>
      </c>
      <c r="AT558" s="16">
        <v>0.71819999999999995</v>
      </c>
      <c r="AU558" s="16">
        <v>0.85499999999999998</v>
      </c>
      <c r="AV558" s="16">
        <v>7.1222999999999995E-2</v>
      </c>
      <c r="AW558" s="16">
        <v>4.5142999999999997E-3</v>
      </c>
      <c r="AX558" s="16">
        <v>0.19075</v>
      </c>
      <c r="AY558" s="16">
        <v>2.8113999999999999</v>
      </c>
      <c r="AZ558" s="16">
        <v>1594.5</v>
      </c>
      <c r="BA558" s="16">
        <v>4.6559999999999997E-2</v>
      </c>
      <c r="BB558" s="16">
        <v>4.5986000000000002</v>
      </c>
      <c r="BC558" s="16" t="s">
        <v>162</v>
      </c>
      <c r="BD558" s="34" t="s">
        <v>165</v>
      </c>
      <c r="BE558" t="s">
        <v>167</v>
      </c>
    </row>
    <row r="559" spans="1:57" x14ac:dyDescent="0.25">
      <c r="A559" s="18" t="s">
        <v>629</v>
      </c>
      <c r="B559" s="18" t="s">
        <v>26</v>
      </c>
      <c r="C559" s="18" t="s">
        <v>6</v>
      </c>
      <c r="D559" s="18">
        <v>78</v>
      </c>
      <c r="E559" s="18">
        <v>15.391866480208</v>
      </c>
      <c r="F559" s="18">
        <v>14.643000000000001</v>
      </c>
      <c r="G559" s="15">
        <v>6.97</v>
      </c>
      <c r="H559" s="15">
        <v>4</v>
      </c>
      <c r="I559" s="15">
        <v>2.41</v>
      </c>
      <c r="J559" s="15">
        <v>34.76</v>
      </c>
      <c r="K559" s="15">
        <v>31.54</v>
      </c>
      <c r="L559" s="15">
        <v>64.69</v>
      </c>
      <c r="M559" s="15">
        <v>5.4</v>
      </c>
      <c r="N559" s="15">
        <v>3</v>
      </c>
      <c r="O559" s="15">
        <f>1.05+1.93+2.3</f>
        <v>5.2799999999999994</v>
      </c>
      <c r="P559" s="9">
        <v>0.94917799999999997</v>
      </c>
      <c r="Q559" s="9">
        <v>1.28356</v>
      </c>
      <c r="R559" s="9">
        <v>0.487342</v>
      </c>
      <c r="S559" s="9">
        <v>0.12321500000000001</v>
      </c>
      <c r="T559" s="9">
        <v>0.15776899999999999</v>
      </c>
      <c r="U559" s="9">
        <v>0.12554699999999999</v>
      </c>
      <c r="V559" s="9">
        <v>5.4296499999999996</v>
      </c>
      <c r="W559" s="9">
        <v>4.2301500000000001</v>
      </c>
      <c r="X559" s="9">
        <v>4.0151700000000003</v>
      </c>
      <c r="Y559" s="9">
        <v>62.7866</v>
      </c>
      <c r="Z559" s="9">
        <v>51.137099999999997</v>
      </c>
      <c r="AA559" s="9">
        <f t="shared" si="87"/>
        <v>1.7552489626556016</v>
      </c>
      <c r="AB559" s="9">
        <f t="shared" si="88"/>
        <v>2.892116182572614</v>
      </c>
      <c r="AC559" s="9">
        <f t="shared" si="89"/>
        <v>1.6597510373443982</v>
      </c>
      <c r="AD559" s="9">
        <f t="shared" si="90"/>
        <v>4.0792063834971319</v>
      </c>
      <c r="AE559" s="9">
        <f t="shared" si="91"/>
        <v>3.3223456080362874</v>
      </c>
      <c r="AF559" s="9">
        <f t="shared" si="92"/>
        <v>4.557320467911036</v>
      </c>
      <c r="AG559" s="9">
        <f t="shared" si="84"/>
        <v>2.2134550520557474</v>
      </c>
      <c r="AH559" s="9">
        <f t="shared" si="93"/>
        <v>0.94977451759742526</v>
      </c>
      <c r="AI559" s="9">
        <f t="shared" si="85"/>
        <v>2.3025858352950062</v>
      </c>
      <c r="AJ559" s="9">
        <f>(4*PI()*(AI559^2))/(Y559+E559)</f>
        <v>0.85222520436464777</v>
      </c>
      <c r="AK559" s="12">
        <f t="shared" si="86"/>
        <v>0.45643939393939403</v>
      </c>
      <c r="AL559" s="12" t="s">
        <v>140</v>
      </c>
      <c r="AM559" s="12" t="s">
        <v>142</v>
      </c>
      <c r="AN559" s="18">
        <v>15.8940521427406</v>
      </c>
      <c r="AO559" s="18">
        <v>1.0234257605739601</v>
      </c>
      <c r="AP559" s="18">
        <v>23404.1407266801</v>
      </c>
      <c r="AQ559" s="18">
        <v>24200.196176666701</v>
      </c>
      <c r="AR559" s="18">
        <v>7.99009980285871</v>
      </c>
      <c r="AS559" s="18">
        <v>6.9536795208363497E-3</v>
      </c>
      <c r="AT559" s="18">
        <v>0.74239023211329602</v>
      </c>
      <c r="AU559" s="18">
        <v>0.237236117069522</v>
      </c>
      <c r="AV559" s="18">
        <v>1.22702047289758E-2</v>
      </c>
      <c r="AW559" s="18">
        <v>3.9735154915198703E-3</v>
      </c>
      <c r="AX559" s="18">
        <v>0.43136279176820902</v>
      </c>
      <c r="AY559" s="18">
        <v>-1.30230029556754</v>
      </c>
      <c r="AZ559" s="18">
        <v>-1733.5972735989201</v>
      </c>
      <c r="BA559" s="18">
        <v>4.35505902360563E-2</v>
      </c>
      <c r="BB559" s="18">
        <v>19.561040642528098</v>
      </c>
      <c r="BC559" s="18" t="s">
        <v>162</v>
      </c>
      <c r="BD559" s="35" t="s">
        <v>165</v>
      </c>
      <c r="BE559" t="s">
        <v>168</v>
      </c>
    </row>
    <row r="560" spans="1:57" x14ac:dyDescent="0.25">
      <c r="A560" s="18" t="s">
        <v>630</v>
      </c>
      <c r="B560" s="18" t="s">
        <v>5</v>
      </c>
      <c r="C560" s="18" t="s">
        <v>6</v>
      </c>
      <c r="D560" s="18">
        <v>47</v>
      </c>
      <c r="E560" s="18">
        <v>20.5017145552257</v>
      </c>
      <c r="F560" s="18">
        <v>16.507999999999999</v>
      </c>
      <c r="G560" s="15">
        <v>6.62</v>
      </c>
      <c r="H560" s="15">
        <v>5.15</v>
      </c>
      <c r="I560" s="15">
        <v>3.71</v>
      </c>
      <c r="J560" s="15">
        <v>67.56</v>
      </c>
      <c r="K560" s="15">
        <v>24.63</v>
      </c>
      <c r="L560" s="15">
        <v>27.62</v>
      </c>
      <c r="M560" s="15">
        <v>6.55</v>
      </c>
      <c r="N560" s="15">
        <v>2</v>
      </c>
      <c r="O560" s="15">
        <f>1.09+2.98</f>
        <v>4.07</v>
      </c>
      <c r="P560" s="9">
        <v>1.0488500000000001</v>
      </c>
      <c r="Q560" s="9">
        <v>1.3681099999999999</v>
      </c>
      <c r="R560" s="9">
        <v>0.113861</v>
      </c>
      <c r="S560" s="9">
        <v>9.2028600000000002E-2</v>
      </c>
      <c r="T560" s="9">
        <v>9.57736E-2</v>
      </c>
      <c r="U560" s="9">
        <v>3.4993200000000002E-3</v>
      </c>
      <c r="V560" s="9">
        <v>6.6872699999999998</v>
      </c>
      <c r="W560" s="9">
        <v>4.8879599999999996</v>
      </c>
      <c r="X560" s="9">
        <v>5.1267399999999999</v>
      </c>
      <c r="Y560" s="9">
        <v>104.62</v>
      </c>
      <c r="Z560" s="9">
        <v>122.35599999999999</v>
      </c>
      <c r="AA560" s="9">
        <f t="shared" si="87"/>
        <v>1.3175094339622642</v>
      </c>
      <c r="AB560" s="9">
        <f t="shared" si="88"/>
        <v>1.784366576819407</v>
      </c>
      <c r="AC560" s="9">
        <f t="shared" si="89"/>
        <v>1.3881401617250675</v>
      </c>
      <c r="AD560" s="9">
        <f t="shared" si="90"/>
        <v>5.1029878363677303</v>
      </c>
      <c r="AE560" s="9">
        <f t="shared" si="91"/>
        <v>5.9680862139802144</v>
      </c>
      <c r="AF560" s="9">
        <f t="shared" si="92"/>
        <v>4.2448713754548013</v>
      </c>
      <c r="AG560" s="9">
        <f t="shared" si="84"/>
        <v>2.5545838069334224</v>
      </c>
      <c r="AH560" s="9">
        <f t="shared" si="93"/>
        <v>0.97231181497958397</v>
      </c>
      <c r="AI560" s="9">
        <f t="shared" si="85"/>
        <v>3.0797269999437797</v>
      </c>
      <c r="AJ560" s="9">
        <f>(4*PI()*(AI560^2))/(Y560+E560)</f>
        <v>0.95258034896510835</v>
      </c>
      <c r="AK560" s="12">
        <f t="shared" si="86"/>
        <v>0.91154791154791148</v>
      </c>
      <c r="AL560" s="12" t="s">
        <v>144</v>
      </c>
      <c r="AM560" s="12" t="s">
        <v>142</v>
      </c>
      <c r="AN560" s="18">
        <v>10.7647543008912</v>
      </c>
      <c r="AO560" s="18">
        <v>1.13965016810275</v>
      </c>
      <c r="AP560" s="18">
        <v>10762.6168737853</v>
      </c>
      <c r="AQ560" s="18">
        <v>11528.0506354432</v>
      </c>
      <c r="AR560" s="18">
        <v>5.6219232187447696</v>
      </c>
      <c r="AS560" s="18">
        <v>2.40517909581379E-3</v>
      </c>
      <c r="AT560" s="18">
        <v>0.77802283284899498</v>
      </c>
      <c r="AU560" s="18">
        <v>0.210439070855135</v>
      </c>
      <c r="AV560" s="19">
        <v>1.5504703695358999E-4</v>
      </c>
      <c r="AW560" s="18">
        <v>2.03516978954209E-3</v>
      </c>
      <c r="AX560" s="18">
        <v>0.412265600272541</v>
      </c>
      <c r="AY560" s="18">
        <v>2.6897328142155499</v>
      </c>
      <c r="AZ560" s="18">
        <v>3357.0408110913199</v>
      </c>
      <c r="BA560" s="18">
        <v>3.5703635365913401E-2</v>
      </c>
      <c r="BB560" s="18">
        <v>4.4151059870199596</v>
      </c>
      <c r="BC560" s="18" t="s">
        <v>164</v>
      </c>
      <c r="BD560" s="35" t="s">
        <v>165</v>
      </c>
      <c r="BE560" t="s">
        <v>167</v>
      </c>
    </row>
    <row r="561" spans="1:57" x14ac:dyDescent="0.25">
      <c r="A561" s="18" t="s">
        <v>631</v>
      </c>
      <c r="B561" s="18" t="s">
        <v>5</v>
      </c>
      <c r="C561" s="18" t="s">
        <v>6</v>
      </c>
      <c r="D561" s="18">
        <v>61</v>
      </c>
      <c r="E561" s="18">
        <v>22.2222347982519</v>
      </c>
      <c r="F561" s="18">
        <v>17.346</v>
      </c>
      <c r="G561" s="15">
        <v>6.13</v>
      </c>
      <c r="H561" s="15">
        <v>2.9</v>
      </c>
      <c r="I561" s="15">
        <v>3.76</v>
      </c>
      <c r="J561" s="15">
        <v>49.5</v>
      </c>
      <c r="K561" s="15">
        <v>15.17</v>
      </c>
      <c r="L561" s="15">
        <v>57.02</v>
      </c>
      <c r="M561" s="15">
        <v>5.9</v>
      </c>
      <c r="N561" s="15">
        <v>2</v>
      </c>
      <c r="O561" s="15">
        <f>3.58+1.26</f>
        <v>4.84</v>
      </c>
      <c r="P561" s="9">
        <v>0.57170200000000004</v>
      </c>
      <c r="Q561" s="9">
        <v>1.15771</v>
      </c>
      <c r="R561" s="9">
        <v>0.394737</v>
      </c>
      <c r="S561" s="9">
        <v>3.3476600000000002E-2</v>
      </c>
      <c r="T561" s="9">
        <v>4.1863499999999998E-2</v>
      </c>
      <c r="U561" s="9">
        <v>1.19255E-2</v>
      </c>
      <c r="V561" s="9">
        <v>5.94909</v>
      </c>
      <c r="W561" s="9">
        <v>5.1386799999999999</v>
      </c>
      <c r="X561" s="9">
        <v>2.9378000000000002</v>
      </c>
      <c r="Y561" s="9">
        <v>54.984000000000002</v>
      </c>
      <c r="Z561" s="9">
        <v>50.849299999999999</v>
      </c>
      <c r="AA561" s="9">
        <f t="shared" si="87"/>
        <v>1.3666702127659576</v>
      </c>
      <c r="AB561" s="9">
        <f t="shared" si="88"/>
        <v>1.6303191489361704</v>
      </c>
      <c r="AC561" s="9">
        <f t="shared" si="89"/>
        <v>0.77127659574468088</v>
      </c>
      <c r="AD561" s="9">
        <f t="shared" si="90"/>
        <v>2.4742785997529504</v>
      </c>
      <c r="AE561" s="9">
        <f t="shared" si="91"/>
        <v>2.2882172050490635</v>
      </c>
      <c r="AF561" s="9">
        <f t="shared" si="92"/>
        <v>4.0060190644446445</v>
      </c>
      <c r="AG561" s="9">
        <f t="shared" si="84"/>
        <v>2.6596159552426051</v>
      </c>
      <c r="AH561" s="9">
        <f t="shared" si="93"/>
        <v>0.9633840593059344</v>
      </c>
      <c r="AI561" s="9">
        <f t="shared" si="85"/>
        <v>2.2982580491253417</v>
      </c>
      <c r="AJ561" s="9">
        <f>(4*PI()*(AI561^2))/(Y561+E561)</f>
        <v>0.85971612076938642</v>
      </c>
      <c r="AK561" s="12">
        <f t="shared" si="86"/>
        <v>0.77685950413223137</v>
      </c>
      <c r="AL561" s="12" t="s">
        <v>144</v>
      </c>
      <c r="AM561" s="12" t="s">
        <v>142</v>
      </c>
      <c r="AN561" s="18">
        <v>8.8833601956698605</v>
      </c>
      <c r="AO561" s="18">
        <v>0.94883328192814398</v>
      </c>
      <c r="AP561" s="18">
        <v>11252.2542602262</v>
      </c>
      <c r="AQ561" s="18">
        <v>12004.6715564402</v>
      </c>
      <c r="AR561" s="18">
        <v>4.4806627147614897</v>
      </c>
      <c r="AS561" s="18">
        <v>4.4286122778184897E-3</v>
      </c>
      <c r="AT561" s="18">
        <v>0.75709028821177105</v>
      </c>
      <c r="AU561" s="18">
        <v>0.31514698268810498</v>
      </c>
      <c r="AV561" s="18">
        <v>0</v>
      </c>
      <c r="AW561" s="18">
        <v>2.02201294043363E-3</v>
      </c>
      <c r="AX561" s="18">
        <v>0.37828048715660301</v>
      </c>
      <c r="AY561" s="18">
        <v>4.08151314572914</v>
      </c>
      <c r="AZ561" s="18">
        <v>1662.6436257599701</v>
      </c>
      <c r="BA561" s="18">
        <v>2.2093133753425202E-2</v>
      </c>
      <c r="BB561" s="18">
        <v>14.2689760673785</v>
      </c>
      <c r="BC561" s="18" t="s">
        <v>162</v>
      </c>
      <c r="BD561" s="35" t="s">
        <v>165</v>
      </c>
      <c r="BE561" t="s">
        <v>167</v>
      </c>
    </row>
    <row r="562" spans="1:57" x14ac:dyDescent="0.25">
      <c r="A562" s="18" t="s">
        <v>632</v>
      </c>
      <c r="B562" s="18" t="s">
        <v>5</v>
      </c>
      <c r="C562" s="18" t="s">
        <v>6</v>
      </c>
      <c r="D562" s="18">
        <v>40</v>
      </c>
      <c r="E562" s="18">
        <v>7.8994134001484797</v>
      </c>
      <c r="F562" s="18">
        <v>10.282999999999999</v>
      </c>
      <c r="G562" s="15">
        <v>4.4800000000000004</v>
      </c>
      <c r="H562" s="15">
        <v>3.3</v>
      </c>
      <c r="I562" s="15">
        <v>1.87</v>
      </c>
      <c r="J562" s="15">
        <v>104.45</v>
      </c>
      <c r="K562" s="15">
        <v>39.869999999999997</v>
      </c>
      <c r="L562" s="15">
        <v>27.36</v>
      </c>
      <c r="M562" s="15">
        <v>3.6</v>
      </c>
      <c r="N562" s="15">
        <v>2</v>
      </c>
      <c r="O562" s="15">
        <f>1.85+1.12</f>
        <v>2.97</v>
      </c>
      <c r="P562" s="9">
        <v>1.0723499999999999</v>
      </c>
      <c r="Q562" s="9">
        <v>1.2582500000000001</v>
      </c>
      <c r="R562" s="9">
        <v>0.130769</v>
      </c>
      <c r="S562" s="9">
        <v>0.10169400000000001</v>
      </c>
      <c r="T562" s="9">
        <v>0.11522</v>
      </c>
      <c r="U562" s="9">
        <v>2.6613000000000001E-2</v>
      </c>
      <c r="V562" s="9">
        <v>3.8897400000000002</v>
      </c>
      <c r="W562" s="9">
        <v>3.09138</v>
      </c>
      <c r="X562" s="9">
        <v>3.3150499999999998</v>
      </c>
      <c r="Y562" s="9">
        <v>38.944899999999997</v>
      </c>
      <c r="Z562" s="9">
        <v>26.8979</v>
      </c>
      <c r="AA562" s="9">
        <f t="shared" si="87"/>
        <v>1.6531443850267378</v>
      </c>
      <c r="AB562" s="9">
        <f t="shared" si="88"/>
        <v>2.3957219251336901</v>
      </c>
      <c r="AC562" s="9">
        <f t="shared" si="89"/>
        <v>1.7647058823529409</v>
      </c>
      <c r="AD562" s="9">
        <f t="shared" si="90"/>
        <v>4.9301002526678728</v>
      </c>
      <c r="AE562" s="9">
        <f t="shared" si="91"/>
        <v>3.4050503040509841</v>
      </c>
      <c r="AF562" s="9">
        <f t="shared" si="92"/>
        <v>4.3381544491835085</v>
      </c>
      <c r="AG562" s="9">
        <f t="shared" si="84"/>
        <v>1.5857053258156049</v>
      </c>
      <c r="AH562" s="9">
        <f t="shared" si="93"/>
        <v>0.968907945607413</v>
      </c>
      <c r="AI562" s="9">
        <f t="shared" si="85"/>
        <v>1.8587026656554158</v>
      </c>
      <c r="AJ562" s="9">
        <f>(4*PI()*(AI562^2))/(Y562+E562)</f>
        <v>0.92677184100415977</v>
      </c>
      <c r="AK562" s="12">
        <f t="shared" si="86"/>
        <v>0.62962962962962965</v>
      </c>
      <c r="AL562" s="12" t="s">
        <v>144</v>
      </c>
      <c r="AM562" s="12" t="s">
        <v>142</v>
      </c>
      <c r="AN562" s="18">
        <v>17.153696712781699</v>
      </c>
      <c r="AO562" s="18">
        <v>0.64740657090736997</v>
      </c>
      <c r="AP562" s="18">
        <v>30342.908367023701</v>
      </c>
      <c r="AQ562" s="18">
        <v>30464.987827504501</v>
      </c>
      <c r="AR562" s="18">
        <v>7.8109144979706597</v>
      </c>
      <c r="AS562" s="18">
        <v>4.2687541208871202E-3</v>
      </c>
      <c r="AT562" s="18">
        <v>0.76380065065002301</v>
      </c>
      <c r="AU562" s="18">
        <v>0.18299286731048001</v>
      </c>
      <c r="AV562" s="18">
        <v>9.2053737781847608E-3</v>
      </c>
      <c r="AW562" s="18">
        <v>3.8054623865467702E-3</v>
      </c>
      <c r="AX562" s="18">
        <v>0.407714846754063</v>
      </c>
      <c r="AY562" s="18">
        <v>-5.6444590107750701</v>
      </c>
      <c r="AZ562" s="18">
        <v>-6988.1724631493298</v>
      </c>
      <c r="BA562" s="18">
        <v>3.2770066773596597E-2</v>
      </c>
      <c r="BB562" s="18">
        <v>9.5256068624243202</v>
      </c>
      <c r="BC562" s="18" t="s">
        <v>162</v>
      </c>
      <c r="BD562" s="35" t="s">
        <v>165</v>
      </c>
      <c r="BE562" t="s">
        <v>168</v>
      </c>
    </row>
    <row r="563" spans="1:57" x14ac:dyDescent="0.25">
      <c r="A563" s="18" t="s">
        <v>633</v>
      </c>
      <c r="B563" s="18" t="s">
        <v>5</v>
      </c>
      <c r="C563" s="18" t="s">
        <v>6</v>
      </c>
      <c r="D563" s="18">
        <v>48</v>
      </c>
      <c r="E563" s="18">
        <v>15.763876810325</v>
      </c>
      <c r="F563" s="18">
        <v>15.272</v>
      </c>
      <c r="G563" s="15">
        <v>6.96</v>
      </c>
      <c r="H563" s="15">
        <v>3.6</v>
      </c>
      <c r="I563" s="15">
        <v>4.2300000000000004</v>
      </c>
      <c r="J563" s="15">
        <v>63.58</v>
      </c>
      <c r="K563" s="15">
        <v>17.96</v>
      </c>
      <c r="L563" s="15">
        <v>31.59</v>
      </c>
      <c r="M563" s="15">
        <v>5.8</v>
      </c>
      <c r="N563" s="15">
        <v>2</v>
      </c>
      <c r="O563" s="15">
        <f>2.25+4.22</f>
        <v>6.47</v>
      </c>
      <c r="P563" s="9">
        <v>0.87055899999999997</v>
      </c>
      <c r="Q563" s="9">
        <v>1.4984599999999999</v>
      </c>
      <c r="R563" s="9">
        <v>0.157143</v>
      </c>
      <c r="S563" s="9">
        <v>0.123431</v>
      </c>
      <c r="T563" s="9">
        <v>0.15070500000000001</v>
      </c>
      <c r="U563" s="9">
        <v>6.7441200000000007E-2</v>
      </c>
      <c r="V563" s="9">
        <v>6.1905599999999996</v>
      </c>
      <c r="W563" s="9">
        <v>4.1312899999999999</v>
      </c>
      <c r="X563" s="9">
        <v>3.5965400000000001</v>
      </c>
      <c r="Y563" s="9">
        <v>61.093499999999999</v>
      </c>
      <c r="Z563" s="9">
        <v>49.701500000000003</v>
      </c>
      <c r="AA563" s="9">
        <f t="shared" si="87"/>
        <v>0.97666430260047266</v>
      </c>
      <c r="AB563" s="9">
        <f t="shared" si="88"/>
        <v>1.6453900709219857</v>
      </c>
      <c r="AC563" s="9">
        <f t="shared" si="89"/>
        <v>0.85106382978723394</v>
      </c>
      <c r="AD563" s="9">
        <f t="shared" si="90"/>
        <v>3.8755377712660803</v>
      </c>
      <c r="AE563" s="9">
        <f t="shared" si="91"/>
        <v>3.1528729003671603</v>
      </c>
      <c r="AF563" s="9">
        <f t="shared" si="92"/>
        <v>4.519412775068643</v>
      </c>
      <c r="AG563" s="9">
        <f t="shared" si="84"/>
        <v>2.2400441587856808</v>
      </c>
      <c r="AH563" s="9">
        <f t="shared" si="93"/>
        <v>0.92159589745387938</v>
      </c>
      <c r="AI563" s="9">
        <f t="shared" si="85"/>
        <v>2.2808337405675849</v>
      </c>
      <c r="AJ563" s="9">
        <f>(4*PI()*(AI563^2))/(Y563+E563)</f>
        <v>0.85057294424881225</v>
      </c>
      <c r="AK563" s="12">
        <f t="shared" si="86"/>
        <v>0.6537867078825349</v>
      </c>
      <c r="AL563" s="12" t="s">
        <v>140</v>
      </c>
      <c r="AM563" s="12" t="s">
        <v>142</v>
      </c>
      <c r="AN563" s="18">
        <v>5.3646524180202899</v>
      </c>
      <c r="AO563" s="18">
        <v>0.57092142986231598</v>
      </c>
      <c r="AP563" s="18">
        <v>9945.2715099032503</v>
      </c>
      <c r="AQ563" s="18">
        <v>9509.3310856413209</v>
      </c>
      <c r="AR563" s="18">
        <v>2.9578718515862898</v>
      </c>
      <c r="AS563" s="18">
        <v>4.9235900852444697E-2</v>
      </c>
      <c r="AT563" s="18">
        <v>0.62532556899732195</v>
      </c>
      <c r="AU563" s="18">
        <v>2.8391675229614499</v>
      </c>
      <c r="AV563" s="18">
        <v>0.45030704997802401</v>
      </c>
      <c r="AW563" s="18">
        <v>2.96558735326201E-2</v>
      </c>
      <c r="AX563" s="18">
        <v>0.18843239837116901</v>
      </c>
      <c r="AY563" s="18">
        <v>-3.2760969419608002E-2</v>
      </c>
      <c r="AZ563" s="18">
        <v>-977.50858256792606</v>
      </c>
      <c r="BA563" s="18">
        <v>4.0929300224657301E-2</v>
      </c>
      <c r="BB563" s="18">
        <v>15.4077087584411</v>
      </c>
      <c r="BC563" s="18" t="s">
        <v>162</v>
      </c>
      <c r="BD563" s="35" t="s">
        <v>165</v>
      </c>
      <c r="BE563" t="s">
        <v>168</v>
      </c>
    </row>
    <row r="564" spans="1:57" x14ac:dyDescent="0.25">
      <c r="A564" s="18" t="s">
        <v>634</v>
      </c>
      <c r="B564" s="18" t="s">
        <v>26</v>
      </c>
      <c r="C564" s="18" t="s">
        <v>6</v>
      </c>
      <c r="D564" s="18">
        <v>42</v>
      </c>
      <c r="E564" s="18">
        <v>6.46790177811536</v>
      </c>
      <c r="F564" s="18">
        <v>9.2423999999999999</v>
      </c>
      <c r="G564" s="15">
        <v>7.18</v>
      </c>
      <c r="H564" s="15">
        <v>5</v>
      </c>
      <c r="I564" s="15">
        <v>2.4700000000000002</v>
      </c>
      <c r="J564" s="15">
        <v>18.97</v>
      </c>
      <c r="K564" s="15">
        <v>33.47</v>
      </c>
      <c r="L564" s="15">
        <v>23.86</v>
      </c>
      <c r="M564" s="15">
        <v>6</v>
      </c>
      <c r="N564" s="15">
        <v>2</v>
      </c>
      <c r="O564" s="15">
        <f>1.71+1.56</f>
        <v>3.27</v>
      </c>
      <c r="P564" s="9">
        <v>1.7750300000000001</v>
      </c>
      <c r="Q564" s="9">
        <v>1.8314999999999999</v>
      </c>
      <c r="R564" s="9">
        <v>-6.1224500000000001E-2</v>
      </c>
      <c r="S564" s="9">
        <v>0.21274399999999999</v>
      </c>
      <c r="T564" s="9">
        <v>0.24534600000000001</v>
      </c>
      <c r="U564" s="9">
        <v>9.2774599999999999E-2</v>
      </c>
      <c r="V564" s="9">
        <v>5.1470700000000003</v>
      </c>
      <c r="W564" s="9">
        <v>2.8102999999999998</v>
      </c>
      <c r="X564" s="9">
        <v>4.9883499999999996</v>
      </c>
      <c r="Y564" s="9">
        <v>80.472399999999993</v>
      </c>
      <c r="Z564" s="9">
        <v>62.933300000000003</v>
      </c>
      <c r="AA564" s="9">
        <f t="shared" si="87"/>
        <v>1.1377732793522266</v>
      </c>
      <c r="AB564" s="9">
        <f t="shared" si="88"/>
        <v>2.9068825910931171</v>
      </c>
      <c r="AC564" s="9">
        <f t="shared" si="89"/>
        <v>2.0242914979757085</v>
      </c>
      <c r="AD564" s="9">
        <f t="shared" si="90"/>
        <v>12.441809223554463</v>
      </c>
      <c r="AE564" s="9">
        <f t="shared" si="91"/>
        <v>9.7300951929943693</v>
      </c>
      <c r="AF564" s="9">
        <f t="shared" si="92"/>
        <v>5.0861982454868544</v>
      </c>
      <c r="AG564" s="9">
        <f t="shared" si="84"/>
        <v>1.4348508908035837</v>
      </c>
      <c r="AH564" s="9">
        <f t="shared" si="93"/>
        <v>0.97544296233560734</v>
      </c>
      <c r="AI564" s="9">
        <f t="shared" si="85"/>
        <v>2.4675386578887331</v>
      </c>
      <c r="AJ564" s="9">
        <f>(4*PI()*(AI564^2))/(Y564+E564)</f>
        <v>0.88006885377972321</v>
      </c>
      <c r="AK564" s="12">
        <f t="shared" si="86"/>
        <v>0.7553516819571866</v>
      </c>
      <c r="AL564" s="12" t="s">
        <v>140</v>
      </c>
      <c r="AM564" s="12" t="s">
        <v>142</v>
      </c>
      <c r="AN564" s="18">
        <v>2.8033890051203998</v>
      </c>
      <c r="AO564" s="18">
        <v>0.28985366080956798</v>
      </c>
      <c r="AP564" s="18">
        <v>5250.8540174666496</v>
      </c>
      <c r="AQ564" s="18">
        <v>4910.7663931288598</v>
      </c>
      <c r="AR564" s="18">
        <v>1.3549214798661999</v>
      </c>
      <c r="AS564" s="18">
        <v>2.0641931949920599E-2</v>
      </c>
      <c r="AT564" s="18">
        <v>0.71547302962354298</v>
      </c>
      <c r="AU564" s="18">
        <v>1.74064834084891</v>
      </c>
      <c r="AV564" s="18">
        <v>0.330487521625555</v>
      </c>
      <c r="AW564" s="18">
        <v>2.7783725457068701E-2</v>
      </c>
      <c r="AX564" s="18">
        <v>0.12910741948116899</v>
      </c>
      <c r="AY564" s="18">
        <v>-7.2214565287019301</v>
      </c>
      <c r="AZ564" s="18">
        <v>-576.39543563169502</v>
      </c>
      <c r="BA564" s="18">
        <v>0.18445483517403399</v>
      </c>
      <c r="BB564" s="18">
        <v>3.9273079672317501</v>
      </c>
      <c r="BC564" s="18" t="s">
        <v>164</v>
      </c>
      <c r="BD564" s="35" t="s">
        <v>165</v>
      </c>
      <c r="BE564" t="s">
        <v>168</v>
      </c>
    </row>
    <row r="565" spans="1:57" x14ac:dyDescent="0.25">
      <c r="A565" s="18" t="s">
        <v>635</v>
      </c>
      <c r="B565" s="18" t="s">
        <v>5</v>
      </c>
      <c r="C565" s="18" t="s">
        <v>14</v>
      </c>
      <c r="D565" s="18">
        <v>51</v>
      </c>
      <c r="E565" s="18">
        <v>23.758408638357601</v>
      </c>
      <c r="F565" s="18">
        <v>17.550999999999998</v>
      </c>
      <c r="G565" s="15">
        <v>9.8000000000000007</v>
      </c>
      <c r="H565" s="15">
        <v>6.1</v>
      </c>
      <c r="I565" s="15">
        <v>3.75</v>
      </c>
      <c r="J565" s="15">
        <v>39.1</v>
      </c>
      <c r="K565" s="15">
        <v>31.27</v>
      </c>
      <c r="L565" s="15">
        <v>31.41</v>
      </c>
      <c r="M565" s="15">
        <v>6.9</v>
      </c>
      <c r="N565" s="15">
        <v>2</v>
      </c>
      <c r="O565" s="15">
        <f>0.73+3.99</f>
        <v>4.7200000000000006</v>
      </c>
      <c r="P565" s="9">
        <v>1.12459</v>
      </c>
      <c r="Q565" s="9">
        <v>1.6417200000000001</v>
      </c>
      <c r="R565" s="9">
        <v>-0.125</v>
      </c>
      <c r="S565" s="9">
        <v>0.15027499999999999</v>
      </c>
      <c r="T565" s="9">
        <v>0.168986</v>
      </c>
      <c r="U565" s="9">
        <v>6.4508599999999999E-2</v>
      </c>
      <c r="V565" s="9">
        <v>8.8628900000000002</v>
      </c>
      <c r="W565" s="9">
        <v>5.3985399999999997</v>
      </c>
      <c r="X565" s="9">
        <v>6.0711300000000001</v>
      </c>
      <c r="Y565" s="9">
        <v>145.56100000000001</v>
      </c>
      <c r="Z565" s="9">
        <v>176.917</v>
      </c>
      <c r="AA565" s="9">
        <f t="shared" si="87"/>
        <v>1.4396106666666666</v>
      </c>
      <c r="AB565" s="9">
        <f t="shared" si="88"/>
        <v>2.6133333333333337</v>
      </c>
      <c r="AC565" s="9">
        <f t="shared" si="89"/>
        <v>1.6266666666666665</v>
      </c>
      <c r="AD565" s="9">
        <f t="shared" si="90"/>
        <v>6.1267150597365312</v>
      </c>
      <c r="AE565" s="9">
        <f t="shared" si="91"/>
        <v>7.4465004240380859</v>
      </c>
      <c r="AF565" s="9">
        <f t="shared" si="92"/>
        <v>4.6188300882739641</v>
      </c>
      <c r="AG565" s="9">
        <f t="shared" si="84"/>
        <v>2.7500066090072579</v>
      </c>
      <c r="AH565" s="9">
        <f t="shared" si="93"/>
        <v>0.98449097603334057</v>
      </c>
      <c r="AI565" s="9">
        <f t="shared" si="85"/>
        <v>3.4825202655658227</v>
      </c>
      <c r="AJ565" s="9">
        <f>(4*PI()*(AI565^2))/(Y565+E565)</f>
        <v>0.90009930371497449</v>
      </c>
      <c r="AK565" s="12">
        <f t="shared" si="86"/>
        <v>0.7944915254237287</v>
      </c>
      <c r="AL565" s="12" t="s">
        <v>140</v>
      </c>
      <c r="AM565" s="12" t="s">
        <v>142</v>
      </c>
      <c r="AN565" s="18">
        <v>7.5915036793388202</v>
      </c>
      <c r="AO565" s="18">
        <v>0.85290898556402295</v>
      </c>
      <c r="AP565" s="18">
        <v>10055.746505105501</v>
      </c>
      <c r="AQ565" s="18">
        <v>9763.73631188949</v>
      </c>
      <c r="AR565" s="18">
        <v>3.74394490453655</v>
      </c>
      <c r="AS565" s="18">
        <v>8.1665190206800398E-3</v>
      </c>
      <c r="AT565" s="18">
        <v>0.74567048591884799</v>
      </c>
      <c r="AU565" s="18">
        <v>0.47888802360407201</v>
      </c>
      <c r="AV565" s="18">
        <v>1.4855962093715799E-2</v>
      </c>
      <c r="AW565" s="18">
        <v>9.5743913861865704E-3</v>
      </c>
      <c r="AX565" s="18">
        <v>0.29228981986899</v>
      </c>
      <c r="AY565" s="18">
        <v>-6.6495588034785698</v>
      </c>
      <c r="AZ565" s="18">
        <v>-1047.2239606154301</v>
      </c>
      <c r="BA565" s="18">
        <v>0.133840722660336</v>
      </c>
      <c r="BB565" s="18">
        <v>12.580355099572699</v>
      </c>
      <c r="BC565" s="18" t="s">
        <v>162</v>
      </c>
      <c r="BD565" s="35" t="s">
        <v>165</v>
      </c>
      <c r="BE565" t="s">
        <v>168</v>
      </c>
    </row>
    <row r="566" spans="1:57" x14ac:dyDescent="0.25">
      <c r="A566" s="16" t="s">
        <v>636</v>
      </c>
      <c r="B566" s="16" t="s">
        <v>5</v>
      </c>
      <c r="C566" s="16" t="s">
        <v>14</v>
      </c>
      <c r="D566" s="16">
        <v>51</v>
      </c>
      <c r="E566" s="16">
        <v>19.946000000000002</v>
      </c>
      <c r="F566" s="16">
        <v>16.143999999999998</v>
      </c>
      <c r="G566" s="15">
        <v>6.1</v>
      </c>
      <c r="H566" s="15">
        <v>3.45</v>
      </c>
      <c r="I566" s="15">
        <v>3.68</v>
      </c>
      <c r="J566" s="15">
        <v>15.77</v>
      </c>
      <c r="K566" s="15">
        <v>25.41</v>
      </c>
      <c r="L566" s="15">
        <v>21.48</v>
      </c>
      <c r="M566" s="15">
        <v>5.9</v>
      </c>
      <c r="N566" s="15">
        <v>1</v>
      </c>
      <c r="O566" s="15">
        <v>3.4</v>
      </c>
      <c r="P566" s="9">
        <v>0.70220400000000005</v>
      </c>
      <c r="Q566" s="9">
        <v>1.1871799999999999</v>
      </c>
      <c r="R566" s="9">
        <v>0.102941</v>
      </c>
      <c r="S566" s="9">
        <v>6.4479099999999998E-2</v>
      </c>
      <c r="T566" s="9">
        <v>8.1171400000000005E-2</v>
      </c>
      <c r="U566" s="9">
        <v>3.6716400000000003E-2</v>
      </c>
      <c r="V566" s="9">
        <v>5.8929799999999997</v>
      </c>
      <c r="W566" s="9">
        <v>4.9638600000000004</v>
      </c>
      <c r="X566" s="9">
        <v>3.4856500000000001</v>
      </c>
      <c r="Y566" s="9">
        <v>56.605600000000003</v>
      </c>
      <c r="Z566" s="9">
        <v>49.880400000000002</v>
      </c>
      <c r="AA566" s="9">
        <f t="shared" si="87"/>
        <v>1.348875</v>
      </c>
      <c r="AB566" s="9">
        <f t="shared" si="88"/>
        <v>1.6576086956521738</v>
      </c>
      <c r="AC566" s="9">
        <f t="shared" si="89"/>
        <v>0.9375</v>
      </c>
      <c r="AD566" s="9">
        <f t="shared" si="90"/>
        <v>2.8379424446004209</v>
      </c>
      <c r="AE566" s="9">
        <f t="shared" si="91"/>
        <v>2.5007720846284966</v>
      </c>
      <c r="AF566" s="9">
        <f t="shared" si="92"/>
        <v>4.1774004878698268</v>
      </c>
      <c r="AG566" s="9">
        <f t="shared" si="84"/>
        <v>2.5197239908017486</v>
      </c>
      <c r="AH566" s="9">
        <f t="shared" si="93"/>
        <v>0.98066729169681988</v>
      </c>
      <c r="AI566" s="9">
        <f t="shared" si="85"/>
        <v>2.2835670755976318</v>
      </c>
      <c r="AJ566" s="9">
        <f>(4*PI()*(AI566^2))/(Y566+E566)</f>
        <v>0.85601847356606775</v>
      </c>
      <c r="AK566" s="12">
        <f t="shared" si="86"/>
        <v>1.0823529411764707</v>
      </c>
      <c r="AL566" s="12" t="s">
        <v>140</v>
      </c>
      <c r="AM566" s="12" t="s">
        <v>143</v>
      </c>
      <c r="AN566" s="16">
        <v>5.5075000000000003</v>
      </c>
      <c r="AO566" s="16">
        <v>0.75746000000000002</v>
      </c>
      <c r="AP566" s="16">
        <v>7060.6</v>
      </c>
      <c r="AQ566" s="16">
        <v>6332.8</v>
      </c>
      <c r="AR566" s="16">
        <v>3.1453000000000002</v>
      </c>
      <c r="AS566" s="16">
        <v>3.1816999999999998E-2</v>
      </c>
      <c r="AT566" s="16">
        <v>0.7107</v>
      </c>
      <c r="AU566" s="16">
        <v>1.6265000000000001</v>
      </c>
      <c r="AV566" s="16">
        <v>0.18426999999999999</v>
      </c>
      <c r="AW566" s="16">
        <v>1.3778E-2</v>
      </c>
      <c r="AX566" s="16">
        <v>0.27727000000000002</v>
      </c>
      <c r="AY566" s="16">
        <v>1.927</v>
      </c>
      <c r="AZ566" s="16">
        <v>-731.8</v>
      </c>
      <c r="BA566" s="16">
        <v>3.2392999999999998E-2</v>
      </c>
      <c r="BB566" s="16">
        <v>11.403</v>
      </c>
      <c r="BC566" s="16" t="s">
        <v>162</v>
      </c>
      <c r="BD566" s="34" t="s">
        <v>165</v>
      </c>
      <c r="BE566" t="s">
        <v>168</v>
      </c>
    </row>
    <row r="567" spans="1:57" x14ac:dyDescent="0.25">
      <c r="A567" s="18" t="s">
        <v>637</v>
      </c>
      <c r="B567" s="18" t="s">
        <v>26</v>
      </c>
      <c r="C567" s="18" t="s">
        <v>14</v>
      </c>
      <c r="D567" s="18">
        <v>76</v>
      </c>
      <c r="E567" s="18">
        <v>26.0578106932787</v>
      </c>
      <c r="F567" s="18">
        <v>19.059000000000001</v>
      </c>
      <c r="G567" s="15">
        <v>9.34</v>
      </c>
      <c r="H567" s="15">
        <v>5.55</v>
      </c>
      <c r="I567" s="15">
        <v>2.5299999999999998</v>
      </c>
      <c r="J567" s="15">
        <v>53.87</v>
      </c>
      <c r="K567" s="15">
        <v>13.68</v>
      </c>
      <c r="L567" s="15">
        <v>55.62</v>
      </c>
      <c r="M567" s="15">
        <v>8</v>
      </c>
      <c r="N567" s="15">
        <v>2</v>
      </c>
      <c r="O567" s="15">
        <f>2.19+2.31</f>
        <v>4.5</v>
      </c>
      <c r="P567" s="9">
        <v>1.0053399999999999</v>
      </c>
      <c r="Q567" s="9">
        <v>1.70736</v>
      </c>
      <c r="R567" s="9">
        <v>-4.5454599999999998E-2</v>
      </c>
      <c r="S567" s="9">
        <v>0.137848</v>
      </c>
      <c r="T567" s="9">
        <v>0.152061</v>
      </c>
      <c r="U567" s="9">
        <v>4.6524900000000001E-2</v>
      </c>
      <c r="V567" s="9">
        <v>9.4491599999999991</v>
      </c>
      <c r="W567" s="9">
        <v>5.5343600000000004</v>
      </c>
      <c r="X567" s="9">
        <v>5.5638899999999998</v>
      </c>
      <c r="Y567" s="9">
        <v>147.875</v>
      </c>
      <c r="Z567" s="9">
        <v>186.714</v>
      </c>
      <c r="AA567" s="9">
        <f t="shared" si="87"/>
        <v>2.1874940711462454</v>
      </c>
      <c r="AB567" s="9">
        <f t="shared" si="88"/>
        <v>3.6916996047430835</v>
      </c>
      <c r="AC567" s="9">
        <f t="shared" si="89"/>
        <v>2.1936758893280635</v>
      </c>
      <c r="AD567" s="9">
        <f t="shared" si="90"/>
        <v>5.674881966893043</v>
      </c>
      <c r="AE567" s="9">
        <f t="shared" si="91"/>
        <v>7.1653755642702794</v>
      </c>
      <c r="AF567" s="9">
        <f t="shared" si="92"/>
        <v>4.5266491602949293</v>
      </c>
      <c r="AG567" s="9">
        <f t="shared" si="84"/>
        <v>2.8800102006722659</v>
      </c>
      <c r="AH567" s="9">
        <f t="shared" si="93"/>
        <v>0.94945368473641389</v>
      </c>
      <c r="AI567" s="9">
        <f t="shared" si="85"/>
        <v>3.5456518626414999</v>
      </c>
      <c r="AJ567" s="9">
        <f>(4*PI()*(AI567^2))/(Y567+E567)</f>
        <v>0.90828163157984176</v>
      </c>
      <c r="AK567" s="12">
        <f t="shared" si="86"/>
        <v>0.56222222222222218</v>
      </c>
      <c r="AL567" s="12" t="s">
        <v>140</v>
      </c>
      <c r="AM567" s="12" t="s">
        <v>142</v>
      </c>
      <c r="AN567" s="18">
        <v>0.61091214700570395</v>
      </c>
      <c r="AO567" s="18">
        <v>0.11346564909942</v>
      </c>
      <c r="AP567" s="18">
        <v>713.48256372064895</v>
      </c>
      <c r="AQ567" s="18">
        <v>553.55863911963399</v>
      </c>
      <c r="AR567" s="18">
        <v>0.44140730565537001</v>
      </c>
      <c r="AS567" s="18">
        <v>3.5394973530032799E-2</v>
      </c>
      <c r="AT567" s="18">
        <v>0.66731318249863003</v>
      </c>
      <c r="AU567" s="18">
        <v>7.0815155905491904</v>
      </c>
      <c r="AV567" s="18">
        <v>0.73096766532889001</v>
      </c>
      <c r="AW567" s="18">
        <v>3.2737117706390602E-2</v>
      </c>
      <c r="AX567" s="18">
        <v>3.8644700392219303E-2</v>
      </c>
      <c r="AY567" s="18">
        <v>-257.75661646734</v>
      </c>
      <c r="AZ567" s="18">
        <v>-121.66354568638199</v>
      </c>
      <c r="BA567" s="18">
        <v>1.0261918438128299</v>
      </c>
      <c r="BB567" s="18">
        <v>86.3515751246522</v>
      </c>
      <c r="BC567" s="18" t="s">
        <v>162</v>
      </c>
      <c r="BD567" s="35" t="s">
        <v>163</v>
      </c>
      <c r="BE567" t="s">
        <v>168</v>
      </c>
    </row>
    <row r="568" spans="1:57" x14ac:dyDescent="0.25">
      <c r="A568" s="18" t="s">
        <v>638</v>
      </c>
      <c r="B568" s="18" t="s">
        <v>5</v>
      </c>
      <c r="C568" s="18" t="s">
        <v>6</v>
      </c>
      <c r="D568" s="18">
        <v>51</v>
      </c>
      <c r="E568" s="18">
        <v>10.155509006068399</v>
      </c>
      <c r="F568" s="18">
        <v>12.025</v>
      </c>
      <c r="G568" s="15">
        <v>4.8600000000000003</v>
      </c>
      <c r="H568" s="15">
        <v>2.2999999999999998</v>
      </c>
      <c r="I568" s="15">
        <v>4.01</v>
      </c>
      <c r="J568" s="15">
        <v>89.57</v>
      </c>
      <c r="K568" s="15">
        <v>21.13</v>
      </c>
      <c r="L568" s="15">
        <v>39.6</v>
      </c>
      <c r="M568" s="15">
        <v>4.55</v>
      </c>
      <c r="N568" s="15">
        <v>2</v>
      </c>
      <c r="O568" s="15">
        <f>4+2.35</f>
        <v>6.35</v>
      </c>
      <c r="P568" s="9">
        <v>0.68161400000000005</v>
      </c>
      <c r="Q568" s="9">
        <v>1.3482000000000001</v>
      </c>
      <c r="R568" s="9">
        <v>0.47777799999999998</v>
      </c>
      <c r="S568" s="9">
        <v>8.2697900000000005E-2</v>
      </c>
      <c r="T568" s="9">
        <v>0.13017999999999999</v>
      </c>
      <c r="U568" s="9">
        <v>0.119023</v>
      </c>
      <c r="V568" s="9">
        <v>4.5828899999999999</v>
      </c>
      <c r="W568" s="9">
        <v>3.3992800000000001</v>
      </c>
      <c r="X568" s="9">
        <v>2.3170000000000002</v>
      </c>
      <c r="Y568" s="9">
        <v>24.996099999999998</v>
      </c>
      <c r="Z568" s="9">
        <v>13.4816</v>
      </c>
      <c r="AA568" s="9">
        <f t="shared" si="87"/>
        <v>0.84770074812967589</v>
      </c>
      <c r="AB568" s="9">
        <f t="shared" si="88"/>
        <v>1.2119700748129678</v>
      </c>
      <c r="AC568" s="9">
        <f t="shared" si="89"/>
        <v>0.57356608478802995</v>
      </c>
      <c r="AD568" s="9">
        <f t="shared" si="90"/>
        <v>2.4613340389992899</v>
      </c>
      <c r="AE568" s="9">
        <f t="shared" si="91"/>
        <v>1.3275159316922571</v>
      </c>
      <c r="AF568" s="9">
        <f t="shared" si="92"/>
        <v>4.4127700322491101</v>
      </c>
      <c r="AG568" s="9">
        <f t="shared" si="84"/>
        <v>1.797942967910855</v>
      </c>
      <c r="AH568" s="9">
        <f t="shared" si="93"/>
        <v>0.93944356250514272</v>
      </c>
      <c r="AI568" s="9">
        <f t="shared" si="85"/>
        <v>1.4764461421483805</v>
      </c>
      <c r="AJ568" s="9">
        <f>(4*PI()*(AI568^2))/(Y568+E568)</f>
        <v>0.77929138265649844</v>
      </c>
      <c r="AK568" s="12">
        <f t="shared" si="86"/>
        <v>0.63149606299212602</v>
      </c>
      <c r="AL568" s="12" t="s">
        <v>140</v>
      </c>
      <c r="AM568" s="12" t="s">
        <v>142</v>
      </c>
      <c r="AN568" s="18">
        <v>4.3373975421825897</v>
      </c>
      <c r="AO568" s="18">
        <v>0.66106489552053005</v>
      </c>
      <c r="AP568" s="18">
        <v>11010.3945210535</v>
      </c>
      <c r="AQ568" s="18">
        <v>10070.1295237545</v>
      </c>
      <c r="AR568" s="18">
        <v>2.33767884154615</v>
      </c>
      <c r="AS568" s="18">
        <v>1.27098576885752E-2</v>
      </c>
      <c r="AT568" s="18">
        <v>0.71751538165528295</v>
      </c>
      <c r="AU568" s="18">
        <v>0.95870661358696097</v>
      </c>
      <c r="AV568" s="18">
        <v>1.8727136649970999E-2</v>
      </c>
      <c r="AW568" s="18">
        <v>9.0506305343428708E-3</v>
      </c>
      <c r="AX568" s="18">
        <v>0.213670778540206</v>
      </c>
      <c r="AY568" s="18">
        <v>2.1569098877272599</v>
      </c>
      <c r="AZ568" s="18">
        <v>351.78429994004199</v>
      </c>
      <c r="BA568" s="18">
        <v>1.43305673685646E-2</v>
      </c>
      <c r="BB568" s="18">
        <v>4.5059947127437496</v>
      </c>
      <c r="BC568" s="18" t="s">
        <v>162</v>
      </c>
      <c r="BD568" s="35" t="s">
        <v>165</v>
      </c>
      <c r="BE568" t="s">
        <v>168</v>
      </c>
    </row>
    <row r="569" spans="1:57" x14ac:dyDescent="0.25">
      <c r="A569" s="18" t="s">
        <v>639</v>
      </c>
      <c r="B569" s="18" t="s">
        <v>26</v>
      </c>
      <c r="C569" s="18" t="s">
        <v>14</v>
      </c>
      <c r="D569" s="18">
        <v>48</v>
      </c>
      <c r="E569" s="18">
        <v>17.358020089157701</v>
      </c>
      <c r="F569" s="18">
        <v>15.109</v>
      </c>
      <c r="G569" s="15">
        <v>7.85</v>
      </c>
      <c r="H569" s="15">
        <v>5.85</v>
      </c>
      <c r="I569" s="15">
        <v>1.97</v>
      </c>
      <c r="J569" s="15">
        <v>44.03</v>
      </c>
      <c r="K569" s="15">
        <v>38.520000000000003</v>
      </c>
      <c r="L569" s="15">
        <v>78.61</v>
      </c>
      <c r="M569" s="15">
        <v>6.5</v>
      </c>
      <c r="N569" s="15">
        <v>2</v>
      </c>
      <c r="O569" s="15">
        <f>1.9+1.87</f>
        <v>3.77</v>
      </c>
      <c r="P569" s="9">
        <v>1.2634300000000001</v>
      </c>
      <c r="Q569" s="9">
        <v>1.40055</v>
      </c>
      <c r="R569" s="9">
        <v>0.181034</v>
      </c>
      <c r="S569" s="9">
        <v>0.136824</v>
      </c>
      <c r="T569" s="9">
        <v>0.14352799999999999</v>
      </c>
      <c r="U569" s="9">
        <v>1.6951899999999999E-2</v>
      </c>
      <c r="V569" s="9">
        <v>6.4958</v>
      </c>
      <c r="W569" s="9">
        <v>4.6380499999999998</v>
      </c>
      <c r="X569" s="9">
        <v>5.8598299999999997</v>
      </c>
      <c r="Y569" s="9">
        <v>99.430800000000005</v>
      </c>
      <c r="Z569" s="9">
        <v>104.506</v>
      </c>
      <c r="AA569" s="9">
        <f t="shared" si="87"/>
        <v>2.3543401015228427</v>
      </c>
      <c r="AB569" s="9">
        <f t="shared" si="88"/>
        <v>3.984771573604061</v>
      </c>
      <c r="AC569" s="9">
        <f t="shared" si="89"/>
        <v>2.9695431472081215</v>
      </c>
      <c r="AD569" s="9">
        <f t="shared" si="90"/>
        <v>5.7282339511812888</v>
      </c>
      <c r="AE569" s="9">
        <f t="shared" si="91"/>
        <v>6.0206175279908409</v>
      </c>
      <c r="AF569" s="9">
        <f t="shared" si="92"/>
        <v>4.4815349064918202</v>
      </c>
      <c r="AG569" s="9">
        <f t="shared" si="84"/>
        <v>2.3505806514467316</v>
      </c>
      <c r="AH569" s="9">
        <f t="shared" si="93"/>
        <v>0.97750571265541886</v>
      </c>
      <c r="AI569" s="9">
        <f t="shared" si="85"/>
        <v>2.9220268705802184</v>
      </c>
      <c r="AJ569" s="9">
        <f>(4*PI()*(AI569^2))/(Y569+E569)</f>
        <v>0.91870695436315819</v>
      </c>
      <c r="AK569" s="12">
        <f t="shared" si="86"/>
        <v>0.52254641909814326</v>
      </c>
      <c r="AL569" s="12" t="s">
        <v>144</v>
      </c>
      <c r="AM569" s="12" t="s">
        <v>142</v>
      </c>
      <c r="AN569" s="18">
        <v>4.4956222186518602</v>
      </c>
      <c r="AO569" s="18">
        <v>0.49900376933856899</v>
      </c>
      <c r="AP569" s="18">
        <v>6949.6465216657898</v>
      </c>
      <c r="AQ569" s="18">
        <v>6419.8587964042099</v>
      </c>
      <c r="AR569" s="18">
        <v>2.3131481444039999</v>
      </c>
      <c r="AS569" s="18">
        <v>2.29514058765099E-2</v>
      </c>
      <c r="AT569" s="18">
        <v>0.71613294100443303</v>
      </c>
      <c r="AU569" s="18">
        <v>1.0513867582241401</v>
      </c>
      <c r="AV569" s="18">
        <v>0.14849257621714901</v>
      </c>
      <c r="AW569" s="18">
        <v>1.7166893511183001E-2</v>
      </c>
      <c r="AX569" s="18">
        <v>0.19686645744998901</v>
      </c>
      <c r="AY569" s="18">
        <v>-25.921864581749801</v>
      </c>
      <c r="AZ569" s="18">
        <v>-789.73694196963697</v>
      </c>
      <c r="BA569" s="18">
        <v>0.19471656711905799</v>
      </c>
      <c r="BB569" s="18">
        <v>35.006967027478197</v>
      </c>
      <c r="BC569" s="18" t="s">
        <v>162</v>
      </c>
      <c r="BD569" s="35" t="s">
        <v>165</v>
      </c>
      <c r="BE569" t="s">
        <v>167</v>
      </c>
    </row>
    <row r="570" spans="1:57" x14ac:dyDescent="0.25">
      <c r="A570" s="16" t="s">
        <v>640</v>
      </c>
      <c r="B570" s="16" t="s">
        <v>5</v>
      </c>
      <c r="C570" s="16" t="s">
        <v>6</v>
      </c>
      <c r="D570" s="16">
        <v>68</v>
      </c>
      <c r="E570" s="16">
        <v>59.250999999999998</v>
      </c>
      <c r="F570" s="16">
        <v>28.291</v>
      </c>
      <c r="G570" s="15">
        <v>16.02</v>
      </c>
      <c r="H570" s="15">
        <v>9.0500000000000007</v>
      </c>
      <c r="I570" s="15">
        <v>3.59</v>
      </c>
      <c r="J570" s="15">
        <v>63.48</v>
      </c>
      <c r="K570" s="15">
        <v>7.08</v>
      </c>
      <c r="L570" s="15">
        <v>48.54</v>
      </c>
      <c r="M570" s="15">
        <v>11</v>
      </c>
      <c r="N570" s="15">
        <v>1</v>
      </c>
      <c r="O570" s="15">
        <v>3.93</v>
      </c>
      <c r="P570" s="9">
        <v>1.07541</v>
      </c>
      <c r="Q570" s="9">
        <v>1.8463799999999999</v>
      </c>
      <c r="R570" s="9">
        <v>9.2178800000000005E-2</v>
      </c>
      <c r="S570" s="9">
        <v>0.147226</v>
      </c>
      <c r="T570" s="9">
        <v>0.169603</v>
      </c>
      <c r="U570" s="9">
        <v>5.2142099999999997E-2</v>
      </c>
      <c r="V570" s="9">
        <v>15.519</v>
      </c>
      <c r="W570" s="9">
        <v>8.4050999999999991</v>
      </c>
      <c r="X570" s="9">
        <v>9.0389499999999998</v>
      </c>
      <c r="Y570" s="9">
        <v>367.05900000000003</v>
      </c>
      <c r="Z570" s="9">
        <v>707.65300000000002</v>
      </c>
      <c r="AA570" s="9">
        <f t="shared" si="87"/>
        <v>2.3412534818941504</v>
      </c>
      <c r="AB570" s="9">
        <f t="shared" si="88"/>
        <v>4.4623955431754876</v>
      </c>
      <c r="AC570" s="9">
        <f t="shared" si="89"/>
        <v>2.5208913649025071</v>
      </c>
      <c r="AD570" s="9">
        <f t="shared" si="90"/>
        <v>6.1949840509020948</v>
      </c>
      <c r="AE570" s="9">
        <f t="shared" si="91"/>
        <v>11.943308973688209</v>
      </c>
      <c r="AF570" s="9">
        <f t="shared" si="92"/>
        <v>4.6222735342992003</v>
      </c>
      <c r="AG570" s="9">
        <f t="shared" si="84"/>
        <v>4.3428307664789081</v>
      </c>
      <c r="AH570" s="9">
        <f t="shared" si="93"/>
        <v>0.96450498262725726</v>
      </c>
      <c r="AI570" s="9">
        <f t="shared" si="85"/>
        <v>5.5281172738159317</v>
      </c>
      <c r="AJ570" s="9">
        <f>(4*PI()*(AI570^2))/(Y570+E570)</f>
        <v>0.90082169955455771</v>
      </c>
      <c r="AK570" s="12">
        <f t="shared" si="86"/>
        <v>0.91348600508905842</v>
      </c>
      <c r="AL570" s="12" t="s">
        <v>140</v>
      </c>
      <c r="AM570" s="12" t="s">
        <v>143</v>
      </c>
      <c r="AN570" s="16">
        <v>11.499000000000001</v>
      </c>
      <c r="AO570" s="16">
        <v>0.78856000000000004</v>
      </c>
      <c r="AP570" s="16">
        <v>10242</v>
      </c>
      <c r="AQ570" s="16">
        <v>9632.9</v>
      </c>
      <c r="AR570" s="16">
        <v>6.3045999999999998</v>
      </c>
      <c r="AS570" s="16">
        <v>1.1486E-2</v>
      </c>
      <c r="AT570" s="16">
        <v>0.76051999999999997</v>
      </c>
      <c r="AU570" s="16">
        <v>0.28010000000000002</v>
      </c>
      <c r="AV570" s="16">
        <v>3.3952000000000003E-2</v>
      </c>
      <c r="AW570" s="16">
        <v>1.6202000000000001E-2</v>
      </c>
      <c r="AX570" s="16">
        <v>0.45654</v>
      </c>
      <c r="AY570" s="16">
        <v>5.8861999999999997</v>
      </c>
      <c r="AZ570" s="16">
        <v>1153.8</v>
      </c>
      <c r="BA570" s="16">
        <v>8.1616999999999995E-2</v>
      </c>
      <c r="BB570" s="16">
        <v>11.657</v>
      </c>
      <c r="BC570" s="16" t="s">
        <v>162</v>
      </c>
      <c r="BD570" s="34" t="s">
        <v>165</v>
      </c>
      <c r="BE570" t="s">
        <v>167</v>
      </c>
    </row>
    <row r="571" spans="1:57" x14ac:dyDescent="0.25">
      <c r="A571" s="16" t="s">
        <v>641</v>
      </c>
      <c r="B571" s="16" t="s">
        <v>5</v>
      </c>
      <c r="C571" s="16" t="s">
        <v>6</v>
      </c>
      <c r="D571" s="16">
        <v>68</v>
      </c>
      <c r="E571" s="16">
        <v>24.908000000000001</v>
      </c>
      <c r="F571" s="16">
        <v>18.905000000000001</v>
      </c>
      <c r="G571" s="15">
        <v>6.95</v>
      </c>
      <c r="H571" s="15">
        <v>2.4</v>
      </c>
      <c r="I571" s="15">
        <v>4.1900000000000004</v>
      </c>
      <c r="J571" s="15">
        <v>58.23</v>
      </c>
      <c r="K571" s="15">
        <v>0</v>
      </c>
      <c r="L571" s="15">
        <v>17.559999999999999</v>
      </c>
      <c r="M571" s="15">
        <v>6.65</v>
      </c>
      <c r="N571" s="15">
        <v>2</v>
      </c>
      <c r="O571" s="15">
        <f>5.1+0.41</f>
        <v>5.51</v>
      </c>
      <c r="P571" s="9">
        <v>0.45261499999999999</v>
      </c>
      <c r="Q571" s="9">
        <v>1.27189</v>
      </c>
      <c r="R571" s="9">
        <v>0.47872300000000001</v>
      </c>
      <c r="S571" s="9">
        <v>5.6616E-2</v>
      </c>
      <c r="T571" s="9">
        <v>7.1975899999999995E-2</v>
      </c>
      <c r="U571" s="9">
        <v>4.6574699999999997E-2</v>
      </c>
      <c r="V571" s="9">
        <v>6.8239299999999998</v>
      </c>
      <c r="W571" s="9">
        <v>5.36517</v>
      </c>
      <c r="X571" s="9">
        <v>2.4283600000000001</v>
      </c>
      <c r="Y571" s="9">
        <v>42.958599999999997</v>
      </c>
      <c r="Z571" s="9">
        <v>33.473599999999998</v>
      </c>
      <c r="AA571" s="9">
        <f t="shared" si="87"/>
        <v>1.2804701670644389</v>
      </c>
      <c r="AB571" s="9">
        <f t="shared" si="88"/>
        <v>1.6587112171837708</v>
      </c>
      <c r="AC571" s="9">
        <f t="shared" si="89"/>
        <v>0.57279236276849632</v>
      </c>
      <c r="AD571" s="9">
        <f t="shared" si="90"/>
        <v>1.7246908623735344</v>
      </c>
      <c r="AE571" s="9">
        <f t="shared" si="91"/>
        <v>1.3438895134093463</v>
      </c>
      <c r="AF571" s="9">
        <f t="shared" si="92"/>
        <v>4.1360124564551448</v>
      </c>
      <c r="AG571" s="9">
        <f t="shared" si="84"/>
        <v>2.8157525894626927</v>
      </c>
      <c r="AH571" s="9">
        <f t="shared" si="93"/>
        <v>0.93583154185479311</v>
      </c>
      <c r="AI571" s="9">
        <f t="shared" si="85"/>
        <v>1.9992691792014494</v>
      </c>
      <c r="AJ571" s="9">
        <f>(4*PI()*(AI571^2))/(Y571+E571)</f>
        <v>0.74011007047787991</v>
      </c>
      <c r="AK571" s="12">
        <f t="shared" si="86"/>
        <v>0.76043557168784037</v>
      </c>
      <c r="AL571" s="12" t="s">
        <v>144</v>
      </c>
      <c r="AM571" s="12" t="s">
        <v>143</v>
      </c>
      <c r="AN571" s="16">
        <v>7.3611000000000004</v>
      </c>
      <c r="AO571" s="16">
        <v>0.95079999999999998</v>
      </c>
      <c r="AP571" s="16">
        <v>8064.2</v>
      </c>
      <c r="AQ571" s="16">
        <v>8166.1</v>
      </c>
      <c r="AR571" s="16">
        <v>4.1394000000000002</v>
      </c>
      <c r="AS571" s="16">
        <v>3.5412999999999998E-3</v>
      </c>
      <c r="AT571" s="16">
        <v>0.78290000000000004</v>
      </c>
      <c r="AU571" s="16">
        <v>0.29631000000000002</v>
      </c>
      <c r="AV571" s="21">
        <v>1.3688E-4</v>
      </c>
      <c r="AW571" s="16">
        <v>1.7347E-3</v>
      </c>
      <c r="AX571" s="16">
        <v>0.34561999999999998</v>
      </c>
      <c r="AY571" s="16">
        <v>3.9868000000000001</v>
      </c>
      <c r="AZ571" s="16">
        <v>4772.8</v>
      </c>
      <c r="BA571" s="16">
        <v>1.1998E-2</v>
      </c>
      <c r="BB571" s="16">
        <v>5.7012999999999998</v>
      </c>
      <c r="BC571" s="16" t="s">
        <v>162</v>
      </c>
      <c r="BD571" s="34" t="s">
        <v>163</v>
      </c>
      <c r="BE571" t="s">
        <v>167</v>
      </c>
    </row>
    <row r="572" spans="1:57" x14ac:dyDescent="0.25">
      <c r="A572" s="18" t="s">
        <v>642</v>
      </c>
      <c r="B572" s="18" t="s">
        <v>374</v>
      </c>
      <c r="C572" s="18" t="s">
        <v>14</v>
      </c>
      <c r="D572" s="18">
        <v>47</v>
      </c>
      <c r="E572" s="18">
        <v>20.146000000000001</v>
      </c>
      <c r="F572" s="18">
        <v>17.992999999999999</v>
      </c>
      <c r="G572" s="15">
        <v>9.26</v>
      </c>
      <c r="H572" s="15">
        <v>6</v>
      </c>
      <c r="I572" s="15">
        <v>2.62</v>
      </c>
      <c r="J572" s="15">
        <v>9.73</v>
      </c>
      <c r="K572" s="15">
        <v>31.2</v>
      </c>
      <c r="L572" s="15">
        <v>37.729999999999997</v>
      </c>
      <c r="M572" s="15">
        <v>8</v>
      </c>
      <c r="N572" s="15">
        <v>4</v>
      </c>
      <c r="O572" s="15">
        <f>1.06+1.25+2.04+1.58</f>
        <v>5.93</v>
      </c>
      <c r="P572" s="9">
        <v>1.3285800000000001</v>
      </c>
      <c r="Q572" s="9">
        <v>1.6856100000000001</v>
      </c>
      <c r="R572" s="9">
        <v>0.147059</v>
      </c>
      <c r="S572" s="9">
        <v>0.151945</v>
      </c>
      <c r="T572" s="9">
        <v>0.168293</v>
      </c>
      <c r="U572" s="9">
        <v>3.9640399999999999E-2</v>
      </c>
      <c r="V572" s="9">
        <v>7.6307299999999998</v>
      </c>
      <c r="W572" s="9">
        <v>4.52698</v>
      </c>
      <c r="X572" s="9">
        <v>6.0144700000000002</v>
      </c>
      <c r="Y572" s="9">
        <v>134.82300000000001</v>
      </c>
      <c r="Z572" s="9">
        <v>157.90299999999999</v>
      </c>
      <c r="AA572" s="9">
        <f t="shared" si="87"/>
        <v>1.7278549618320611</v>
      </c>
      <c r="AB572" s="9">
        <f t="shared" si="88"/>
        <v>3.5343511450381677</v>
      </c>
      <c r="AC572" s="9">
        <f t="shared" si="89"/>
        <v>2.2900763358778624</v>
      </c>
      <c r="AD572" s="9">
        <f t="shared" si="90"/>
        <v>6.6922962374664943</v>
      </c>
      <c r="AE572" s="9">
        <f t="shared" si="91"/>
        <v>7.8379330884542826</v>
      </c>
      <c r="AF572" s="9">
        <f t="shared" si="92"/>
        <v>4.614986118789064</v>
      </c>
      <c r="AG572" s="9">
        <f t="shared" si="84"/>
        <v>2.5323252095768916</v>
      </c>
      <c r="AH572" s="9">
        <f t="shared" si="93"/>
        <v>0.88429214415683843</v>
      </c>
      <c r="AI572" s="9">
        <f t="shared" si="85"/>
        <v>3.3530028608862641</v>
      </c>
      <c r="AJ572" s="9">
        <f>(4*PI()*(AI572^2))/(Y572+E572)</f>
        <v>0.9116599607247321</v>
      </c>
      <c r="AK572" s="12">
        <f t="shared" si="86"/>
        <v>0.44182124789207422</v>
      </c>
      <c r="AL572" s="12" t="s">
        <v>140</v>
      </c>
      <c r="AM572" s="12" t="s">
        <v>142</v>
      </c>
      <c r="AN572" s="18">
        <v>0.22547</v>
      </c>
      <c r="AO572" s="18">
        <v>5.4835000000000002E-2</v>
      </c>
      <c r="AP572" s="18">
        <v>1097.9000000000001</v>
      </c>
      <c r="AQ572" s="18">
        <v>1017.4</v>
      </c>
      <c r="AR572" s="18">
        <v>0.12518000000000001</v>
      </c>
      <c r="AS572" s="18">
        <v>4.6108999999999997E-2</v>
      </c>
      <c r="AT572" s="18">
        <v>0.69428999999999996</v>
      </c>
      <c r="AU572" s="18">
        <v>20.988</v>
      </c>
      <c r="AV572" s="18">
        <v>0.93401000000000001</v>
      </c>
      <c r="AW572" s="18">
        <v>3.2628999999999998E-2</v>
      </c>
      <c r="AX572" s="18">
        <v>1.3946999999999999E-2</v>
      </c>
      <c r="AY572" s="18">
        <v>-407.9</v>
      </c>
      <c r="AZ572" s="18">
        <v>-64.087999999999994</v>
      </c>
      <c r="BA572" s="18">
        <v>1.7352000000000001</v>
      </c>
      <c r="BB572" s="18">
        <v>41.261000000000003</v>
      </c>
      <c r="BC572" s="18" t="s">
        <v>164</v>
      </c>
      <c r="BD572" s="35" t="s">
        <v>165</v>
      </c>
      <c r="BE572" t="s">
        <v>168</v>
      </c>
    </row>
    <row r="573" spans="1:57" x14ac:dyDescent="0.25">
      <c r="A573" s="16" t="s">
        <v>643</v>
      </c>
      <c r="B573" s="16" t="s">
        <v>5</v>
      </c>
      <c r="C573" s="16" t="s">
        <v>14</v>
      </c>
      <c r="D573" s="16">
        <v>56</v>
      </c>
      <c r="E573" s="16">
        <v>12.419</v>
      </c>
      <c r="F573" s="16">
        <v>12.859</v>
      </c>
      <c r="G573" s="15">
        <v>4.53</v>
      </c>
      <c r="H573" s="15">
        <v>2.1</v>
      </c>
      <c r="I573" s="15">
        <v>3.65</v>
      </c>
      <c r="J573" s="15">
        <v>15.81</v>
      </c>
      <c r="K573" s="15">
        <v>0</v>
      </c>
      <c r="L573" s="15">
        <v>12.83</v>
      </c>
      <c r="M573" s="15">
        <v>4.53</v>
      </c>
      <c r="N573" s="15">
        <v>1</v>
      </c>
      <c r="O573" s="15">
        <v>3.91</v>
      </c>
      <c r="P573" s="9">
        <v>0.53553700000000004</v>
      </c>
      <c r="Q573" s="9">
        <v>1.1402600000000001</v>
      </c>
      <c r="R573" s="9">
        <v>0.47499999999999998</v>
      </c>
      <c r="S573" s="9">
        <v>2.5429299999999998E-2</v>
      </c>
      <c r="T573" s="9">
        <v>3.4178600000000003E-2</v>
      </c>
      <c r="U573" s="9">
        <v>1.2667899999999999E-2</v>
      </c>
      <c r="V573" s="9">
        <v>4.4461399999999998</v>
      </c>
      <c r="W573" s="9">
        <v>3.8992300000000002</v>
      </c>
      <c r="X573" s="9">
        <v>2.0881799999999999</v>
      </c>
      <c r="Y573" s="9">
        <v>23.017499999999998</v>
      </c>
      <c r="Z573" s="9">
        <v>13.938700000000001</v>
      </c>
      <c r="AA573" s="9">
        <f t="shared" si="87"/>
        <v>1.0682821917808221</v>
      </c>
      <c r="AB573" s="9">
        <f t="shared" si="88"/>
        <v>1.241095890410959</v>
      </c>
      <c r="AC573" s="9">
        <f t="shared" si="89"/>
        <v>0.57534246575342474</v>
      </c>
      <c r="AD573" s="9">
        <f t="shared" si="90"/>
        <v>1.853410097431355</v>
      </c>
      <c r="AE573" s="9">
        <f t="shared" si="91"/>
        <v>1.1223689508011918</v>
      </c>
      <c r="AF573" s="9">
        <f t="shared" si="92"/>
        <v>3.9741413018085665</v>
      </c>
      <c r="AG573" s="9">
        <f t="shared" si="84"/>
        <v>1.9882380331631564</v>
      </c>
      <c r="AH573" s="9">
        <f t="shared" si="93"/>
        <v>0.97149607256756998</v>
      </c>
      <c r="AI573" s="9">
        <f t="shared" si="85"/>
        <v>1.4929475618819938</v>
      </c>
      <c r="AJ573" s="9">
        <f>(4*PI()*(AI573^2))/(Y573+E573)</f>
        <v>0.79040221921016907</v>
      </c>
      <c r="AK573" s="12">
        <f t="shared" si="86"/>
        <v>0.93350383631713552</v>
      </c>
      <c r="AL573" s="12" t="s">
        <v>144</v>
      </c>
      <c r="AM573" s="12" t="s">
        <v>143</v>
      </c>
      <c r="AN573" s="16">
        <v>14.186</v>
      </c>
      <c r="AO573" s="16">
        <v>1.4377</v>
      </c>
      <c r="AP573" s="16">
        <v>18950</v>
      </c>
      <c r="AQ573" s="16">
        <v>18754</v>
      </c>
      <c r="AR573" s="16">
        <v>7.1200999999999999</v>
      </c>
      <c r="AS573" s="16">
        <v>3.6169000000000001E-3</v>
      </c>
      <c r="AT573" s="16">
        <v>0.74050000000000005</v>
      </c>
      <c r="AU573" s="16">
        <v>0.21543999999999999</v>
      </c>
      <c r="AV573" s="16">
        <v>3.7770999999999998E-3</v>
      </c>
      <c r="AW573" s="16">
        <v>1.5257000000000001E-3</v>
      </c>
      <c r="AX573" s="16">
        <v>0.48170000000000002</v>
      </c>
      <c r="AY573" s="16">
        <v>3.1004999999999998</v>
      </c>
      <c r="AZ573" s="16">
        <v>17757</v>
      </c>
      <c r="BA573" s="16">
        <v>6.2484000000000003E-3</v>
      </c>
      <c r="BB573" s="16">
        <v>4.7218999999999998</v>
      </c>
      <c r="BC573" s="16" t="s">
        <v>162</v>
      </c>
      <c r="BD573" s="34" t="s">
        <v>163</v>
      </c>
      <c r="BE573" t="s">
        <v>167</v>
      </c>
    </row>
    <row r="574" spans="1:57" x14ac:dyDescent="0.25">
      <c r="A574" s="18" t="s">
        <v>644</v>
      </c>
      <c r="B574" s="18" t="s">
        <v>5</v>
      </c>
      <c r="C574" s="18" t="s">
        <v>6</v>
      </c>
      <c r="D574" s="18">
        <v>62</v>
      </c>
      <c r="E574" s="18">
        <v>12.2544957587069</v>
      </c>
      <c r="F574" s="18">
        <v>12.791</v>
      </c>
      <c r="G574" s="15">
        <v>5.18</v>
      </c>
      <c r="H574" s="15">
        <v>4.1500000000000004</v>
      </c>
      <c r="I574" s="15">
        <v>2.5</v>
      </c>
      <c r="J574" s="15">
        <v>62.03</v>
      </c>
      <c r="K574" s="15">
        <v>45.21</v>
      </c>
      <c r="L574" s="15">
        <v>71.790000000000006</v>
      </c>
      <c r="M574" s="15">
        <v>4.9000000000000004</v>
      </c>
      <c r="N574" s="15">
        <v>2</v>
      </c>
      <c r="O574" s="15">
        <f>3.59+0.92</f>
        <v>4.51</v>
      </c>
      <c r="P574" s="9">
        <v>1.0621100000000001</v>
      </c>
      <c r="Q574" s="9">
        <v>1.1286799999999999</v>
      </c>
      <c r="R574" s="9">
        <v>0.231707</v>
      </c>
      <c r="S574" s="9">
        <v>0.11347699999999999</v>
      </c>
      <c r="T574" s="9">
        <v>0.165217</v>
      </c>
      <c r="U574" s="9">
        <v>0.14071600000000001</v>
      </c>
      <c r="V574" s="9">
        <v>4.42469</v>
      </c>
      <c r="W574" s="9">
        <v>3.9202300000000001</v>
      </c>
      <c r="X574" s="9">
        <v>4.1637300000000002</v>
      </c>
      <c r="Y574" s="9">
        <v>45.571899999999999</v>
      </c>
      <c r="Z574" s="9">
        <v>31.2029</v>
      </c>
      <c r="AA574" s="9">
        <f t="shared" si="87"/>
        <v>1.568092</v>
      </c>
      <c r="AB574" s="9">
        <f t="shared" si="88"/>
        <v>2.0720000000000001</v>
      </c>
      <c r="AC574" s="9">
        <f t="shared" si="89"/>
        <v>1.6600000000000001</v>
      </c>
      <c r="AD574" s="9">
        <f t="shared" si="90"/>
        <v>3.7187903033562897</v>
      </c>
      <c r="AE574" s="9">
        <f t="shared" si="91"/>
        <v>2.5462410379333749</v>
      </c>
      <c r="AF574" s="9">
        <f t="shared" si="92"/>
        <v>4.5979809000396612</v>
      </c>
      <c r="AG574" s="9">
        <f t="shared" si="84"/>
        <v>1.9750258606392319</v>
      </c>
      <c r="AH574" s="9">
        <f t="shared" si="93"/>
        <v>0.97017070353124368</v>
      </c>
      <c r="AI574" s="9">
        <f t="shared" si="85"/>
        <v>1.9529994305242364</v>
      </c>
      <c r="AJ574" s="9">
        <f>(4*PI()*(AI574^2))/(Y574+E574)</f>
        <v>0.82887296213899564</v>
      </c>
      <c r="AK574" s="12">
        <f t="shared" si="86"/>
        <v>0.55432372505543237</v>
      </c>
      <c r="AL574" s="12" t="s">
        <v>140</v>
      </c>
      <c r="AM574" s="12" t="s">
        <v>142</v>
      </c>
      <c r="AN574" s="18">
        <v>34.289347561901302</v>
      </c>
      <c r="AO574" s="18">
        <v>1.75859291614144</v>
      </c>
      <c r="AP574" s="18">
        <v>59805.383873454601</v>
      </c>
      <c r="AQ574" s="18">
        <v>55774.852419930197</v>
      </c>
      <c r="AR574" s="18">
        <v>17.735007296358901</v>
      </c>
      <c r="AS574" s="18">
        <v>6.4587354419131503E-3</v>
      </c>
      <c r="AT574" s="18">
        <v>0.73042594405925998</v>
      </c>
      <c r="AU574" s="18">
        <v>0.11457804082421701</v>
      </c>
      <c r="AV574" s="18">
        <v>3.2412367284045001E-3</v>
      </c>
      <c r="AW574" s="18">
        <v>4.6635436470310399E-3</v>
      </c>
      <c r="AX574" s="18">
        <v>0.78360048881640099</v>
      </c>
      <c r="AY574" s="18">
        <v>-5.4311526673470702E-2</v>
      </c>
      <c r="AZ574" s="18">
        <v>-32454.263745245498</v>
      </c>
      <c r="BA574" s="18">
        <v>1.03550512694442E-2</v>
      </c>
      <c r="BB574" s="18">
        <v>6.4234866961571102</v>
      </c>
      <c r="BC574" s="18" t="s">
        <v>162</v>
      </c>
      <c r="BD574" s="35" t="s">
        <v>165</v>
      </c>
      <c r="BE574" t="s">
        <v>168</v>
      </c>
    </row>
    <row r="575" spans="1:57" x14ac:dyDescent="0.25">
      <c r="A575" s="18" t="s">
        <v>645</v>
      </c>
      <c r="B575" s="18" t="s">
        <v>5</v>
      </c>
      <c r="C575" s="18" t="s">
        <v>14</v>
      </c>
      <c r="D575" s="18">
        <v>49</v>
      </c>
      <c r="E575" s="18">
        <v>6.7088678618931201</v>
      </c>
      <c r="F575" s="18">
        <v>9.6563999999999997</v>
      </c>
      <c r="G575" s="15">
        <v>5.63</v>
      </c>
      <c r="H575" s="15">
        <v>3.75</v>
      </c>
      <c r="I575" s="15">
        <v>4.45</v>
      </c>
      <c r="J575" s="15">
        <v>52.71</v>
      </c>
      <c r="K575" s="15">
        <v>36.590000000000003</v>
      </c>
      <c r="L575" s="15">
        <v>29.36</v>
      </c>
      <c r="M575" s="15">
        <v>4.9000000000000004</v>
      </c>
      <c r="N575" s="15">
        <v>3</v>
      </c>
      <c r="O575" s="15">
        <f>0.7+3.17+2.85</f>
        <v>6.7200000000000006</v>
      </c>
      <c r="P575" s="9">
        <v>1.3184199999999999</v>
      </c>
      <c r="Q575" s="9">
        <v>1.2218</v>
      </c>
      <c r="R575" s="9">
        <v>8.1081100000000003E-2</v>
      </c>
      <c r="S575" s="9">
        <v>0.19481299999999999</v>
      </c>
      <c r="T575" s="9">
        <v>0.231546</v>
      </c>
      <c r="U575" s="9">
        <v>0.1076</v>
      </c>
      <c r="V575" s="9">
        <v>3.4890300000000001</v>
      </c>
      <c r="W575" s="9">
        <v>2.8556599999999999</v>
      </c>
      <c r="X575" s="9">
        <v>3.7649400000000002</v>
      </c>
      <c r="Y575" s="9">
        <v>33.309899999999999</v>
      </c>
      <c r="Z575" s="9">
        <v>17.221699999999998</v>
      </c>
      <c r="AA575" s="9">
        <f t="shared" si="87"/>
        <v>0.6417213483146067</v>
      </c>
      <c r="AB575" s="9">
        <f t="shared" si="88"/>
        <v>1.2651685393258427</v>
      </c>
      <c r="AC575" s="9">
        <f t="shared" si="89"/>
        <v>0.84269662921348309</v>
      </c>
      <c r="AD575" s="9">
        <f t="shared" si="90"/>
        <v>4.9650553097345629</v>
      </c>
      <c r="AE575" s="9">
        <f t="shared" si="91"/>
        <v>2.5670053956227941</v>
      </c>
      <c r="AF575" s="9">
        <f t="shared" si="92"/>
        <v>4.9948522849026755</v>
      </c>
      <c r="AG575" s="9">
        <f t="shared" si="84"/>
        <v>1.4613346521386845</v>
      </c>
      <c r="AH575" s="9">
        <f t="shared" si="93"/>
        <v>0.95085502000643873</v>
      </c>
      <c r="AI575" s="9">
        <f t="shared" si="85"/>
        <v>1.6019998463697878</v>
      </c>
      <c r="AJ575" s="9">
        <f>(4*PI()*(AI575^2))/(Y575+E575)</f>
        <v>0.80588132388064038</v>
      </c>
      <c r="AK575" s="12">
        <f t="shared" si="86"/>
        <v>0.66220238095238093</v>
      </c>
      <c r="AL575" s="12" t="s">
        <v>140</v>
      </c>
      <c r="AM575" s="12" t="s">
        <v>142</v>
      </c>
      <c r="AN575" s="18">
        <v>4.7347708995623297</v>
      </c>
      <c r="AO575" s="18">
        <v>0.59002809513908905</v>
      </c>
      <c r="AP575" s="18">
        <v>11200.1385701117</v>
      </c>
      <c r="AQ575" s="18">
        <v>10645.025222558001</v>
      </c>
      <c r="AR575" s="18">
        <v>2.70523801959683</v>
      </c>
      <c r="AS575" s="18">
        <v>1.45057255884071E-2</v>
      </c>
      <c r="AT575" s="18">
        <v>0.76922033436902004</v>
      </c>
      <c r="AU575" s="18">
        <v>1.5637280148620301</v>
      </c>
      <c r="AV575" s="18">
        <v>0.221642736808108</v>
      </c>
      <c r="AW575" s="18">
        <v>1.3152790512151499E-2</v>
      </c>
      <c r="AX575" s="18">
        <v>0.164089791550417</v>
      </c>
      <c r="AY575" s="18">
        <v>4.1361456794007898</v>
      </c>
      <c r="AZ575" s="18">
        <v>813.87031025033298</v>
      </c>
      <c r="BA575" s="18">
        <v>3.5767620077959097E-2</v>
      </c>
      <c r="BB575" s="18">
        <v>16.843695372791998</v>
      </c>
      <c r="BC575" s="18" t="s">
        <v>164</v>
      </c>
      <c r="BD575" s="35" t="s">
        <v>165</v>
      </c>
      <c r="BE575" t="s">
        <v>168</v>
      </c>
    </row>
    <row r="576" spans="1:57" x14ac:dyDescent="0.25">
      <c r="A576" s="16" t="s">
        <v>646</v>
      </c>
      <c r="B576" s="16" t="s">
        <v>5</v>
      </c>
      <c r="C576" s="16" t="s">
        <v>6</v>
      </c>
      <c r="D576" s="16">
        <v>54</v>
      </c>
      <c r="E576" s="16">
        <v>10.226000000000001</v>
      </c>
      <c r="F576" s="16">
        <v>11.922000000000001</v>
      </c>
      <c r="G576" s="15">
        <v>4.05</v>
      </c>
      <c r="H576" s="15">
        <v>2.95</v>
      </c>
      <c r="I576" s="15">
        <v>3.58</v>
      </c>
      <c r="J576" s="15">
        <v>29.66</v>
      </c>
      <c r="K576" s="15">
        <v>41.45</v>
      </c>
      <c r="L576" s="15">
        <v>17.760000000000002</v>
      </c>
      <c r="M576" s="15">
        <v>3.3</v>
      </c>
      <c r="N576" s="15">
        <v>2</v>
      </c>
      <c r="O576" s="15">
        <f>2.93+2.8</f>
        <v>5.73</v>
      </c>
      <c r="P576" s="9">
        <v>0.94139600000000001</v>
      </c>
      <c r="Q576" s="9">
        <v>1.03884</v>
      </c>
      <c r="R576" s="9">
        <v>0.48275899999999999</v>
      </c>
      <c r="S576" s="9">
        <v>9.4570600000000005E-2</v>
      </c>
      <c r="T576" s="9">
        <v>0.14724499999999999</v>
      </c>
      <c r="U576" s="9">
        <v>0.118779</v>
      </c>
      <c r="V576" s="9">
        <v>3.2667899999999999</v>
      </c>
      <c r="W576" s="9">
        <v>3.1446399999999999</v>
      </c>
      <c r="X576" s="9">
        <v>2.96035</v>
      </c>
      <c r="Y576" s="9">
        <v>23.629799999999999</v>
      </c>
      <c r="Z576" s="9">
        <v>12.028600000000001</v>
      </c>
      <c r="AA576" s="9">
        <f t="shared" si="87"/>
        <v>0.87839106145251389</v>
      </c>
      <c r="AB576" s="9">
        <f t="shared" si="88"/>
        <v>1.1312849162011172</v>
      </c>
      <c r="AC576" s="9">
        <f t="shared" si="89"/>
        <v>0.82402234636871508</v>
      </c>
      <c r="AD576" s="9">
        <f t="shared" si="90"/>
        <v>2.3107568941912771</v>
      </c>
      <c r="AE576" s="9">
        <f t="shared" si="91"/>
        <v>1.1762761588108743</v>
      </c>
      <c r="AF576" s="9">
        <f t="shared" si="92"/>
        <v>4.5010792244950242</v>
      </c>
      <c r="AG576" s="9">
        <f t="shared" si="84"/>
        <v>1.8041720805165575</v>
      </c>
      <c r="AH576" s="9">
        <f t="shared" si="93"/>
        <v>0.95084277033427778</v>
      </c>
      <c r="AI576" s="9">
        <f t="shared" si="85"/>
        <v>1.4213754976223509</v>
      </c>
      <c r="AJ576" s="9">
        <f>(4*PI()*(AI576^2))/(Y576+E576)</f>
        <v>0.74988459640382488</v>
      </c>
      <c r="AK576" s="12">
        <f t="shared" si="86"/>
        <v>0.62478184991273988</v>
      </c>
      <c r="AL576" s="12" t="s">
        <v>144</v>
      </c>
      <c r="AM576" s="12" t="s">
        <v>143</v>
      </c>
      <c r="AN576" s="16">
        <v>7.0263</v>
      </c>
      <c r="AO576" s="16">
        <v>0.74741000000000002</v>
      </c>
      <c r="AP576" s="16">
        <v>16014</v>
      </c>
      <c r="AQ576" s="16">
        <v>13659</v>
      </c>
      <c r="AR576" s="16">
        <v>3.0985999999999998</v>
      </c>
      <c r="AS576" s="16">
        <v>1.1511E-2</v>
      </c>
      <c r="AT576" s="16">
        <v>0.73187999999999998</v>
      </c>
      <c r="AU576" s="16">
        <v>0.98441999999999996</v>
      </c>
      <c r="AV576" s="16">
        <v>9.1086E-2</v>
      </c>
      <c r="AW576" s="16">
        <v>7.5827999999999998E-3</v>
      </c>
      <c r="AX576" s="16">
        <v>0.21345</v>
      </c>
      <c r="AY576" s="16">
        <v>4.4081000000000001</v>
      </c>
      <c r="AZ576" s="16">
        <v>10847</v>
      </c>
      <c r="BA576" s="16">
        <v>9.7379000000000007E-3</v>
      </c>
      <c r="BB576" s="16">
        <v>4.6791999999999998</v>
      </c>
      <c r="BC576" s="16" t="s">
        <v>162</v>
      </c>
      <c r="BD576" s="34" t="s">
        <v>163</v>
      </c>
      <c r="BE576" t="s">
        <v>167</v>
      </c>
    </row>
    <row r="577" spans="1:57" x14ac:dyDescent="0.25">
      <c r="A577" s="18" t="s">
        <v>647</v>
      </c>
      <c r="B577" s="18" t="s">
        <v>26</v>
      </c>
      <c r="C577" s="18" t="s">
        <v>6</v>
      </c>
      <c r="D577" s="18">
        <v>48</v>
      </c>
      <c r="E577" s="18">
        <v>10.486000000000001</v>
      </c>
      <c r="F577" s="18">
        <v>11.718</v>
      </c>
      <c r="G577" s="15">
        <v>5.49</v>
      </c>
      <c r="H577" s="15">
        <v>4.2</v>
      </c>
      <c r="I577" s="15">
        <v>2.4700000000000002</v>
      </c>
      <c r="J577" s="15">
        <v>71.650000000000006</v>
      </c>
      <c r="K577" s="15">
        <v>45.57</v>
      </c>
      <c r="L577" s="15">
        <v>35.06</v>
      </c>
      <c r="M577" s="15">
        <v>4.3</v>
      </c>
      <c r="N577" s="15">
        <v>2</v>
      </c>
      <c r="O577" s="15">
        <f>2.48+1.11</f>
        <v>3.59</v>
      </c>
      <c r="P577" s="9">
        <v>1.1795599999999999</v>
      </c>
      <c r="Q577" s="9">
        <v>1.1385099999999999</v>
      </c>
      <c r="R577" s="9">
        <v>0.487952</v>
      </c>
      <c r="S577" s="9">
        <v>0.148426</v>
      </c>
      <c r="T577" s="9">
        <v>0.18044199999999999</v>
      </c>
      <c r="U577" s="9">
        <v>0.10838</v>
      </c>
      <c r="V577" s="9">
        <v>4.08249</v>
      </c>
      <c r="W577" s="9">
        <v>3.5858300000000001</v>
      </c>
      <c r="X577" s="9">
        <v>4.2297000000000002</v>
      </c>
      <c r="Y577" s="9">
        <v>50.468899999999998</v>
      </c>
      <c r="Z577" s="9">
        <v>35.3748</v>
      </c>
      <c r="AA577" s="9">
        <f t="shared" si="87"/>
        <v>1.4517530364372468</v>
      </c>
      <c r="AB577" s="9">
        <f t="shared" si="88"/>
        <v>2.2226720647773277</v>
      </c>
      <c r="AC577" s="9">
        <f t="shared" si="89"/>
        <v>1.700404858299595</v>
      </c>
      <c r="AD577" s="9">
        <f t="shared" si="90"/>
        <v>4.8129792103757385</v>
      </c>
      <c r="AE577" s="9">
        <f t="shared" si="91"/>
        <v>3.3735266069044441</v>
      </c>
      <c r="AF577" s="9">
        <f t="shared" si="92"/>
        <v>4.6833991957585663</v>
      </c>
      <c r="AG577" s="9">
        <f t="shared" si="84"/>
        <v>1.8269640025252905</v>
      </c>
      <c r="AH577" s="9">
        <f t="shared" si="93"/>
        <v>0.97961711703472554</v>
      </c>
      <c r="AI577" s="9">
        <f t="shared" si="85"/>
        <v>2.0364251936806297</v>
      </c>
      <c r="AJ577" s="9">
        <f>(4*PI()*(AI577^2))/(Y577+E577)</f>
        <v>0.85494497383744672</v>
      </c>
      <c r="AK577" s="12">
        <f t="shared" si="86"/>
        <v>0.68802228412256272</v>
      </c>
      <c r="AL577" s="12" t="s">
        <v>140</v>
      </c>
      <c r="AM577" s="12" t="s">
        <v>142</v>
      </c>
      <c r="AN577" s="18">
        <v>1.9654</v>
      </c>
      <c r="AO577" s="18">
        <v>0.28754000000000002</v>
      </c>
      <c r="AP577" s="18">
        <v>2785.9</v>
      </c>
      <c r="AQ577" s="18">
        <v>2261.4</v>
      </c>
      <c r="AR577" s="18">
        <v>0.92862999999999996</v>
      </c>
      <c r="AS577" s="18">
        <v>2.6425000000000001E-2</v>
      </c>
      <c r="AT577" s="18">
        <v>0.68894999999999995</v>
      </c>
      <c r="AU577" s="18">
        <v>2.8717999999999999</v>
      </c>
      <c r="AV577" s="18">
        <v>0.19202</v>
      </c>
      <c r="AW577" s="18">
        <v>1.8003999999999999E-2</v>
      </c>
      <c r="AX577" s="18">
        <v>9.8171999999999995E-2</v>
      </c>
      <c r="AY577" s="18">
        <v>-3.8441999999999998</v>
      </c>
      <c r="AZ577" s="18">
        <v>-260.45999999999998</v>
      </c>
      <c r="BA577" s="18">
        <v>9.2461000000000002E-2</v>
      </c>
      <c r="BB577" s="18">
        <v>8.8544999999999998</v>
      </c>
      <c r="BC577" s="18" t="s">
        <v>162</v>
      </c>
      <c r="BD577" s="35" t="s">
        <v>163</v>
      </c>
      <c r="BE577" t="s">
        <v>168</v>
      </c>
    </row>
    <row r="578" spans="1:57" x14ac:dyDescent="0.25">
      <c r="A578" s="18" t="s">
        <v>648</v>
      </c>
      <c r="B578" s="18" t="s">
        <v>5</v>
      </c>
      <c r="C578" s="18" t="s">
        <v>6</v>
      </c>
      <c r="D578" s="18">
        <v>36</v>
      </c>
      <c r="E578" s="18">
        <v>9.9287887977596299</v>
      </c>
      <c r="F578" s="18">
        <v>11.516</v>
      </c>
      <c r="G578" s="15">
        <v>6.83</v>
      </c>
      <c r="H578" s="15">
        <v>4.55</v>
      </c>
      <c r="I578" s="15">
        <v>2.46</v>
      </c>
      <c r="J578" s="15">
        <v>52.36</v>
      </c>
      <c r="K578" s="15">
        <v>29.17</v>
      </c>
      <c r="L578" s="15">
        <v>69.66</v>
      </c>
      <c r="M578" s="15">
        <v>4.4000000000000004</v>
      </c>
      <c r="N578" s="15">
        <v>3</v>
      </c>
      <c r="O578" s="15">
        <f>1.53+2.46+2.37</f>
        <v>6.36</v>
      </c>
      <c r="P578" s="9">
        <v>1.3326199999999999</v>
      </c>
      <c r="Q578" s="9">
        <v>1.6986399999999999</v>
      </c>
      <c r="R578" s="9">
        <v>-1.11111E-2</v>
      </c>
      <c r="S578" s="9">
        <v>0.17758699999999999</v>
      </c>
      <c r="T578" s="9">
        <v>0.23200899999999999</v>
      </c>
      <c r="U578" s="9">
        <v>0.14671400000000001</v>
      </c>
      <c r="V578" s="9">
        <v>5.8479200000000002</v>
      </c>
      <c r="W578" s="9">
        <v>3.4426999999999999</v>
      </c>
      <c r="X578" s="9">
        <v>4.5878300000000003</v>
      </c>
      <c r="Y578" s="9">
        <v>68.677999999999997</v>
      </c>
      <c r="Z578" s="9">
        <v>50.938800000000001</v>
      </c>
      <c r="AA578" s="9">
        <f t="shared" si="87"/>
        <v>1.3994715447154471</v>
      </c>
      <c r="AB578" s="9">
        <f t="shared" si="88"/>
        <v>2.7764227642276422</v>
      </c>
      <c r="AC578" s="9">
        <f t="shared" si="89"/>
        <v>1.8495934959349594</v>
      </c>
      <c r="AD578" s="9">
        <f t="shared" si="90"/>
        <v>6.9170571958884617</v>
      </c>
      <c r="AE578" s="9">
        <f t="shared" si="91"/>
        <v>5.1304142970081132</v>
      </c>
      <c r="AF578" s="9">
        <f t="shared" si="92"/>
        <v>4.9978724253533873</v>
      </c>
      <c r="AG578" s="9">
        <f t="shared" ref="AG578:AG641" si="94">SQRT(E578/PI())</f>
        <v>1.7777602853472017</v>
      </c>
      <c r="AH578" s="9">
        <f t="shared" si="93"/>
        <v>0.96995461137382133</v>
      </c>
      <c r="AI578" s="9">
        <f t="shared" ref="AI578:AI641" si="95">(3*Z578/(4*PI()))^(1/3)</f>
        <v>2.2996056490093149</v>
      </c>
      <c r="AJ578" s="9">
        <f>(4*PI()*(AI578^2))/(Y578+E578)</f>
        <v>0.84538890268036582</v>
      </c>
      <c r="AK578" s="12">
        <f t="shared" si="86"/>
        <v>0.38679245283018865</v>
      </c>
      <c r="AL578" s="12" t="s">
        <v>140</v>
      </c>
      <c r="AM578" s="12" t="s">
        <v>142</v>
      </c>
      <c r="AN578" s="18">
        <v>2.8494331923496001</v>
      </c>
      <c r="AO578" s="18">
        <v>0.21360736926533999</v>
      </c>
      <c r="AP578" s="18">
        <v>5201.2245323618099</v>
      </c>
      <c r="AQ578" s="18">
        <v>4263.5102873047699</v>
      </c>
      <c r="AR578" s="18">
        <v>1.3145224635548001</v>
      </c>
      <c r="AS578" s="18">
        <v>1.56558411312058E-2</v>
      </c>
      <c r="AT578" s="18">
        <v>0.72354401329756202</v>
      </c>
      <c r="AU578" s="18">
        <v>1.87785890300098</v>
      </c>
      <c r="AV578" s="18">
        <v>0.29260265096645699</v>
      </c>
      <c r="AW578" s="18">
        <v>1.5604518163556401E-2</v>
      </c>
      <c r="AX578" s="18">
        <v>0.118320740979056</v>
      </c>
      <c r="AY578" s="18">
        <v>-181.63961664446001</v>
      </c>
      <c r="AZ578" s="18">
        <v>-853.94684041514802</v>
      </c>
      <c r="BA578" s="18">
        <v>0.41548231919420903</v>
      </c>
      <c r="BB578" s="18">
        <v>5.7135426612608597</v>
      </c>
      <c r="BC578" s="18" t="s">
        <v>164</v>
      </c>
      <c r="BD578" s="35" t="s">
        <v>165</v>
      </c>
      <c r="BE578" t="s">
        <v>168</v>
      </c>
    </row>
    <row r="579" spans="1:57" x14ac:dyDescent="0.25">
      <c r="A579" s="18" t="s">
        <v>649</v>
      </c>
      <c r="B579" s="18" t="s">
        <v>5</v>
      </c>
      <c r="C579" s="18" t="s">
        <v>6</v>
      </c>
      <c r="D579" s="18">
        <v>72</v>
      </c>
      <c r="E579" s="18">
        <v>11.8320490856948</v>
      </c>
      <c r="F579" s="18">
        <v>12.635999999999999</v>
      </c>
      <c r="G579" s="15">
        <v>7.11</v>
      </c>
      <c r="H579" s="15">
        <v>5.8</v>
      </c>
      <c r="I579" s="15">
        <v>2.96</v>
      </c>
      <c r="J579" s="15">
        <v>48.05</v>
      </c>
      <c r="K579" s="15">
        <v>47.53</v>
      </c>
      <c r="L579" s="15">
        <v>84.24</v>
      </c>
      <c r="M579" s="15">
        <v>5.4</v>
      </c>
      <c r="N579" s="15">
        <v>2</v>
      </c>
      <c r="O579" s="15">
        <f>3.23+1.86</f>
        <v>5.09</v>
      </c>
      <c r="P579" s="9">
        <v>1.53989</v>
      </c>
      <c r="Q579" s="9">
        <v>1.5430699999999999</v>
      </c>
      <c r="R579" s="9">
        <v>0.126087</v>
      </c>
      <c r="S579" s="9">
        <v>0.14810899999999999</v>
      </c>
      <c r="T579" s="9">
        <v>0.155559</v>
      </c>
      <c r="U579" s="9">
        <v>1.6750399999999999E-2</v>
      </c>
      <c r="V579" s="9">
        <v>5.8263400000000001</v>
      </c>
      <c r="W579" s="9">
        <v>3.7758099999999999</v>
      </c>
      <c r="X579" s="9">
        <v>5.8143200000000004</v>
      </c>
      <c r="Y579" s="9">
        <v>95.119600000000005</v>
      </c>
      <c r="Z579" s="9">
        <v>95.73</v>
      </c>
      <c r="AA579" s="9">
        <f t="shared" si="87"/>
        <v>1.2756114864864865</v>
      </c>
      <c r="AB579" s="9">
        <f t="shared" si="88"/>
        <v>2.4020270270270272</v>
      </c>
      <c r="AC579" s="9">
        <f t="shared" si="89"/>
        <v>1.9594594594594594</v>
      </c>
      <c r="AD579" s="9">
        <f t="shared" si="90"/>
        <v>8.0391485288039952</v>
      </c>
      <c r="AE579" s="9">
        <f t="shared" si="91"/>
        <v>8.09073722621212</v>
      </c>
      <c r="AF579" s="9">
        <f t="shared" si="92"/>
        <v>4.5453916453924901</v>
      </c>
      <c r="AG579" s="9">
        <f t="shared" si="94"/>
        <v>1.9406849815950389</v>
      </c>
      <c r="AH579" s="9">
        <f t="shared" si="93"/>
        <v>0.96499551774470038</v>
      </c>
      <c r="AI579" s="9">
        <f t="shared" si="95"/>
        <v>2.8378307036333306</v>
      </c>
      <c r="AJ579" s="9">
        <f>(4*PI()*(AI579^2))/(Y579+E579)</f>
        <v>0.94622701934295583</v>
      </c>
      <c r="AK579" s="12">
        <f t="shared" ref="AK579:AK642" si="96">I579/O579</f>
        <v>0.58153241650294696</v>
      </c>
      <c r="AL579" s="12" t="s">
        <v>144</v>
      </c>
      <c r="AM579" s="12" t="s">
        <v>142</v>
      </c>
      <c r="AN579" s="18">
        <v>2.4826621473644699</v>
      </c>
      <c r="AO579" s="18">
        <v>0.30243742718099798</v>
      </c>
      <c r="AP579" s="18">
        <v>4617.3601486417901</v>
      </c>
      <c r="AQ579" s="18">
        <v>4316.5786703636804</v>
      </c>
      <c r="AR579" s="18">
        <v>1.2822203226990301</v>
      </c>
      <c r="AS579" s="18">
        <v>2.0277128237614499E-2</v>
      </c>
      <c r="AT579" s="18">
        <v>0.721203204751794</v>
      </c>
      <c r="AU579" s="18">
        <v>1.34316807099118</v>
      </c>
      <c r="AV579" s="18">
        <v>0.16593963388650201</v>
      </c>
      <c r="AW579" s="18">
        <v>1.43705412473059E-2</v>
      </c>
      <c r="AX579" s="18">
        <v>0.13231079660370201</v>
      </c>
      <c r="AY579" s="18">
        <v>-13.097209882084201</v>
      </c>
      <c r="AZ579" s="18">
        <v>-555.97012443258097</v>
      </c>
      <c r="BA579" s="18">
        <v>0.195159874956438</v>
      </c>
      <c r="BB579" s="18">
        <v>18.8258995765717</v>
      </c>
      <c r="BC579" s="18" t="s">
        <v>162</v>
      </c>
      <c r="BD579" s="35" t="s">
        <v>165</v>
      </c>
      <c r="BE579" t="s">
        <v>168</v>
      </c>
    </row>
    <row r="580" spans="1:57" x14ac:dyDescent="0.25">
      <c r="A580" s="16" t="s">
        <v>650</v>
      </c>
      <c r="B580" s="16" t="s">
        <v>5</v>
      </c>
      <c r="C580" s="16" t="s">
        <v>6</v>
      </c>
      <c r="D580" s="16">
        <v>47</v>
      </c>
      <c r="E580" s="16">
        <v>34.585000000000001</v>
      </c>
      <c r="F580" s="16">
        <v>21.538</v>
      </c>
      <c r="G580" s="15">
        <v>14.74</v>
      </c>
      <c r="H580" s="15">
        <v>11.5</v>
      </c>
      <c r="I580" s="15">
        <v>4.3</v>
      </c>
      <c r="J580" s="15">
        <v>17.07</v>
      </c>
      <c r="K580" s="15">
        <v>47.74</v>
      </c>
      <c r="L580" s="15">
        <v>37.520000000000003</v>
      </c>
      <c r="M580" s="15">
        <v>10.199999999999999</v>
      </c>
      <c r="N580" s="15">
        <v>1</v>
      </c>
      <c r="O580" s="15">
        <v>3.43</v>
      </c>
      <c r="P580" s="9">
        <v>1.78542</v>
      </c>
      <c r="Q580" s="9">
        <v>1.93448</v>
      </c>
      <c r="R580" s="9">
        <v>7.5757599999999994E-2</v>
      </c>
      <c r="S580" s="9">
        <v>0.18094399999999999</v>
      </c>
      <c r="T580" s="9">
        <v>0.19686500000000001</v>
      </c>
      <c r="U580" s="9">
        <v>4.32424E-2</v>
      </c>
      <c r="V580" s="9">
        <v>12.5816</v>
      </c>
      <c r="W580" s="9">
        <v>6.5038999999999998</v>
      </c>
      <c r="X580" s="9">
        <v>11.6122</v>
      </c>
      <c r="Y580" s="9">
        <v>369.49</v>
      </c>
      <c r="Z580" s="9">
        <v>679.79300000000001</v>
      </c>
      <c r="AA580" s="9">
        <f t="shared" si="87"/>
        <v>1.5125348837209303</v>
      </c>
      <c r="AB580" s="9">
        <f t="shared" si="88"/>
        <v>3.4279069767441861</v>
      </c>
      <c r="AC580" s="9">
        <f t="shared" si="89"/>
        <v>2.6744186046511631</v>
      </c>
      <c r="AD580" s="9">
        <f t="shared" si="90"/>
        <v>10.683533323695244</v>
      </c>
      <c r="AE580" s="9">
        <f t="shared" si="91"/>
        <v>19.655717796732688</v>
      </c>
      <c r="AF580" s="9">
        <f t="shared" si="92"/>
        <v>4.7791599245098668</v>
      </c>
      <c r="AG580" s="9">
        <f t="shared" si="94"/>
        <v>3.317943250519273</v>
      </c>
      <c r="AH580" s="9">
        <f t="shared" si="93"/>
        <v>0.96792888298441693</v>
      </c>
      <c r="AI580" s="9">
        <f t="shared" si="95"/>
        <v>5.4545972975016577</v>
      </c>
      <c r="AJ580" s="9">
        <f>(4*PI()*(AI580^2))/(Y580+E580)</f>
        <v>0.92528019901545522</v>
      </c>
      <c r="AK580" s="12">
        <f t="shared" si="96"/>
        <v>1.2536443148688046</v>
      </c>
      <c r="AL580" s="12" t="s">
        <v>144</v>
      </c>
      <c r="AM580" s="12" t="s">
        <v>143</v>
      </c>
      <c r="AN580" s="16">
        <v>4.8464999999999998</v>
      </c>
      <c r="AO580" s="16">
        <v>0.49825000000000003</v>
      </c>
      <c r="AP580" s="16">
        <v>5405.3</v>
      </c>
      <c r="AQ580" s="16">
        <v>4701.8999999999996</v>
      </c>
      <c r="AR580" s="16">
        <v>3.3454999999999999</v>
      </c>
      <c r="AS580" s="16">
        <v>4.7274999999999998E-2</v>
      </c>
      <c r="AT580" s="16">
        <v>0.62111000000000005</v>
      </c>
      <c r="AU580" s="16">
        <v>0.52897000000000005</v>
      </c>
      <c r="AV580" s="16">
        <v>8.5140999999999994E-2</v>
      </c>
      <c r="AW580" s="16">
        <v>4.3159000000000003E-2</v>
      </c>
      <c r="AX580" s="16">
        <v>0.28114</v>
      </c>
      <c r="AY580" s="16">
        <v>1.4713000000000001</v>
      </c>
      <c r="AZ580" s="16">
        <v>284.45999999999998</v>
      </c>
      <c r="BA580" s="16">
        <v>0.12828999999999999</v>
      </c>
      <c r="BB580" s="16">
        <v>3.7399</v>
      </c>
      <c r="BC580" s="16" t="s">
        <v>164</v>
      </c>
      <c r="BD580" s="34" t="s">
        <v>165</v>
      </c>
      <c r="BE580" t="s">
        <v>167</v>
      </c>
    </row>
    <row r="581" spans="1:57" x14ac:dyDescent="0.25">
      <c r="A581" s="18" t="s">
        <v>651</v>
      </c>
      <c r="B581" s="18" t="s">
        <v>26</v>
      </c>
      <c r="C581" s="18" t="s">
        <v>6</v>
      </c>
      <c r="D581" s="18">
        <v>52</v>
      </c>
      <c r="E581" s="18">
        <v>18.6387831980249</v>
      </c>
      <c r="F581" s="18">
        <v>16.030999999999999</v>
      </c>
      <c r="G581" s="15">
        <v>13.2</v>
      </c>
      <c r="H581" s="15">
        <v>10.9</v>
      </c>
      <c r="I581" s="15">
        <v>2.4700000000000002</v>
      </c>
      <c r="J581" s="15">
        <v>92.17</v>
      </c>
      <c r="K581" s="15">
        <v>11.55</v>
      </c>
      <c r="L581" s="15">
        <v>79.099999999999994</v>
      </c>
      <c r="M581" s="15">
        <v>7.3</v>
      </c>
      <c r="N581" s="15">
        <v>2</v>
      </c>
      <c r="O581" s="15">
        <f>1.85+2</f>
        <v>3.85</v>
      </c>
      <c r="P581" s="9">
        <v>2.3429500000000001</v>
      </c>
      <c r="Q581" s="9">
        <v>2.7280000000000002</v>
      </c>
      <c r="R581" s="9">
        <v>1.3761499999999999E-2</v>
      </c>
      <c r="S581" s="9">
        <v>0.21104300000000001</v>
      </c>
      <c r="T581" s="9">
        <v>0.228877</v>
      </c>
      <c r="U581" s="9">
        <v>5.93003E-2</v>
      </c>
      <c r="V581" s="9">
        <v>12.7903</v>
      </c>
      <c r="W581" s="9">
        <v>4.6885399999999997</v>
      </c>
      <c r="X581" s="9">
        <v>10.984999999999999</v>
      </c>
      <c r="Y581" s="9">
        <v>322.59699999999998</v>
      </c>
      <c r="Z581" s="9">
        <v>521.75199999999995</v>
      </c>
      <c r="AA581" s="9">
        <f t="shared" ref="AA581:AA644" si="97">W581/I581</f>
        <v>1.8981943319838055</v>
      </c>
      <c r="AB581" s="9">
        <f t="shared" ref="AB581:AB644" si="98">G581/I581</f>
        <v>5.3441295546558694</v>
      </c>
      <c r="AC581" s="9">
        <f t="shared" ref="AC581:AC644" si="99">H581/I581</f>
        <v>4.4129554655870447</v>
      </c>
      <c r="AD581" s="9">
        <f t="shared" ref="AD581:AD644" si="100">Y581/E581</f>
        <v>17.307835848113985</v>
      </c>
      <c r="AE581" s="9">
        <f t="shared" ref="AE581:AE644" si="101">Z581/E581</f>
        <v>27.992814469524415</v>
      </c>
      <c r="AF581" s="9">
        <f t="shared" ref="AF581:AF644" si="102">Y581/(Z581)^(2/3)</f>
        <v>4.9775722893248471</v>
      </c>
      <c r="AG581" s="9">
        <f t="shared" si="94"/>
        <v>2.4357563421589723</v>
      </c>
      <c r="AH581" s="9">
        <f t="shared" si="93"/>
        <v>0.95466960644518428</v>
      </c>
      <c r="AI581" s="9">
        <f t="shared" si="95"/>
        <v>4.9941146058402008</v>
      </c>
      <c r="AJ581" s="9">
        <f>(4*PI()*(AI581^2))/(Y581+E581)</f>
        <v>0.91848550363518489</v>
      </c>
      <c r="AK581" s="12">
        <f t="shared" si="96"/>
        <v>0.64155844155844155</v>
      </c>
      <c r="AL581" s="12" t="s">
        <v>140</v>
      </c>
      <c r="AM581" s="12" t="s">
        <v>142</v>
      </c>
      <c r="AN581" s="18">
        <v>1.82980916524968</v>
      </c>
      <c r="AO581" s="18">
        <v>0.21568004129714499</v>
      </c>
      <c r="AP581" s="18">
        <v>2025.2374203239399</v>
      </c>
      <c r="AQ581" s="18">
        <v>1854.8730803562701</v>
      </c>
      <c r="AR581" s="18">
        <v>1.1923943383995399</v>
      </c>
      <c r="AS581" s="18">
        <v>2.05329592811535E-2</v>
      </c>
      <c r="AT581" s="18">
        <v>0.72341113270650403</v>
      </c>
      <c r="AU581" s="18">
        <v>1.69311194961663</v>
      </c>
      <c r="AV581" s="18">
        <v>0.57924257405678503</v>
      </c>
      <c r="AW581" s="18">
        <v>2.8027395901214999E-2</v>
      </c>
      <c r="AX581" s="18">
        <v>9.32843167863142E-2</v>
      </c>
      <c r="AY581" s="18">
        <v>-12.112166161868901</v>
      </c>
      <c r="AZ581" s="18">
        <v>-217.67590427656501</v>
      </c>
      <c r="BA581" s="18">
        <v>0.65490082825215701</v>
      </c>
      <c r="BB581" s="18">
        <v>11.569426594623801</v>
      </c>
      <c r="BC581" s="18" t="s">
        <v>162</v>
      </c>
      <c r="BD581" s="35" t="s">
        <v>165</v>
      </c>
      <c r="BE581" t="s">
        <v>167</v>
      </c>
    </row>
    <row r="582" spans="1:57" x14ac:dyDescent="0.25">
      <c r="A582" s="18" t="s">
        <v>652</v>
      </c>
      <c r="B582" s="18" t="s">
        <v>5</v>
      </c>
      <c r="C582" s="18" t="s">
        <v>6</v>
      </c>
      <c r="D582" s="18">
        <v>47</v>
      </c>
      <c r="E582" s="18">
        <v>19.667519650631601</v>
      </c>
      <c r="F582" s="18">
        <v>16.521999999999998</v>
      </c>
      <c r="G582" s="15">
        <v>6.06</v>
      </c>
      <c r="H582" s="15">
        <v>4</v>
      </c>
      <c r="I582" s="15">
        <v>3.49</v>
      </c>
      <c r="J582" s="15">
        <v>103.27</v>
      </c>
      <c r="K582" s="15">
        <v>21.58</v>
      </c>
      <c r="L582" s="15">
        <v>59.72</v>
      </c>
      <c r="M582" s="15">
        <v>5.7</v>
      </c>
      <c r="N582" s="15">
        <v>2</v>
      </c>
      <c r="O582" s="15">
        <f>3.53+1</f>
        <v>4.5299999999999994</v>
      </c>
      <c r="P582" s="9">
        <v>0.83858999999999995</v>
      </c>
      <c r="Q582" s="9">
        <v>1.22983</v>
      </c>
      <c r="R582" s="9">
        <v>0.487342</v>
      </c>
      <c r="S582" s="9">
        <v>5.7079100000000001E-2</v>
      </c>
      <c r="T582" s="9">
        <v>6.4381499999999994E-2</v>
      </c>
      <c r="U582" s="9">
        <v>1.089E-2</v>
      </c>
      <c r="V582" s="9">
        <v>5.8976899999999999</v>
      </c>
      <c r="W582" s="9">
        <v>4.7955300000000003</v>
      </c>
      <c r="X582" s="9">
        <v>4.0214800000000004</v>
      </c>
      <c r="Y582" s="9">
        <v>65.065100000000001</v>
      </c>
      <c r="Z582" s="9">
        <v>63.162500000000001</v>
      </c>
      <c r="AA582" s="9">
        <f t="shared" si="97"/>
        <v>1.3740773638968482</v>
      </c>
      <c r="AB582" s="9">
        <f t="shared" si="98"/>
        <v>1.7363896848137534</v>
      </c>
      <c r="AC582" s="9">
        <f t="shared" si="99"/>
        <v>1.1461318051575931</v>
      </c>
      <c r="AD582" s="9">
        <f t="shared" si="100"/>
        <v>3.3082514295548453</v>
      </c>
      <c r="AE582" s="9">
        <f t="shared" si="101"/>
        <v>3.2115132524080945</v>
      </c>
      <c r="AF582" s="9">
        <f t="shared" si="102"/>
        <v>4.1024367512523652</v>
      </c>
      <c r="AG582" s="9">
        <f t="shared" si="94"/>
        <v>2.5020723293921803</v>
      </c>
      <c r="AH582" s="9">
        <f t="shared" si="93"/>
        <v>0.95151822403689323</v>
      </c>
      <c r="AI582" s="9">
        <f t="shared" si="95"/>
        <v>2.4705305803724751</v>
      </c>
      <c r="AJ582" s="9">
        <f>(4*PI()*(AI582^2))/(Y582+E582)</f>
        <v>0.9051898977613011</v>
      </c>
      <c r="AK582" s="12">
        <f t="shared" si="96"/>
        <v>0.77041942604856528</v>
      </c>
      <c r="AL582" s="12" t="s">
        <v>144</v>
      </c>
      <c r="AM582" s="12" t="s">
        <v>142</v>
      </c>
      <c r="AN582" s="18">
        <v>7.4564445053911701</v>
      </c>
      <c r="AO582" s="18">
        <v>0.73167273501903496</v>
      </c>
      <c r="AP582" s="18">
        <v>8125.7857843124302</v>
      </c>
      <c r="AQ582" s="18">
        <v>8353.9148353506098</v>
      </c>
      <c r="AR582" s="18">
        <v>3.5007816811948</v>
      </c>
      <c r="AS582" s="18">
        <v>4.7601182463765501E-3</v>
      </c>
      <c r="AT582" s="18">
        <v>0.75812834741588897</v>
      </c>
      <c r="AU582" s="18">
        <v>0.35515826856669502</v>
      </c>
      <c r="AV582" s="18">
        <v>1.92200418838777E-3</v>
      </c>
      <c r="AW582" s="18">
        <v>3.0615567088387E-3</v>
      </c>
      <c r="AX582" s="18">
        <v>0.32469380121264002</v>
      </c>
      <c r="AY582" s="18">
        <v>3.0112060030779202</v>
      </c>
      <c r="AZ582" s="18">
        <v>257.164081582905</v>
      </c>
      <c r="BA582" s="18">
        <v>3.7638716848507899E-2</v>
      </c>
      <c r="BB582" s="18">
        <v>20.533968229517299</v>
      </c>
      <c r="BC582" s="18" t="s">
        <v>162</v>
      </c>
      <c r="BD582" s="35" t="s">
        <v>165</v>
      </c>
      <c r="BE582" t="s">
        <v>167</v>
      </c>
    </row>
    <row r="583" spans="1:57" x14ac:dyDescent="0.25">
      <c r="A583" s="16" t="s">
        <v>653</v>
      </c>
      <c r="B583" s="16" t="s">
        <v>5</v>
      </c>
      <c r="C583" s="16" t="s">
        <v>6</v>
      </c>
      <c r="D583" s="16">
        <v>25</v>
      </c>
      <c r="E583" s="16">
        <v>5.7462</v>
      </c>
      <c r="F583" s="16">
        <v>8.8449000000000009</v>
      </c>
      <c r="G583" s="15">
        <v>3.72</v>
      </c>
      <c r="H583" s="15">
        <v>2.75</v>
      </c>
      <c r="I583" s="15">
        <v>2.77</v>
      </c>
      <c r="J583" s="15">
        <v>78.23</v>
      </c>
      <c r="K583" s="15">
        <v>45.19</v>
      </c>
      <c r="L583" s="15">
        <v>8.4499999999999993</v>
      </c>
      <c r="M583" s="15">
        <v>3.39</v>
      </c>
      <c r="N583" s="15">
        <v>1</v>
      </c>
      <c r="O583" s="15">
        <v>3.43</v>
      </c>
      <c r="P583" s="9">
        <v>1.0612699999999999</v>
      </c>
      <c r="Q583" s="9">
        <v>1.25421</v>
      </c>
      <c r="R583" s="9">
        <v>0.15454499999999999</v>
      </c>
      <c r="S583" s="9">
        <v>0.10924200000000001</v>
      </c>
      <c r="T583" s="9">
        <v>0.13463700000000001</v>
      </c>
      <c r="U583" s="9">
        <v>5.1529699999999998E-2</v>
      </c>
      <c r="V583" s="9">
        <v>3.31142</v>
      </c>
      <c r="W583" s="9">
        <v>2.6402399999999999</v>
      </c>
      <c r="X583" s="9">
        <v>2.802</v>
      </c>
      <c r="Y583" s="9">
        <v>23.637499999999999</v>
      </c>
      <c r="Z583" s="9">
        <v>12.3024</v>
      </c>
      <c r="AA583" s="9">
        <f t="shared" si="97"/>
        <v>0.95315523465703966</v>
      </c>
      <c r="AB583" s="9">
        <f t="shared" si="98"/>
        <v>1.3429602888086642</v>
      </c>
      <c r="AC583" s="9">
        <f t="shared" si="99"/>
        <v>0.99277978339350181</v>
      </c>
      <c r="AD583" s="9">
        <f t="shared" si="100"/>
        <v>4.1135881104033967</v>
      </c>
      <c r="AE583" s="9">
        <f t="shared" si="101"/>
        <v>2.1409627231909787</v>
      </c>
      <c r="AF583" s="9">
        <f t="shared" si="102"/>
        <v>4.4354904258751437</v>
      </c>
      <c r="AG583" s="9">
        <f t="shared" si="94"/>
        <v>1.3524319827589475</v>
      </c>
      <c r="AH583" s="9">
        <f t="shared" si="93"/>
        <v>0.96073225961071052</v>
      </c>
      <c r="AI583" s="9">
        <f t="shared" si="95"/>
        <v>1.4320793356559511</v>
      </c>
      <c r="AJ583" s="9">
        <f>(4*PI()*(AI583^2))/(Y583+E583)</f>
        <v>0.87707662924785923</v>
      </c>
      <c r="AK583" s="12">
        <f t="shared" si="96"/>
        <v>0.80758017492711365</v>
      </c>
      <c r="AL583" s="12" t="s">
        <v>140</v>
      </c>
      <c r="AM583" s="12" t="s">
        <v>143</v>
      </c>
      <c r="AN583" s="16">
        <v>5.2981999999999996</v>
      </c>
      <c r="AO583" s="16">
        <v>0.60621999999999998</v>
      </c>
      <c r="AP583" s="16">
        <v>12261</v>
      </c>
      <c r="AQ583" s="16">
        <v>12615</v>
      </c>
      <c r="AR583" s="16">
        <v>2.5564</v>
      </c>
      <c r="AS583" s="16">
        <v>9.9850000000000008E-3</v>
      </c>
      <c r="AT583" s="16">
        <v>0.75061999999999995</v>
      </c>
      <c r="AU583" s="16">
        <v>0.76924000000000003</v>
      </c>
      <c r="AV583" s="16">
        <v>3.8008E-2</v>
      </c>
      <c r="AW583" s="16">
        <v>6.352E-3</v>
      </c>
      <c r="AX583" s="16">
        <v>0.16488</v>
      </c>
      <c r="AY583" s="16">
        <v>1.5383</v>
      </c>
      <c r="AZ583" s="16">
        <v>264.38</v>
      </c>
      <c r="BA583" s="16">
        <v>3.1973000000000001E-2</v>
      </c>
      <c r="BB583" s="16">
        <v>16.215</v>
      </c>
      <c r="BC583" s="16" t="s">
        <v>162</v>
      </c>
      <c r="BD583" s="34" t="s">
        <v>163</v>
      </c>
      <c r="BE583" t="s">
        <v>168</v>
      </c>
    </row>
    <row r="584" spans="1:57" x14ac:dyDescent="0.25">
      <c r="A584" s="18" t="s">
        <v>654</v>
      </c>
      <c r="B584" s="18" t="s">
        <v>26</v>
      </c>
      <c r="C584" s="18" t="s">
        <v>6</v>
      </c>
      <c r="D584" s="18">
        <v>51</v>
      </c>
      <c r="E584" s="18">
        <v>5.43975879639006</v>
      </c>
      <c r="F584" s="18">
        <v>8.5625</v>
      </c>
      <c r="G584" s="15">
        <v>2.95</v>
      </c>
      <c r="H584" s="15">
        <v>2.1</v>
      </c>
      <c r="I584" s="15">
        <v>2.2400000000000002</v>
      </c>
      <c r="J584" s="15">
        <v>27.99</v>
      </c>
      <c r="K584" s="15">
        <v>34.42</v>
      </c>
      <c r="L584" s="15">
        <v>60.9</v>
      </c>
      <c r="M584" s="15">
        <v>2.8</v>
      </c>
      <c r="N584" s="15">
        <v>2</v>
      </c>
      <c r="O584" s="15">
        <f>2*2.09</f>
        <v>4.18</v>
      </c>
      <c r="P584" s="9">
        <v>0.81291999999999998</v>
      </c>
      <c r="Q584" s="9">
        <v>1.15232</v>
      </c>
      <c r="R584" s="9">
        <v>0.4</v>
      </c>
      <c r="S584" s="9">
        <v>5.2225399999999998E-2</v>
      </c>
      <c r="T584" s="9">
        <v>6.2554600000000002E-2</v>
      </c>
      <c r="U584" s="9">
        <v>2.6098200000000001E-3</v>
      </c>
      <c r="V584" s="9">
        <v>2.95167</v>
      </c>
      <c r="W584" s="9">
        <v>2.5615100000000002</v>
      </c>
      <c r="X584" s="9">
        <v>2.0823</v>
      </c>
      <c r="Y584" s="9">
        <v>15.1174</v>
      </c>
      <c r="Z584" s="9">
        <v>7.0945499999999999</v>
      </c>
      <c r="AA584" s="9">
        <f t="shared" si="97"/>
        <v>1.1435312499999999</v>
      </c>
      <c r="AB584" s="9">
        <f t="shared" si="98"/>
        <v>1.3169642857142856</v>
      </c>
      <c r="AC584" s="9">
        <f t="shared" si="99"/>
        <v>0.9375</v>
      </c>
      <c r="AD584" s="9">
        <f t="shared" si="100"/>
        <v>2.7790570438586779</v>
      </c>
      <c r="AE584" s="9">
        <f t="shared" si="101"/>
        <v>1.3042030475152859</v>
      </c>
      <c r="AF584" s="9">
        <f t="shared" si="102"/>
        <v>4.0944339403993153</v>
      </c>
      <c r="AG584" s="9">
        <f t="shared" si="94"/>
        <v>1.3158757552847435</v>
      </c>
      <c r="AH584" s="9">
        <f t="shared" si="93"/>
        <v>0.96559313421067927</v>
      </c>
      <c r="AI584" s="9">
        <f t="shared" si="95"/>
        <v>1.1920068418702781</v>
      </c>
      <c r="AJ584" s="9">
        <f>(4*PI()*(AI584^2))/(Y584+E584)</f>
        <v>0.8685688895214051</v>
      </c>
      <c r="AK584" s="12">
        <f t="shared" si="96"/>
        <v>0.53588516746411496</v>
      </c>
      <c r="AL584" s="12" t="s">
        <v>144</v>
      </c>
      <c r="AM584" s="12" t="s">
        <v>142</v>
      </c>
      <c r="AN584" s="18">
        <v>7.2221389623852001</v>
      </c>
      <c r="AO584" s="18">
        <v>0.78220727490922204</v>
      </c>
      <c r="AP584" s="18">
        <v>13053.0670661446</v>
      </c>
      <c r="AQ584" s="18">
        <v>14397.437658209101</v>
      </c>
      <c r="AR584" s="18">
        <v>3.2106962391178899</v>
      </c>
      <c r="AS584" s="18">
        <v>5.8600295474049704E-3</v>
      </c>
      <c r="AT584" s="18">
        <v>0.76278593352665502</v>
      </c>
      <c r="AU584" s="18">
        <v>0.42266116710796098</v>
      </c>
      <c r="AV584" s="18">
        <v>0</v>
      </c>
      <c r="AW584" s="18">
        <v>5.1895458715201896E-3</v>
      </c>
      <c r="AX584" s="18">
        <v>0.24634738072034201</v>
      </c>
      <c r="AY584" s="18">
        <v>3.0078500684564702</v>
      </c>
      <c r="AZ584" s="18">
        <v>836.97408083289804</v>
      </c>
      <c r="BA584" s="18">
        <v>1.78174231065725E-2</v>
      </c>
      <c r="BB584" s="18">
        <v>15.4023914473318</v>
      </c>
      <c r="BC584" s="18" t="s">
        <v>162</v>
      </c>
      <c r="BD584" s="35" t="s">
        <v>163</v>
      </c>
      <c r="BE584" t="s">
        <v>167</v>
      </c>
    </row>
    <row r="585" spans="1:57" x14ac:dyDescent="0.25">
      <c r="A585" s="18" t="s">
        <v>655</v>
      </c>
      <c r="B585" s="18" t="s">
        <v>5</v>
      </c>
      <c r="C585" s="18" t="s">
        <v>14</v>
      </c>
      <c r="D585" s="18">
        <v>35</v>
      </c>
      <c r="E585" s="18">
        <v>11.408911267051</v>
      </c>
      <c r="F585" s="18">
        <v>12.227</v>
      </c>
      <c r="G585" s="15">
        <v>6.32</v>
      </c>
      <c r="H585" s="15">
        <v>4.32</v>
      </c>
      <c r="I585" s="15">
        <v>3.55</v>
      </c>
      <c r="J585" s="15">
        <v>51.98</v>
      </c>
      <c r="K585" s="15">
        <v>35.03</v>
      </c>
      <c r="L585" s="15">
        <v>60.36</v>
      </c>
      <c r="M585" s="15">
        <v>4.9000000000000004</v>
      </c>
      <c r="N585" s="15">
        <v>2</v>
      </c>
      <c r="O585" s="15">
        <f>1.82+3.07</f>
        <v>4.8899999999999997</v>
      </c>
      <c r="P585" s="9">
        <v>1.1718200000000001</v>
      </c>
      <c r="Q585" s="9">
        <v>1.38907</v>
      </c>
      <c r="R585" s="9">
        <v>0.135294</v>
      </c>
      <c r="S585" s="9">
        <v>0.13645599999999999</v>
      </c>
      <c r="T585" s="9">
        <v>0.14349700000000001</v>
      </c>
      <c r="U585" s="9">
        <v>1.8461399999999999E-2</v>
      </c>
      <c r="V585" s="9">
        <v>5.1416500000000003</v>
      </c>
      <c r="W585" s="9">
        <v>3.7015099999999999</v>
      </c>
      <c r="X585" s="9">
        <v>4.3375199999999996</v>
      </c>
      <c r="Y585" s="9">
        <v>63.829799999999999</v>
      </c>
      <c r="Z585" s="9">
        <v>53.754800000000003</v>
      </c>
      <c r="AA585" s="9">
        <f t="shared" si="97"/>
        <v>1.0426788732394365</v>
      </c>
      <c r="AB585" s="9">
        <f t="shared" si="98"/>
        <v>1.7802816901408451</v>
      </c>
      <c r="AC585" s="9">
        <f t="shared" si="99"/>
        <v>1.2169014084507044</v>
      </c>
      <c r="AD585" s="9">
        <f t="shared" si="100"/>
        <v>5.594731916650173</v>
      </c>
      <c r="AE585" s="9">
        <f t="shared" si="101"/>
        <v>4.7116502829892424</v>
      </c>
      <c r="AF585" s="9">
        <f t="shared" si="102"/>
        <v>4.4813821854268578</v>
      </c>
      <c r="AG585" s="9">
        <f t="shared" si="94"/>
        <v>1.9056676643360382</v>
      </c>
      <c r="AH585" s="9">
        <f t="shared" si="93"/>
        <v>0.97928053234018431</v>
      </c>
      <c r="AI585" s="9">
        <f t="shared" si="95"/>
        <v>2.341223530536277</v>
      </c>
      <c r="AJ585" s="9">
        <f>(4*PI()*(AI585^2))/(Y585+E585)</f>
        <v>0.91549141619884444</v>
      </c>
      <c r="AK585" s="12">
        <f t="shared" si="96"/>
        <v>0.72597137014314927</v>
      </c>
      <c r="AL585" s="12" t="s">
        <v>144</v>
      </c>
      <c r="AM585" s="12" t="s">
        <v>142</v>
      </c>
      <c r="AN585" s="18">
        <v>3.0204696824422901</v>
      </c>
      <c r="AO585" s="18">
        <v>0.32898771899564699</v>
      </c>
      <c r="AP585" s="18">
        <v>5852.4936592481199</v>
      </c>
      <c r="AQ585" s="18">
        <v>5201.83888653964</v>
      </c>
      <c r="AR585" s="18">
        <v>1.50539412246121</v>
      </c>
      <c r="AS585" s="18">
        <v>8.6201141041209198E-2</v>
      </c>
      <c r="AT585" s="18">
        <v>0.54746913333532798</v>
      </c>
      <c r="AU585" s="18">
        <v>9.50718964674153</v>
      </c>
      <c r="AV585" s="18">
        <v>0.62505901775932704</v>
      </c>
      <c r="AW585" s="18">
        <v>5.8068667182009599E-2</v>
      </c>
      <c r="AX585" s="18">
        <v>0.120674060747807</v>
      </c>
      <c r="AY585" s="18">
        <v>1.30231118586391</v>
      </c>
      <c r="AZ585" s="18">
        <v>-386.13076758696201</v>
      </c>
      <c r="BA585" s="18">
        <v>3.6769856958468197E-2</v>
      </c>
      <c r="BB585" s="18">
        <v>6.4262622147903503</v>
      </c>
      <c r="BC585" s="18" t="s">
        <v>162</v>
      </c>
      <c r="BD585" s="35" t="s">
        <v>165</v>
      </c>
      <c r="BE585" t="s">
        <v>168</v>
      </c>
    </row>
    <row r="586" spans="1:57" x14ac:dyDescent="0.25">
      <c r="A586" s="16" t="s">
        <v>656</v>
      </c>
      <c r="B586" s="16" t="s">
        <v>5</v>
      </c>
      <c r="C586" s="16" t="s">
        <v>6</v>
      </c>
      <c r="D586" s="16">
        <v>82</v>
      </c>
      <c r="E586" s="16">
        <v>12.701000000000001</v>
      </c>
      <c r="F586" s="16">
        <v>13.045999999999999</v>
      </c>
      <c r="G586" s="15">
        <v>6.89</v>
      </c>
      <c r="H586" s="15">
        <v>6.1</v>
      </c>
      <c r="I586" s="15">
        <v>3.52</v>
      </c>
      <c r="J586" s="15">
        <v>80.22</v>
      </c>
      <c r="K586" s="15">
        <v>60.93</v>
      </c>
      <c r="L586" s="15">
        <v>34.340000000000003</v>
      </c>
      <c r="M586" s="15">
        <v>5</v>
      </c>
      <c r="N586" s="15">
        <v>2</v>
      </c>
      <c r="O586" s="15">
        <f>3.05+1.89</f>
        <v>4.9399999999999995</v>
      </c>
      <c r="P586" s="9">
        <v>1.55759</v>
      </c>
      <c r="Q586" s="9">
        <v>1.39592</v>
      </c>
      <c r="R586" s="9">
        <v>0.183333</v>
      </c>
      <c r="S586" s="9">
        <v>0.153665</v>
      </c>
      <c r="T586" s="9">
        <v>0.169542</v>
      </c>
      <c r="U586" s="9">
        <v>4.9133499999999997E-2</v>
      </c>
      <c r="V586" s="9">
        <v>5.4324899999999996</v>
      </c>
      <c r="W586" s="9">
        <v>3.8916900000000001</v>
      </c>
      <c r="X586" s="9">
        <v>6.0616599999999998</v>
      </c>
      <c r="Y586" s="9">
        <v>72.267700000000005</v>
      </c>
      <c r="Z586" s="9">
        <v>61.827500000000001</v>
      </c>
      <c r="AA586" s="9">
        <f t="shared" si="97"/>
        <v>1.1055937499999999</v>
      </c>
      <c r="AB586" s="9">
        <f t="shared" si="98"/>
        <v>1.9573863636363635</v>
      </c>
      <c r="AC586" s="9">
        <f t="shared" si="99"/>
        <v>1.7329545454545454</v>
      </c>
      <c r="AD586" s="9">
        <f t="shared" si="100"/>
        <v>5.6899220533816237</v>
      </c>
      <c r="AE586" s="9">
        <f t="shared" si="101"/>
        <v>4.8679237855286983</v>
      </c>
      <c r="AF586" s="9">
        <f t="shared" si="102"/>
        <v>4.6219272886466918</v>
      </c>
      <c r="AG586" s="9">
        <f t="shared" si="94"/>
        <v>2.0106849242037712</v>
      </c>
      <c r="AH586" s="9">
        <f t="shared" si="93"/>
        <v>0.96838157083586041</v>
      </c>
      <c r="AI586" s="9">
        <f t="shared" si="95"/>
        <v>2.4530008137225727</v>
      </c>
      <c r="AJ586" s="9">
        <f>(4*PI()*(AI586^2))/(Y586+E586)</f>
        <v>0.88991038493659758</v>
      </c>
      <c r="AK586" s="12">
        <f t="shared" si="96"/>
        <v>0.71255060728744946</v>
      </c>
      <c r="AL586" s="12" t="s">
        <v>140</v>
      </c>
      <c r="AM586" s="12" t="s">
        <v>142</v>
      </c>
      <c r="AN586" s="16">
        <v>9.4969000000000001</v>
      </c>
      <c r="AO586" s="16">
        <v>0.86702000000000001</v>
      </c>
      <c r="AP586" s="16">
        <v>11479</v>
      </c>
      <c r="AQ586" s="16">
        <v>11906</v>
      </c>
      <c r="AR586" s="16">
        <v>5.0027999999999997</v>
      </c>
      <c r="AS586" s="16">
        <v>9.9279999999999993E-3</v>
      </c>
      <c r="AT586" s="16">
        <v>0.73565000000000003</v>
      </c>
      <c r="AU586" s="16">
        <v>0.44872000000000001</v>
      </c>
      <c r="AV586" s="16">
        <v>6.2050000000000001E-2</v>
      </c>
      <c r="AW586" s="16">
        <v>3.532E-3</v>
      </c>
      <c r="AX586" s="16">
        <v>0.3448</v>
      </c>
      <c r="AY586" s="16">
        <v>2.5222000000000002</v>
      </c>
      <c r="AZ586" s="16">
        <v>1278.0999999999999</v>
      </c>
      <c r="BA586" s="16">
        <v>3.4280999999999999E-2</v>
      </c>
      <c r="BB586" s="16">
        <v>5.4821</v>
      </c>
      <c r="BC586" s="16" t="s">
        <v>162</v>
      </c>
      <c r="BD586" s="34" t="s">
        <v>163</v>
      </c>
      <c r="BE586" t="s">
        <v>168</v>
      </c>
    </row>
    <row r="587" spans="1:57" x14ac:dyDescent="0.25">
      <c r="A587" s="18" t="s">
        <v>657</v>
      </c>
      <c r="B587" s="18" t="s">
        <v>5</v>
      </c>
      <c r="C587" s="18" t="s">
        <v>14</v>
      </c>
      <c r="D587" s="18">
        <v>60</v>
      </c>
      <c r="E587" s="18">
        <v>11.589</v>
      </c>
      <c r="F587" s="18">
        <v>12.282</v>
      </c>
      <c r="G587" s="15">
        <v>6.71</v>
      </c>
      <c r="H587" s="15">
        <v>6.28</v>
      </c>
      <c r="I587" s="15">
        <v>3.22</v>
      </c>
      <c r="J587" s="15">
        <v>45.54</v>
      </c>
      <c r="K587" s="15">
        <v>67.17</v>
      </c>
      <c r="L587" s="15">
        <v>45.66</v>
      </c>
      <c r="M587" s="15">
        <v>3.85</v>
      </c>
      <c r="N587" s="15">
        <v>2</v>
      </c>
      <c r="O587" s="15">
        <f>2.67+3.37</f>
        <v>6.04</v>
      </c>
      <c r="P587" s="9">
        <v>1.65272</v>
      </c>
      <c r="Q587" s="9">
        <v>1.04298</v>
      </c>
      <c r="R587" s="9">
        <v>0.49193500000000001</v>
      </c>
      <c r="S587" s="9">
        <v>0.18445700000000001</v>
      </c>
      <c r="T587" s="9">
        <v>0.213727</v>
      </c>
      <c r="U587" s="9">
        <v>0.108975</v>
      </c>
      <c r="V587" s="9">
        <v>3.9647800000000002</v>
      </c>
      <c r="W587" s="9">
        <v>3.80138</v>
      </c>
      <c r="X587" s="9">
        <v>6.2826199999999996</v>
      </c>
      <c r="Y587" s="9">
        <v>59.988300000000002</v>
      </c>
      <c r="Z587" s="9">
        <v>43.077300000000001</v>
      </c>
      <c r="AA587" s="9">
        <f t="shared" si="97"/>
        <v>1.1805527950310559</v>
      </c>
      <c r="AB587" s="9">
        <f t="shared" si="98"/>
        <v>2.0838509316770186</v>
      </c>
      <c r="AC587" s="9">
        <f t="shared" si="99"/>
        <v>1.9503105590062111</v>
      </c>
      <c r="AD587" s="9">
        <f t="shared" si="100"/>
        <v>5.1763137457934247</v>
      </c>
      <c r="AE587" s="9">
        <f t="shared" si="101"/>
        <v>3.7170851669686771</v>
      </c>
      <c r="AF587" s="9">
        <f t="shared" si="102"/>
        <v>4.8816604870140967</v>
      </c>
      <c r="AG587" s="9">
        <f t="shared" si="94"/>
        <v>1.9206491795702698</v>
      </c>
      <c r="AH587" s="9">
        <f t="shared" si="93"/>
        <v>0.98255941258121204</v>
      </c>
      <c r="AI587" s="9">
        <f t="shared" si="95"/>
        <v>2.174636243043615</v>
      </c>
      <c r="AJ587" s="9">
        <f>(4*PI()*(AI587^2))/(Y587+E587)</f>
        <v>0.83024791861050118</v>
      </c>
      <c r="AK587" s="12">
        <f t="shared" si="96"/>
        <v>0.53311258278145701</v>
      </c>
      <c r="AL587" s="12" t="s">
        <v>140</v>
      </c>
      <c r="AM587" s="12" t="s">
        <v>142</v>
      </c>
      <c r="AN587" s="18">
        <v>11.231999999999999</v>
      </c>
      <c r="AO587" s="18">
        <v>0.84433999999999998</v>
      </c>
      <c r="AP587" s="18">
        <v>14762</v>
      </c>
      <c r="AQ587" s="18">
        <v>14873</v>
      </c>
      <c r="AR587" s="18">
        <v>5.5259</v>
      </c>
      <c r="AS587" s="18">
        <v>5.9245000000000001E-3</v>
      </c>
      <c r="AT587" s="18">
        <v>0.75217000000000001</v>
      </c>
      <c r="AU587" s="18">
        <v>0.37322</v>
      </c>
      <c r="AV587" s="18">
        <v>2.0969999999999999E-2</v>
      </c>
      <c r="AW587" s="18">
        <v>3.5766000000000001E-3</v>
      </c>
      <c r="AX587" s="18">
        <v>0.39201999999999998</v>
      </c>
      <c r="AY587" s="18">
        <v>2.2164999999999999</v>
      </c>
      <c r="AZ587" s="18">
        <v>260.76</v>
      </c>
      <c r="BA587" s="18">
        <v>2.1010000000000001E-2</v>
      </c>
      <c r="BB587" s="18">
        <v>4.5016999999999996</v>
      </c>
      <c r="BC587" s="18" t="s">
        <v>162</v>
      </c>
      <c r="BD587" s="35" t="s">
        <v>165</v>
      </c>
      <c r="BE587" t="s">
        <v>168</v>
      </c>
    </row>
    <row r="588" spans="1:57" x14ac:dyDescent="0.25">
      <c r="A588" s="16" t="s">
        <v>658</v>
      </c>
      <c r="B588" s="16" t="s">
        <v>5</v>
      </c>
      <c r="C588" s="16" t="s">
        <v>6</v>
      </c>
      <c r="D588" s="16">
        <v>55</v>
      </c>
      <c r="E588" s="16">
        <v>16.16</v>
      </c>
      <c r="F588" s="16">
        <v>14.712999999999999</v>
      </c>
      <c r="G588" s="15">
        <v>12.47</v>
      </c>
      <c r="H588" s="15">
        <v>8.5</v>
      </c>
      <c r="I588" s="15">
        <v>4.24</v>
      </c>
      <c r="J588" s="15">
        <v>20.73</v>
      </c>
      <c r="K588" s="15">
        <v>31.42</v>
      </c>
      <c r="L588" s="15">
        <v>12.76</v>
      </c>
      <c r="M588" s="15">
        <v>10.1</v>
      </c>
      <c r="N588" s="15">
        <v>2</v>
      </c>
      <c r="O588" s="15">
        <f>4.15+0.84</f>
        <v>4.99</v>
      </c>
      <c r="P588" s="9">
        <v>1.9705999999999999</v>
      </c>
      <c r="Q588" s="9">
        <v>2.25861</v>
      </c>
      <c r="R588" s="9">
        <v>7.7380900000000002E-2</v>
      </c>
      <c r="S588" s="9">
        <v>0.21738199999999999</v>
      </c>
      <c r="T588" s="9">
        <v>0.24799299999999999</v>
      </c>
      <c r="U588" s="9">
        <v>8.0642099999999994E-2</v>
      </c>
      <c r="V588" s="9">
        <v>9.7209099999999999</v>
      </c>
      <c r="W588" s="9">
        <v>4.3039300000000003</v>
      </c>
      <c r="X588" s="9">
        <v>8.4813500000000008</v>
      </c>
      <c r="Y588" s="9">
        <v>223.203</v>
      </c>
      <c r="Z588" s="9">
        <v>289.18299999999999</v>
      </c>
      <c r="AA588" s="9">
        <f t="shared" si="97"/>
        <v>1.0150778301886794</v>
      </c>
      <c r="AB588" s="9">
        <f t="shared" si="98"/>
        <v>2.9410377358490565</v>
      </c>
      <c r="AC588" s="9">
        <f t="shared" si="99"/>
        <v>2.0047169811320753</v>
      </c>
      <c r="AD588" s="9">
        <f t="shared" si="100"/>
        <v>13.812066831683168</v>
      </c>
      <c r="AE588" s="9">
        <f t="shared" si="101"/>
        <v>17.894987623762376</v>
      </c>
      <c r="AF588" s="9">
        <f t="shared" si="102"/>
        <v>5.1040884093418244</v>
      </c>
      <c r="AG588" s="9">
        <f t="shared" si="94"/>
        <v>2.2680140565547777</v>
      </c>
      <c r="AH588" s="9">
        <f t="shared" si="93"/>
        <v>0.968555195855485</v>
      </c>
      <c r="AI588" s="9">
        <f t="shared" si="95"/>
        <v>4.1023059774798316</v>
      </c>
      <c r="AJ588" s="9">
        <f>(4*PI()*(AI588^2))/(Y588+E588)</f>
        <v>0.88350486309122422</v>
      </c>
      <c r="AK588" s="12">
        <f t="shared" si="96"/>
        <v>0.84969939879759515</v>
      </c>
      <c r="AL588" s="12" t="s">
        <v>140</v>
      </c>
      <c r="AM588" s="12" t="s">
        <v>143</v>
      </c>
      <c r="AN588" s="16">
        <v>7.1135000000000002</v>
      </c>
      <c r="AO588" s="16">
        <v>0.66151000000000004</v>
      </c>
      <c r="AP588" s="16">
        <v>12812</v>
      </c>
      <c r="AQ588" s="16">
        <v>11082</v>
      </c>
      <c r="AR588" s="16">
        <v>3.6981000000000002</v>
      </c>
      <c r="AS588" s="16">
        <v>1.3965E-2</v>
      </c>
      <c r="AT588" s="16">
        <v>0.70170999999999994</v>
      </c>
      <c r="AU588" s="16">
        <v>0.47072999999999998</v>
      </c>
      <c r="AV588" s="16">
        <v>1.6767000000000001E-2</v>
      </c>
      <c r="AW588" s="16">
        <v>1.4886999999999999E-2</v>
      </c>
      <c r="AX588" s="16">
        <v>0.27703</v>
      </c>
      <c r="AY588" s="16">
        <v>2.4986000000000002</v>
      </c>
      <c r="AZ588" s="16">
        <v>4189.3</v>
      </c>
      <c r="BA588" s="16">
        <v>6.3364000000000004E-2</v>
      </c>
      <c r="BB588" s="16">
        <v>4.9154</v>
      </c>
      <c r="BC588" s="16" t="s">
        <v>164</v>
      </c>
      <c r="BD588" s="34" t="s">
        <v>165</v>
      </c>
      <c r="BE588" t="s">
        <v>168</v>
      </c>
    </row>
    <row r="589" spans="1:57" x14ac:dyDescent="0.25">
      <c r="A589" s="18" t="s">
        <v>659</v>
      </c>
      <c r="B589" s="18" t="s">
        <v>26</v>
      </c>
      <c r="C589" s="18" t="s">
        <v>6</v>
      </c>
      <c r="D589" s="18">
        <v>49</v>
      </c>
      <c r="E589" s="18">
        <v>7.6570639791975701</v>
      </c>
      <c r="F589" s="18">
        <v>9.9640000000000004</v>
      </c>
      <c r="G589" s="15">
        <v>3.94</v>
      </c>
      <c r="H589" s="15">
        <v>2.4</v>
      </c>
      <c r="I589" s="15">
        <v>2.38</v>
      </c>
      <c r="J589" s="15">
        <v>11.48</v>
      </c>
      <c r="K589" s="15">
        <v>31.86</v>
      </c>
      <c r="L589" s="15">
        <v>48.54</v>
      </c>
      <c r="M589" s="15">
        <v>3.7</v>
      </c>
      <c r="N589" s="15">
        <v>2</v>
      </c>
      <c r="O589" s="15">
        <f>1.83+1.52</f>
        <v>3.35</v>
      </c>
      <c r="P589" s="9">
        <v>0.790049</v>
      </c>
      <c r="Q589" s="9">
        <v>1.06707</v>
      </c>
      <c r="R589" s="9">
        <v>0.43617</v>
      </c>
      <c r="S589" s="9">
        <v>7.2179800000000002E-2</v>
      </c>
      <c r="T589" s="9">
        <v>7.7794500000000003E-2</v>
      </c>
      <c r="U589" s="9">
        <v>1.7274E-3</v>
      </c>
      <c r="V589" s="9">
        <v>3.2904100000000001</v>
      </c>
      <c r="W589" s="9">
        <v>3.0836100000000002</v>
      </c>
      <c r="X589" s="9">
        <v>2.4361999999999999</v>
      </c>
      <c r="Y589" s="9">
        <v>23.0228</v>
      </c>
      <c r="Z589" s="9">
        <v>13.0097</v>
      </c>
      <c r="AA589" s="9">
        <f t="shared" si="97"/>
        <v>1.2956344537815128</v>
      </c>
      <c r="AB589" s="9">
        <f t="shared" si="98"/>
        <v>1.6554621848739497</v>
      </c>
      <c r="AC589" s="9">
        <f t="shared" si="99"/>
        <v>1.0084033613445378</v>
      </c>
      <c r="AD589" s="9">
        <f t="shared" si="100"/>
        <v>3.0067399283259872</v>
      </c>
      <c r="AE589" s="9">
        <f t="shared" si="101"/>
        <v>1.6990454873231144</v>
      </c>
      <c r="AF589" s="9">
        <f t="shared" si="102"/>
        <v>4.1621074333125279</v>
      </c>
      <c r="AG589" s="9">
        <f t="shared" si="94"/>
        <v>1.5611915845662192</v>
      </c>
      <c r="AH589" s="9">
        <f t="shared" si="93"/>
        <v>0.98446969348041791</v>
      </c>
      <c r="AI589" s="9">
        <f t="shared" si="95"/>
        <v>1.4590143304414134</v>
      </c>
      <c r="AJ589" s="9">
        <f>(4*PI()*(AI589^2))/(Y589+E589)</f>
        <v>0.87191781113119204</v>
      </c>
      <c r="AK589" s="12">
        <f t="shared" si="96"/>
        <v>0.71044776119402975</v>
      </c>
      <c r="AL589" s="12" t="s">
        <v>144</v>
      </c>
      <c r="AM589" s="12" t="s">
        <v>142</v>
      </c>
      <c r="AN589" s="18">
        <v>3.4408055285369099</v>
      </c>
      <c r="AO589" s="18">
        <v>0.35952455625575902</v>
      </c>
      <c r="AP589" s="18">
        <v>808.01453274839696</v>
      </c>
      <c r="AQ589" s="18">
        <v>827.02791650325901</v>
      </c>
      <c r="AR589" s="18">
        <v>1.6846922054012201</v>
      </c>
      <c r="AS589" s="18">
        <v>6.3304342293322097E-3</v>
      </c>
      <c r="AT589" s="18">
        <v>0.75456632604559204</v>
      </c>
      <c r="AU589" s="18">
        <v>0.80704112948671802</v>
      </c>
      <c r="AV589" s="18">
        <v>2.0815540844898901E-2</v>
      </c>
      <c r="AW589" s="18">
        <v>7.5223990867897403E-3</v>
      </c>
      <c r="AX589" s="18">
        <v>0.167472490035635</v>
      </c>
      <c r="AY589" s="18">
        <v>-20.3688185157005</v>
      </c>
      <c r="AZ589" s="18">
        <v>-2124.8527623948999</v>
      </c>
      <c r="BA589" s="18">
        <v>4.8958872275457498E-2</v>
      </c>
      <c r="BB589" s="18">
        <v>29.5783141807965</v>
      </c>
      <c r="BC589" s="18" t="s">
        <v>164</v>
      </c>
      <c r="BD589" s="35" t="s">
        <v>165</v>
      </c>
      <c r="BE589" t="s">
        <v>167</v>
      </c>
    </row>
    <row r="590" spans="1:57" x14ac:dyDescent="0.25">
      <c r="A590" s="18" t="s">
        <v>660</v>
      </c>
      <c r="B590" s="18" t="s">
        <v>5</v>
      </c>
      <c r="C590" s="18" t="s">
        <v>6</v>
      </c>
      <c r="D590" s="18">
        <v>49</v>
      </c>
      <c r="E590" s="18">
        <v>9.4308931770092101</v>
      </c>
      <c r="F590" s="18">
        <v>11.516999999999999</v>
      </c>
      <c r="G590" s="15">
        <v>4.5</v>
      </c>
      <c r="H590" s="15">
        <v>2.1</v>
      </c>
      <c r="I590" s="15">
        <v>3.77</v>
      </c>
      <c r="J590" s="15">
        <v>76.81</v>
      </c>
      <c r="K590" s="15">
        <v>19.420000000000002</v>
      </c>
      <c r="L590" s="15">
        <v>10.41</v>
      </c>
      <c r="M590" s="15">
        <v>4.0999999999999996</v>
      </c>
      <c r="N590" s="15">
        <v>2</v>
      </c>
      <c r="O590" s="15">
        <f>0.94+4.25</f>
        <v>5.1899999999999995</v>
      </c>
      <c r="P590" s="9">
        <v>0.62388399999999999</v>
      </c>
      <c r="Q590" s="9">
        <v>1.1717200000000001</v>
      </c>
      <c r="R590" s="9">
        <v>0.47560999999999998</v>
      </c>
      <c r="S590" s="9">
        <v>9.9108299999999996E-2</v>
      </c>
      <c r="T590" s="9">
        <v>0.120172</v>
      </c>
      <c r="U590" s="9">
        <v>5.6200300000000002E-2</v>
      </c>
      <c r="V590" s="9">
        <v>3.9750200000000002</v>
      </c>
      <c r="W590" s="9">
        <v>3.3924599999999998</v>
      </c>
      <c r="X590" s="9">
        <v>2.1164999999999998</v>
      </c>
      <c r="Y590" s="9">
        <v>21.7742</v>
      </c>
      <c r="Z590" s="9">
        <v>11.150600000000001</v>
      </c>
      <c r="AA590" s="9">
        <f t="shared" si="97"/>
        <v>0.89985676392572944</v>
      </c>
      <c r="AB590" s="9">
        <f t="shared" si="98"/>
        <v>1.193633952254642</v>
      </c>
      <c r="AC590" s="9">
        <f t="shared" si="99"/>
        <v>0.55702917771883287</v>
      </c>
      <c r="AD590" s="9">
        <f t="shared" si="100"/>
        <v>2.3088163115961815</v>
      </c>
      <c r="AE590" s="9">
        <f t="shared" si="101"/>
        <v>1.1823482453584695</v>
      </c>
      <c r="AF590" s="9">
        <f t="shared" si="102"/>
        <v>4.3625797897352774</v>
      </c>
      <c r="AG590" s="9">
        <f t="shared" si="94"/>
        <v>1.732612632351874</v>
      </c>
      <c r="AH590" s="9">
        <f t="shared" si="93"/>
        <v>0.94523975294148144</v>
      </c>
      <c r="AI590" s="9">
        <f t="shared" si="95"/>
        <v>1.385914831767959</v>
      </c>
      <c r="AJ590" s="9">
        <f>(4*PI()*(AI590^2))/(Y590+E590)</f>
        <v>0.77349491925891611</v>
      </c>
      <c r="AK590" s="12">
        <f t="shared" si="96"/>
        <v>0.7263969171483623</v>
      </c>
      <c r="AL590" s="12" t="s">
        <v>144</v>
      </c>
      <c r="AM590" s="12" t="s">
        <v>143</v>
      </c>
      <c r="AN590" s="18">
        <v>15.0713837515877</v>
      </c>
      <c r="AO590" s="18">
        <v>1.3517990326326399</v>
      </c>
      <c r="AP590" s="18">
        <v>29689.219223710101</v>
      </c>
      <c r="AQ590" s="18">
        <v>28278.256020345201</v>
      </c>
      <c r="AR590" s="18">
        <v>7.6304276250946801</v>
      </c>
      <c r="AS590" s="18">
        <v>1.33731104539563E-2</v>
      </c>
      <c r="AT590" s="18">
        <v>0.71157408484051199</v>
      </c>
      <c r="AU590" s="18">
        <v>0.260310966647395</v>
      </c>
      <c r="AV590" s="18">
        <v>7.7265517145786002E-3</v>
      </c>
      <c r="AW590" s="18">
        <v>5.1184844608015301E-3</v>
      </c>
      <c r="AX590" s="18">
        <v>0.47959960276659602</v>
      </c>
      <c r="AY590" s="18">
        <v>2.2650010416694002</v>
      </c>
      <c r="AZ590" s="18">
        <v>567.01215833205799</v>
      </c>
      <c r="BA590" s="18">
        <v>1.1793856970829899E-2</v>
      </c>
      <c r="BB590" s="18">
        <v>9.6201270787229003</v>
      </c>
      <c r="BC590" s="18" t="s">
        <v>162</v>
      </c>
      <c r="BD590" s="35" t="s">
        <v>163</v>
      </c>
      <c r="BE590" t="s">
        <v>167</v>
      </c>
    </row>
    <row r="591" spans="1:57" x14ac:dyDescent="0.25">
      <c r="A591" s="18" t="s">
        <v>661</v>
      </c>
      <c r="B591" s="18" t="s">
        <v>26</v>
      </c>
      <c r="C591" s="18" t="s">
        <v>6</v>
      </c>
      <c r="D591" s="18">
        <v>45</v>
      </c>
      <c r="E591" s="18">
        <v>10.0064234676348</v>
      </c>
      <c r="F591" s="18">
        <v>11.577</v>
      </c>
      <c r="G591" s="15">
        <v>4.3</v>
      </c>
      <c r="H591" s="15">
        <v>3.2</v>
      </c>
      <c r="I591" s="15">
        <v>2.64</v>
      </c>
      <c r="J591" s="15">
        <v>25.91</v>
      </c>
      <c r="K591" s="15">
        <v>44.41</v>
      </c>
      <c r="L591" s="15">
        <v>72.03</v>
      </c>
      <c r="M591" s="15">
        <v>3.45</v>
      </c>
      <c r="N591" s="15">
        <v>2</v>
      </c>
      <c r="O591" s="15">
        <f>2.5+1.49</f>
        <v>3.99</v>
      </c>
      <c r="P591" s="9">
        <v>0.91628100000000001</v>
      </c>
      <c r="Q591" s="9">
        <v>1.1405400000000001</v>
      </c>
      <c r="R591" s="9">
        <v>0.483871</v>
      </c>
      <c r="S591" s="9">
        <v>8.7386000000000005E-2</v>
      </c>
      <c r="T591" s="9">
        <v>0.103382</v>
      </c>
      <c r="U591" s="9">
        <v>3.5518099999999997E-2</v>
      </c>
      <c r="V591" s="9">
        <v>3.97112</v>
      </c>
      <c r="W591" s="9">
        <v>3.4817999999999998</v>
      </c>
      <c r="X591" s="9">
        <v>3.1903100000000002</v>
      </c>
      <c r="Y591" s="9">
        <v>27.956800000000001</v>
      </c>
      <c r="Z591" s="9">
        <v>16.689</v>
      </c>
      <c r="AA591" s="9">
        <f t="shared" si="97"/>
        <v>1.3188636363636361</v>
      </c>
      <c r="AB591" s="9">
        <f t="shared" si="98"/>
        <v>1.6287878787878787</v>
      </c>
      <c r="AC591" s="9">
        <f t="shared" si="99"/>
        <v>1.2121212121212122</v>
      </c>
      <c r="AD591" s="9">
        <f t="shared" si="100"/>
        <v>2.793885356783536</v>
      </c>
      <c r="AE591" s="9">
        <f t="shared" si="101"/>
        <v>1.6678286756481582</v>
      </c>
      <c r="AF591" s="9">
        <f t="shared" si="102"/>
        <v>4.2808885010902733</v>
      </c>
      <c r="AG591" s="9">
        <f t="shared" si="94"/>
        <v>1.7846970373398521</v>
      </c>
      <c r="AH591" s="9">
        <f t="shared" si="93"/>
        <v>0.9686086380565514</v>
      </c>
      <c r="AI591" s="9">
        <f t="shared" si="95"/>
        <v>1.5853089146208623</v>
      </c>
      <c r="AJ591" s="9">
        <f>(4*PI()*(AI591^2))/(Y591+E591)</f>
        <v>0.83190663139198884</v>
      </c>
      <c r="AK591" s="12">
        <f t="shared" si="96"/>
        <v>0.66165413533834583</v>
      </c>
      <c r="AL591" s="12" t="s">
        <v>144</v>
      </c>
      <c r="AM591" s="12" t="s">
        <v>142</v>
      </c>
      <c r="AN591" s="18">
        <v>4.8726987711397101</v>
      </c>
      <c r="AO591" s="18">
        <v>0.66252379126212102</v>
      </c>
      <c r="AP591" s="18">
        <v>6996.7682376202001</v>
      </c>
      <c r="AQ591" s="18">
        <v>6440.1333053377102</v>
      </c>
      <c r="AR591" s="18">
        <v>2.3870581044921901</v>
      </c>
      <c r="AS591" s="18">
        <v>5.5004362961875598E-3</v>
      </c>
      <c r="AT591" s="18">
        <v>0.76112668647966197</v>
      </c>
      <c r="AU591" s="18">
        <v>0.83324607316479204</v>
      </c>
      <c r="AV591" s="18">
        <v>3.9022303250809999E-2</v>
      </c>
      <c r="AW591" s="18">
        <v>4.5909229480432003E-3</v>
      </c>
      <c r="AX591" s="18">
        <v>0.16253891031621601</v>
      </c>
      <c r="AY591" s="18">
        <v>-26.0623626882971</v>
      </c>
      <c r="AZ591" s="18">
        <v>-1478.0399453494799</v>
      </c>
      <c r="BA591" s="18">
        <v>5.8351110960310003E-2</v>
      </c>
      <c r="BB591" s="18">
        <v>50.081357539794098</v>
      </c>
      <c r="BC591" s="18" t="s">
        <v>164</v>
      </c>
      <c r="BD591" s="35" t="s">
        <v>165</v>
      </c>
      <c r="BE591" t="s">
        <v>168</v>
      </c>
    </row>
    <row r="592" spans="1:57" x14ac:dyDescent="0.25">
      <c r="A592" s="18" t="s">
        <v>662</v>
      </c>
      <c r="B592" s="18" t="s">
        <v>26</v>
      </c>
      <c r="C592" s="18" t="s">
        <v>6</v>
      </c>
      <c r="D592" s="18">
        <v>65</v>
      </c>
      <c r="E592" s="18">
        <v>17.786999999999999</v>
      </c>
      <c r="F592" s="18">
        <v>15.789</v>
      </c>
      <c r="G592" s="15">
        <v>5.19</v>
      </c>
      <c r="H592" s="15">
        <v>1.6</v>
      </c>
      <c r="I592" s="15">
        <v>2.72</v>
      </c>
      <c r="J592" s="15">
        <v>89.67</v>
      </c>
      <c r="K592" s="15">
        <v>0</v>
      </c>
      <c r="L592" s="15">
        <v>84.45</v>
      </c>
      <c r="M592" s="15">
        <v>5.19</v>
      </c>
      <c r="N592" s="15">
        <v>2</v>
      </c>
      <c r="O592" s="15">
        <f>2.34+1.87</f>
        <v>4.21</v>
      </c>
      <c r="P592" s="9">
        <v>0.35372900000000002</v>
      </c>
      <c r="Q592" s="9">
        <v>1.1375999999999999</v>
      </c>
      <c r="R592" s="9">
        <v>0.46774199999999999</v>
      </c>
      <c r="S592" s="9">
        <v>6.9462800000000005E-2</v>
      </c>
      <c r="T592" s="9">
        <v>8.2041100000000006E-2</v>
      </c>
      <c r="U592" s="9">
        <v>3.0170700000000002E-2</v>
      </c>
      <c r="V592" s="9">
        <v>5.1877500000000003</v>
      </c>
      <c r="W592" s="9">
        <v>4.5602400000000003</v>
      </c>
      <c r="X592" s="9">
        <v>1.6130899999999999</v>
      </c>
      <c r="Y592" s="9">
        <v>27.410299999999999</v>
      </c>
      <c r="Z592" s="9">
        <v>16.783999999999999</v>
      </c>
      <c r="AA592" s="9">
        <f t="shared" si="97"/>
        <v>1.6765588235294118</v>
      </c>
      <c r="AB592" s="9">
        <f t="shared" si="98"/>
        <v>1.9080882352941178</v>
      </c>
      <c r="AC592" s="9">
        <f t="shared" si="99"/>
        <v>0.58823529411764708</v>
      </c>
      <c r="AD592" s="9">
        <f t="shared" si="100"/>
        <v>1.5410299657052904</v>
      </c>
      <c r="AE592" s="9">
        <f t="shared" si="101"/>
        <v>0.94361050205206043</v>
      </c>
      <c r="AF592" s="9">
        <f t="shared" si="102"/>
        <v>4.1813527589730057</v>
      </c>
      <c r="AG592" s="9">
        <f t="shared" si="94"/>
        <v>2.379449084462848</v>
      </c>
      <c r="AH592" s="9">
        <f t="shared" si="93"/>
        <v>0.94689464352896857</v>
      </c>
      <c r="AI592" s="9">
        <f t="shared" si="95"/>
        <v>1.5883112810868532</v>
      </c>
      <c r="AJ592" s="9">
        <f>(4*PI()*(AI592^2))/(Y592+E592)</f>
        <v>0.70140460583289077</v>
      </c>
      <c r="AK592" s="12">
        <f t="shared" si="96"/>
        <v>0.64608076009501192</v>
      </c>
      <c r="AL592" s="12" t="s">
        <v>144</v>
      </c>
      <c r="AM592" s="12" t="s">
        <v>142</v>
      </c>
      <c r="AN592" s="18">
        <v>15.865</v>
      </c>
      <c r="AO592" s="18">
        <v>1.3920999999999999</v>
      </c>
      <c r="AP592" s="18">
        <v>19617</v>
      </c>
      <c r="AQ592" s="18">
        <v>17375</v>
      </c>
      <c r="AR592" s="18">
        <v>8.2363999999999997</v>
      </c>
      <c r="AS592" s="18">
        <v>4.6458999999999997E-3</v>
      </c>
      <c r="AT592" s="18">
        <v>0.74306000000000005</v>
      </c>
      <c r="AU592" s="18">
        <v>0.14366999999999999</v>
      </c>
      <c r="AV592" s="18">
        <v>1.2534E-3</v>
      </c>
      <c r="AW592" s="18">
        <v>4.2792000000000004E-3</v>
      </c>
      <c r="AX592" s="18">
        <v>0.42344999999999999</v>
      </c>
      <c r="AY592" s="18">
        <v>-0.88836000000000004</v>
      </c>
      <c r="AZ592" s="18">
        <v>-6965.5</v>
      </c>
      <c r="BA592" s="18">
        <v>1.1025999999999999E-2</v>
      </c>
      <c r="BB592" s="18">
        <v>10.592000000000001</v>
      </c>
      <c r="BC592" s="18" t="s">
        <v>162</v>
      </c>
      <c r="BD592" s="35" t="s">
        <v>165</v>
      </c>
      <c r="BE592" t="s">
        <v>167</v>
      </c>
    </row>
    <row r="593" spans="1:57" x14ac:dyDescent="0.25">
      <c r="A593" s="18" t="s">
        <v>663</v>
      </c>
      <c r="B593" s="18" t="s">
        <v>26</v>
      </c>
      <c r="C593" s="18" t="s">
        <v>6</v>
      </c>
      <c r="D593" s="18">
        <v>55</v>
      </c>
      <c r="E593" s="18">
        <v>31.733000000000001</v>
      </c>
      <c r="F593" s="18">
        <v>20.762</v>
      </c>
      <c r="G593" s="15">
        <v>7.49</v>
      </c>
      <c r="H593" s="15">
        <v>4.5999999999999996</v>
      </c>
      <c r="I593" s="15">
        <v>2.61</v>
      </c>
      <c r="J593" s="15">
        <v>64.52</v>
      </c>
      <c r="K593" s="15">
        <v>16.600000000000001</v>
      </c>
      <c r="L593" s="15">
        <v>82.54</v>
      </c>
      <c r="M593" s="15">
        <v>6.2</v>
      </c>
      <c r="N593" s="15">
        <v>2</v>
      </c>
      <c r="O593" s="15">
        <f>1.5+1.86</f>
        <v>3.3600000000000003</v>
      </c>
      <c r="P593" s="9">
        <v>0.74571799999999999</v>
      </c>
      <c r="Q593" s="9">
        <v>1.20374</v>
      </c>
      <c r="R593" s="9">
        <v>0.27777800000000002</v>
      </c>
      <c r="S593" s="9">
        <v>4.1680300000000003E-2</v>
      </c>
      <c r="T593" s="9">
        <v>4.5210199999999999E-2</v>
      </c>
      <c r="U593" s="9">
        <v>4.0168599999999997E-3</v>
      </c>
      <c r="V593" s="9">
        <v>7.4043799999999997</v>
      </c>
      <c r="W593" s="9">
        <v>6.1511300000000002</v>
      </c>
      <c r="X593" s="9">
        <v>4.5870100000000003</v>
      </c>
      <c r="Y593" s="9">
        <v>93.857799999999997</v>
      </c>
      <c r="Z593" s="9">
        <v>112.812</v>
      </c>
      <c r="AA593" s="9">
        <f t="shared" si="97"/>
        <v>2.3567547892720309</v>
      </c>
      <c r="AB593" s="9">
        <f t="shared" si="98"/>
        <v>2.8697318007662838</v>
      </c>
      <c r="AC593" s="9">
        <f t="shared" si="99"/>
        <v>1.7624521072796935</v>
      </c>
      <c r="AD593" s="9">
        <f t="shared" si="100"/>
        <v>2.957734850155989</v>
      </c>
      <c r="AE593" s="9">
        <f t="shared" si="101"/>
        <v>3.5550373428292312</v>
      </c>
      <c r="AF593" s="9">
        <f t="shared" si="102"/>
        <v>4.020068973231095</v>
      </c>
      <c r="AG593" s="9">
        <f t="shared" si="94"/>
        <v>3.1781956544980408</v>
      </c>
      <c r="AH593" s="9">
        <f t="shared" si="93"/>
        <v>0.96181448028533367</v>
      </c>
      <c r="AI593" s="9">
        <f t="shared" si="95"/>
        <v>2.9974749553173257</v>
      </c>
      <c r="AJ593" s="9">
        <f>(4*PI()*(AI593^2))/(Y593+E593)</f>
        <v>0.8990071865672723</v>
      </c>
      <c r="AK593" s="12">
        <f t="shared" si="96"/>
        <v>0.77678571428571419</v>
      </c>
      <c r="AL593" s="12" t="s">
        <v>144</v>
      </c>
      <c r="AM593" s="12" t="s">
        <v>142</v>
      </c>
      <c r="AN593" s="18">
        <v>6.7401</v>
      </c>
      <c r="AO593" s="18">
        <v>0.59216999999999997</v>
      </c>
      <c r="AP593" s="18">
        <v>5741.4</v>
      </c>
      <c r="AQ593" s="18">
        <v>5658.2</v>
      </c>
      <c r="AR593" s="18">
        <v>3.6642000000000001</v>
      </c>
      <c r="AS593" s="18">
        <v>1.1310000000000001E-2</v>
      </c>
      <c r="AT593" s="18">
        <v>0.70560999999999996</v>
      </c>
      <c r="AU593" s="18">
        <v>0.46210000000000001</v>
      </c>
      <c r="AV593" s="18">
        <v>3.3692E-2</v>
      </c>
      <c r="AW593" s="18">
        <v>5.9454E-3</v>
      </c>
      <c r="AX593" s="18">
        <v>0.27439999999999998</v>
      </c>
      <c r="AY593" s="18">
        <v>-8.1312999999999995</v>
      </c>
      <c r="AZ593" s="18">
        <v>-1505.1</v>
      </c>
      <c r="BA593" s="18">
        <v>6.3848000000000002E-2</v>
      </c>
      <c r="BB593" s="18">
        <v>8.8332999999999995</v>
      </c>
      <c r="BC593" s="18" t="s">
        <v>162</v>
      </c>
      <c r="BD593" s="35" t="s">
        <v>163</v>
      </c>
      <c r="BE593" t="s">
        <v>168</v>
      </c>
    </row>
    <row r="594" spans="1:57" x14ac:dyDescent="0.25">
      <c r="A594" s="18" t="s">
        <v>664</v>
      </c>
      <c r="B594" s="18" t="s">
        <v>26</v>
      </c>
      <c r="C594" s="18" t="s">
        <v>14</v>
      </c>
      <c r="D594" s="18">
        <v>44</v>
      </c>
      <c r="E594" s="18">
        <v>23.097999999999999</v>
      </c>
      <c r="F594" s="18">
        <v>17.61</v>
      </c>
      <c r="G594" s="15">
        <v>10.86</v>
      </c>
      <c r="H594" s="15">
        <v>7.3</v>
      </c>
      <c r="I594" s="15">
        <v>2.39</v>
      </c>
      <c r="J594" s="15">
        <v>40.15</v>
      </c>
      <c r="K594" s="15">
        <v>37.54</v>
      </c>
      <c r="L594" s="15">
        <v>69.16</v>
      </c>
      <c r="M594" s="15">
        <v>8</v>
      </c>
      <c r="N594" s="15">
        <v>2</v>
      </c>
      <c r="O594" s="15">
        <f>2.28+1.66</f>
        <v>3.9399999999999995</v>
      </c>
      <c r="P594" s="9">
        <v>1.3716600000000001</v>
      </c>
      <c r="Q594" s="9">
        <v>1.6824399999999999</v>
      </c>
      <c r="R594" s="9">
        <v>6.9444299999999997E-3</v>
      </c>
      <c r="S594" s="9">
        <v>0.1699</v>
      </c>
      <c r="T594" s="9">
        <v>0.18653600000000001</v>
      </c>
      <c r="U594" s="9">
        <v>4.49665E-2</v>
      </c>
      <c r="V594" s="9">
        <v>8.8985900000000004</v>
      </c>
      <c r="W594" s="9">
        <v>5.2890800000000002</v>
      </c>
      <c r="X594" s="9">
        <v>7.2548300000000001</v>
      </c>
      <c r="Y594" s="9">
        <v>184.39099999999999</v>
      </c>
      <c r="Z594" s="9">
        <v>244.28899999999999</v>
      </c>
      <c r="AA594" s="9">
        <f t="shared" si="97"/>
        <v>2.2130041841004182</v>
      </c>
      <c r="AB594" s="9">
        <f t="shared" si="98"/>
        <v>4.543933054393305</v>
      </c>
      <c r="AC594" s="9">
        <f t="shared" si="99"/>
        <v>3.0543933054393304</v>
      </c>
      <c r="AD594" s="9">
        <f t="shared" si="100"/>
        <v>7.9829855398735825</v>
      </c>
      <c r="AE594" s="9">
        <f t="shared" si="101"/>
        <v>10.576197073339683</v>
      </c>
      <c r="AF594" s="9">
        <f t="shared" si="102"/>
        <v>4.7184980343448268</v>
      </c>
      <c r="AG594" s="9">
        <f t="shared" si="94"/>
        <v>2.7115165039278661</v>
      </c>
      <c r="AH594" s="9">
        <f t="shared" si="93"/>
        <v>0.9674594354147944</v>
      </c>
      <c r="AI594" s="9">
        <f t="shared" si="95"/>
        <v>3.8779758554930432</v>
      </c>
      <c r="AJ594" s="9">
        <f>(4*PI()*(AI594^2))/(Y594+E594)</f>
        <v>0.91080412329739413</v>
      </c>
      <c r="AK594" s="12">
        <f t="shared" si="96"/>
        <v>0.6065989847715737</v>
      </c>
      <c r="AL594" s="12" t="s">
        <v>140</v>
      </c>
      <c r="AM594" s="12" t="s">
        <v>142</v>
      </c>
      <c r="AN594" s="18">
        <v>3.3189000000000002</v>
      </c>
      <c r="AO594" s="18">
        <v>0.29742000000000002</v>
      </c>
      <c r="AP594" s="18">
        <v>3921.5</v>
      </c>
      <c r="AQ594" s="18">
        <v>3822.2</v>
      </c>
      <c r="AR594" s="18">
        <v>1.9852000000000001</v>
      </c>
      <c r="AS594" s="18">
        <v>2.3730000000000001E-2</v>
      </c>
      <c r="AT594" s="18">
        <v>0.71933999999999998</v>
      </c>
      <c r="AU594" s="18">
        <v>1.1313</v>
      </c>
      <c r="AV594" s="18">
        <v>0.27757999999999999</v>
      </c>
      <c r="AW594" s="18">
        <v>2.4327000000000001E-2</v>
      </c>
      <c r="AX594" s="18">
        <v>0.16857</v>
      </c>
      <c r="AY594" s="18">
        <v>-12.316000000000001</v>
      </c>
      <c r="AZ594" s="18">
        <v>-796.56</v>
      </c>
      <c r="BA594" s="18">
        <v>0.20527999999999999</v>
      </c>
      <c r="BB594" s="18">
        <v>8.6201000000000008</v>
      </c>
      <c r="BC594" s="18" t="s">
        <v>164</v>
      </c>
      <c r="BD594" s="35" t="s">
        <v>165</v>
      </c>
      <c r="BE594" t="s">
        <v>168</v>
      </c>
    </row>
    <row r="595" spans="1:57" x14ac:dyDescent="0.25">
      <c r="A595" s="18" t="s">
        <v>665</v>
      </c>
      <c r="B595" s="18" t="s">
        <v>26</v>
      </c>
      <c r="C595" s="18" t="s">
        <v>6</v>
      </c>
      <c r="D595" s="18">
        <v>50</v>
      </c>
      <c r="E595" s="18">
        <v>6.9419000000000004</v>
      </c>
      <c r="F595" s="18">
        <v>9.5507000000000009</v>
      </c>
      <c r="G595" s="15">
        <v>4.09</v>
      </c>
      <c r="H595" s="15">
        <v>2.4500000000000002</v>
      </c>
      <c r="I595" s="15">
        <v>2.3199999999999998</v>
      </c>
      <c r="J595" s="15">
        <v>30.9</v>
      </c>
      <c r="K595" s="15">
        <v>29.36</v>
      </c>
      <c r="L595" s="15">
        <v>63.86</v>
      </c>
      <c r="M595" s="15">
        <v>3.55</v>
      </c>
      <c r="N595" s="15">
        <v>2</v>
      </c>
      <c r="O595" s="15">
        <f>1.75+1.93</f>
        <v>3.6799999999999997</v>
      </c>
      <c r="P595" s="9">
        <v>0.84802500000000003</v>
      </c>
      <c r="Q595" s="9">
        <v>1.08457</v>
      </c>
      <c r="R595" s="9">
        <v>0.47916700000000001</v>
      </c>
      <c r="S595" s="9">
        <v>9.9290000000000003E-2</v>
      </c>
      <c r="T595" s="9">
        <v>0.10752</v>
      </c>
      <c r="U595" s="9">
        <v>1.02884E-2</v>
      </c>
      <c r="V595" s="9">
        <v>3.1660200000000001</v>
      </c>
      <c r="W595" s="9">
        <v>2.9191500000000001</v>
      </c>
      <c r="X595" s="9">
        <v>2.4755099999999999</v>
      </c>
      <c r="Y595" s="9">
        <v>21.0854</v>
      </c>
      <c r="Z595" s="9">
        <v>10.855700000000001</v>
      </c>
      <c r="AA595" s="9">
        <f t="shared" si="97"/>
        <v>1.2582543103448278</v>
      </c>
      <c r="AB595" s="9">
        <f t="shared" si="98"/>
        <v>1.7629310344827587</v>
      </c>
      <c r="AC595" s="9">
        <f t="shared" si="99"/>
        <v>1.0560344827586208</v>
      </c>
      <c r="AD595" s="9">
        <f t="shared" si="100"/>
        <v>3.0374105072098416</v>
      </c>
      <c r="AE595" s="9">
        <f t="shared" si="101"/>
        <v>1.5637937740388077</v>
      </c>
      <c r="AF595" s="9">
        <f t="shared" si="102"/>
        <v>4.3007409970228903</v>
      </c>
      <c r="AG595" s="9">
        <f t="shared" si="94"/>
        <v>1.486497695558004</v>
      </c>
      <c r="AH595" s="9">
        <f t="shared" si="93"/>
        <v>0.97793255781108857</v>
      </c>
      <c r="AI595" s="9">
        <f t="shared" si="95"/>
        <v>1.3735877464246924</v>
      </c>
      <c r="AJ595" s="9">
        <f>(4*PI()*(AI595^2))/(Y595+E595)</f>
        <v>0.84594361661199091</v>
      </c>
      <c r="AK595" s="12">
        <f t="shared" si="96"/>
        <v>0.63043478260869568</v>
      </c>
      <c r="AL595" s="12" t="s">
        <v>144</v>
      </c>
      <c r="AM595" s="12" t="s">
        <v>142</v>
      </c>
      <c r="AN595" s="18">
        <v>29.285</v>
      </c>
      <c r="AO595" s="18">
        <v>1.0759000000000001</v>
      </c>
      <c r="AP595" s="18">
        <v>49062</v>
      </c>
      <c r="AQ595" s="18">
        <v>52370</v>
      </c>
      <c r="AR595" s="18">
        <v>13.728999999999999</v>
      </c>
      <c r="AS595" s="18">
        <v>3.7088999999999998E-3</v>
      </c>
      <c r="AT595" s="18">
        <v>0.75970000000000004</v>
      </c>
      <c r="AU595" s="18">
        <v>8.2048999999999997E-2</v>
      </c>
      <c r="AV595" s="19">
        <v>3.0260999999999998E-4</v>
      </c>
      <c r="AW595" s="18">
        <v>4.6893999999999998E-3</v>
      </c>
      <c r="AX595" s="18">
        <v>0.56713999999999998</v>
      </c>
      <c r="AY595" s="18">
        <v>0.71636</v>
      </c>
      <c r="AZ595" s="18">
        <v>-5290.3</v>
      </c>
      <c r="BA595" s="18">
        <v>1.2111E-2</v>
      </c>
      <c r="BB595" s="18">
        <v>17.265000000000001</v>
      </c>
      <c r="BC595" s="18" t="s">
        <v>164</v>
      </c>
      <c r="BD595" s="35" t="s">
        <v>165</v>
      </c>
      <c r="BE595" t="s">
        <v>167</v>
      </c>
    </row>
    <row r="596" spans="1:57" x14ac:dyDescent="0.25">
      <c r="A596" s="18" t="s">
        <v>666</v>
      </c>
      <c r="B596" s="18" t="s">
        <v>26</v>
      </c>
      <c r="C596" s="18" t="s">
        <v>14</v>
      </c>
      <c r="D596" s="18">
        <v>52</v>
      </c>
      <c r="E596" s="18">
        <v>28.26</v>
      </c>
      <c r="F596" s="18">
        <v>19.126000000000001</v>
      </c>
      <c r="G596" s="15">
        <v>9.67</v>
      </c>
      <c r="H596" s="15">
        <v>5.6</v>
      </c>
      <c r="I596" s="15">
        <v>2.13</v>
      </c>
      <c r="J596" s="15">
        <v>63.76</v>
      </c>
      <c r="K596" s="15">
        <v>27.48</v>
      </c>
      <c r="L596" s="15">
        <v>74.56</v>
      </c>
      <c r="M596" s="15">
        <v>9.1199999999999992</v>
      </c>
      <c r="N596" s="15">
        <v>2</v>
      </c>
      <c r="O596" s="15">
        <f>1.82+2.49</f>
        <v>4.3100000000000005</v>
      </c>
      <c r="P596" s="9">
        <v>0.94741799999999998</v>
      </c>
      <c r="Q596" s="9">
        <v>1.35134</v>
      </c>
      <c r="R596" s="9">
        <v>-0.13963999999999999</v>
      </c>
      <c r="S596" s="9">
        <v>0.112875</v>
      </c>
      <c r="T596" s="9">
        <v>0.125471</v>
      </c>
      <c r="U596" s="9">
        <v>3.2298199999999999E-2</v>
      </c>
      <c r="V596" s="9">
        <v>8.0331700000000001</v>
      </c>
      <c r="W596" s="9">
        <v>5.9445899999999998</v>
      </c>
      <c r="X596" s="9">
        <v>5.6320100000000002</v>
      </c>
      <c r="Y596" s="9">
        <v>133.48400000000001</v>
      </c>
      <c r="Z596" s="9">
        <v>167.72300000000001</v>
      </c>
      <c r="AA596" s="9">
        <f t="shared" si="97"/>
        <v>2.7908873239436622</v>
      </c>
      <c r="AB596" s="9">
        <f t="shared" si="98"/>
        <v>4.539906103286385</v>
      </c>
      <c r="AC596" s="9">
        <f t="shared" si="99"/>
        <v>2.629107981220657</v>
      </c>
      <c r="AD596" s="9">
        <f t="shared" si="100"/>
        <v>4.7234253361641896</v>
      </c>
      <c r="AE596" s="9">
        <f t="shared" si="101"/>
        <v>5.9349964614295825</v>
      </c>
      <c r="AF596" s="9">
        <f t="shared" si="102"/>
        <v>4.3890190352790013</v>
      </c>
      <c r="AG596" s="9">
        <f t="shared" si="94"/>
        <v>2.9992394675240464</v>
      </c>
      <c r="AH596" s="9">
        <f t="shared" si="93"/>
        <v>0.98529631679704133</v>
      </c>
      <c r="AI596" s="9">
        <f t="shared" si="95"/>
        <v>3.4211176078019081</v>
      </c>
      <c r="AJ596" s="9">
        <f>(4*PI()*(AI596^2))/(Y596+E596)</f>
        <v>0.9093219889631029</v>
      </c>
      <c r="AK596" s="12">
        <f t="shared" si="96"/>
        <v>0.49419953596287697</v>
      </c>
      <c r="AL596" s="12" t="s">
        <v>140</v>
      </c>
      <c r="AM596" s="12" t="s">
        <v>142</v>
      </c>
      <c r="AN596" s="18">
        <v>9.1306999999999992</v>
      </c>
      <c r="AO596" s="18">
        <v>0.50821000000000005</v>
      </c>
      <c r="AP596" s="18">
        <v>7734.7</v>
      </c>
      <c r="AQ596" s="18">
        <v>8276.9</v>
      </c>
      <c r="AR596" s="18">
        <v>4.8472</v>
      </c>
      <c r="AS596" s="18">
        <v>1.6149E-2</v>
      </c>
      <c r="AT596" s="18">
        <v>0.72570999999999997</v>
      </c>
      <c r="AU596" s="18">
        <v>0.28442000000000001</v>
      </c>
      <c r="AV596" s="18">
        <v>3.3313000000000002E-2</v>
      </c>
      <c r="AW596" s="18">
        <v>1.9473000000000001E-2</v>
      </c>
      <c r="AX596" s="18">
        <v>0.31157000000000001</v>
      </c>
      <c r="AY596" s="18">
        <v>-31.925000000000001</v>
      </c>
      <c r="AZ596" s="18">
        <v>-4497.8999999999996</v>
      </c>
      <c r="BA596" s="18">
        <v>9.8115999999999995E-2</v>
      </c>
      <c r="BB596" s="18">
        <v>8.9742999999999995</v>
      </c>
      <c r="BC596" s="18" t="s">
        <v>162</v>
      </c>
      <c r="BD596" s="35" t="s">
        <v>163</v>
      </c>
      <c r="BE596" t="s">
        <v>168</v>
      </c>
    </row>
    <row r="597" spans="1:57" x14ac:dyDescent="0.25">
      <c r="A597" s="16" t="s">
        <v>667</v>
      </c>
      <c r="B597" s="16" t="s">
        <v>5</v>
      </c>
      <c r="C597" s="16" t="s">
        <v>6</v>
      </c>
      <c r="D597" s="16">
        <v>57</v>
      </c>
      <c r="E597" s="16">
        <v>5.5102000000000002</v>
      </c>
      <c r="F597" s="16">
        <v>9.0183999999999997</v>
      </c>
      <c r="G597" s="15">
        <v>8.1300000000000008</v>
      </c>
      <c r="H597" s="15">
        <v>5.77</v>
      </c>
      <c r="I597" s="15">
        <v>1.79</v>
      </c>
      <c r="J597" s="15">
        <v>24.8</v>
      </c>
      <c r="K597" s="15">
        <v>40.659999999999997</v>
      </c>
      <c r="L597" s="15">
        <v>17.5</v>
      </c>
      <c r="M597" s="15">
        <v>4.9000000000000004</v>
      </c>
      <c r="N597" s="15">
        <v>1</v>
      </c>
      <c r="O597" s="15">
        <v>2.2599999999999998</v>
      </c>
      <c r="P597" s="9">
        <v>2.2455500000000002</v>
      </c>
      <c r="Q597" s="9">
        <v>2.5838700000000001</v>
      </c>
      <c r="R597" s="9">
        <v>4.3478500000000003E-3</v>
      </c>
      <c r="S597" s="9">
        <v>0.24013599999999999</v>
      </c>
      <c r="T597" s="9">
        <v>0.30810100000000001</v>
      </c>
      <c r="U597" s="9">
        <v>0.16300400000000001</v>
      </c>
      <c r="V597" s="9">
        <v>6.6797899999999997</v>
      </c>
      <c r="W597" s="9">
        <v>2.5851799999999998</v>
      </c>
      <c r="X597" s="9">
        <v>5.8051500000000003</v>
      </c>
      <c r="Y597" s="9">
        <v>95.3797</v>
      </c>
      <c r="Z597" s="9">
        <v>71.291399999999996</v>
      </c>
      <c r="AA597" s="9">
        <f t="shared" si="97"/>
        <v>1.4442346368715082</v>
      </c>
      <c r="AB597" s="9">
        <f t="shared" si="98"/>
        <v>4.5418994413407825</v>
      </c>
      <c r="AC597" s="9">
        <f t="shared" si="99"/>
        <v>3.2234636871508378</v>
      </c>
      <c r="AD597" s="9">
        <f t="shared" si="100"/>
        <v>17.309662081231171</v>
      </c>
      <c r="AE597" s="9">
        <f t="shared" si="101"/>
        <v>12.938078472650719</v>
      </c>
      <c r="AF597" s="9">
        <f t="shared" si="102"/>
        <v>5.5475069697204047</v>
      </c>
      <c r="AG597" s="9">
        <f t="shared" si="94"/>
        <v>1.3243682021439218</v>
      </c>
      <c r="AH597" s="9">
        <f t="shared" si="93"/>
        <v>0.92269702264332187</v>
      </c>
      <c r="AI597" s="9">
        <f t="shared" si="95"/>
        <v>2.5722677810929175</v>
      </c>
      <c r="AJ597" s="9">
        <f>(4*PI()*(AI597^2))/(Y597+E597)</f>
        <v>0.8241277320604693</v>
      </c>
      <c r="AK597" s="12">
        <f t="shared" si="96"/>
        <v>0.79203539823008862</v>
      </c>
      <c r="AL597" s="12" t="s">
        <v>140</v>
      </c>
      <c r="AM597" s="12" t="s">
        <v>143</v>
      </c>
      <c r="AN597" s="16">
        <v>4.4031000000000002</v>
      </c>
      <c r="AO597" s="16">
        <v>0.26140000000000002</v>
      </c>
      <c r="AP597" s="16">
        <v>12767</v>
      </c>
      <c r="AQ597" s="16">
        <v>11048</v>
      </c>
      <c r="AR597" s="16">
        <v>2.0177999999999998</v>
      </c>
      <c r="AS597" s="16">
        <v>6.2743999999999994E-2</v>
      </c>
      <c r="AT597" s="16">
        <v>0.61043000000000003</v>
      </c>
      <c r="AU597" s="16">
        <v>2.512</v>
      </c>
      <c r="AV597" s="16">
        <v>0.38729999999999998</v>
      </c>
      <c r="AW597" s="16">
        <v>5.4662000000000002E-2</v>
      </c>
      <c r="AX597" s="16">
        <v>0.14198</v>
      </c>
      <c r="AY597" s="16">
        <v>3.9119000000000002</v>
      </c>
      <c r="AZ597" s="16">
        <v>2402.8000000000002</v>
      </c>
      <c r="BA597" s="16">
        <v>7.5727000000000003E-2</v>
      </c>
      <c r="BB597" s="16">
        <v>10.478</v>
      </c>
      <c r="BC597" s="16" t="s">
        <v>164</v>
      </c>
      <c r="BD597" s="34" t="s">
        <v>165</v>
      </c>
      <c r="BE597" t="s">
        <v>168</v>
      </c>
    </row>
    <row r="598" spans="1:57" x14ac:dyDescent="0.25">
      <c r="A598" s="18" t="s">
        <v>668</v>
      </c>
      <c r="B598" s="18" t="s">
        <v>26</v>
      </c>
      <c r="C598" s="18" t="s">
        <v>14</v>
      </c>
      <c r="D598" s="18">
        <v>41</v>
      </c>
      <c r="E598" s="18">
        <v>12.151</v>
      </c>
      <c r="F598" s="18">
        <v>12.72</v>
      </c>
      <c r="G598" s="15">
        <v>4.28</v>
      </c>
      <c r="H598" s="15">
        <v>3.62</v>
      </c>
      <c r="I598" s="15">
        <v>2.76</v>
      </c>
      <c r="J598" s="15">
        <v>65.47</v>
      </c>
      <c r="K598" s="15">
        <v>0</v>
      </c>
      <c r="L598" s="15">
        <v>50.71</v>
      </c>
      <c r="M598" s="15">
        <v>4.28</v>
      </c>
      <c r="N598" s="15">
        <v>2</v>
      </c>
      <c r="O598" s="15">
        <f>2.29+2.87</f>
        <v>5.16</v>
      </c>
      <c r="P598" s="9">
        <v>0.68332499999999996</v>
      </c>
      <c r="Q598" s="9">
        <v>1.09124</v>
      </c>
      <c r="R598" s="9">
        <v>0.48039199999999999</v>
      </c>
      <c r="S598" s="9">
        <v>2.7220399999999999E-2</v>
      </c>
      <c r="T598" s="9">
        <v>3.27526E-2</v>
      </c>
      <c r="U598" s="9">
        <v>6.1407700000000003E-3</v>
      </c>
      <c r="V598" s="9">
        <v>4.2311399999999999</v>
      </c>
      <c r="W598" s="9">
        <v>3.8773900000000001</v>
      </c>
      <c r="X598" s="9">
        <v>2.6495099999999998</v>
      </c>
      <c r="Y598" s="9">
        <v>28.580100000000002</v>
      </c>
      <c r="Z598" s="9">
        <v>19.328199999999999</v>
      </c>
      <c r="AA598" s="9">
        <f t="shared" si="97"/>
        <v>1.4048514492753625</v>
      </c>
      <c r="AB598" s="9">
        <f t="shared" si="98"/>
        <v>1.5507246376811596</v>
      </c>
      <c r="AC598" s="9">
        <f t="shared" si="99"/>
        <v>1.3115942028985508</v>
      </c>
      <c r="AD598" s="9">
        <f t="shared" si="100"/>
        <v>2.3520780182701015</v>
      </c>
      <c r="AE598" s="9">
        <f t="shared" si="101"/>
        <v>1.5906674347790304</v>
      </c>
      <c r="AF598" s="9">
        <f t="shared" si="102"/>
        <v>3.9682845254663683</v>
      </c>
      <c r="AG598" s="9">
        <f t="shared" si="94"/>
        <v>1.9666681029139716</v>
      </c>
      <c r="AH598" s="9">
        <f t="shared" si="93"/>
        <v>0.97145755725847616</v>
      </c>
      <c r="AI598" s="9">
        <f t="shared" si="95"/>
        <v>1.6648212112342475</v>
      </c>
      <c r="AJ598" s="9">
        <f>(4*PI()*(AI598^2))/(Y598+E598)</f>
        <v>0.85510397658939763</v>
      </c>
      <c r="AK598" s="12">
        <f t="shared" si="96"/>
        <v>0.53488372093023251</v>
      </c>
      <c r="AL598" s="12" t="s">
        <v>144</v>
      </c>
      <c r="AM598" s="12" t="s">
        <v>142</v>
      </c>
      <c r="AN598" s="18">
        <v>2.1589</v>
      </c>
      <c r="AO598" s="18">
        <v>0.41875000000000001</v>
      </c>
      <c r="AP598" s="18">
        <v>3104.7</v>
      </c>
      <c r="AQ598" s="18">
        <v>2877</v>
      </c>
      <c r="AR598" s="18">
        <v>0.92293000000000003</v>
      </c>
      <c r="AS598" s="18">
        <v>1.2586999999999999E-2</v>
      </c>
      <c r="AT598" s="18">
        <v>0.70848</v>
      </c>
      <c r="AU598" s="18">
        <v>1.6113</v>
      </c>
      <c r="AV598" s="18">
        <v>7.0902000000000007E-2</v>
      </c>
      <c r="AW598" s="18">
        <v>9.9051E-3</v>
      </c>
      <c r="AX598" s="18">
        <v>0.11736000000000001</v>
      </c>
      <c r="AY598" s="18">
        <v>-5.4414999999999996</v>
      </c>
      <c r="AZ598" s="18">
        <v>-409.95</v>
      </c>
      <c r="BA598" s="18">
        <v>5.0997000000000001E-2</v>
      </c>
      <c r="BB598" s="18">
        <v>11.391999999999999</v>
      </c>
      <c r="BC598" s="18" t="s">
        <v>162</v>
      </c>
      <c r="BD598" s="35" t="s">
        <v>163</v>
      </c>
      <c r="BE598" t="s">
        <v>167</v>
      </c>
    </row>
    <row r="599" spans="1:57" x14ac:dyDescent="0.25">
      <c r="A599" s="18" t="s">
        <v>669</v>
      </c>
      <c r="B599" s="18" t="s">
        <v>5</v>
      </c>
      <c r="C599" s="18" t="s">
        <v>6</v>
      </c>
      <c r="D599" s="18">
        <v>39</v>
      </c>
      <c r="E599" s="18">
        <v>21.012</v>
      </c>
      <c r="F599" s="18">
        <v>17.53</v>
      </c>
      <c r="G599" s="15">
        <v>10.58</v>
      </c>
      <c r="H599" s="15">
        <v>8.5</v>
      </c>
      <c r="I599" s="15">
        <v>3.51</v>
      </c>
      <c r="J599" s="15">
        <v>21.45</v>
      </c>
      <c r="K599" s="15">
        <v>51.95</v>
      </c>
      <c r="L599" s="15">
        <v>58.43</v>
      </c>
      <c r="M599" s="15">
        <v>7</v>
      </c>
      <c r="N599" s="15">
        <v>2</v>
      </c>
      <c r="O599" s="15">
        <f>3.65+1.94</f>
        <v>5.59</v>
      </c>
      <c r="P599" s="9">
        <v>1.78102</v>
      </c>
      <c r="Q599" s="9">
        <v>1.38717</v>
      </c>
      <c r="R599" s="9">
        <v>0.36904799999999999</v>
      </c>
      <c r="S599" s="9">
        <v>0.19373899999999999</v>
      </c>
      <c r="T599" s="9">
        <v>0.23941100000000001</v>
      </c>
      <c r="U599" s="9">
        <v>0.12792300000000001</v>
      </c>
      <c r="V599" s="9">
        <v>6.6066399999999996</v>
      </c>
      <c r="W599" s="9">
        <v>4.7626900000000001</v>
      </c>
      <c r="X599" s="9">
        <v>8.4824400000000004</v>
      </c>
      <c r="Y599" s="9">
        <v>136.399</v>
      </c>
      <c r="Z599" s="9">
        <v>140.518</v>
      </c>
      <c r="AA599" s="9">
        <f t="shared" si="97"/>
        <v>1.356891737891738</v>
      </c>
      <c r="AB599" s="9">
        <f t="shared" si="98"/>
        <v>3.0142450142450143</v>
      </c>
      <c r="AC599" s="9">
        <f t="shared" si="99"/>
        <v>2.4216524216524218</v>
      </c>
      <c r="AD599" s="9">
        <f t="shared" si="100"/>
        <v>6.4914810584427949</v>
      </c>
      <c r="AE599" s="9">
        <f t="shared" si="101"/>
        <v>6.687511897963069</v>
      </c>
      <c r="AF599" s="9">
        <f t="shared" si="102"/>
        <v>5.046495377455873</v>
      </c>
      <c r="AG599" s="9">
        <f t="shared" si="94"/>
        <v>2.5861800649788114</v>
      </c>
      <c r="AH599" s="9">
        <f t="shared" si="93"/>
        <v>0.92695086058160947</v>
      </c>
      <c r="AI599" s="9">
        <f t="shared" si="95"/>
        <v>3.2251341470976373</v>
      </c>
      <c r="AJ599" s="9">
        <f>(4*PI()*(AI599^2))/(Y599+E599)</f>
        <v>0.83036751963933186</v>
      </c>
      <c r="AK599" s="12">
        <f t="shared" si="96"/>
        <v>0.62790697674418605</v>
      </c>
      <c r="AL599" s="12" t="s">
        <v>140</v>
      </c>
      <c r="AM599" s="12" t="s">
        <v>142</v>
      </c>
      <c r="AN599" s="18">
        <v>2.9449000000000001</v>
      </c>
      <c r="AO599" s="18">
        <v>0.55076999999999998</v>
      </c>
      <c r="AP599" s="18">
        <v>4352.2</v>
      </c>
      <c r="AQ599" s="18">
        <v>4047.4</v>
      </c>
      <c r="AR599" s="18">
        <v>1.7137</v>
      </c>
      <c r="AS599" s="18">
        <v>2.1426000000000001E-2</v>
      </c>
      <c r="AT599" s="18">
        <v>0.66974</v>
      </c>
      <c r="AU599" s="18">
        <v>1.0199</v>
      </c>
      <c r="AV599" s="18">
        <v>1.8713E-2</v>
      </c>
      <c r="AW599" s="18">
        <v>2.0951000000000001E-2</v>
      </c>
      <c r="AX599" s="18">
        <v>0.17632</v>
      </c>
      <c r="AY599" s="18">
        <v>-29.513999999999999</v>
      </c>
      <c r="AZ599" s="18">
        <v>-614.67999999999995</v>
      </c>
      <c r="BA599" s="18">
        <v>0.23965</v>
      </c>
      <c r="BB599" s="18">
        <v>46.845999999999997</v>
      </c>
      <c r="BC599" s="18" t="s">
        <v>162</v>
      </c>
      <c r="BD599" s="35" t="s">
        <v>165</v>
      </c>
      <c r="BE599" t="s">
        <v>168</v>
      </c>
    </row>
    <row r="600" spans="1:57" x14ac:dyDescent="0.25">
      <c r="A600" s="18" t="s">
        <v>670</v>
      </c>
      <c r="B600" s="18" t="s">
        <v>5</v>
      </c>
      <c r="C600" s="18" t="s">
        <v>14</v>
      </c>
      <c r="D600" s="18">
        <v>22</v>
      </c>
      <c r="E600" s="18">
        <v>6.4249425567794196</v>
      </c>
      <c r="F600" s="18">
        <v>9.2210000000000001</v>
      </c>
      <c r="G600" s="15">
        <v>6.63</v>
      </c>
      <c r="H600" s="15">
        <v>5.0999999999999996</v>
      </c>
      <c r="I600" s="15">
        <v>3.39</v>
      </c>
      <c r="J600" s="15">
        <v>62.7</v>
      </c>
      <c r="K600" s="15">
        <v>47.12</v>
      </c>
      <c r="L600" s="15">
        <v>70.959999999999994</v>
      </c>
      <c r="M600" s="15">
        <v>4.4000000000000004</v>
      </c>
      <c r="N600" s="15">
        <v>2</v>
      </c>
      <c r="O600" s="15">
        <f>4.05+0.91</f>
        <v>4.96</v>
      </c>
      <c r="P600" s="9">
        <v>1.81044</v>
      </c>
      <c r="Q600" s="9">
        <v>1.36592</v>
      </c>
      <c r="R600" s="9">
        <v>-4.95051E-3</v>
      </c>
      <c r="S600" s="9">
        <v>0.21464800000000001</v>
      </c>
      <c r="T600" s="9">
        <v>0.24367900000000001</v>
      </c>
      <c r="U600" s="9">
        <v>0.100525</v>
      </c>
      <c r="V600" s="9">
        <v>3.8524400000000001</v>
      </c>
      <c r="W600" s="9">
        <v>2.8203900000000002</v>
      </c>
      <c r="X600" s="9">
        <v>5.10616</v>
      </c>
      <c r="Y600" s="9">
        <v>50.405799999999999</v>
      </c>
      <c r="Z600" s="9">
        <v>31.3017</v>
      </c>
      <c r="AA600" s="9">
        <f t="shared" si="97"/>
        <v>0.83197345132743361</v>
      </c>
      <c r="AB600" s="9">
        <f t="shared" si="98"/>
        <v>1.9557522123893805</v>
      </c>
      <c r="AC600" s="9">
        <f t="shared" si="99"/>
        <v>1.5044247787610618</v>
      </c>
      <c r="AD600" s="9">
        <f t="shared" si="100"/>
        <v>7.845330842189898</v>
      </c>
      <c r="AE600" s="9">
        <f t="shared" si="101"/>
        <v>4.8719034798173135</v>
      </c>
      <c r="AF600" s="9">
        <f t="shared" si="102"/>
        <v>5.0749904426671542</v>
      </c>
      <c r="AG600" s="9">
        <f t="shared" si="94"/>
        <v>1.4300778768954683</v>
      </c>
      <c r="AH600" s="9">
        <f t="shared" si="93"/>
        <v>0.97445443056416692</v>
      </c>
      <c r="AI600" s="9">
        <f t="shared" si="95"/>
        <v>1.9550585665235924</v>
      </c>
      <c r="AJ600" s="9">
        <f>(4*PI()*(AI600^2))/(Y600+E600)</f>
        <v>0.84517390002158244</v>
      </c>
      <c r="AK600" s="12">
        <f t="shared" si="96"/>
        <v>0.68346774193548387</v>
      </c>
      <c r="AL600" s="12" t="s">
        <v>140</v>
      </c>
      <c r="AM600" s="12" t="s">
        <v>142</v>
      </c>
      <c r="AN600" s="18">
        <v>2.6226193070451802</v>
      </c>
      <c r="AO600" s="18">
        <v>0.31047482686351502</v>
      </c>
      <c r="AP600" s="18">
        <v>4147.17570469763</v>
      </c>
      <c r="AQ600" s="18">
        <v>3910.65601333412</v>
      </c>
      <c r="AR600" s="18">
        <v>1.3562226444880101</v>
      </c>
      <c r="AS600" s="18">
        <v>1.97888815233687E-2</v>
      </c>
      <c r="AT600" s="18">
        <v>0.66534364468070295</v>
      </c>
      <c r="AU600" s="18">
        <v>3.1766551747146998</v>
      </c>
      <c r="AV600" s="18">
        <v>0.377264062422764</v>
      </c>
      <c r="AW600" s="18">
        <v>1.1453542049758901E-2</v>
      </c>
      <c r="AX600" s="18">
        <v>0.11760939157905401</v>
      </c>
      <c r="AY600" s="18">
        <v>4.6894047712884497</v>
      </c>
      <c r="AZ600" s="18">
        <v>579.27319012515397</v>
      </c>
      <c r="BA600" s="18">
        <v>5.33566525537294E-2</v>
      </c>
      <c r="BB600" s="18">
        <v>7.6080569543751899</v>
      </c>
      <c r="BC600" s="18" t="s">
        <v>162</v>
      </c>
      <c r="BD600" s="35" t="s">
        <v>163</v>
      </c>
      <c r="BE600" t="s">
        <v>168</v>
      </c>
    </row>
    <row r="601" spans="1:57" x14ac:dyDescent="0.25">
      <c r="A601" s="16" t="s">
        <v>671</v>
      </c>
      <c r="B601" s="16" t="s">
        <v>5</v>
      </c>
      <c r="C601" s="16" t="s">
        <v>14</v>
      </c>
      <c r="D601" s="16">
        <v>46</v>
      </c>
      <c r="E601" s="16">
        <v>8.0681999999999992</v>
      </c>
      <c r="F601" s="16">
        <v>10.734999999999999</v>
      </c>
      <c r="G601" s="15">
        <v>6.64</v>
      </c>
      <c r="H601" s="15">
        <v>3.1</v>
      </c>
      <c r="I601" s="15">
        <v>3.74</v>
      </c>
      <c r="J601" s="15">
        <v>51.57</v>
      </c>
      <c r="K601" s="15">
        <v>26.99</v>
      </c>
      <c r="L601" s="15">
        <v>15.05</v>
      </c>
      <c r="M601" s="15">
        <v>3.45</v>
      </c>
      <c r="N601" s="15">
        <v>1</v>
      </c>
      <c r="O601" s="15">
        <v>4.1100000000000003</v>
      </c>
      <c r="P601" s="9">
        <v>1.0073799999999999</v>
      </c>
      <c r="Q601" s="9">
        <v>1.39289</v>
      </c>
      <c r="R601" s="9">
        <v>0.22131100000000001</v>
      </c>
      <c r="S601" s="9">
        <v>0.245757</v>
      </c>
      <c r="T601" s="9">
        <v>0.27406199999999997</v>
      </c>
      <c r="U601" s="9">
        <v>0.14247299999999999</v>
      </c>
      <c r="V601" s="9">
        <v>4.3184800000000001</v>
      </c>
      <c r="W601" s="9">
        <v>3.1003699999999998</v>
      </c>
      <c r="X601" s="9">
        <v>3.1232600000000001</v>
      </c>
      <c r="Y601" s="9">
        <v>34.251100000000001</v>
      </c>
      <c r="Z601" s="9">
        <v>16.487300000000001</v>
      </c>
      <c r="AA601" s="9">
        <f t="shared" si="97"/>
        <v>0.82897593582887696</v>
      </c>
      <c r="AB601" s="9">
        <f t="shared" si="98"/>
        <v>1.7754010695187163</v>
      </c>
      <c r="AC601" s="9">
        <f t="shared" si="99"/>
        <v>0.82887700534759357</v>
      </c>
      <c r="AD601" s="9">
        <f t="shared" si="100"/>
        <v>4.2451971939218174</v>
      </c>
      <c r="AE601" s="9">
        <f t="shared" si="101"/>
        <v>2.0434917329763769</v>
      </c>
      <c r="AF601" s="9">
        <f t="shared" si="102"/>
        <v>5.2873918447458808</v>
      </c>
      <c r="AG601" s="9">
        <f t="shared" si="94"/>
        <v>1.6025566522616477</v>
      </c>
      <c r="AH601" s="9">
        <f t="shared" si="93"/>
        <v>0.93797488695046949</v>
      </c>
      <c r="AI601" s="9">
        <f t="shared" si="95"/>
        <v>1.5788964333372109</v>
      </c>
      <c r="AJ601" s="9">
        <f>(4*PI()*(AI601^2))/(Y601+E601)</f>
        <v>0.74025044294878739</v>
      </c>
      <c r="AK601" s="12">
        <f t="shared" si="96"/>
        <v>0.90997566909975669</v>
      </c>
      <c r="AL601" s="12" t="s">
        <v>140</v>
      </c>
      <c r="AM601" s="12" t="s">
        <v>142</v>
      </c>
      <c r="AN601" s="16">
        <v>2.3584999999999998</v>
      </c>
      <c r="AO601" s="16">
        <v>0.38035000000000002</v>
      </c>
      <c r="AP601" s="16">
        <v>4720.6000000000004</v>
      </c>
      <c r="AQ601" s="16">
        <v>4485.3999999999996</v>
      </c>
      <c r="AR601" s="16">
        <v>1.3889</v>
      </c>
      <c r="AS601" s="16">
        <v>2.1010999999999998E-2</v>
      </c>
      <c r="AT601" s="16">
        <v>0.72711000000000003</v>
      </c>
      <c r="AU601" s="16">
        <v>27.866</v>
      </c>
      <c r="AV601" s="16">
        <v>0.44544</v>
      </c>
      <c r="AW601" s="16">
        <v>9.8761000000000005E-3</v>
      </c>
      <c r="AX601" s="16">
        <v>8.0348000000000003E-2</v>
      </c>
      <c r="AY601" s="16">
        <v>5.3620000000000001</v>
      </c>
      <c r="AZ601" s="16">
        <v>1133.0999999999999</v>
      </c>
      <c r="BA601" s="16">
        <v>3.0442E-2</v>
      </c>
      <c r="BB601" s="16">
        <v>10.324999999999999</v>
      </c>
      <c r="BC601" s="27" t="s">
        <v>162</v>
      </c>
      <c r="BD601" s="37" t="s">
        <v>165</v>
      </c>
      <c r="BE601" t="s">
        <v>167</v>
      </c>
    </row>
    <row r="602" spans="1:57" x14ac:dyDescent="0.25">
      <c r="A602" s="18" t="s">
        <v>672</v>
      </c>
      <c r="B602" s="18" t="s">
        <v>5</v>
      </c>
      <c r="C602" s="18" t="s">
        <v>6</v>
      </c>
      <c r="D602" s="18">
        <v>22</v>
      </c>
      <c r="E602" s="18">
        <v>5.8189000000000002</v>
      </c>
      <c r="F602" s="18">
        <v>9.0892999999999997</v>
      </c>
      <c r="G602" s="15">
        <v>5.03</v>
      </c>
      <c r="H602" s="15">
        <v>4.55</v>
      </c>
      <c r="I602" s="15">
        <v>4.0199999999999996</v>
      </c>
      <c r="J602" s="15">
        <v>69.03</v>
      </c>
      <c r="K602" s="15">
        <v>59.51</v>
      </c>
      <c r="L602" s="15">
        <v>45.27</v>
      </c>
      <c r="M602" s="15">
        <v>4.75</v>
      </c>
      <c r="N602" s="15">
        <v>2</v>
      </c>
      <c r="O602" s="15">
        <f>2.56+3.08</f>
        <v>5.6400000000000006</v>
      </c>
      <c r="P602" s="9">
        <v>1.7525599999999999</v>
      </c>
      <c r="Q602" s="9">
        <v>1.7786200000000001</v>
      </c>
      <c r="R602" s="9">
        <v>-3.9325800000000001E-2</v>
      </c>
      <c r="S602" s="9">
        <v>0.17932000000000001</v>
      </c>
      <c r="T602" s="9">
        <v>0.22519700000000001</v>
      </c>
      <c r="U602" s="9">
        <v>0.125861</v>
      </c>
      <c r="V602" s="9">
        <v>4.6121699999999999</v>
      </c>
      <c r="W602" s="9">
        <v>2.5931099999999998</v>
      </c>
      <c r="X602" s="9">
        <v>4.5445799999999998</v>
      </c>
      <c r="Y602" s="9">
        <v>55.155799999999999</v>
      </c>
      <c r="Z602" s="9">
        <v>37.150300000000001</v>
      </c>
      <c r="AA602" s="9">
        <f t="shared" si="97"/>
        <v>0.64505223880597018</v>
      </c>
      <c r="AB602" s="9">
        <f t="shared" si="98"/>
        <v>1.2512437810945276</v>
      </c>
      <c r="AC602" s="9">
        <f t="shared" si="99"/>
        <v>1.1318407960199006</v>
      </c>
      <c r="AD602" s="9">
        <f t="shared" si="100"/>
        <v>9.478733093883724</v>
      </c>
      <c r="AE602" s="9">
        <f t="shared" si="101"/>
        <v>6.3844197356888763</v>
      </c>
      <c r="AF602" s="9">
        <f t="shared" si="102"/>
        <v>4.9539274037546095</v>
      </c>
      <c r="AG602" s="9">
        <f t="shared" si="94"/>
        <v>1.3609604684614685</v>
      </c>
      <c r="AH602" s="9">
        <f t="shared" si="93"/>
        <v>0.94079487079195823</v>
      </c>
      <c r="AI602" s="9">
        <f t="shared" si="95"/>
        <v>2.0699407066433255</v>
      </c>
      <c r="AJ602" s="9">
        <f>(4*PI()*(AI602^2))/(Y602+E602)</f>
        <v>0.88303110578889576</v>
      </c>
      <c r="AK602" s="12">
        <f t="shared" si="96"/>
        <v>0.71276595744680837</v>
      </c>
      <c r="AL602" s="12" t="s">
        <v>140</v>
      </c>
      <c r="AM602" s="12" t="s">
        <v>142</v>
      </c>
      <c r="AN602" s="18">
        <v>3.4758</v>
      </c>
      <c r="AO602" s="18">
        <v>0.24586</v>
      </c>
      <c r="AP602" s="18">
        <v>11193</v>
      </c>
      <c r="AQ602" s="18">
        <v>10357</v>
      </c>
      <c r="AR602" s="18">
        <v>1.762</v>
      </c>
      <c r="AS602" s="18">
        <v>1.423E-2</v>
      </c>
      <c r="AT602" s="18">
        <v>0.75416000000000005</v>
      </c>
      <c r="AU602" s="18">
        <v>4.8399000000000001</v>
      </c>
      <c r="AV602" s="18">
        <v>0.81754000000000004</v>
      </c>
      <c r="AW602" s="18">
        <v>1.4381E-2</v>
      </c>
      <c r="AX602" s="18">
        <v>7.8771999999999995E-2</v>
      </c>
      <c r="AY602" s="18">
        <v>4.2596999999999996</v>
      </c>
      <c r="AZ602" s="18">
        <v>6662.7</v>
      </c>
      <c r="BA602" s="18">
        <v>2.9590000000000002E-2</v>
      </c>
      <c r="BB602" s="18">
        <v>3.6461000000000001</v>
      </c>
      <c r="BC602" s="18" t="s">
        <v>162</v>
      </c>
      <c r="BD602" s="35" t="s">
        <v>165</v>
      </c>
      <c r="BE602" t="s">
        <v>168</v>
      </c>
    </row>
    <row r="603" spans="1:57" x14ac:dyDescent="0.25">
      <c r="A603" s="16" t="s">
        <v>673</v>
      </c>
      <c r="B603" s="16" t="s">
        <v>5</v>
      </c>
      <c r="C603" s="16" t="s">
        <v>6</v>
      </c>
      <c r="D603" s="16">
        <v>73</v>
      </c>
      <c r="E603" s="16">
        <v>12.218</v>
      </c>
      <c r="F603" s="16">
        <v>12.856999999999999</v>
      </c>
      <c r="G603" s="15">
        <v>7.92</v>
      </c>
      <c r="H603" s="15">
        <v>5.55</v>
      </c>
      <c r="I603" s="15">
        <v>3.22</v>
      </c>
      <c r="J603" s="15">
        <v>22.34</v>
      </c>
      <c r="K603" s="15">
        <v>15.65</v>
      </c>
      <c r="L603" s="15">
        <v>25.98</v>
      </c>
      <c r="M603" s="15">
        <v>7.35</v>
      </c>
      <c r="N603" s="15">
        <v>1</v>
      </c>
      <c r="O603" s="15">
        <v>3.98</v>
      </c>
      <c r="P603" s="9">
        <v>1.4791700000000001</v>
      </c>
      <c r="Q603" s="9">
        <v>1.98492</v>
      </c>
      <c r="R603" s="9">
        <v>9.0909100000000007E-2</v>
      </c>
      <c r="S603" s="9">
        <v>0.18579599999999999</v>
      </c>
      <c r="T603" s="9">
        <v>0.27903899999999998</v>
      </c>
      <c r="U603" s="9">
        <v>0.17910999999999999</v>
      </c>
      <c r="V603" s="9">
        <v>7.4725099999999998</v>
      </c>
      <c r="W603" s="9">
        <v>3.7646299999999999</v>
      </c>
      <c r="X603" s="9">
        <v>5.5685099999999998</v>
      </c>
      <c r="Y603" s="9">
        <v>101.249</v>
      </c>
      <c r="Z603" s="9">
        <v>82.936000000000007</v>
      </c>
      <c r="AA603" s="9">
        <f t="shared" si="97"/>
        <v>1.169139751552795</v>
      </c>
      <c r="AB603" s="9">
        <f t="shared" si="98"/>
        <v>2.4596273291925463</v>
      </c>
      <c r="AC603" s="9">
        <f t="shared" si="99"/>
        <v>1.7236024844720494</v>
      </c>
      <c r="AD603" s="9">
        <f t="shared" si="100"/>
        <v>8.2868718284498275</v>
      </c>
      <c r="AE603" s="9">
        <f t="shared" si="101"/>
        <v>6.7880176788345068</v>
      </c>
      <c r="AF603" s="9">
        <f t="shared" si="102"/>
        <v>5.3238852416071802</v>
      </c>
      <c r="AG603" s="9">
        <f t="shared" si="94"/>
        <v>1.9720827034872435</v>
      </c>
      <c r="AH603" s="9">
        <f t="shared" si="93"/>
        <v>0.96375212468647786</v>
      </c>
      <c r="AI603" s="9">
        <f t="shared" si="95"/>
        <v>2.7053169821977128</v>
      </c>
      <c r="AJ603" s="9">
        <f>(4*PI()*(AI603^2))/(Y603+E603)</f>
        <v>0.810544025536167</v>
      </c>
      <c r="AK603" s="12">
        <f t="shared" si="96"/>
        <v>0.80904522613065333</v>
      </c>
      <c r="AL603" s="12" t="s">
        <v>140</v>
      </c>
      <c r="AM603" s="12" t="s">
        <v>143</v>
      </c>
      <c r="AN603" s="16">
        <v>5.8902000000000001</v>
      </c>
      <c r="AO603" s="16">
        <v>0.54386999999999996</v>
      </c>
      <c r="AP603" s="16">
        <v>9479.5</v>
      </c>
      <c r="AQ603" s="16">
        <v>8693</v>
      </c>
      <c r="AR603" s="16">
        <v>3.0001000000000002</v>
      </c>
      <c r="AS603" s="16">
        <v>1.4795000000000001E-2</v>
      </c>
      <c r="AT603" s="16">
        <v>0.75136999999999998</v>
      </c>
      <c r="AU603" s="16">
        <v>8.1138999999999992</v>
      </c>
      <c r="AV603" s="16">
        <v>0.22944999999999999</v>
      </c>
      <c r="AW603" s="16">
        <v>7.9611999999999999E-3</v>
      </c>
      <c r="AX603" s="16">
        <v>0.22708</v>
      </c>
      <c r="AY603" s="16">
        <v>0.39560000000000001</v>
      </c>
      <c r="AZ603" s="16">
        <v>-249.88</v>
      </c>
      <c r="BA603" s="16">
        <v>6.3299999999999995E-2</v>
      </c>
      <c r="BB603" s="16">
        <v>9.2355999999999998</v>
      </c>
      <c r="BC603" s="16" t="s">
        <v>164</v>
      </c>
      <c r="BD603" s="34" t="s">
        <v>165</v>
      </c>
      <c r="BE603" t="s">
        <v>167</v>
      </c>
    </row>
    <row r="604" spans="1:57" x14ac:dyDescent="0.25">
      <c r="A604" s="18" t="s">
        <v>674</v>
      </c>
      <c r="B604" s="18" t="s">
        <v>5</v>
      </c>
      <c r="C604" s="18" t="s">
        <v>14</v>
      </c>
      <c r="D604" s="18">
        <v>51</v>
      </c>
      <c r="E604" s="18">
        <v>16.867999999999999</v>
      </c>
      <c r="F604" s="18">
        <v>15.207000000000001</v>
      </c>
      <c r="G604" s="15">
        <v>8.31</v>
      </c>
      <c r="H604" s="15">
        <v>7.1</v>
      </c>
      <c r="I604" s="15">
        <v>4.03</v>
      </c>
      <c r="J604" s="15">
        <v>24.35</v>
      </c>
      <c r="K604" s="15">
        <v>55.04</v>
      </c>
      <c r="L604" s="15">
        <v>72.28</v>
      </c>
      <c r="M604" s="15">
        <v>7.1</v>
      </c>
      <c r="N604" s="15">
        <v>2</v>
      </c>
      <c r="O604" s="15">
        <f>3.22+3.14</f>
        <v>6.36</v>
      </c>
      <c r="P604" s="9">
        <v>1.6245000000000001</v>
      </c>
      <c r="Q604" s="9">
        <v>1.59667</v>
      </c>
      <c r="R604" s="9">
        <v>0.16666700000000001</v>
      </c>
      <c r="S604" s="9">
        <v>0.159307</v>
      </c>
      <c r="T604" s="9">
        <v>0.167576</v>
      </c>
      <c r="U604" s="9">
        <v>1.98896E-2</v>
      </c>
      <c r="V604" s="9">
        <v>7.0062199999999999</v>
      </c>
      <c r="W604" s="9">
        <v>4.3880299999999997</v>
      </c>
      <c r="X604" s="9">
        <v>7.1283399999999997</v>
      </c>
      <c r="Y604" s="9">
        <v>138.65</v>
      </c>
      <c r="Z604" s="9">
        <v>164.887</v>
      </c>
      <c r="AA604" s="9">
        <f t="shared" si="97"/>
        <v>1.0888411910669973</v>
      </c>
      <c r="AB604" s="9">
        <f t="shared" si="98"/>
        <v>2.0620347394540941</v>
      </c>
      <c r="AC604" s="9">
        <f t="shared" si="99"/>
        <v>1.7617866004962777</v>
      </c>
      <c r="AD604" s="9">
        <f t="shared" si="100"/>
        <v>8.21970595209865</v>
      </c>
      <c r="AE604" s="9">
        <f t="shared" si="101"/>
        <v>9.7751363528574817</v>
      </c>
      <c r="AF604" s="9">
        <f t="shared" si="102"/>
        <v>4.6110050335423169</v>
      </c>
      <c r="AG604" s="9">
        <f t="shared" si="94"/>
        <v>2.3171644654940184</v>
      </c>
      <c r="AH604" s="9">
        <f t="shared" si="93"/>
        <v>0.9573994689229075</v>
      </c>
      <c r="AI604" s="9">
        <f t="shared" si="95"/>
        <v>3.4017255270279247</v>
      </c>
      <c r="AJ604" s="9">
        <f>(4*PI()*(AI604^2))/(Y604+E604)</f>
        <v>0.93503472447040992</v>
      </c>
      <c r="AK604" s="12">
        <f t="shared" si="96"/>
        <v>0.63364779874213839</v>
      </c>
      <c r="AL604" s="12" t="s">
        <v>144</v>
      </c>
      <c r="AM604" s="12" t="s">
        <v>142</v>
      </c>
      <c r="AN604" s="18">
        <v>1.8607</v>
      </c>
      <c r="AO604" s="18">
        <v>0.22023999999999999</v>
      </c>
      <c r="AP604" s="18">
        <v>4476.3999999999996</v>
      </c>
      <c r="AQ604" s="18">
        <v>3994.4</v>
      </c>
      <c r="AR604" s="18">
        <v>1.0641</v>
      </c>
      <c r="AS604" s="18">
        <v>4.4677000000000001E-2</v>
      </c>
      <c r="AT604" s="18">
        <v>0.61090999999999995</v>
      </c>
      <c r="AU604" s="18">
        <v>1.6952</v>
      </c>
      <c r="AV604" s="18">
        <v>0.32373000000000002</v>
      </c>
      <c r="AW604" s="18">
        <v>3.0547000000000001E-2</v>
      </c>
      <c r="AX604" s="18">
        <v>0.11212999999999999</v>
      </c>
      <c r="AY604" s="18">
        <v>-12.406000000000001</v>
      </c>
      <c r="AZ604" s="18">
        <v>-321.63</v>
      </c>
      <c r="BA604" s="18">
        <v>0.2681</v>
      </c>
      <c r="BB604" s="18">
        <v>9.9301999999999992</v>
      </c>
      <c r="BC604" s="18" t="s">
        <v>164</v>
      </c>
      <c r="BD604" s="35" t="s">
        <v>163</v>
      </c>
      <c r="BE604" t="s">
        <v>168</v>
      </c>
    </row>
    <row r="605" spans="1:57" x14ac:dyDescent="0.25">
      <c r="A605" s="18" t="s">
        <v>675</v>
      </c>
      <c r="B605" s="18" t="s">
        <v>5</v>
      </c>
      <c r="C605" s="18" t="s">
        <v>6</v>
      </c>
      <c r="D605" s="18">
        <v>44</v>
      </c>
      <c r="E605" s="18">
        <v>17.567</v>
      </c>
      <c r="F605" s="18">
        <v>15.492000000000001</v>
      </c>
      <c r="G605" s="15">
        <v>9.8699999999999992</v>
      </c>
      <c r="H605" s="15">
        <v>8.9</v>
      </c>
      <c r="I605" s="15">
        <v>3.17</v>
      </c>
      <c r="J605" s="15">
        <v>4.8499999999999996</v>
      </c>
      <c r="K605" s="15">
        <v>46.51</v>
      </c>
      <c r="L605" s="15">
        <v>52.83</v>
      </c>
      <c r="M605" s="15">
        <v>8</v>
      </c>
      <c r="N605" s="15">
        <v>2</v>
      </c>
      <c r="O605" s="15">
        <f>1.72+2.39</f>
        <v>4.1100000000000003</v>
      </c>
      <c r="P605" s="9">
        <v>1.7163200000000001</v>
      </c>
      <c r="Q605" s="9">
        <v>2.0329299999999999</v>
      </c>
      <c r="R605" s="9">
        <v>6.0509599999999997E-2</v>
      </c>
      <c r="S605" s="9">
        <v>0.17491899999999999</v>
      </c>
      <c r="T605" s="9">
        <v>0.18634600000000001</v>
      </c>
      <c r="U605" s="9">
        <v>3.4517199999999998E-2</v>
      </c>
      <c r="V605" s="9">
        <v>9.4027399999999997</v>
      </c>
      <c r="W605" s="9">
        <v>4.6252199999999997</v>
      </c>
      <c r="X605" s="9">
        <v>7.9383299999999997</v>
      </c>
      <c r="Y605" s="9">
        <v>198.93799999999999</v>
      </c>
      <c r="Z605" s="9">
        <v>273.858</v>
      </c>
      <c r="AA605" s="9">
        <f t="shared" si="97"/>
        <v>1.4590599369085173</v>
      </c>
      <c r="AB605" s="9">
        <f t="shared" si="98"/>
        <v>3.1135646687697158</v>
      </c>
      <c r="AC605" s="9">
        <f t="shared" si="99"/>
        <v>2.8075709779179814</v>
      </c>
      <c r="AD605" s="9">
        <f t="shared" si="100"/>
        <v>11.324528946319804</v>
      </c>
      <c r="AE605" s="9">
        <f t="shared" si="101"/>
        <v>15.589343655718109</v>
      </c>
      <c r="AF605" s="9">
        <f t="shared" si="102"/>
        <v>4.7173792534225427</v>
      </c>
      <c r="AG605" s="9">
        <f t="shared" si="94"/>
        <v>2.3646880916075701</v>
      </c>
      <c r="AH605" s="9">
        <f t="shared" si="93"/>
        <v>0.95906102977351015</v>
      </c>
      <c r="AI605" s="9">
        <f t="shared" si="95"/>
        <v>4.0285207748526455</v>
      </c>
      <c r="AJ605" s="9">
        <f>(4*PI()*(AI605^2))/(Y605+E605)</f>
        <v>0.94196149172737131</v>
      </c>
      <c r="AK605" s="12">
        <f t="shared" si="96"/>
        <v>0.77128953771289532</v>
      </c>
      <c r="AL605" s="12" t="s">
        <v>144</v>
      </c>
      <c r="AM605" s="12" t="s">
        <v>142</v>
      </c>
      <c r="AN605" s="18">
        <v>2.8744000000000001</v>
      </c>
      <c r="AO605" s="18">
        <v>0.27548</v>
      </c>
      <c r="AP605" s="18">
        <v>4173.5</v>
      </c>
      <c r="AQ605" s="18">
        <v>3654.5</v>
      </c>
      <c r="AR605" s="18">
        <v>1.9496</v>
      </c>
      <c r="AS605" s="18">
        <v>2.4169E-2</v>
      </c>
      <c r="AT605" s="18">
        <v>0.70918000000000003</v>
      </c>
      <c r="AU605" s="18">
        <v>0.91295999999999999</v>
      </c>
      <c r="AV605" s="18">
        <v>0.19205</v>
      </c>
      <c r="AW605" s="18">
        <v>2.4639000000000001E-2</v>
      </c>
      <c r="AX605" s="18">
        <v>0.17072999999999999</v>
      </c>
      <c r="AY605" s="18">
        <v>-5.9063999999999997</v>
      </c>
      <c r="AZ605" s="18">
        <v>-363.31</v>
      </c>
      <c r="BA605" s="18">
        <v>0.29199999999999998</v>
      </c>
      <c r="BB605" s="18">
        <v>4.5735000000000001</v>
      </c>
      <c r="BC605" s="18" t="s">
        <v>162</v>
      </c>
      <c r="BD605" s="35" t="s">
        <v>165</v>
      </c>
      <c r="BE605" t="s">
        <v>167</v>
      </c>
    </row>
    <row r="606" spans="1:57" x14ac:dyDescent="0.25">
      <c r="A606" s="18" t="s">
        <v>676</v>
      </c>
      <c r="B606" s="18" t="s">
        <v>40</v>
      </c>
      <c r="C606" s="18" t="s">
        <v>6</v>
      </c>
      <c r="D606" s="18">
        <v>30</v>
      </c>
      <c r="E606" s="18">
        <v>22.003</v>
      </c>
      <c r="F606" s="18">
        <v>18.041</v>
      </c>
      <c r="G606" s="15">
        <v>9.7200000000000006</v>
      </c>
      <c r="H606" s="15">
        <v>5.75</v>
      </c>
      <c r="I606" s="15">
        <v>2.4700000000000002</v>
      </c>
      <c r="J606" s="15">
        <v>70.349999999999994</v>
      </c>
      <c r="K606" s="15">
        <v>21.05</v>
      </c>
      <c r="L606" s="15">
        <v>49.2</v>
      </c>
      <c r="M606" s="15">
        <v>8.1</v>
      </c>
      <c r="N606" s="15">
        <v>4</v>
      </c>
      <c r="O606" s="15">
        <f>1.01+1.25+1.36+1.14</f>
        <v>4.76</v>
      </c>
      <c r="P606" s="9">
        <v>1.15591</v>
      </c>
      <c r="Q606" s="9">
        <v>1.8373200000000001</v>
      </c>
      <c r="R606" s="9">
        <v>-1.3274299999999999E-2</v>
      </c>
      <c r="S606" s="9">
        <v>0.14297699999999999</v>
      </c>
      <c r="T606" s="9">
        <v>0.15610099999999999</v>
      </c>
      <c r="U606" s="9">
        <v>2.4447799999999999E-2</v>
      </c>
      <c r="V606" s="9">
        <v>9.1300000000000008</v>
      </c>
      <c r="W606" s="9">
        <v>4.9691900000000002</v>
      </c>
      <c r="X606" s="9">
        <v>5.7439600000000004</v>
      </c>
      <c r="Y606" s="9">
        <v>143.14699999999999</v>
      </c>
      <c r="Z606" s="9">
        <v>176.56200000000001</v>
      </c>
      <c r="AA606" s="9">
        <f t="shared" si="97"/>
        <v>2.0118178137651821</v>
      </c>
      <c r="AB606" s="9">
        <f t="shared" si="98"/>
        <v>3.9352226720647772</v>
      </c>
      <c r="AC606" s="9">
        <f t="shared" si="99"/>
        <v>2.3279352226720644</v>
      </c>
      <c r="AD606" s="9">
        <f t="shared" si="100"/>
        <v>6.5057946643639504</v>
      </c>
      <c r="AE606" s="9">
        <f t="shared" si="101"/>
        <v>8.0244512111984729</v>
      </c>
      <c r="AF606" s="9">
        <f t="shared" si="102"/>
        <v>4.5483173344869128</v>
      </c>
      <c r="AG606" s="9">
        <f t="shared" si="94"/>
        <v>2.6464641364851227</v>
      </c>
      <c r="AH606" s="9">
        <f t="shared" si="93"/>
        <v>0.92169084742204055</v>
      </c>
      <c r="AI606" s="9">
        <f t="shared" si="95"/>
        <v>3.4801893749414199</v>
      </c>
      <c r="AJ606" s="9">
        <f>(4*PI()*(AI606^2))/(Y606+E606)</f>
        <v>0.92158848464103038</v>
      </c>
      <c r="AK606" s="12">
        <f t="shared" si="96"/>
        <v>0.51890756302521013</v>
      </c>
      <c r="AL606" s="12" t="s">
        <v>140</v>
      </c>
      <c r="AM606" s="12" t="s">
        <v>142</v>
      </c>
      <c r="AN606" s="18">
        <v>0.73141999999999996</v>
      </c>
      <c r="AO606" s="18">
        <v>0.15134</v>
      </c>
      <c r="AP606" s="18">
        <v>1237.0999999999999</v>
      </c>
      <c r="AQ606" s="18">
        <v>1097.0999999999999</v>
      </c>
      <c r="AR606" s="18">
        <v>0.57704999999999995</v>
      </c>
      <c r="AS606" s="18">
        <v>2.4913999999999999E-2</v>
      </c>
      <c r="AT606" s="18">
        <v>0.65749000000000002</v>
      </c>
      <c r="AU606" s="18">
        <v>3.9904999999999999</v>
      </c>
      <c r="AV606" s="18">
        <v>0.46382000000000001</v>
      </c>
      <c r="AW606" s="18">
        <v>2.2121999999999999E-2</v>
      </c>
      <c r="AX606" s="18">
        <v>5.6596E-2</v>
      </c>
      <c r="AY606" s="18">
        <v>-76.17</v>
      </c>
      <c r="AZ606" s="18">
        <v>-185.93</v>
      </c>
      <c r="BA606" s="18">
        <v>0.60911999999999999</v>
      </c>
      <c r="BB606" s="18">
        <v>10.036</v>
      </c>
      <c r="BC606" s="18" t="s">
        <v>162</v>
      </c>
      <c r="BD606" s="35" t="s">
        <v>163</v>
      </c>
      <c r="BE606" t="s">
        <v>168</v>
      </c>
    </row>
    <row r="607" spans="1:57" x14ac:dyDescent="0.25">
      <c r="A607" s="16" t="s">
        <v>677</v>
      </c>
      <c r="B607" s="16" t="s">
        <v>5</v>
      </c>
      <c r="C607" s="16" t="s">
        <v>14</v>
      </c>
      <c r="D607" s="16">
        <v>63</v>
      </c>
      <c r="E607" s="16">
        <v>3.0606</v>
      </c>
      <c r="F607" s="16">
        <v>6.6847000000000003</v>
      </c>
      <c r="G607" s="15">
        <v>2.91</v>
      </c>
      <c r="H607" s="15">
        <v>2.2400000000000002</v>
      </c>
      <c r="I607" s="15">
        <v>3.47</v>
      </c>
      <c r="J607" s="15">
        <v>91.4</v>
      </c>
      <c r="K607" s="15">
        <v>45.48</v>
      </c>
      <c r="L607" s="15">
        <v>18.239999999999998</v>
      </c>
      <c r="M607" s="15">
        <v>2.25</v>
      </c>
      <c r="N607" s="15">
        <v>1</v>
      </c>
      <c r="O607" s="15">
        <v>3.49</v>
      </c>
      <c r="P607" s="9">
        <v>1.16784</v>
      </c>
      <c r="Q607" s="9">
        <v>1.1401399999999999</v>
      </c>
      <c r="R607" s="9">
        <v>0.476744</v>
      </c>
      <c r="S607" s="9">
        <v>0.116455</v>
      </c>
      <c r="T607" s="9">
        <v>0.18301100000000001</v>
      </c>
      <c r="U607" s="9">
        <v>0.14996499999999999</v>
      </c>
      <c r="V607" s="9">
        <v>2.1884299999999999</v>
      </c>
      <c r="W607" s="9">
        <v>1.91944</v>
      </c>
      <c r="X607" s="9">
        <v>2.2416</v>
      </c>
      <c r="Y607" s="9">
        <v>13.664899999999999</v>
      </c>
      <c r="Z607" s="9">
        <v>4.9604400000000002</v>
      </c>
      <c r="AA607" s="9">
        <f t="shared" si="97"/>
        <v>0.55315273775216134</v>
      </c>
      <c r="AB607" s="9">
        <f t="shared" si="98"/>
        <v>0.83861671469740628</v>
      </c>
      <c r="AC607" s="9">
        <f t="shared" si="99"/>
        <v>0.64553314121037464</v>
      </c>
      <c r="AD607" s="9">
        <f t="shared" si="100"/>
        <v>4.4647781480755402</v>
      </c>
      <c r="AE607" s="9">
        <f t="shared" si="101"/>
        <v>1.6207410311703587</v>
      </c>
      <c r="AF607" s="9">
        <f t="shared" si="102"/>
        <v>4.6981439998112213</v>
      </c>
      <c r="AG607" s="9">
        <f t="shared" si="94"/>
        <v>0.98702544934470149</v>
      </c>
      <c r="AH607" s="9">
        <f t="shared" si="93"/>
        <v>0.92774003337995081</v>
      </c>
      <c r="AI607" s="9">
        <f t="shared" si="95"/>
        <v>1.0579793649234868</v>
      </c>
      <c r="AJ607" s="9">
        <f>(4*PI()*(AI607^2))/(Y607+E607)</f>
        <v>0.84097899530381282</v>
      </c>
      <c r="AK607" s="12">
        <f t="shared" si="96"/>
        <v>0.99426934097421205</v>
      </c>
      <c r="AL607" s="12" t="s">
        <v>144</v>
      </c>
      <c r="AM607" s="12" t="s">
        <v>142</v>
      </c>
      <c r="AN607" s="16">
        <v>1.2828999999999999</v>
      </c>
      <c r="AO607" s="16">
        <v>0.26919999999999999</v>
      </c>
      <c r="AP607" s="16">
        <v>5472.7</v>
      </c>
      <c r="AQ607" s="16">
        <v>4818.1000000000004</v>
      </c>
      <c r="AR607" s="16">
        <v>0.39407999999999999</v>
      </c>
      <c r="AS607" s="16">
        <v>1.6265000000000002E-2</v>
      </c>
      <c r="AT607" s="16">
        <v>0.70687</v>
      </c>
      <c r="AU607" s="16">
        <v>13.984999999999999</v>
      </c>
      <c r="AV607" s="16">
        <v>0.5605</v>
      </c>
      <c r="AW607" s="16">
        <v>1.4796999999999999E-2</v>
      </c>
      <c r="AX607" s="16">
        <v>3.7532000000000003E-2</v>
      </c>
      <c r="AY607" s="16">
        <v>0.75377000000000005</v>
      </c>
      <c r="AZ607" s="16">
        <v>-15.814</v>
      </c>
      <c r="BA607" s="16">
        <v>4.8094999999999999E-2</v>
      </c>
      <c r="BB607" s="16">
        <v>13.465999999999999</v>
      </c>
      <c r="BC607" s="16" t="s">
        <v>162</v>
      </c>
      <c r="BD607" s="34" t="s">
        <v>163</v>
      </c>
      <c r="BE607" t="s">
        <v>167</v>
      </c>
    </row>
    <row r="608" spans="1:57" x14ac:dyDescent="0.25">
      <c r="A608" s="18" t="s">
        <v>678</v>
      </c>
      <c r="B608" s="18" t="s">
        <v>5</v>
      </c>
      <c r="C608" s="18" t="s">
        <v>6</v>
      </c>
      <c r="D608" s="18">
        <v>39</v>
      </c>
      <c r="E608" s="18">
        <v>19.058</v>
      </c>
      <c r="F608" s="18">
        <v>17.073</v>
      </c>
      <c r="G608" s="15">
        <v>11.48</v>
      </c>
      <c r="H608" s="15">
        <v>9.3000000000000007</v>
      </c>
      <c r="I608" s="15">
        <v>2.8</v>
      </c>
      <c r="J608" s="15">
        <v>15.83</v>
      </c>
      <c r="K608" s="15">
        <v>46.11</v>
      </c>
      <c r="L608" s="15">
        <v>45.09</v>
      </c>
      <c r="M608" s="15">
        <v>8.6</v>
      </c>
      <c r="N608" s="15">
        <v>2</v>
      </c>
      <c r="O608" s="15">
        <f>0.73+2.55</f>
        <v>3.28</v>
      </c>
      <c r="P608" s="9">
        <v>2.1008499999999999</v>
      </c>
      <c r="Q608" s="9">
        <v>1.90886</v>
      </c>
      <c r="R608" s="9">
        <v>8.1081199999999999E-3</v>
      </c>
      <c r="S608" s="9">
        <v>0.18957199999999999</v>
      </c>
      <c r="T608" s="9">
        <v>0.20379800000000001</v>
      </c>
      <c r="U608" s="9">
        <v>3.4132999999999997E-2</v>
      </c>
      <c r="V608" s="9">
        <v>8.4748199999999994</v>
      </c>
      <c r="W608" s="9">
        <v>4.4397200000000003</v>
      </c>
      <c r="X608" s="9">
        <v>9.3272099999999991</v>
      </c>
      <c r="Y608" s="9">
        <v>223.00700000000001</v>
      </c>
      <c r="Z608" s="9">
        <v>314.63099999999997</v>
      </c>
      <c r="AA608" s="9">
        <f t="shared" si="97"/>
        <v>1.5856142857142859</v>
      </c>
      <c r="AB608" s="9">
        <f t="shared" si="98"/>
        <v>4.1000000000000005</v>
      </c>
      <c r="AC608" s="9">
        <f t="shared" si="99"/>
        <v>3.3214285714285721</v>
      </c>
      <c r="AD608" s="9">
        <f t="shared" si="100"/>
        <v>11.701490187847623</v>
      </c>
      <c r="AE608" s="9">
        <f t="shared" si="101"/>
        <v>16.509130024136844</v>
      </c>
      <c r="AF608" s="9">
        <f t="shared" si="102"/>
        <v>4.8207819508514937</v>
      </c>
      <c r="AG608" s="9">
        <f t="shared" si="94"/>
        <v>2.4629961045220274</v>
      </c>
      <c r="AH608" s="9">
        <f t="shared" si="93"/>
        <v>0.90642891908705903</v>
      </c>
      <c r="AI608" s="9">
        <f t="shared" si="95"/>
        <v>4.219273070768641</v>
      </c>
      <c r="AJ608" s="9">
        <f>(4*PI()*(AI608^2))/(Y608+E608)</f>
        <v>0.92417269267659896</v>
      </c>
      <c r="AK608" s="12">
        <f t="shared" si="96"/>
        <v>0.85365853658536583</v>
      </c>
      <c r="AL608" s="12" t="s">
        <v>140</v>
      </c>
      <c r="AM608" s="12" t="s">
        <v>142</v>
      </c>
      <c r="AN608" s="18">
        <v>4.3376999999999999</v>
      </c>
      <c r="AO608" s="18">
        <v>0.40486</v>
      </c>
      <c r="AP608" s="18">
        <v>5800.4</v>
      </c>
      <c r="AQ608" s="18">
        <v>5389.7</v>
      </c>
      <c r="AR608" s="18">
        <v>2.2503000000000002</v>
      </c>
      <c r="AS608" s="18">
        <v>1.6059E-2</v>
      </c>
      <c r="AT608" s="18">
        <v>0.73118000000000005</v>
      </c>
      <c r="AU608" s="18">
        <v>0.91337999999999997</v>
      </c>
      <c r="AV608" s="18">
        <v>0.17902000000000001</v>
      </c>
      <c r="AW608" s="18">
        <v>1.8720000000000001E-2</v>
      </c>
      <c r="AX608" s="18">
        <v>0.18240000000000001</v>
      </c>
      <c r="AY608" s="18">
        <v>7.0274999999999999</v>
      </c>
      <c r="AZ608" s="18">
        <v>213.49</v>
      </c>
      <c r="BA608" s="18">
        <v>0.17644000000000001</v>
      </c>
      <c r="BB608" s="18">
        <v>22.091000000000001</v>
      </c>
      <c r="BC608" s="18" t="s">
        <v>162</v>
      </c>
      <c r="BD608" s="35" t="s">
        <v>163</v>
      </c>
      <c r="BE608" t="s">
        <v>168</v>
      </c>
    </row>
    <row r="609" spans="1:57" x14ac:dyDescent="0.25">
      <c r="A609" s="18" t="s">
        <v>679</v>
      </c>
      <c r="B609" s="18" t="s">
        <v>5</v>
      </c>
      <c r="C609" s="18" t="s">
        <v>6</v>
      </c>
      <c r="D609" s="18">
        <v>57</v>
      </c>
      <c r="E609" s="18">
        <v>11.818</v>
      </c>
      <c r="F609" s="18">
        <v>12.763999999999999</v>
      </c>
      <c r="G609" s="15">
        <v>5.31</v>
      </c>
      <c r="H609" s="15">
        <v>2.2999999999999998</v>
      </c>
      <c r="I609" s="15">
        <v>2.4</v>
      </c>
      <c r="J609" s="15">
        <v>52.83</v>
      </c>
      <c r="K609" s="15">
        <v>15.33</v>
      </c>
      <c r="L609" s="15">
        <v>57.38</v>
      </c>
      <c r="M609" s="15">
        <v>5.2</v>
      </c>
      <c r="N609" s="15">
        <v>2</v>
      </c>
      <c r="O609" s="15">
        <f>2.22+2.95</f>
        <v>5.17</v>
      </c>
      <c r="P609" s="9">
        <v>0.61622100000000002</v>
      </c>
      <c r="Q609" s="9">
        <v>1.2915000000000001</v>
      </c>
      <c r="R609" s="9">
        <v>0.477273</v>
      </c>
      <c r="S609" s="9">
        <v>6.0320699999999998E-2</v>
      </c>
      <c r="T609" s="9">
        <v>6.3585600000000006E-2</v>
      </c>
      <c r="U609" s="9">
        <v>1.85243E-4</v>
      </c>
      <c r="V609" s="9">
        <v>4.7901999999999996</v>
      </c>
      <c r="W609" s="9">
        <v>3.7090200000000002</v>
      </c>
      <c r="X609" s="9">
        <v>2.2855699999999999</v>
      </c>
      <c r="Y609" s="9">
        <v>28.2607</v>
      </c>
      <c r="Z609" s="9">
        <v>18.1036</v>
      </c>
      <c r="AA609" s="9">
        <f t="shared" si="97"/>
        <v>1.545425</v>
      </c>
      <c r="AB609" s="9">
        <f t="shared" si="98"/>
        <v>2.2124999999999999</v>
      </c>
      <c r="AC609" s="9">
        <f t="shared" si="99"/>
        <v>0.95833333333333326</v>
      </c>
      <c r="AD609" s="9">
        <f t="shared" si="100"/>
        <v>2.3913267896429176</v>
      </c>
      <c r="AE609" s="9">
        <f t="shared" si="101"/>
        <v>1.5318666441022171</v>
      </c>
      <c r="AF609" s="9">
        <f t="shared" si="102"/>
        <v>4.0989531203004503</v>
      </c>
      <c r="AG609" s="9">
        <f t="shared" si="94"/>
        <v>1.9395324784390795</v>
      </c>
      <c r="AH609" s="9">
        <f t="shared" si="93"/>
        <v>0.95475101624302983</v>
      </c>
      <c r="AI609" s="9">
        <f t="shared" si="95"/>
        <v>1.628891331059056</v>
      </c>
      <c r="AJ609" s="9">
        <f>(4*PI()*(AI609^2))/(Y609+E609)</f>
        <v>0.83191788633752195</v>
      </c>
      <c r="AK609" s="12">
        <f t="shared" si="96"/>
        <v>0.46421663442940037</v>
      </c>
      <c r="AL609" s="12" t="s">
        <v>144</v>
      </c>
      <c r="AM609" s="12" t="s">
        <v>142</v>
      </c>
      <c r="AN609" s="18">
        <v>14.1</v>
      </c>
      <c r="AO609" s="18">
        <v>1.0253000000000001</v>
      </c>
      <c r="AP609" s="18">
        <v>20179</v>
      </c>
      <c r="AQ609" s="18">
        <v>19741</v>
      </c>
      <c r="AR609" s="18">
        <v>6.2013999999999996</v>
      </c>
      <c r="AS609" s="18">
        <v>1.2238000000000001E-2</v>
      </c>
      <c r="AT609" s="18">
        <v>0.75914000000000004</v>
      </c>
      <c r="AU609" s="18">
        <v>0.26688000000000001</v>
      </c>
      <c r="AV609" s="18">
        <v>3.039E-3</v>
      </c>
      <c r="AW609" s="18">
        <v>6.4469000000000002E-3</v>
      </c>
      <c r="AX609" s="18">
        <v>0.44370999999999999</v>
      </c>
      <c r="AY609" s="18">
        <v>0.52176</v>
      </c>
      <c r="AZ609" s="18">
        <v>-5874.7</v>
      </c>
      <c r="BA609" s="18">
        <v>1.1192000000000001E-2</v>
      </c>
      <c r="BB609" s="18">
        <v>7.1817000000000002</v>
      </c>
      <c r="BC609" s="18" t="s">
        <v>164</v>
      </c>
      <c r="BD609" s="35" t="s">
        <v>165</v>
      </c>
      <c r="BE609" t="s">
        <v>168</v>
      </c>
    </row>
    <row r="610" spans="1:57" x14ac:dyDescent="0.25">
      <c r="A610" s="18" t="s">
        <v>680</v>
      </c>
      <c r="B610" s="18" t="s">
        <v>5</v>
      </c>
      <c r="C610" s="18" t="s">
        <v>6</v>
      </c>
      <c r="D610" s="18">
        <v>53</v>
      </c>
      <c r="E610" s="18">
        <v>9.4535</v>
      </c>
      <c r="F610" s="18">
        <v>11.347</v>
      </c>
      <c r="G610" s="15">
        <v>10.06</v>
      </c>
      <c r="H610" s="15">
        <v>9.5</v>
      </c>
      <c r="I610" s="15">
        <v>2.85</v>
      </c>
      <c r="J610" s="15">
        <v>37.92</v>
      </c>
      <c r="K610" s="15">
        <v>70.88</v>
      </c>
      <c r="L610" s="15">
        <v>48.79</v>
      </c>
      <c r="M610" s="15">
        <v>7.4</v>
      </c>
      <c r="N610" s="15">
        <v>2</v>
      </c>
      <c r="O610" s="15">
        <f>2.61+1.84</f>
        <v>4.45</v>
      </c>
      <c r="P610" s="9">
        <v>2.8835099999999998</v>
      </c>
      <c r="Q610" s="9">
        <v>2.0721500000000002</v>
      </c>
      <c r="R610" s="9">
        <v>3.4031400000000003E-2</v>
      </c>
      <c r="S610" s="9">
        <v>0.23755000000000001</v>
      </c>
      <c r="T610" s="9">
        <v>0.35614400000000002</v>
      </c>
      <c r="U610" s="9">
        <v>0.22817799999999999</v>
      </c>
      <c r="V610" s="9">
        <v>6.9032600000000004</v>
      </c>
      <c r="W610" s="9">
        <v>3.3314400000000002</v>
      </c>
      <c r="X610" s="9">
        <v>9.6062399999999997</v>
      </c>
      <c r="Y610" s="9">
        <v>162.179</v>
      </c>
      <c r="Z610" s="9">
        <v>141.893</v>
      </c>
      <c r="AA610" s="9">
        <f t="shared" si="97"/>
        <v>1.1689263157894738</v>
      </c>
      <c r="AB610" s="9">
        <f t="shared" si="98"/>
        <v>3.5298245614035086</v>
      </c>
      <c r="AC610" s="9">
        <f t="shared" si="99"/>
        <v>3.333333333333333</v>
      </c>
      <c r="AD610" s="9">
        <f t="shared" si="100"/>
        <v>17.155445073253293</v>
      </c>
      <c r="AE610" s="9">
        <f t="shared" si="101"/>
        <v>15.009573173956735</v>
      </c>
      <c r="AF610" s="9">
        <f t="shared" si="102"/>
        <v>5.9614783476036708</v>
      </c>
      <c r="AG610" s="9">
        <f t="shared" si="94"/>
        <v>1.73468801490022</v>
      </c>
      <c r="AH610" s="9">
        <f t="shared" ref="AH610:AH673" si="103">(2*PI()*AG610)/F610</f>
        <v>0.96055047569944363</v>
      </c>
      <c r="AI610" s="9">
        <f t="shared" si="95"/>
        <v>3.2356195729031345</v>
      </c>
      <c r="AJ610" s="9">
        <f>(4*PI()*(AI610^2))/(Y610+E610)</f>
        <v>0.76652309294997978</v>
      </c>
      <c r="AK610" s="12">
        <f t="shared" si="96"/>
        <v>0.6404494382022472</v>
      </c>
      <c r="AL610" s="12" t="s">
        <v>140</v>
      </c>
      <c r="AM610" s="12" t="s">
        <v>142</v>
      </c>
      <c r="AN610" s="18">
        <v>10.3</v>
      </c>
      <c r="AO610" s="18">
        <v>0.56391999999999998</v>
      </c>
      <c r="AP610" s="18">
        <v>17627</v>
      </c>
      <c r="AQ610" s="18">
        <v>17139</v>
      </c>
      <c r="AR610" s="18">
        <v>5.1826999999999996</v>
      </c>
      <c r="AS610" s="18">
        <v>8.5830000000000004E-3</v>
      </c>
      <c r="AT610" s="18">
        <v>0.72760000000000002</v>
      </c>
      <c r="AU610" s="18">
        <v>0.73758000000000001</v>
      </c>
      <c r="AV610" s="18">
        <v>0.21540000000000001</v>
      </c>
      <c r="AW610" s="18">
        <v>5.8110000000000002E-3</v>
      </c>
      <c r="AX610" s="18">
        <v>0.33363999999999999</v>
      </c>
      <c r="AY610" s="18">
        <v>-4.7919</v>
      </c>
      <c r="AZ610" s="18">
        <v>-2872.9</v>
      </c>
      <c r="BA610" s="18">
        <v>0.13003999999999999</v>
      </c>
      <c r="BB610" s="18">
        <v>18.571000000000002</v>
      </c>
      <c r="BC610" s="18" t="s">
        <v>162</v>
      </c>
      <c r="BD610" s="35" t="s">
        <v>165</v>
      </c>
      <c r="BE610" t="s">
        <v>168</v>
      </c>
    </row>
    <row r="611" spans="1:57" x14ac:dyDescent="0.25">
      <c r="A611" s="18" t="s">
        <v>681</v>
      </c>
      <c r="B611" s="18" t="s">
        <v>5</v>
      </c>
      <c r="C611" s="18" t="s">
        <v>14</v>
      </c>
      <c r="D611" s="18">
        <v>57</v>
      </c>
      <c r="E611" s="18">
        <v>3.8313999999999999</v>
      </c>
      <c r="F611" s="18">
        <v>7.1295999999999999</v>
      </c>
      <c r="G611" s="15">
        <v>4.22</v>
      </c>
      <c r="H611" s="15">
        <v>3.3</v>
      </c>
      <c r="I611" s="15">
        <v>2.84</v>
      </c>
      <c r="J611" s="15">
        <v>77.760000000000005</v>
      </c>
      <c r="K611" s="15">
        <v>43.81</v>
      </c>
      <c r="L611" s="15">
        <v>29.56</v>
      </c>
      <c r="M611" s="15">
        <v>3</v>
      </c>
      <c r="N611" s="15">
        <v>1</v>
      </c>
      <c r="O611" s="15">
        <v>2.31</v>
      </c>
      <c r="P611" s="9">
        <v>1.5438799999999999</v>
      </c>
      <c r="Q611" s="9">
        <v>1.3739699999999999</v>
      </c>
      <c r="R611" s="9">
        <v>-0.20769199999999999</v>
      </c>
      <c r="S611" s="9">
        <v>0.17416000000000001</v>
      </c>
      <c r="T611" s="9">
        <v>0.22972000000000001</v>
      </c>
      <c r="U611" s="9">
        <v>0.14242199999999999</v>
      </c>
      <c r="V611" s="9">
        <v>2.9613399999999999</v>
      </c>
      <c r="W611" s="9">
        <v>2.1553100000000001</v>
      </c>
      <c r="X611" s="9">
        <v>3.32755</v>
      </c>
      <c r="Y611" s="9">
        <v>25.631900000000002</v>
      </c>
      <c r="Z611" s="9">
        <v>11.6663</v>
      </c>
      <c r="AA611" s="9">
        <f t="shared" si="97"/>
        <v>0.75891197183098602</v>
      </c>
      <c r="AB611" s="9">
        <f t="shared" si="98"/>
        <v>1.4859154929577465</v>
      </c>
      <c r="AC611" s="9">
        <f t="shared" si="99"/>
        <v>1.1619718309859155</v>
      </c>
      <c r="AD611" s="9">
        <f t="shared" si="100"/>
        <v>6.6899566738007001</v>
      </c>
      <c r="AE611" s="9">
        <f t="shared" si="101"/>
        <v>3.0449183066242105</v>
      </c>
      <c r="AF611" s="9">
        <f t="shared" si="102"/>
        <v>4.9830132267356033</v>
      </c>
      <c r="AG611" s="9">
        <f t="shared" si="94"/>
        <v>1.1043425636660826</v>
      </c>
      <c r="AH611" s="9">
        <f t="shared" si="103"/>
        <v>0.97323678328654728</v>
      </c>
      <c r="AI611" s="9">
        <f t="shared" si="95"/>
        <v>1.4069592215371691</v>
      </c>
      <c r="AJ611" s="9">
        <f>(4*PI()*(AI611^2))/(Y611+E611)</f>
        <v>0.84428971102165751</v>
      </c>
      <c r="AK611" s="12">
        <f t="shared" si="96"/>
        <v>1.2294372294372293</v>
      </c>
      <c r="AL611" s="12" t="s">
        <v>140</v>
      </c>
      <c r="AM611" s="12" t="s">
        <v>142</v>
      </c>
      <c r="AN611" s="18">
        <v>8.6440999999999999</v>
      </c>
      <c r="AO611" s="18">
        <v>0.83726</v>
      </c>
      <c r="AP611" s="18">
        <v>21424</v>
      </c>
      <c r="AQ611" s="18">
        <v>21122</v>
      </c>
      <c r="AR611" s="18">
        <v>3.9771999999999998</v>
      </c>
      <c r="AS611" s="18">
        <v>1.0191E-2</v>
      </c>
      <c r="AT611" s="18">
        <v>0.75505999999999995</v>
      </c>
      <c r="AU611" s="18">
        <v>0.75882000000000005</v>
      </c>
      <c r="AV611" s="18">
        <v>6.1667E-2</v>
      </c>
      <c r="AW611" s="18">
        <v>7.1396999999999997E-3</v>
      </c>
      <c r="AX611" s="18">
        <v>0.24342</v>
      </c>
      <c r="AY611" s="18">
        <v>3.5003000000000002</v>
      </c>
      <c r="AZ611" s="18">
        <v>2091.3000000000002</v>
      </c>
      <c r="BA611" s="18">
        <v>2.8826000000000001E-2</v>
      </c>
      <c r="BB611" s="18">
        <v>12.756</v>
      </c>
      <c r="BC611" s="18" t="s">
        <v>162</v>
      </c>
      <c r="BD611" s="35" t="s">
        <v>163</v>
      </c>
      <c r="BE611" t="s">
        <v>167</v>
      </c>
    </row>
    <row r="612" spans="1:57" x14ac:dyDescent="0.25">
      <c r="A612" s="16" t="s">
        <v>682</v>
      </c>
      <c r="B612" s="16" t="s">
        <v>5</v>
      </c>
      <c r="C612" s="16" t="s">
        <v>6</v>
      </c>
      <c r="D612" s="16">
        <v>63</v>
      </c>
      <c r="E612" s="16">
        <v>9.1372999999999998</v>
      </c>
      <c r="F612" s="16">
        <v>11.086</v>
      </c>
      <c r="G612" s="15">
        <v>8.0399999999999991</v>
      </c>
      <c r="H612" s="15">
        <v>7.2</v>
      </c>
      <c r="I612" s="15">
        <v>3.32</v>
      </c>
      <c r="J612" s="15">
        <v>65.489999999999995</v>
      </c>
      <c r="K612" s="15">
        <v>63.41</v>
      </c>
      <c r="L612" s="15">
        <v>31.9</v>
      </c>
      <c r="M612" s="15">
        <v>4.3</v>
      </c>
      <c r="N612" s="15">
        <v>1</v>
      </c>
      <c r="O612" s="15">
        <v>3.52</v>
      </c>
      <c r="P612" s="9">
        <v>2.1650399999999999</v>
      </c>
      <c r="Q612" s="9">
        <v>1.1029</v>
      </c>
      <c r="R612" s="9">
        <v>0.49295800000000001</v>
      </c>
      <c r="S612" s="9">
        <v>0.25434299999999999</v>
      </c>
      <c r="T612" s="9">
        <v>0.29760999999999999</v>
      </c>
      <c r="U612" s="9">
        <v>0.178505</v>
      </c>
      <c r="V612" s="9">
        <v>3.6433499999999999</v>
      </c>
      <c r="W612" s="9">
        <v>3.30341</v>
      </c>
      <c r="X612" s="9">
        <v>7.1520099999999998</v>
      </c>
      <c r="Y612" s="9">
        <v>62.959600000000002</v>
      </c>
      <c r="Z612" s="9">
        <v>39.1066</v>
      </c>
      <c r="AA612" s="9">
        <f t="shared" si="97"/>
        <v>0.99500301204819286</v>
      </c>
      <c r="AB612" s="9">
        <f t="shared" si="98"/>
        <v>2.4216867469879517</v>
      </c>
      <c r="AC612" s="9">
        <f t="shared" si="99"/>
        <v>2.168674698795181</v>
      </c>
      <c r="AD612" s="9">
        <f t="shared" si="100"/>
        <v>6.8903943177962859</v>
      </c>
      <c r="AE612" s="9">
        <f t="shared" si="101"/>
        <v>4.2798857430531996</v>
      </c>
      <c r="AF612" s="9">
        <f t="shared" si="102"/>
        <v>5.4646445793615026</v>
      </c>
      <c r="AG612" s="9">
        <f t="shared" si="94"/>
        <v>1.7054304216317799</v>
      </c>
      <c r="AH612" s="9">
        <f t="shared" si="103"/>
        <v>0.96658265989661618</v>
      </c>
      <c r="AI612" s="9">
        <f t="shared" si="95"/>
        <v>2.1056546803013525</v>
      </c>
      <c r="AJ612" s="9">
        <f>(4*PI()*(AI612^2))/(Y612+E612)</f>
        <v>0.77280081694680969</v>
      </c>
      <c r="AK612" s="12">
        <f t="shared" si="96"/>
        <v>0.94318181818181812</v>
      </c>
      <c r="AL612" s="12" t="s">
        <v>140</v>
      </c>
      <c r="AM612" s="12" t="s">
        <v>143</v>
      </c>
      <c r="AN612" s="16">
        <v>4.1017999999999999</v>
      </c>
      <c r="AO612" s="16">
        <v>0.45752999999999999</v>
      </c>
      <c r="AP612" s="16">
        <v>7163.1</v>
      </c>
      <c r="AQ612" s="16">
        <v>6778.5</v>
      </c>
      <c r="AR612" s="16">
        <v>2.2307000000000001</v>
      </c>
      <c r="AS612" s="16">
        <v>7.6327000000000001E-3</v>
      </c>
      <c r="AT612" s="16">
        <v>0.71758999999999995</v>
      </c>
      <c r="AU612" s="16">
        <v>3.7048999999999999</v>
      </c>
      <c r="AV612" s="16">
        <v>0.32740999999999998</v>
      </c>
      <c r="AW612" s="16">
        <v>7.6274000000000003E-3</v>
      </c>
      <c r="AX612" s="16">
        <v>0.14113000000000001</v>
      </c>
      <c r="AY612" s="16">
        <v>1.8163</v>
      </c>
      <c r="AZ612" s="16">
        <v>799.75</v>
      </c>
      <c r="BA612" s="16">
        <v>3.5490000000000001E-2</v>
      </c>
      <c r="BB612" s="16">
        <v>5.1917</v>
      </c>
      <c r="BC612" s="16" t="s">
        <v>164</v>
      </c>
      <c r="BD612" s="34" t="s">
        <v>165</v>
      </c>
      <c r="BE612" t="s">
        <v>167</v>
      </c>
    </row>
    <row r="613" spans="1:57" x14ac:dyDescent="0.25">
      <c r="A613" s="16" t="s">
        <v>683</v>
      </c>
      <c r="B613" s="16" t="s">
        <v>5</v>
      </c>
      <c r="C613" s="16" t="s">
        <v>6</v>
      </c>
      <c r="D613" s="16">
        <v>45</v>
      </c>
      <c r="E613" s="16">
        <v>9.2034000000000002</v>
      </c>
      <c r="F613" s="16">
        <v>11.002000000000001</v>
      </c>
      <c r="G613" s="15">
        <v>11.17</v>
      </c>
      <c r="H613" s="15">
        <v>8.4</v>
      </c>
      <c r="I613" s="15">
        <v>1.94</v>
      </c>
      <c r="J613" s="15">
        <v>57.65</v>
      </c>
      <c r="K613" s="15">
        <v>43.89</v>
      </c>
      <c r="L613" s="15">
        <v>51.64</v>
      </c>
      <c r="M613" s="15">
        <v>6.7</v>
      </c>
      <c r="N613" s="15">
        <v>1</v>
      </c>
      <c r="O613" s="15">
        <v>1.61</v>
      </c>
      <c r="P613" s="9">
        <v>2.4517799999999998</v>
      </c>
      <c r="Q613" s="9">
        <v>2.68607</v>
      </c>
      <c r="R613" s="9">
        <v>-0.12576699999999999</v>
      </c>
      <c r="S613" s="9">
        <v>0.23988899999999999</v>
      </c>
      <c r="T613" s="9">
        <v>0.32009799999999999</v>
      </c>
      <c r="U613" s="9">
        <v>0.226631</v>
      </c>
      <c r="V613" s="9">
        <v>8.9860100000000003</v>
      </c>
      <c r="W613" s="9">
        <v>3.3454100000000002</v>
      </c>
      <c r="X613" s="9">
        <v>8.2021999999999995</v>
      </c>
      <c r="Y613" s="9">
        <v>176.499</v>
      </c>
      <c r="Z613" s="9">
        <v>174.81299999999999</v>
      </c>
      <c r="AA613" s="9">
        <f t="shared" si="97"/>
        <v>1.7244381443298971</v>
      </c>
      <c r="AB613" s="9">
        <f t="shared" si="98"/>
        <v>5.7577319587628866</v>
      </c>
      <c r="AC613" s="9">
        <f t="shared" si="99"/>
        <v>4.3298969072164954</v>
      </c>
      <c r="AD613" s="9">
        <f t="shared" si="100"/>
        <v>19.177586544103264</v>
      </c>
      <c r="AE613" s="9">
        <f t="shared" si="101"/>
        <v>18.994393376360907</v>
      </c>
      <c r="AF613" s="9">
        <f t="shared" si="102"/>
        <v>5.6453789366716682</v>
      </c>
      <c r="AG613" s="9">
        <f t="shared" si="94"/>
        <v>1.7115879195951049</v>
      </c>
      <c r="AH613" s="9">
        <f t="shared" si="103"/>
        <v>0.97747901002963444</v>
      </c>
      <c r="AI613" s="9">
        <f t="shared" si="95"/>
        <v>3.4686597874568164</v>
      </c>
      <c r="AJ613" s="9">
        <f>(4*PI()*(AI613^2))/(Y613+E613)</f>
        <v>0.81417124251266859</v>
      </c>
      <c r="AK613" s="12">
        <f t="shared" si="96"/>
        <v>1.2049689440993787</v>
      </c>
      <c r="AL613" s="12" t="s">
        <v>140</v>
      </c>
      <c r="AM613" s="12" t="s">
        <v>143</v>
      </c>
      <c r="AN613" s="16">
        <v>13.965999999999999</v>
      </c>
      <c r="AO613" s="16">
        <v>0.42341000000000001</v>
      </c>
      <c r="AP613" s="16">
        <v>21641</v>
      </c>
      <c r="AQ613" s="16">
        <v>20468</v>
      </c>
      <c r="AR613" s="16">
        <v>6.9458000000000002</v>
      </c>
      <c r="AS613" s="16">
        <v>6.2582999999999996E-3</v>
      </c>
      <c r="AT613" s="16">
        <v>0.75222999999999995</v>
      </c>
      <c r="AU613" s="16">
        <v>0.48926999999999998</v>
      </c>
      <c r="AV613" s="16">
        <v>0.23329</v>
      </c>
      <c r="AW613" s="16">
        <v>4.4171000000000002E-3</v>
      </c>
      <c r="AX613" s="16">
        <v>0.40273999999999999</v>
      </c>
      <c r="AY613" s="16">
        <v>1.7454000000000001</v>
      </c>
      <c r="AZ613" s="16">
        <v>9830.2999999999993</v>
      </c>
      <c r="BA613" s="16">
        <v>4.4158999999999997E-2</v>
      </c>
      <c r="BB613" s="16">
        <v>3.5960999999999999</v>
      </c>
      <c r="BC613" s="16" t="s">
        <v>162</v>
      </c>
      <c r="BD613" s="34" t="s">
        <v>165</v>
      </c>
      <c r="BE613" t="s">
        <v>167</v>
      </c>
    </row>
    <row r="614" spans="1:57" x14ac:dyDescent="0.25">
      <c r="A614" s="18" t="s">
        <v>684</v>
      </c>
      <c r="B614" s="18" t="s">
        <v>5</v>
      </c>
      <c r="C614" s="18" t="s">
        <v>6</v>
      </c>
      <c r="D614" s="18">
        <v>58</v>
      </c>
      <c r="E614" s="18">
        <v>7.1456</v>
      </c>
      <c r="F614" s="18">
        <v>9.9770000000000003</v>
      </c>
      <c r="G614" s="15">
        <v>3.95</v>
      </c>
      <c r="H614" s="15">
        <v>2.4900000000000002</v>
      </c>
      <c r="I614" s="15">
        <v>3.94</v>
      </c>
      <c r="J614" s="15">
        <v>91.5</v>
      </c>
      <c r="K614" s="15">
        <v>30.11</v>
      </c>
      <c r="L614" s="15">
        <v>42.95</v>
      </c>
      <c r="M614" s="15">
        <v>3.5</v>
      </c>
      <c r="N614" s="15">
        <v>2</v>
      </c>
      <c r="O614" s="15">
        <f>3.98+2.07</f>
        <v>6.05</v>
      </c>
      <c r="P614" s="9">
        <v>0.84502900000000003</v>
      </c>
      <c r="Q614" s="9">
        <v>1.1558299999999999</v>
      </c>
      <c r="R614" s="9">
        <v>0.47916700000000001</v>
      </c>
      <c r="S614" s="9">
        <v>8.8258299999999998E-2</v>
      </c>
      <c r="T614" s="9">
        <v>0.12243900000000001</v>
      </c>
      <c r="U614" s="9">
        <v>7.6776999999999998E-2</v>
      </c>
      <c r="V614" s="9">
        <v>3.39453</v>
      </c>
      <c r="W614" s="9">
        <v>2.9368799999999999</v>
      </c>
      <c r="X614" s="9">
        <v>2.4817499999999999</v>
      </c>
      <c r="Y614" s="9">
        <v>18.360399999999998</v>
      </c>
      <c r="Z614" s="9">
        <v>8.6006</v>
      </c>
      <c r="AA614" s="9">
        <f t="shared" si="97"/>
        <v>0.74540101522842639</v>
      </c>
      <c r="AB614" s="9">
        <f t="shared" si="98"/>
        <v>1.0025380710659899</v>
      </c>
      <c r="AC614" s="9">
        <f t="shared" si="99"/>
        <v>0.63197969543147214</v>
      </c>
      <c r="AD614" s="9">
        <f t="shared" si="100"/>
        <v>2.5694693237796686</v>
      </c>
      <c r="AE614" s="9">
        <f t="shared" si="101"/>
        <v>1.2036218092252575</v>
      </c>
      <c r="AF614" s="9">
        <f t="shared" si="102"/>
        <v>4.3738408053978866</v>
      </c>
      <c r="AG614" s="9">
        <f t="shared" si="94"/>
        <v>1.5081495690795708</v>
      </c>
      <c r="AH614" s="9">
        <f t="shared" si="103"/>
        <v>0.94978282183722396</v>
      </c>
      <c r="AI614" s="9">
        <f t="shared" si="95"/>
        <v>1.271003403464867</v>
      </c>
      <c r="AJ614" s="9">
        <f>(4*PI()*(AI614^2))/(Y614+E614)</f>
        <v>0.79590445507273666</v>
      </c>
      <c r="AK614" s="12">
        <f t="shared" si="96"/>
        <v>0.65123966942148759</v>
      </c>
      <c r="AL614" s="12" t="s">
        <v>144</v>
      </c>
      <c r="AM614" s="12" t="s">
        <v>142</v>
      </c>
      <c r="AN614" s="18">
        <v>10.662000000000001</v>
      </c>
      <c r="AO614" s="18">
        <v>0.85675000000000001</v>
      </c>
      <c r="AP614" s="18">
        <v>33392</v>
      </c>
      <c r="AQ614" s="18">
        <v>25036</v>
      </c>
      <c r="AR614" s="18">
        <v>5.0820999999999996</v>
      </c>
      <c r="AS614" s="18">
        <v>1.0116E-2</v>
      </c>
      <c r="AT614" s="18">
        <v>0.75309999999999999</v>
      </c>
      <c r="AU614" s="18">
        <v>0.64697000000000005</v>
      </c>
      <c r="AV614" s="18">
        <v>7.0927000000000004E-2</v>
      </c>
      <c r="AW614" s="18">
        <v>4.1127999999999998E-3</v>
      </c>
      <c r="AX614" s="18">
        <v>0.31964999999999999</v>
      </c>
      <c r="AY614" s="18">
        <v>3.1661000000000001</v>
      </c>
      <c r="AZ614" s="18">
        <v>7973.4</v>
      </c>
      <c r="BA614" s="18">
        <v>7.7368000000000003E-3</v>
      </c>
      <c r="BB614" s="18">
        <v>5.1193</v>
      </c>
      <c r="BC614" s="18" t="s">
        <v>164</v>
      </c>
      <c r="BD614" s="35" t="s">
        <v>165</v>
      </c>
      <c r="BE614" t="s">
        <v>168</v>
      </c>
    </row>
    <row r="615" spans="1:57" x14ac:dyDescent="0.25">
      <c r="A615" s="18" t="s">
        <v>685</v>
      </c>
      <c r="B615" s="18" t="s">
        <v>5</v>
      </c>
      <c r="C615" s="18" t="s">
        <v>6</v>
      </c>
      <c r="D615" s="18">
        <v>58</v>
      </c>
      <c r="E615" s="18">
        <v>8.4032</v>
      </c>
      <c r="F615" s="18">
        <v>9.0940999999999992</v>
      </c>
      <c r="G615" s="15">
        <v>3.76</v>
      </c>
      <c r="H615" s="15">
        <v>1.7</v>
      </c>
      <c r="I615" s="15">
        <v>3.34</v>
      </c>
      <c r="J615" s="15">
        <v>83.69</v>
      </c>
      <c r="K615" s="15">
        <v>0</v>
      </c>
      <c r="L615" s="15">
        <v>33.01</v>
      </c>
      <c r="M615" s="15">
        <v>3.76</v>
      </c>
      <c r="N615" s="15">
        <v>2</v>
      </c>
      <c r="O615" s="15">
        <f>3.37+1.52</f>
        <v>4.8900000000000006</v>
      </c>
      <c r="P615" s="9">
        <v>0.70371399999999995</v>
      </c>
      <c r="Q615" s="9">
        <v>1.44187</v>
      </c>
      <c r="R615" s="9">
        <v>0.46969699999999998</v>
      </c>
      <c r="S615" s="9">
        <v>5.6716200000000001E-2</v>
      </c>
      <c r="T615" s="9">
        <v>7.7553499999999997E-2</v>
      </c>
      <c r="U615" s="9">
        <v>5.5227600000000002E-2</v>
      </c>
      <c r="V615" s="9">
        <v>3.5111699999999999</v>
      </c>
      <c r="W615" s="9">
        <v>2.4351500000000001</v>
      </c>
      <c r="X615" s="9">
        <v>1.7136499999999999</v>
      </c>
      <c r="Y615" s="9">
        <v>12.627700000000001</v>
      </c>
      <c r="Z615" s="9">
        <v>5.2866999999999997</v>
      </c>
      <c r="AA615" s="9">
        <f t="shared" si="97"/>
        <v>0.72908682634730548</v>
      </c>
      <c r="AB615" s="9">
        <f t="shared" si="98"/>
        <v>1.125748502994012</v>
      </c>
      <c r="AC615" s="9">
        <f t="shared" si="99"/>
        <v>0.50898203592814373</v>
      </c>
      <c r="AD615" s="9">
        <f t="shared" si="100"/>
        <v>1.5027251523229248</v>
      </c>
      <c r="AE615" s="9">
        <f t="shared" si="101"/>
        <v>0.62912937928408219</v>
      </c>
      <c r="AF615" s="9">
        <f t="shared" si="102"/>
        <v>4.1610328521499644</v>
      </c>
      <c r="AG615" s="9">
        <f t="shared" si="94"/>
        <v>1.635488194876267</v>
      </c>
      <c r="AH615" s="9">
        <f t="shared" si="103"/>
        <v>1.129971673514941</v>
      </c>
      <c r="AI615" s="9">
        <f t="shared" si="95"/>
        <v>1.0806839108047188</v>
      </c>
      <c r="AJ615" s="9">
        <f>(4*PI()*(AI615^2))/(Y615+E615)</f>
        <v>0.69782958408094731</v>
      </c>
      <c r="AK615" s="12">
        <f t="shared" si="96"/>
        <v>0.68302658486707557</v>
      </c>
      <c r="AL615" s="12" t="s">
        <v>144</v>
      </c>
      <c r="AM615" s="12" t="s">
        <v>142</v>
      </c>
      <c r="AN615" s="18">
        <v>14.605</v>
      </c>
      <c r="AO615" s="18">
        <v>0.84589999999999999</v>
      </c>
      <c r="AP615" s="18">
        <v>18662</v>
      </c>
      <c r="AQ615" s="18">
        <v>17967</v>
      </c>
      <c r="AR615" s="18">
        <v>6.8131000000000004</v>
      </c>
      <c r="AS615" s="18">
        <v>3.4088999999999999E-3</v>
      </c>
      <c r="AT615" s="18">
        <v>0.75192000000000003</v>
      </c>
      <c r="AU615" s="18">
        <v>0.20247000000000001</v>
      </c>
      <c r="AV615" s="19">
        <v>8.7987000000000004E-4</v>
      </c>
      <c r="AW615" s="18">
        <v>4.7079000000000001E-3</v>
      </c>
      <c r="AX615" s="18">
        <v>0.41458</v>
      </c>
      <c r="AY615" s="18">
        <v>-9.3544</v>
      </c>
      <c r="AZ615" s="18">
        <v>-7383.4</v>
      </c>
      <c r="BA615" s="18">
        <v>4.19E-2</v>
      </c>
      <c r="BB615" s="18">
        <v>5.3329000000000004</v>
      </c>
      <c r="BC615" s="18" t="s">
        <v>162</v>
      </c>
      <c r="BD615" s="35" t="s">
        <v>163</v>
      </c>
      <c r="BE615" t="s">
        <v>167</v>
      </c>
    </row>
    <row r="616" spans="1:57" x14ac:dyDescent="0.25">
      <c r="A616" s="18" t="s">
        <v>686</v>
      </c>
      <c r="B616" s="18" t="s">
        <v>26</v>
      </c>
      <c r="C616" s="18" t="s">
        <v>6</v>
      </c>
      <c r="D616" s="18">
        <v>58</v>
      </c>
      <c r="E616" s="18">
        <v>26.725999999999999</v>
      </c>
      <c r="F616" s="18">
        <v>19.978999999999999</v>
      </c>
      <c r="G616" s="15">
        <v>14.06</v>
      </c>
      <c r="H616" s="15">
        <v>9.4</v>
      </c>
      <c r="I616" s="15">
        <v>1.88</v>
      </c>
      <c r="J616" s="15">
        <v>11.24</v>
      </c>
      <c r="K616" s="15">
        <v>29.15</v>
      </c>
      <c r="L616" s="15">
        <v>32.020000000000003</v>
      </c>
      <c r="M616" s="15">
        <v>6.7</v>
      </c>
      <c r="N616" s="15">
        <v>2</v>
      </c>
      <c r="O616" s="15">
        <f>1.2+1.68</f>
        <v>2.88</v>
      </c>
      <c r="P616" s="9">
        <v>1.73003</v>
      </c>
      <c r="Q616" s="9">
        <v>1.9184699999999999</v>
      </c>
      <c r="R616" s="9">
        <v>0.22580600000000001</v>
      </c>
      <c r="S616" s="9">
        <v>0.19907900000000001</v>
      </c>
      <c r="T616" s="9">
        <v>0.211895</v>
      </c>
      <c r="U616" s="9">
        <v>3.61391E-2</v>
      </c>
      <c r="V616" s="9">
        <v>10.4133</v>
      </c>
      <c r="W616" s="9">
        <v>5.4279400000000004</v>
      </c>
      <c r="X616" s="9">
        <v>9.3905200000000004</v>
      </c>
      <c r="Y616" s="9">
        <v>268.286</v>
      </c>
      <c r="Z616" s="9">
        <v>408.84800000000001</v>
      </c>
      <c r="AA616" s="9">
        <f t="shared" si="97"/>
        <v>2.8872021276595747</v>
      </c>
      <c r="AB616" s="9">
        <f t="shared" si="98"/>
        <v>7.4787234042553195</v>
      </c>
      <c r="AC616" s="9">
        <f t="shared" si="99"/>
        <v>5.0000000000000009</v>
      </c>
      <c r="AD616" s="9">
        <f t="shared" si="100"/>
        <v>10.03838958317743</v>
      </c>
      <c r="AE616" s="9">
        <f t="shared" si="101"/>
        <v>15.297762478485371</v>
      </c>
      <c r="AF616" s="9">
        <f t="shared" si="102"/>
        <v>4.8703117193400356</v>
      </c>
      <c r="AG616" s="9">
        <f t="shared" si="94"/>
        <v>2.9167019076600869</v>
      </c>
      <c r="AH616" s="9">
        <f t="shared" si="103"/>
        <v>0.91727206424908803</v>
      </c>
      <c r="AI616" s="9">
        <f t="shared" si="95"/>
        <v>4.6042379070215649</v>
      </c>
      <c r="AJ616" s="9">
        <f>(4*PI()*(AI616^2))/(Y616+E616)</f>
        <v>0.90299572527374428</v>
      </c>
      <c r="AK616" s="12">
        <f t="shared" si="96"/>
        <v>0.65277777777777779</v>
      </c>
      <c r="AL616" s="12" t="s">
        <v>144</v>
      </c>
      <c r="AM616" s="12" t="s">
        <v>142</v>
      </c>
      <c r="AN616" s="18">
        <v>2.6505999999999998</v>
      </c>
      <c r="AO616" s="18">
        <v>0.18689</v>
      </c>
      <c r="AP616" s="18">
        <v>2832.4</v>
      </c>
      <c r="AQ616" s="18">
        <v>2634.5</v>
      </c>
      <c r="AR616" s="18">
        <v>1.6548</v>
      </c>
      <c r="AS616" s="18">
        <v>2.2362E-2</v>
      </c>
      <c r="AT616" s="18">
        <v>0.68798999999999999</v>
      </c>
      <c r="AU616" s="18">
        <v>1.2041999999999999</v>
      </c>
      <c r="AV616" s="18">
        <v>0.49125000000000002</v>
      </c>
      <c r="AW616" s="18">
        <v>2.2700000000000001E-2</v>
      </c>
      <c r="AX616" s="18">
        <v>0.13433</v>
      </c>
      <c r="AY616" s="18">
        <v>-26.094000000000001</v>
      </c>
      <c r="AZ616" s="18">
        <v>-685.73</v>
      </c>
      <c r="BA616" s="18">
        <v>0.37441999999999998</v>
      </c>
      <c r="BB616" s="18">
        <v>14.885</v>
      </c>
      <c r="BC616" s="18" t="s">
        <v>162</v>
      </c>
      <c r="BD616" s="35" t="s">
        <v>165</v>
      </c>
      <c r="BE616" t="s">
        <v>167</v>
      </c>
    </row>
    <row r="617" spans="1:57" x14ac:dyDescent="0.25">
      <c r="A617" s="16" t="s">
        <v>687</v>
      </c>
      <c r="B617" s="16" t="s">
        <v>5</v>
      </c>
      <c r="C617" s="16" t="s">
        <v>14</v>
      </c>
      <c r="D617" s="16">
        <v>29</v>
      </c>
      <c r="E617" s="16">
        <v>5.4798999999999998</v>
      </c>
      <c r="F617" s="16">
        <v>8.6310000000000002</v>
      </c>
      <c r="G617" s="15">
        <v>7.61</v>
      </c>
      <c r="H617" s="15">
        <v>6</v>
      </c>
      <c r="I617" s="15">
        <v>3.46</v>
      </c>
      <c r="J617" s="15">
        <v>12.3</v>
      </c>
      <c r="K617" s="15">
        <v>47.62</v>
      </c>
      <c r="L617" s="15">
        <v>22.33</v>
      </c>
      <c r="M617" s="15">
        <v>5.3</v>
      </c>
      <c r="N617" s="15">
        <v>1</v>
      </c>
      <c r="O617" s="15">
        <v>3.54</v>
      </c>
      <c r="P617" s="9">
        <v>2.3256399999999999</v>
      </c>
      <c r="Q617" s="9">
        <v>1.9312800000000001</v>
      </c>
      <c r="R617" s="9">
        <v>5.5555599999999997E-2</v>
      </c>
      <c r="S617" s="9">
        <v>0.22420200000000001</v>
      </c>
      <c r="T617" s="9">
        <v>0.24796499999999999</v>
      </c>
      <c r="U617" s="9">
        <v>5.6201300000000003E-2</v>
      </c>
      <c r="V617" s="9">
        <v>4.9396500000000003</v>
      </c>
      <c r="W617" s="9">
        <v>2.5577100000000002</v>
      </c>
      <c r="X617" s="9">
        <v>5.9483300000000003</v>
      </c>
      <c r="Y617" s="9">
        <v>80.468800000000002</v>
      </c>
      <c r="Z617" s="9">
        <v>62.601799999999997</v>
      </c>
      <c r="AA617" s="9">
        <f t="shared" si="97"/>
        <v>0.73922254335260118</v>
      </c>
      <c r="AB617" s="9">
        <f t="shared" si="98"/>
        <v>2.199421965317919</v>
      </c>
      <c r="AC617" s="9">
        <f t="shared" si="99"/>
        <v>1.7341040462427746</v>
      </c>
      <c r="AD617" s="9">
        <f t="shared" si="100"/>
        <v>14.684355553933466</v>
      </c>
      <c r="AE617" s="9">
        <f t="shared" si="101"/>
        <v>11.423894596616726</v>
      </c>
      <c r="AF617" s="9">
        <f t="shared" si="102"/>
        <v>5.1039096488923912</v>
      </c>
      <c r="AG617" s="9">
        <f t="shared" si="94"/>
        <v>1.32072190308882</v>
      </c>
      <c r="AH617" s="9">
        <f t="shared" si="103"/>
        <v>0.96145758966028683</v>
      </c>
      <c r="AI617" s="9">
        <f t="shared" si="95"/>
        <v>2.4631984568062033</v>
      </c>
      <c r="AJ617" s="9">
        <f>(4*PI()*(AI617^2))/(Y617+E617)</f>
        <v>0.88709342310033956</v>
      </c>
      <c r="AK617" s="12">
        <f t="shared" si="96"/>
        <v>0.97740112994350281</v>
      </c>
      <c r="AL617" s="12" t="s">
        <v>140</v>
      </c>
      <c r="AM617" s="12" t="s">
        <v>143</v>
      </c>
      <c r="AN617" s="16">
        <v>2.1619999999999999</v>
      </c>
      <c r="AO617" s="16">
        <v>0.19511000000000001</v>
      </c>
      <c r="AP617" s="16">
        <v>6241.4</v>
      </c>
      <c r="AQ617" s="16">
        <v>6146.3</v>
      </c>
      <c r="AR617" s="16">
        <v>1.0982000000000001</v>
      </c>
      <c r="AS617" s="16">
        <v>1.7061E-2</v>
      </c>
      <c r="AT617" s="16">
        <v>0.72468999999999995</v>
      </c>
      <c r="AU617" s="16">
        <v>2.4390999999999998</v>
      </c>
      <c r="AV617" s="16">
        <v>0.57438</v>
      </c>
      <c r="AW617" s="16">
        <v>2.1113E-2</v>
      </c>
      <c r="AX617" s="16">
        <v>7.7960000000000002E-2</v>
      </c>
      <c r="AY617" s="16">
        <v>4.5373999999999999</v>
      </c>
      <c r="AZ617" s="16">
        <v>514.27</v>
      </c>
      <c r="BA617" s="16">
        <v>0.12216</v>
      </c>
      <c r="BB617" s="16">
        <v>16.065999999999999</v>
      </c>
      <c r="BC617" s="16" t="s">
        <v>164</v>
      </c>
      <c r="BD617" s="34" t="s">
        <v>165</v>
      </c>
      <c r="BE617" t="s">
        <v>168</v>
      </c>
    </row>
    <row r="618" spans="1:57" x14ac:dyDescent="0.25">
      <c r="A618" s="18" t="s">
        <v>688</v>
      </c>
      <c r="B618" s="18" t="s">
        <v>26</v>
      </c>
      <c r="C618" s="18" t="s">
        <v>6</v>
      </c>
      <c r="D618" s="18">
        <v>48</v>
      </c>
      <c r="E618" s="18">
        <v>11.348000000000001</v>
      </c>
      <c r="F618" s="18">
        <v>12.385</v>
      </c>
      <c r="G618" s="15">
        <v>6.24</v>
      </c>
      <c r="H618" s="15">
        <v>4.2</v>
      </c>
      <c r="I618" s="15">
        <v>2.42</v>
      </c>
      <c r="J618" s="15">
        <v>8.01</v>
      </c>
      <c r="K618" s="15">
        <v>35.46</v>
      </c>
      <c r="L618" s="15">
        <v>27.88</v>
      </c>
      <c r="M618" s="15">
        <v>5.25</v>
      </c>
      <c r="N618" s="15">
        <v>2</v>
      </c>
      <c r="O618" s="15">
        <f>1.02+2.31</f>
        <v>3.33</v>
      </c>
      <c r="P618" s="9">
        <v>1.16289</v>
      </c>
      <c r="Q618" s="9">
        <v>1.3459300000000001</v>
      </c>
      <c r="R618" s="9">
        <v>-3.0120500000000001E-2</v>
      </c>
      <c r="S618" s="9">
        <v>0.14016100000000001</v>
      </c>
      <c r="T618" s="9">
        <v>0.14984900000000001</v>
      </c>
      <c r="U618" s="9">
        <v>2.7152800000000001E-2</v>
      </c>
      <c r="V618" s="9">
        <v>4.90686</v>
      </c>
      <c r="W618" s="9">
        <v>3.6457099999999998</v>
      </c>
      <c r="X618" s="9">
        <v>4.23956</v>
      </c>
      <c r="Y618" s="9">
        <v>60.215600000000002</v>
      </c>
      <c r="Z618" s="9">
        <v>48.707599999999999</v>
      </c>
      <c r="AA618" s="9">
        <f t="shared" si="97"/>
        <v>1.5064917355371901</v>
      </c>
      <c r="AB618" s="9">
        <f t="shared" si="98"/>
        <v>2.5785123966942152</v>
      </c>
      <c r="AC618" s="9">
        <f t="shared" si="99"/>
        <v>1.7355371900826448</v>
      </c>
      <c r="AD618" s="9">
        <f t="shared" si="100"/>
        <v>5.306274233345083</v>
      </c>
      <c r="AE618" s="9">
        <f t="shared" si="101"/>
        <v>4.2921748325696152</v>
      </c>
      <c r="AF618" s="9">
        <f t="shared" si="102"/>
        <v>4.5148625255351922</v>
      </c>
      <c r="AG618" s="9">
        <f t="shared" si="94"/>
        <v>1.9005737524267921</v>
      </c>
      <c r="AH618" s="9">
        <f t="shared" si="103"/>
        <v>0.96420323588689483</v>
      </c>
      <c r="AI618" s="9">
        <f t="shared" si="95"/>
        <v>2.265527685886632</v>
      </c>
      <c r="AJ618" s="9">
        <f>(4*PI()*(AI618^2))/(Y618+E618)</f>
        <v>0.90127314795463875</v>
      </c>
      <c r="AK618" s="12">
        <f t="shared" si="96"/>
        <v>0.72672672672672667</v>
      </c>
      <c r="AL618" s="12" t="s">
        <v>144</v>
      </c>
      <c r="AM618" s="12" t="s">
        <v>142</v>
      </c>
      <c r="AN618" s="18">
        <v>0.23683999999999999</v>
      </c>
      <c r="AO618" s="18">
        <v>4.9145000000000001E-2</v>
      </c>
      <c r="AP618" s="18">
        <v>578.45000000000005</v>
      </c>
      <c r="AQ618" s="18">
        <v>529.51</v>
      </c>
      <c r="AR618" s="18">
        <v>0.18661</v>
      </c>
      <c r="AS618" s="18">
        <v>2.4448000000000001E-2</v>
      </c>
      <c r="AT618" s="18">
        <v>0.62231999999999998</v>
      </c>
      <c r="AU618" s="18">
        <v>10.46</v>
      </c>
      <c r="AV618" s="18">
        <v>0.92773000000000005</v>
      </c>
      <c r="AW618" s="18">
        <v>1.7284000000000001E-2</v>
      </c>
      <c r="AX618" s="18">
        <v>1.4121999999999999E-2</v>
      </c>
      <c r="AY618" s="18">
        <v>-0.60431999999999997</v>
      </c>
      <c r="AZ618" s="18">
        <v>-6.7055999999999996</v>
      </c>
      <c r="BA618" s="18">
        <v>0.20533999999999999</v>
      </c>
      <c r="BB618" s="18">
        <v>11.098000000000001</v>
      </c>
      <c r="BC618" s="18" t="s">
        <v>162</v>
      </c>
      <c r="BD618" s="35" t="s">
        <v>163</v>
      </c>
      <c r="BE618" t="s">
        <v>168</v>
      </c>
    </row>
    <row r="619" spans="1:57" x14ac:dyDescent="0.25">
      <c r="A619" s="18" t="s">
        <v>689</v>
      </c>
      <c r="B619" s="18" t="s">
        <v>26</v>
      </c>
      <c r="C619" s="18" t="s">
        <v>6</v>
      </c>
      <c r="D619" s="18">
        <v>49</v>
      </c>
      <c r="E619" s="18">
        <v>8.0519999999999996</v>
      </c>
      <c r="F619" s="18">
        <v>10.691000000000001</v>
      </c>
      <c r="G619" s="15">
        <v>11.56</v>
      </c>
      <c r="H619" s="15">
        <v>8.0500000000000007</v>
      </c>
      <c r="I619" s="15">
        <v>1.84</v>
      </c>
      <c r="J619" s="15">
        <v>19.63</v>
      </c>
      <c r="K619" s="15">
        <v>36.090000000000003</v>
      </c>
      <c r="L619" s="15">
        <v>31.08</v>
      </c>
      <c r="M619" s="15">
        <v>8</v>
      </c>
      <c r="N619" s="15">
        <v>2</v>
      </c>
      <c r="O619" s="15">
        <f>1.23+1.48</f>
        <v>2.71</v>
      </c>
      <c r="P619" s="9">
        <v>2.6536499999999998</v>
      </c>
      <c r="Q619" s="9">
        <v>3.1908500000000002</v>
      </c>
      <c r="R619" s="9">
        <v>-6.25E-2</v>
      </c>
      <c r="S619" s="9">
        <v>0.214277</v>
      </c>
      <c r="T619" s="9">
        <v>0.21949199999999999</v>
      </c>
      <c r="U619" s="9">
        <v>2.1247599999999998E-2</v>
      </c>
      <c r="V619" s="9">
        <v>9.6902799999999996</v>
      </c>
      <c r="W619" s="9">
        <v>3.0368900000000001</v>
      </c>
      <c r="X619" s="9">
        <v>8.05884</v>
      </c>
      <c r="Y619" s="9">
        <v>206.61500000000001</v>
      </c>
      <c r="Z619" s="9">
        <v>272.33100000000002</v>
      </c>
      <c r="AA619" s="9">
        <f t="shared" si="97"/>
        <v>1.6504836956521738</v>
      </c>
      <c r="AB619" s="9">
        <f t="shared" si="98"/>
        <v>6.2826086956521738</v>
      </c>
      <c r="AC619" s="9">
        <f t="shared" si="99"/>
        <v>4.375</v>
      </c>
      <c r="AD619" s="9">
        <f t="shared" si="100"/>
        <v>25.660084451068059</v>
      </c>
      <c r="AE619" s="9">
        <f t="shared" si="101"/>
        <v>33.821535022354695</v>
      </c>
      <c r="AF619" s="9">
        <f t="shared" si="102"/>
        <v>4.9177199549520791</v>
      </c>
      <c r="AG619" s="9">
        <f t="shared" si="94"/>
        <v>1.6009469708743893</v>
      </c>
      <c r="AH619" s="9">
        <f t="shared" si="103"/>
        <v>0.94088920446839652</v>
      </c>
      <c r="AI619" s="9">
        <f t="shared" si="95"/>
        <v>4.0210192957223905</v>
      </c>
      <c r="AJ619" s="9">
        <f>(4*PI()*(AI619^2))/(Y619+E619)</f>
        <v>0.94649187750661168</v>
      </c>
      <c r="AK619" s="12">
        <f t="shared" si="96"/>
        <v>0.6789667896678967</v>
      </c>
      <c r="AL619" s="12" t="s">
        <v>144</v>
      </c>
      <c r="AM619" s="12" t="s">
        <v>142</v>
      </c>
      <c r="AN619" s="18">
        <v>0.88882000000000005</v>
      </c>
      <c r="AO619" s="18">
        <v>8.2978999999999997E-2</v>
      </c>
      <c r="AP619" s="18">
        <v>2139.6999999999998</v>
      </c>
      <c r="AQ619" s="18">
        <v>1773.4</v>
      </c>
      <c r="AR619" s="18">
        <v>0.50456999999999996</v>
      </c>
      <c r="AS619" s="18">
        <v>3.2238000000000003E-2</v>
      </c>
      <c r="AT619" s="18">
        <v>0.71292999999999995</v>
      </c>
      <c r="AU619" s="18">
        <v>6.6711999999999998</v>
      </c>
      <c r="AV619" s="18">
        <v>0.84258</v>
      </c>
      <c r="AW619" s="18">
        <v>2.6356999999999998E-2</v>
      </c>
      <c r="AX619" s="18">
        <v>4.0584000000000002E-2</v>
      </c>
      <c r="AY619" s="18">
        <v>-70.331999999999994</v>
      </c>
      <c r="AZ619" s="18">
        <v>-99.893000000000001</v>
      </c>
      <c r="BA619" s="18">
        <v>1.9271</v>
      </c>
      <c r="BB619" s="18">
        <v>143.77000000000001</v>
      </c>
      <c r="BC619" s="18" t="s">
        <v>162</v>
      </c>
      <c r="BD619" s="35" t="s">
        <v>165</v>
      </c>
      <c r="BE619" t="s">
        <v>168</v>
      </c>
    </row>
    <row r="620" spans="1:57" x14ac:dyDescent="0.25">
      <c r="A620" s="16" t="s">
        <v>690</v>
      </c>
      <c r="B620" s="16" t="s">
        <v>5</v>
      </c>
      <c r="C620" s="16" t="s">
        <v>6</v>
      </c>
      <c r="D620" s="16">
        <v>54</v>
      </c>
      <c r="E620" s="16">
        <v>10.779</v>
      </c>
      <c r="F620" s="16">
        <v>12.069000000000001</v>
      </c>
      <c r="G620" s="15">
        <v>7.59</v>
      </c>
      <c r="H620" s="15">
        <v>6.55</v>
      </c>
      <c r="I620" s="15">
        <v>3.28</v>
      </c>
      <c r="J620" s="15">
        <v>40.42</v>
      </c>
      <c r="K620" s="15">
        <v>58.42</v>
      </c>
      <c r="L620" s="15">
        <v>21.15</v>
      </c>
      <c r="M620" s="15">
        <v>4.75</v>
      </c>
      <c r="N620" s="15">
        <v>1</v>
      </c>
      <c r="O620" s="15">
        <v>3.68</v>
      </c>
      <c r="P620" s="9">
        <v>1.8214900000000001</v>
      </c>
      <c r="Q620" s="9">
        <v>1.2476</v>
      </c>
      <c r="R620" s="9">
        <v>0.30915999999999999</v>
      </c>
      <c r="S620" s="9">
        <v>0.21096999999999999</v>
      </c>
      <c r="T620" s="9">
        <v>0.30171799999999999</v>
      </c>
      <c r="U620" s="9">
        <v>0.30014800000000003</v>
      </c>
      <c r="V620" s="9">
        <v>4.52189</v>
      </c>
      <c r="W620" s="9">
        <v>3.62446</v>
      </c>
      <c r="X620" s="9">
        <v>6.6019199999999998</v>
      </c>
      <c r="Y620" s="9">
        <v>71.159000000000006</v>
      </c>
      <c r="Z620" s="9">
        <v>46.5779</v>
      </c>
      <c r="AA620" s="9">
        <f t="shared" si="97"/>
        <v>1.1050182926829268</v>
      </c>
      <c r="AB620" s="9">
        <f t="shared" si="98"/>
        <v>2.3140243902439024</v>
      </c>
      <c r="AC620" s="9">
        <f t="shared" si="99"/>
        <v>1.9969512195121952</v>
      </c>
      <c r="AD620" s="9">
        <f t="shared" si="100"/>
        <v>6.6016328045273225</v>
      </c>
      <c r="AE620" s="9">
        <f t="shared" si="101"/>
        <v>4.3211707950644769</v>
      </c>
      <c r="AF620" s="9">
        <f t="shared" si="102"/>
        <v>5.4967995528363032</v>
      </c>
      <c r="AG620" s="9">
        <f t="shared" si="94"/>
        <v>1.8523126796453886</v>
      </c>
      <c r="AH620" s="9">
        <f t="shared" si="103"/>
        <v>0.96432378929905982</v>
      </c>
      <c r="AI620" s="9">
        <f t="shared" si="95"/>
        <v>2.2320149454138569</v>
      </c>
      <c r="AJ620" s="9">
        <f>(4*PI()*(AI620^2))/(Y620+E620)</f>
        <v>0.76404458376349216</v>
      </c>
      <c r="AK620" s="12">
        <f t="shared" si="96"/>
        <v>0.89130434782608692</v>
      </c>
      <c r="AL620" s="12" t="s">
        <v>140</v>
      </c>
      <c r="AM620" s="12" t="s">
        <v>143</v>
      </c>
      <c r="AN620" s="16">
        <v>3.3180999999999998</v>
      </c>
      <c r="AO620" s="16">
        <v>0.38462000000000002</v>
      </c>
      <c r="AP620" s="16">
        <v>7014.2</v>
      </c>
      <c r="AQ620" s="16">
        <v>6451.3</v>
      </c>
      <c r="AR620" s="16">
        <v>1.7064999999999999</v>
      </c>
      <c r="AS620" s="16">
        <v>1.3922E-2</v>
      </c>
      <c r="AT620" s="16">
        <v>0.69108999999999998</v>
      </c>
      <c r="AU620" s="16">
        <v>4.4027000000000003</v>
      </c>
      <c r="AV620" s="16">
        <v>0.49314999999999998</v>
      </c>
      <c r="AW620" s="16">
        <v>1.1780000000000001E-2</v>
      </c>
      <c r="AX620" s="16">
        <v>0.11794</v>
      </c>
      <c r="AY620" s="16">
        <v>1.9013</v>
      </c>
      <c r="AZ620" s="16">
        <v>304.16000000000003</v>
      </c>
      <c r="BA620" s="16">
        <v>5.1538E-2</v>
      </c>
      <c r="BB620" s="16">
        <v>10.7</v>
      </c>
      <c r="BC620" s="27" t="s">
        <v>164</v>
      </c>
      <c r="BD620" s="37" t="s">
        <v>165</v>
      </c>
      <c r="BE620" t="s">
        <v>168</v>
      </c>
    </row>
    <row r="621" spans="1:57" x14ac:dyDescent="0.25">
      <c r="A621" s="16" t="s">
        <v>691</v>
      </c>
      <c r="B621" s="16" t="s">
        <v>5</v>
      </c>
      <c r="C621" s="16" t="s">
        <v>6</v>
      </c>
      <c r="D621" s="16">
        <v>38</v>
      </c>
      <c r="E621" s="16">
        <v>7.3192000000000004</v>
      </c>
      <c r="F621" s="16">
        <v>10.151999999999999</v>
      </c>
      <c r="G621" s="15">
        <v>6.81</v>
      </c>
      <c r="H621" s="15">
        <v>6.3</v>
      </c>
      <c r="I621" s="15">
        <v>3.02</v>
      </c>
      <c r="J621" s="15">
        <v>76.209999999999994</v>
      </c>
      <c r="K621" s="15">
        <v>65.819999999999993</v>
      </c>
      <c r="L621" s="15">
        <v>19.329999999999998</v>
      </c>
      <c r="M621" s="15">
        <v>3.4</v>
      </c>
      <c r="N621" s="15">
        <v>2</v>
      </c>
      <c r="O621" s="15">
        <f>2.29+2.51</f>
        <v>4.8</v>
      </c>
      <c r="P621" s="9">
        <v>2.1227100000000001</v>
      </c>
      <c r="Q621" s="9">
        <v>1.2262999999999999</v>
      </c>
      <c r="R621" s="9">
        <v>0.22580600000000001</v>
      </c>
      <c r="S621" s="9">
        <v>0.238346</v>
      </c>
      <c r="T621" s="9">
        <v>0.273067</v>
      </c>
      <c r="U621" s="9">
        <v>0.12510399999999999</v>
      </c>
      <c r="V621" s="9">
        <v>3.62046</v>
      </c>
      <c r="W621" s="9">
        <v>2.95235</v>
      </c>
      <c r="X621" s="9">
        <v>6.2669600000000001</v>
      </c>
      <c r="Y621" s="9">
        <v>51.333799999999997</v>
      </c>
      <c r="Z621" s="9">
        <v>30.313500000000001</v>
      </c>
      <c r="AA621" s="9">
        <f t="shared" si="97"/>
        <v>0.9775993377483444</v>
      </c>
      <c r="AB621" s="9">
        <f t="shared" si="98"/>
        <v>2.2549668874172184</v>
      </c>
      <c r="AC621" s="9">
        <f t="shared" si="99"/>
        <v>2.0860927152317879</v>
      </c>
      <c r="AD621" s="9">
        <f t="shared" si="100"/>
        <v>7.0135807192042838</v>
      </c>
      <c r="AE621" s="9">
        <f t="shared" si="101"/>
        <v>4.1416411629686305</v>
      </c>
      <c r="AF621" s="9">
        <f t="shared" si="102"/>
        <v>5.2801471468447341</v>
      </c>
      <c r="AG621" s="9">
        <f t="shared" si="94"/>
        <v>1.5263596296274351</v>
      </c>
      <c r="AH621" s="9">
        <f t="shared" si="103"/>
        <v>0.94468089030212521</v>
      </c>
      <c r="AI621" s="9">
        <f t="shared" si="95"/>
        <v>1.9342643368436077</v>
      </c>
      <c r="AJ621" s="9">
        <f>(4*PI()*(AI621^2))/(Y621+E621)</f>
        <v>0.80158813958456032</v>
      </c>
      <c r="AK621" s="12">
        <f t="shared" si="96"/>
        <v>0.62916666666666665</v>
      </c>
      <c r="AL621" s="12" t="s">
        <v>140</v>
      </c>
      <c r="AM621" s="12" t="s">
        <v>143</v>
      </c>
      <c r="AN621" s="16">
        <v>6.1318000000000001</v>
      </c>
      <c r="AO621" s="16">
        <v>0.32233000000000001</v>
      </c>
      <c r="AP621" s="16">
        <v>11840</v>
      </c>
      <c r="AQ621" s="16">
        <v>12517</v>
      </c>
      <c r="AR621" s="16">
        <v>3.2833000000000001</v>
      </c>
      <c r="AS621" s="16">
        <v>6.1901999999999999E-3</v>
      </c>
      <c r="AT621" s="16">
        <v>0.72867999999999999</v>
      </c>
      <c r="AU621" s="16">
        <v>1.6806000000000001</v>
      </c>
      <c r="AV621" s="16">
        <v>0.46185999999999999</v>
      </c>
      <c r="AW621" s="16">
        <v>6.0802E-3</v>
      </c>
      <c r="AX621" s="16">
        <v>0.16567999999999999</v>
      </c>
      <c r="AY621" s="16">
        <v>3.4083999999999999</v>
      </c>
      <c r="AZ621" s="16">
        <v>4555.3999999999996</v>
      </c>
      <c r="BA621" s="16">
        <v>2.6897999999999998E-2</v>
      </c>
      <c r="BB621" s="16">
        <v>7.1665000000000001</v>
      </c>
      <c r="BC621" s="16" t="s">
        <v>164</v>
      </c>
      <c r="BD621" s="34" t="s">
        <v>163</v>
      </c>
      <c r="BE621" t="s">
        <v>168</v>
      </c>
    </row>
    <row r="622" spans="1:57" x14ac:dyDescent="0.25">
      <c r="A622" s="18" t="s">
        <v>692</v>
      </c>
      <c r="B622" s="18" t="s">
        <v>5</v>
      </c>
      <c r="C622" s="18" t="s">
        <v>6</v>
      </c>
      <c r="D622" s="18">
        <v>38</v>
      </c>
      <c r="E622" s="18">
        <v>4.5111999999999997</v>
      </c>
      <c r="F622" s="18">
        <v>7.6390000000000002</v>
      </c>
      <c r="G622" s="15">
        <v>3.57</v>
      </c>
      <c r="H622" s="15">
        <v>2.68</v>
      </c>
      <c r="I622" s="15">
        <v>3.03</v>
      </c>
      <c r="J622" s="15">
        <v>38.340000000000003</v>
      </c>
      <c r="K622" s="15">
        <v>42.98</v>
      </c>
      <c r="L622" s="15">
        <v>18.329999999999998</v>
      </c>
      <c r="M622" s="15">
        <v>2.75</v>
      </c>
      <c r="N622" s="15">
        <v>2</v>
      </c>
      <c r="O622" s="15">
        <f>2.64+2.44</f>
        <v>5.08</v>
      </c>
      <c r="P622" s="9">
        <v>1.1298999999999999</v>
      </c>
      <c r="Q622" s="9">
        <v>1.0578399999999999</v>
      </c>
      <c r="R622" s="9">
        <v>3.8461599999999999E-2</v>
      </c>
      <c r="S622" s="9">
        <v>0.11978900000000001</v>
      </c>
      <c r="T622" s="9">
        <v>0.15422</v>
      </c>
      <c r="U622" s="9">
        <v>7.8861500000000001E-2</v>
      </c>
      <c r="V622" s="9">
        <v>2.5014400000000001</v>
      </c>
      <c r="W622" s="9">
        <v>2.3646699999999998</v>
      </c>
      <c r="X622" s="9">
        <v>2.67184</v>
      </c>
      <c r="Y622" s="9">
        <v>18.776499999999999</v>
      </c>
      <c r="Z622" s="9">
        <v>8.4158100000000005</v>
      </c>
      <c r="AA622" s="9">
        <f t="shared" si="97"/>
        <v>0.78041914191419137</v>
      </c>
      <c r="AB622" s="9">
        <f t="shared" si="98"/>
        <v>1.1782178217821782</v>
      </c>
      <c r="AC622" s="9">
        <f t="shared" si="99"/>
        <v>0.88448844884488464</v>
      </c>
      <c r="AD622" s="9">
        <f t="shared" si="100"/>
        <v>4.1621963114027309</v>
      </c>
      <c r="AE622" s="9">
        <f t="shared" si="101"/>
        <v>1.8655368859726904</v>
      </c>
      <c r="AF622" s="9">
        <f t="shared" si="102"/>
        <v>4.538204131908766</v>
      </c>
      <c r="AG622" s="9">
        <f t="shared" si="94"/>
        <v>1.1983153001411257</v>
      </c>
      <c r="AH622" s="9">
        <f t="shared" si="103"/>
        <v>0.98563124587187034</v>
      </c>
      <c r="AI622" s="9">
        <f t="shared" si="95"/>
        <v>1.2618346169189536</v>
      </c>
      <c r="AJ622" s="9">
        <f>(4*PI()*(AI622^2))/(Y622+E622)</f>
        <v>0.85918787872390767</v>
      </c>
      <c r="AK622" s="12">
        <f t="shared" si="96"/>
        <v>0.59645669291338577</v>
      </c>
      <c r="AL622" s="12" t="s">
        <v>144</v>
      </c>
      <c r="AM622" s="12" t="s">
        <v>143</v>
      </c>
      <c r="AN622" s="18">
        <v>9.9760000000000009</v>
      </c>
      <c r="AO622" s="18">
        <v>0.90341000000000005</v>
      </c>
      <c r="AP622" s="18">
        <v>22675</v>
      </c>
      <c r="AQ622" s="18">
        <v>22727</v>
      </c>
      <c r="AR622" s="18">
        <v>5.0411000000000001</v>
      </c>
      <c r="AS622" s="18">
        <v>3.2615999999999999E-2</v>
      </c>
      <c r="AT622" s="18">
        <v>0.69706999999999997</v>
      </c>
      <c r="AU622" s="18">
        <v>0.55705000000000005</v>
      </c>
      <c r="AV622" s="18">
        <v>3.9433000000000003E-2</v>
      </c>
      <c r="AW622" s="18">
        <v>2.0163E-2</v>
      </c>
      <c r="AX622" s="18">
        <v>0.26893</v>
      </c>
      <c r="AY622" s="18">
        <v>1.7730999999999999</v>
      </c>
      <c r="AZ622" s="18">
        <v>609.74</v>
      </c>
      <c r="BA622" s="18">
        <v>2.0462000000000001E-2</v>
      </c>
      <c r="BB622" s="18">
        <v>10.603</v>
      </c>
      <c r="BC622" s="18" t="s">
        <v>162</v>
      </c>
      <c r="BD622" s="35" t="s">
        <v>163</v>
      </c>
      <c r="BE622" t="s">
        <v>167</v>
      </c>
    </row>
    <row r="623" spans="1:57" x14ac:dyDescent="0.25">
      <c r="A623" s="18" t="s">
        <v>693</v>
      </c>
      <c r="B623" s="18" t="s">
        <v>13</v>
      </c>
      <c r="C623" s="18" t="s">
        <v>14</v>
      </c>
      <c r="D623" s="18">
        <v>48</v>
      </c>
      <c r="E623" s="18">
        <v>8.1305999999999994</v>
      </c>
      <c r="F623" s="18">
        <v>10.744</v>
      </c>
      <c r="G623" s="15">
        <v>7.15</v>
      </c>
      <c r="H623" s="15">
        <v>6.22</v>
      </c>
      <c r="I623" s="15">
        <v>1.62</v>
      </c>
      <c r="J623" s="15">
        <v>90.23</v>
      </c>
      <c r="K623" s="15">
        <v>55.07</v>
      </c>
      <c r="L623" s="15">
        <v>27.65</v>
      </c>
      <c r="M623" s="15">
        <v>4.25</v>
      </c>
      <c r="N623" s="15">
        <v>1</v>
      </c>
      <c r="O623" s="15">
        <v>1.99</v>
      </c>
      <c r="P623" s="9">
        <v>2.0283600000000002</v>
      </c>
      <c r="Q623" s="9">
        <v>1.41018</v>
      </c>
      <c r="R623" s="9">
        <v>-0.191057</v>
      </c>
      <c r="S623" s="9">
        <v>0.20643</v>
      </c>
      <c r="T623" s="9">
        <v>0.25292599999999998</v>
      </c>
      <c r="U623" s="9">
        <v>0.16642799999999999</v>
      </c>
      <c r="V623" s="9">
        <v>4.3319299999999998</v>
      </c>
      <c r="W623" s="9">
        <v>3.0718899999999998</v>
      </c>
      <c r="X623" s="9">
        <v>6.2309000000000001</v>
      </c>
      <c r="Y623" s="9">
        <v>73.420900000000003</v>
      </c>
      <c r="Z623" s="9">
        <v>54.021099999999997</v>
      </c>
      <c r="AA623" s="9">
        <f t="shared" si="97"/>
        <v>1.8962283950617282</v>
      </c>
      <c r="AB623" s="9">
        <f t="shared" si="98"/>
        <v>4.4135802469135799</v>
      </c>
      <c r="AC623" s="9">
        <f t="shared" si="99"/>
        <v>3.8395061728395059</v>
      </c>
      <c r="AD623" s="9">
        <f t="shared" si="100"/>
        <v>9.0301945735862059</v>
      </c>
      <c r="AE623" s="9">
        <f t="shared" si="101"/>
        <v>6.6441714018645612</v>
      </c>
      <c r="AF623" s="9">
        <f t="shared" si="102"/>
        <v>5.137802688604248</v>
      </c>
      <c r="AG623" s="9">
        <f t="shared" si="94"/>
        <v>1.6087418564225673</v>
      </c>
      <c r="AH623" s="9">
        <f t="shared" si="103"/>
        <v>0.94080632867824709</v>
      </c>
      <c r="AI623" s="9">
        <f t="shared" si="95"/>
        <v>2.3450832857093431</v>
      </c>
      <c r="AJ623" s="9">
        <f>(4*PI()*(AI623^2))/(Y623+E623)</f>
        <v>0.84741169450626375</v>
      </c>
      <c r="AK623" s="12">
        <f t="shared" si="96"/>
        <v>0.81407035175879405</v>
      </c>
      <c r="AL623" s="12" t="s">
        <v>144</v>
      </c>
      <c r="AM623" s="12" t="s">
        <v>143</v>
      </c>
      <c r="AN623" s="18">
        <v>9.2739999999999991</v>
      </c>
      <c r="AO623" s="18">
        <v>0.53496999999999995</v>
      </c>
      <c r="AP623" s="18">
        <v>10338</v>
      </c>
      <c r="AQ623" s="18">
        <v>9604.9</v>
      </c>
      <c r="AR623" s="18">
        <v>4.5754000000000001</v>
      </c>
      <c r="AS623" s="18">
        <v>6.6715000000000003E-3</v>
      </c>
      <c r="AT623" s="18">
        <v>0.75661999999999996</v>
      </c>
      <c r="AU623" s="18">
        <v>0.49203000000000002</v>
      </c>
      <c r="AV623" s="18">
        <v>9.8748000000000002E-2</v>
      </c>
      <c r="AW623" s="18">
        <v>4.3689000000000002E-3</v>
      </c>
      <c r="AX623" s="18">
        <v>0.28086</v>
      </c>
      <c r="AY623" s="18">
        <v>1.5189999999999999</v>
      </c>
      <c r="AZ623" s="18">
        <v>936.89</v>
      </c>
      <c r="BA623" s="18">
        <v>4.0751000000000002E-2</v>
      </c>
      <c r="BB623" s="18">
        <v>5.4890999999999996</v>
      </c>
      <c r="BC623" s="18" t="s">
        <v>162</v>
      </c>
      <c r="BD623" s="35" t="s">
        <v>163</v>
      </c>
      <c r="BE623" t="s">
        <v>168</v>
      </c>
    </row>
    <row r="624" spans="1:57" x14ac:dyDescent="0.25">
      <c r="A624" s="16" t="s">
        <v>694</v>
      </c>
      <c r="B624" s="16" t="s">
        <v>5</v>
      </c>
      <c r="C624" s="16" t="s">
        <v>6</v>
      </c>
      <c r="D624" s="16">
        <v>53</v>
      </c>
      <c r="E624" s="16">
        <v>11.294</v>
      </c>
      <c r="F624" s="16">
        <v>12.55</v>
      </c>
      <c r="G624" s="15">
        <v>4.6100000000000003</v>
      </c>
      <c r="H624" s="15">
        <v>2.0499999999999998</v>
      </c>
      <c r="I624" s="15">
        <v>2.68</v>
      </c>
      <c r="J624" s="15">
        <v>139.38</v>
      </c>
      <c r="K624" s="15">
        <v>16.309999999999999</v>
      </c>
      <c r="L624" s="15">
        <v>16.18</v>
      </c>
      <c r="M624" s="15">
        <v>4.4000000000000004</v>
      </c>
      <c r="N624" s="15">
        <v>1</v>
      </c>
      <c r="O624" s="15">
        <v>4.62</v>
      </c>
      <c r="P624" s="9">
        <v>0.55507200000000001</v>
      </c>
      <c r="Q624" s="9">
        <v>1.18719</v>
      </c>
      <c r="R624" s="9">
        <v>0.47499999999999998</v>
      </c>
      <c r="S624" s="9">
        <v>5.2317299999999997E-2</v>
      </c>
      <c r="T624" s="9">
        <v>6.3802499999999998E-2</v>
      </c>
      <c r="U624" s="9">
        <v>8.7662699999999996E-3</v>
      </c>
      <c r="V624" s="9">
        <v>4.3849299999999998</v>
      </c>
      <c r="W624" s="9">
        <v>3.69353</v>
      </c>
      <c r="X624" s="9">
        <v>2.05017</v>
      </c>
      <c r="Y624" s="9">
        <v>23.0153</v>
      </c>
      <c r="Z624" s="9">
        <v>13.3004</v>
      </c>
      <c r="AA624" s="9">
        <f t="shared" si="97"/>
        <v>1.3781828358208954</v>
      </c>
      <c r="AB624" s="9">
        <f t="shared" si="98"/>
        <v>1.7201492537313432</v>
      </c>
      <c r="AC624" s="9">
        <f t="shared" si="99"/>
        <v>0.76492537313432829</v>
      </c>
      <c r="AD624" s="9">
        <f t="shared" si="100"/>
        <v>2.0378342482734193</v>
      </c>
      <c r="AE624" s="9">
        <f t="shared" si="101"/>
        <v>1.1776518505401097</v>
      </c>
      <c r="AF624" s="9">
        <f t="shared" si="102"/>
        <v>4.0999022782477166</v>
      </c>
      <c r="AG624" s="9">
        <f t="shared" si="94"/>
        <v>1.896046374580467</v>
      </c>
      <c r="AH624" s="9">
        <f t="shared" si="103"/>
        <v>0.94925981852550689</v>
      </c>
      <c r="AI624" s="9">
        <f t="shared" si="95"/>
        <v>1.46980153855038</v>
      </c>
      <c r="AJ624" s="9">
        <f>(4*PI()*(AI624^2))/(Y624+E624)</f>
        <v>0.79125305883657371</v>
      </c>
      <c r="AK624" s="12">
        <f t="shared" si="96"/>
        <v>0.58008658008658009</v>
      </c>
      <c r="AL624" s="12" t="s">
        <v>140</v>
      </c>
      <c r="AM624" s="12" t="s">
        <v>143</v>
      </c>
      <c r="AN624" s="16">
        <v>21.5</v>
      </c>
      <c r="AO624" s="16">
        <v>1.9504999999999999</v>
      </c>
      <c r="AP624" s="16">
        <v>31801</v>
      </c>
      <c r="AQ624" s="16">
        <v>31080</v>
      </c>
      <c r="AR624" s="16">
        <v>9.9946000000000002</v>
      </c>
      <c r="AS624" s="16">
        <v>4.2902000000000001E-3</v>
      </c>
      <c r="AT624" s="16">
        <v>0.77512000000000003</v>
      </c>
      <c r="AU624" s="16">
        <v>0.13535</v>
      </c>
      <c r="AV624" s="21">
        <v>1.7532E-4</v>
      </c>
      <c r="AW624" s="16">
        <v>3.2512000000000001E-3</v>
      </c>
      <c r="AX624" s="16">
        <v>0.57455999999999996</v>
      </c>
      <c r="AY624" s="16">
        <v>2.8260000000000001</v>
      </c>
      <c r="AZ624" s="16">
        <v>26035</v>
      </c>
      <c r="BA624" s="16">
        <v>5.6160999999999997E-3</v>
      </c>
      <c r="BB624" s="16">
        <v>6.0995999999999997</v>
      </c>
      <c r="BC624" s="16" t="s">
        <v>162</v>
      </c>
      <c r="BD624" s="34" t="s">
        <v>165</v>
      </c>
      <c r="BE624" t="s">
        <v>168</v>
      </c>
    </row>
    <row r="625" spans="1:57" x14ac:dyDescent="0.25">
      <c r="A625" s="16" t="s">
        <v>695</v>
      </c>
      <c r="B625" s="16" t="s">
        <v>5</v>
      </c>
      <c r="C625" s="16" t="s">
        <v>6</v>
      </c>
      <c r="D625" s="16">
        <v>53</v>
      </c>
      <c r="E625" s="16">
        <v>10.725</v>
      </c>
      <c r="F625" s="16">
        <v>12.228</v>
      </c>
      <c r="G625" s="15">
        <v>4.42</v>
      </c>
      <c r="H625" s="15">
        <v>1.75</v>
      </c>
      <c r="I625" s="15">
        <v>2.97</v>
      </c>
      <c r="J625" s="15">
        <v>114.84</v>
      </c>
      <c r="K625" s="15">
        <v>17.18</v>
      </c>
      <c r="L625" s="15">
        <v>8.1300000000000008</v>
      </c>
      <c r="M625" s="15">
        <v>4.0999999999999996</v>
      </c>
      <c r="N625" s="15">
        <v>1</v>
      </c>
      <c r="O625" s="15">
        <v>4.17</v>
      </c>
      <c r="P625" s="9">
        <v>0.50898600000000005</v>
      </c>
      <c r="Q625" s="9">
        <v>1.15405</v>
      </c>
      <c r="R625" s="9">
        <v>0.47142899999999999</v>
      </c>
      <c r="S625" s="9">
        <v>6.08922E-2</v>
      </c>
      <c r="T625" s="9">
        <v>9.8400000000000001E-2</v>
      </c>
      <c r="U625" s="9">
        <v>6.9859900000000003E-2</v>
      </c>
      <c r="V625" s="9">
        <v>4.1180599999999998</v>
      </c>
      <c r="W625" s="9">
        <v>3.5683500000000001</v>
      </c>
      <c r="X625" s="9">
        <v>1.8162400000000001</v>
      </c>
      <c r="Y625" s="9">
        <v>22.151399999999999</v>
      </c>
      <c r="Z625" s="9">
        <v>11.8689</v>
      </c>
      <c r="AA625" s="9">
        <f t="shared" si="97"/>
        <v>1.2014646464646463</v>
      </c>
      <c r="AB625" s="9">
        <f t="shared" si="98"/>
        <v>1.4882154882154881</v>
      </c>
      <c r="AC625" s="9">
        <f t="shared" si="99"/>
        <v>0.58922558922558921</v>
      </c>
      <c r="AD625" s="9">
        <f t="shared" si="100"/>
        <v>2.0653986013986012</v>
      </c>
      <c r="AE625" s="9">
        <f t="shared" si="101"/>
        <v>1.1066573426573427</v>
      </c>
      <c r="AF625" s="9">
        <f t="shared" si="102"/>
        <v>4.2572341013322577</v>
      </c>
      <c r="AG625" s="9">
        <f t="shared" si="94"/>
        <v>1.8476670504506907</v>
      </c>
      <c r="AH625" s="9">
        <f t="shared" si="103"/>
        <v>0.9493976499796879</v>
      </c>
      <c r="AI625" s="9">
        <f t="shared" si="95"/>
        <v>1.4150570643944818</v>
      </c>
      <c r="AJ625" s="9">
        <f>(4*PI()*(AI625^2))/(Y625+E625)</f>
        <v>0.76537366668946327</v>
      </c>
      <c r="AK625" s="12">
        <f t="shared" si="96"/>
        <v>0.71223021582733814</v>
      </c>
      <c r="AL625" s="12" t="s">
        <v>140</v>
      </c>
      <c r="AM625" s="12" t="s">
        <v>143</v>
      </c>
      <c r="AN625" s="16">
        <v>12.965999999999999</v>
      </c>
      <c r="AO625" s="16">
        <v>1.1386000000000001</v>
      </c>
      <c r="AP625" s="16">
        <v>24266</v>
      </c>
      <c r="AQ625" s="16">
        <v>24177</v>
      </c>
      <c r="AR625" s="16">
        <v>6.1284000000000001</v>
      </c>
      <c r="AS625" s="16">
        <v>2.3709E-3</v>
      </c>
      <c r="AT625" s="16">
        <v>0.79481999999999997</v>
      </c>
      <c r="AU625" s="16">
        <v>0.26978000000000002</v>
      </c>
      <c r="AV625" s="16">
        <v>4.2862999999999998E-3</v>
      </c>
      <c r="AW625" s="16">
        <v>1.1823000000000001E-3</v>
      </c>
      <c r="AX625" s="16">
        <v>0.36509999999999998</v>
      </c>
      <c r="AY625" s="16">
        <v>2.9062999999999999</v>
      </c>
      <c r="AZ625" s="16">
        <v>11614</v>
      </c>
      <c r="BA625" s="16">
        <v>7.3001999999999997E-3</v>
      </c>
      <c r="BB625" s="16">
        <v>5.7234999999999996</v>
      </c>
      <c r="BC625" s="16" t="s">
        <v>162</v>
      </c>
      <c r="BD625" s="34" t="s">
        <v>163</v>
      </c>
      <c r="BE625" t="s">
        <v>167</v>
      </c>
    </row>
    <row r="626" spans="1:57" x14ac:dyDescent="0.25">
      <c r="A626" s="18" t="s">
        <v>696</v>
      </c>
      <c r="B626" s="18" t="s">
        <v>26</v>
      </c>
      <c r="C626" s="18" t="s">
        <v>6</v>
      </c>
      <c r="D626" s="18">
        <v>49</v>
      </c>
      <c r="E626" s="18">
        <v>19.39</v>
      </c>
      <c r="F626" s="18">
        <v>16.561</v>
      </c>
      <c r="G626" s="15">
        <v>8.02</v>
      </c>
      <c r="H626" s="15">
        <v>4.2</v>
      </c>
      <c r="I626" s="15">
        <v>2.04</v>
      </c>
      <c r="J626" s="15">
        <v>70.489999999999995</v>
      </c>
      <c r="K626" s="15">
        <v>10.14</v>
      </c>
      <c r="L626" s="15">
        <v>76.27</v>
      </c>
      <c r="M626" s="15">
        <v>6.9</v>
      </c>
      <c r="N626" s="15">
        <v>2</v>
      </c>
      <c r="O626" s="15">
        <f>2.24+2.42</f>
        <v>4.66</v>
      </c>
      <c r="P626" s="9">
        <v>0.87660400000000005</v>
      </c>
      <c r="Q626" s="9">
        <v>1.5847199999999999</v>
      </c>
      <c r="R626" s="9">
        <v>-4.2168700000000003E-2</v>
      </c>
      <c r="S626" s="9">
        <v>0.14774799999999999</v>
      </c>
      <c r="T626" s="9">
        <v>0.191223</v>
      </c>
      <c r="U626" s="9">
        <v>0.124224</v>
      </c>
      <c r="V626" s="9">
        <v>7.6329399999999996</v>
      </c>
      <c r="W626" s="9">
        <v>4.8165899999999997</v>
      </c>
      <c r="X626" s="9">
        <v>4.2222400000000002</v>
      </c>
      <c r="Y626" s="9">
        <v>90.185100000000006</v>
      </c>
      <c r="Z626" s="9">
        <v>82.838899999999995</v>
      </c>
      <c r="AA626" s="9">
        <f t="shared" si="97"/>
        <v>2.3610735294117644</v>
      </c>
      <c r="AB626" s="9">
        <f t="shared" si="98"/>
        <v>3.9313725490196076</v>
      </c>
      <c r="AC626" s="9">
        <f t="shared" si="99"/>
        <v>2.0588235294117649</v>
      </c>
      <c r="AD626" s="9">
        <f t="shared" si="100"/>
        <v>4.6511139762764309</v>
      </c>
      <c r="AE626" s="9">
        <f t="shared" si="101"/>
        <v>4.2722485817431659</v>
      </c>
      <c r="AF626" s="9">
        <f t="shared" si="102"/>
        <v>4.745827067073443</v>
      </c>
      <c r="AG626" s="9">
        <f t="shared" si="94"/>
        <v>2.484356796658584</v>
      </c>
      <c r="AH626" s="9">
        <f t="shared" si="103"/>
        <v>0.94255625400380161</v>
      </c>
      <c r="AI626" s="9">
        <f t="shared" si="95"/>
        <v>2.7042607908298653</v>
      </c>
      <c r="AJ626" s="9">
        <f>(4*PI()*(AI626^2))/(Y626+E626)</f>
        <v>0.83867776864348964</v>
      </c>
      <c r="AK626" s="12">
        <f t="shared" si="96"/>
        <v>0.43776824034334766</v>
      </c>
      <c r="AL626" s="12" t="s">
        <v>140</v>
      </c>
      <c r="AM626" s="12" t="s">
        <v>142</v>
      </c>
      <c r="AN626" s="18">
        <v>5.7554999999999996</v>
      </c>
      <c r="AO626" s="18">
        <v>0.88080000000000003</v>
      </c>
      <c r="AP626" s="18">
        <v>6833.2</v>
      </c>
      <c r="AQ626" s="18">
        <v>6749.3</v>
      </c>
      <c r="AR626" s="18">
        <v>2.8401000000000001</v>
      </c>
      <c r="AS626" s="18">
        <v>1.3410999999999999E-2</v>
      </c>
      <c r="AT626" s="18">
        <v>0.73514999999999997</v>
      </c>
      <c r="AU626" s="18">
        <v>0.93933999999999995</v>
      </c>
      <c r="AV626" s="18">
        <v>9.8006999999999997E-2</v>
      </c>
      <c r="AW626" s="18">
        <v>1.7832000000000001E-2</v>
      </c>
      <c r="AX626" s="18">
        <v>0.21093000000000001</v>
      </c>
      <c r="AY626" s="18">
        <v>-8.9559999999999995</v>
      </c>
      <c r="AZ626" s="18">
        <v>-483.59</v>
      </c>
      <c r="BA626" s="18">
        <v>0.13108</v>
      </c>
      <c r="BB626" s="18">
        <v>24.047999999999998</v>
      </c>
      <c r="BC626" s="18" t="s">
        <v>162</v>
      </c>
      <c r="BD626" s="35" t="s">
        <v>165</v>
      </c>
      <c r="BE626" t="s">
        <v>168</v>
      </c>
    </row>
    <row r="627" spans="1:57" x14ac:dyDescent="0.25">
      <c r="A627" s="18" t="s">
        <v>697</v>
      </c>
      <c r="B627" s="18" t="s">
        <v>26</v>
      </c>
      <c r="C627" s="18" t="s">
        <v>6</v>
      </c>
      <c r="D627" s="18">
        <v>69</v>
      </c>
      <c r="E627" s="18">
        <v>36.430999999999997</v>
      </c>
      <c r="F627" s="18">
        <v>22.206</v>
      </c>
      <c r="G627" s="15">
        <v>10.039999999999999</v>
      </c>
      <c r="H627" s="15">
        <v>8.1</v>
      </c>
      <c r="I627" s="15">
        <v>2.63</v>
      </c>
      <c r="J627" s="15">
        <v>44.06</v>
      </c>
      <c r="K627" s="15">
        <v>36.08</v>
      </c>
      <c r="L627" s="15">
        <v>59.67</v>
      </c>
      <c r="M627" s="15">
        <v>8.5</v>
      </c>
      <c r="N627" s="15">
        <v>2</v>
      </c>
      <c r="O627" s="15">
        <f>2.94+2.74</f>
        <v>5.68</v>
      </c>
      <c r="P627" s="9">
        <v>1.2248300000000001</v>
      </c>
      <c r="Q627" s="9">
        <v>1.28529</v>
      </c>
      <c r="R627" s="9">
        <v>-5.2795000000000002E-2</v>
      </c>
      <c r="S627" s="9">
        <v>0.11824900000000001</v>
      </c>
      <c r="T627" s="9">
        <v>0.14272399999999999</v>
      </c>
      <c r="U627" s="9">
        <v>6.7777100000000007E-2</v>
      </c>
      <c r="V627" s="9">
        <v>8.5171799999999998</v>
      </c>
      <c r="W627" s="9">
        <v>6.6266499999999997</v>
      </c>
      <c r="X627" s="9">
        <v>8.1164900000000006</v>
      </c>
      <c r="Y627" s="9">
        <v>190.37899999999999</v>
      </c>
      <c r="Z627" s="9">
        <v>277.267</v>
      </c>
      <c r="AA627" s="9">
        <f t="shared" si="97"/>
        <v>2.5196387832699618</v>
      </c>
      <c r="AB627" s="9">
        <f t="shared" si="98"/>
        <v>3.8174904942965777</v>
      </c>
      <c r="AC627" s="9">
        <f t="shared" si="99"/>
        <v>3.0798479087452471</v>
      </c>
      <c r="AD627" s="9">
        <f t="shared" si="100"/>
        <v>5.2257418132908784</v>
      </c>
      <c r="AE627" s="9">
        <f t="shared" si="101"/>
        <v>7.6107435974856585</v>
      </c>
      <c r="AF627" s="9">
        <f t="shared" si="102"/>
        <v>4.4773418275066144</v>
      </c>
      <c r="AG627" s="9">
        <f t="shared" si="94"/>
        <v>3.405341020156671</v>
      </c>
      <c r="AH627" s="9">
        <f t="shared" si="103"/>
        <v>0.96354087470883276</v>
      </c>
      <c r="AI627" s="9">
        <f t="shared" si="95"/>
        <v>4.045167643131812</v>
      </c>
      <c r="AJ627" s="9">
        <f>(4*PI()*(AI627^2))/(Y627+E627)</f>
        <v>0.90661043794495788</v>
      </c>
      <c r="AK627" s="12">
        <f t="shared" si="96"/>
        <v>0.4630281690140845</v>
      </c>
      <c r="AL627" s="12" t="s">
        <v>140</v>
      </c>
      <c r="AM627" s="12" t="s">
        <v>142</v>
      </c>
      <c r="AN627" s="18">
        <v>1.0085999999999999</v>
      </c>
      <c r="AO627" s="18">
        <v>0.12335</v>
      </c>
      <c r="AP627" s="18">
        <v>1077.0999999999999</v>
      </c>
      <c r="AQ627" s="18">
        <v>1038</v>
      </c>
      <c r="AR627" s="18">
        <v>0.75383</v>
      </c>
      <c r="AS627" s="18">
        <v>2.1739999999999999E-2</v>
      </c>
      <c r="AT627" s="18">
        <v>0.69645000000000001</v>
      </c>
      <c r="AU627" s="18">
        <v>2.7808999999999999</v>
      </c>
      <c r="AV627" s="18">
        <v>0.72689000000000004</v>
      </c>
      <c r="AW627" s="18">
        <v>2.0601000000000001E-2</v>
      </c>
      <c r="AX627" s="18">
        <v>6.1100000000000002E-2</v>
      </c>
      <c r="AY627" s="18">
        <v>-191.27</v>
      </c>
      <c r="AZ627" s="18">
        <v>-556.55999999999995</v>
      </c>
      <c r="BA627" s="18">
        <v>0.50436000000000003</v>
      </c>
      <c r="BB627" s="18">
        <v>65.084999999999994</v>
      </c>
      <c r="BC627" s="18" t="s">
        <v>164</v>
      </c>
      <c r="BD627" s="35" t="s">
        <v>165</v>
      </c>
      <c r="BE627" t="s">
        <v>168</v>
      </c>
    </row>
    <row r="628" spans="1:57" x14ac:dyDescent="0.25">
      <c r="A628" s="16" t="s">
        <v>698</v>
      </c>
      <c r="B628" s="16" t="s">
        <v>5</v>
      </c>
      <c r="C628" s="16" t="s">
        <v>6</v>
      </c>
      <c r="D628" s="16">
        <v>55</v>
      </c>
      <c r="E628" s="16">
        <v>42.488</v>
      </c>
      <c r="F628" s="16">
        <v>24.867999999999999</v>
      </c>
      <c r="G628" s="15">
        <v>25.47</v>
      </c>
      <c r="H628" s="15">
        <v>22</v>
      </c>
      <c r="I628" s="15">
        <v>4.32</v>
      </c>
      <c r="J628" s="15">
        <v>84.22</v>
      </c>
      <c r="K628" s="15">
        <v>10</v>
      </c>
      <c r="L628" s="15">
        <v>27.02</v>
      </c>
      <c r="M628" s="15">
        <v>12</v>
      </c>
      <c r="N628" s="15">
        <v>1</v>
      </c>
      <c r="O628" s="15">
        <f>2.86</f>
        <v>2.86</v>
      </c>
      <c r="P628" s="9">
        <v>3.1365400000000001</v>
      </c>
      <c r="Q628" s="9">
        <v>3.5707499999999999</v>
      </c>
      <c r="R628" s="9">
        <v>-8.4474900000000006E-2</v>
      </c>
      <c r="S628" s="9">
        <v>0.20799300000000001</v>
      </c>
      <c r="T628" s="9">
        <v>0.21465000000000001</v>
      </c>
      <c r="U628" s="9">
        <v>2.41894E-2</v>
      </c>
      <c r="V628" s="9">
        <v>25.041499999999999</v>
      </c>
      <c r="W628" s="9">
        <v>7.0129299999999999</v>
      </c>
      <c r="X628" s="9">
        <v>21.996300000000002</v>
      </c>
      <c r="Y628" s="9">
        <v>1475.22</v>
      </c>
      <c r="Z628" s="9">
        <v>5244.08</v>
      </c>
      <c r="AA628" s="9">
        <f t="shared" si="97"/>
        <v>1.6233634259259258</v>
      </c>
      <c r="AB628" s="9">
        <f t="shared" si="98"/>
        <v>5.895833333333333</v>
      </c>
      <c r="AC628" s="9">
        <f t="shared" si="99"/>
        <v>5.0925925925925926</v>
      </c>
      <c r="AD628" s="9">
        <f t="shared" si="100"/>
        <v>34.720862361137264</v>
      </c>
      <c r="AE628" s="9">
        <f t="shared" si="101"/>
        <v>123.42496704951986</v>
      </c>
      <c r="AF628" s="9">
        <f t="shared" si="102"/>
        <v>4.8873928900688659</v>
      </c>
      <c r="AG628" s="9">
        <f t="shared" si="94"/>
        <v>3.6775467970070617</v>
      </c>
      <c r="AH628" s="9">
        <f t="shared" si="103"/>
        <v>0.92917436068120152</v>
      </c>
      <c r="AI628" s="9">
        <f t="shared" si="95"/>
        <v>10.777720075487215</v>
      </c>
      <c r="AJ628" s="9">
        <f>(4*PI()*(AI628^2))/(Y628+E628)</f>
        <v>0.96177933179979214</v>
      </c>
      <c r="AK628" s="12">
        <f t="shared" si="96"/>
        <v>1.5104895104895106</v>
      </c>
      <c r="AL628" s="12" t="s">
        <v>144</v>
      </c>
      <c r="AM628" s="12" t="s">
        <v>143</v>
      </c>
      <c r="AN628" s="16">
        <v>1.5901000000000001</v>
      </c>
      <c r="AO628" s="16">
        <v>0.11112</v>
      </c>
      <c r="AP628" s="16">
        <v>1332.4</v>
      </c>
      <c r="AQ628" s="16">
        <v>1187.8</v>
      </c>
      <c r="AR628" s="16">
        <v>1.1371</v>
      </c>
      <c r="AS628" s="16">
        <v>0.11998</v>
      </c>
      <c r="AT628" s="16">
        <v>0.56574999999999998</v>
      </c>
      <c r="AU628" s="16">
        <v>2.4058000000000002</v>
      </c>
      <c r="AV628" s="16">
        <v>0.79722000000000004</v>
      </c>
      <c r="AW628" s="16">
        <v>0.10928</v>
      </c>
      <c r="AX628" s="16">
        <v>0.11104</v>
      </c>
      <c r="AY628" s="16">
        <v>-6.2115999999999998</v>
      </c>
      <c r="AZ628" s="16">
        <v>-250.59</v>
      </c>
      <c r="BA628" s="16">
        <v>1.1237999999999999</v>
      </c>
      <c r="BB628" s="16">
        <v>13.654999999999999</v>
      </c>
      <c r="BC628" s="16" t="s">
        <v>164</v>
      </c>
      <c r="BD628" s="34" t="s">
        <v>165</v>
      </c>
      <c r="BE628" t="s">
        <v>167</v>
      </c>
    </row>
    <row r="629" spans="1:57" x14ac:dyDescent="0.25">
      <c r="A629" s="18" t="s">
        <v>699</v>
      </c>
      <c r="B629" s="18" t="s">
        <v>178</v>
      </c>
      <c r="C629" s="18" t="s">
        <v>14</v>
      </c>
      <c r="D629" s="18">
        <v>45</v>
      </c>
      <c r="E629" s="18">
        <v>12.061</v>
      </c>
      <c r="F629" s="18">
        <v>13.029</v>
      </c>
      <c r="G629" s="15">
        <v>5.45</v>
      </c>
      <c r="H629" s="15">
        <v>3.65</v>
      </c>
      <c r="I629" s="15">
        <v>1.29</v>
      </c>
      <c r="J629" s="15">
        <v>98.68</v>
      </c>
      <c r="K629" s="15">
        <v>37.479999999999997</v>
      </c>
      <c r="L629" s="15">
        <v>42.25</v>
      </c>
      <c r="M629" s="15">
        <v>4.5999999999999996</v>
      </c>
      <c r="N629" s="15">
        <v>2</v>
      </c>
      <c r="O629" s="15">
        <f>0.82+1.64</f>
        <v>2.46</v>
      </c>
      <c r="P629" s="9">
        <v>0.98187899999999995</v>
      </c>
      <c r="Q629" s="9">
        <v>1.2370699999999999</v>
      </c>
      <c r="R629" s="9">
        <v>1.3888899999999999E-2</v>
      </c>
      <c r="S629" s="9">
        <v>8.4514000000000006E-2</v>
      </c>
      <c r="T629" s="9">
        <v>8.9888700000000002E-2</v>
      </c>
      <c r="U629" s="9">
        <v>1.1743200000000001E-2</v>
      </c>
      <c r="V629" s="9">
        <v>4.6454000000000004</v>
      </c>
      <c r="W629" s="9">
        <v>3.7551700000000001</v>
      </c>
      <c r="X629" s="9">
        <v>3.6871200000000002</v>
      </c>
      <c r="Y629" s="9">
        <v>50.335299999999997</v>
      </c>
      <c r="Z629" s="9">
        <v>41.232500000000002</v>
      </c>
      <c r="AA629" s="9">
        <f t="shared" si="97"/>
        <v>2.9109844961240312</v>
      </c>
      <c r="AB629" s="9">
        <f t="shared" si="98"/>
        <v>4.224806201550388</v>
      </c>
      <c r="AC629" s="9">
        <f t="shared" si="99"/>
        <v>2.829457364341085</v>
      </c>
      <c r="AD629" s="9">
        <f t="shared" si="100"/>
        <v>4.1733935826216726</v>
      </c>
      <c r="AE629" s="9">
        <f t="shared" si="101"/>
        <v>3.4186634607412323</v>
      </c>
      <c r="AF629" s="9">
        <f t="shared" si="102"/>
        <v>4.2174138144394417</v>
      </c>
      <c r="AG629" s="9">
        <f t="shared" si="94"/>
        <v>1.9593712096646463</v>
      </c>
      <c r="AH629" s="9">
        <f t="shared" si="103"/>
        <v>0.94489925519039053</v>
      </c>
      <c r="AI629" s="9">
        <f t="shared" si="95"/>
        <v>2.1431390656140228</v>
      </c>
      <c r="AJ629" s="9">
        <f>(4*PI()*(AI629^2))/(Y629+E629)</f>
        <v>0.92502129780231213</v>
      </c>
      <c r="AK629" s="12">
        <f t="shared" si="96"/>
        <v>0.52439024390243905</v>
      </c>
      <c r="AL629" s="12" t="s">
        <v>144</v>
      </c>
      <c r="AM629" s="12" t="s">
        <v>142</v>
      </c>
      <c r="AN629" s="18">
        <v>1.7815000000000001</v>
      </c>
      <c r="AO629" s="18">
        <v>0.24635000000000001</v>
      </c>
      <c r="AP629" s="18">
        <v>2648.3</v>
      </c>
      <c r="AQ629" s="18">
        <v>2676.1</v>
      </c>
      <c r="AR629" s="18">
        <v>0.96760000000000002</v>
      </c>
      <c r="AS629" s="18">
        <v>1.7655000000000001E-2</v>
      </c>
      <c r="AT629" s="18">
        <v>0.69979000000000002</v>
      </c>
      <c r="AU629" s="18">
        <v>1.8920999999999999</v>
      </c>
      <c r="AV629" s="18">
        <v>0.36126999999999998</v>
      </c>
      <c r="AW629" s="18">
        <v>1.0404E-2</v>
      </c>
      <c r="AX629" s="18">
        <v>9.0552999999999995E-2</v>
      </c>
      <c r="AY629" s="18">
        <v>50.857999999999997</v>
      </c>
      <c r="AZ629" s="18">
        <v>1078.8</v>
      </c>
      <c r="BA629" s="18">
        <v>8.6123000000000005E-2</v>
      </c>
      <c r="BB629" s="18">
        <v>8.5935000000000006</v>
      </c>
      <c r="BC629" s="18" t="s">
        <v>162</v>
      </c>
      <c r="BD629" s="35" t="s">
        <v>163</v>
      </c>
      <c r="BE629" t="s">
        <v>168</v>
      </c>
    </row>
    <row r="630" spans="1:57" x14ac:dyDescent="0.25">
      <c r="A630" s="18" t="s">
        <v>700</v>
      </c>
      <c r="B630" s="18" t="s">
        <v>26</v>
      </c>
      <c r="C630" s="18" t="s">
        <v>14</v>
      </c>
      <c r="D630" s="18">
        <v>48</v>
      </c>
      <c r="E630" s="18">
        <v>14.426</v>
      </c>
      <c r="F630" s="18">
        <v>13.959</v>
      </c>
      <c r="G630" s="15">
        <v>7.22</v>
      </c>
      <c r="H630" s="15">
        <v>5.7</v>
      </c>
      <c r="I630" s="15">
        <v>2.91</v>
      </c>
      <c r="J630" s="15">
        <v>52.66</v>
      </c>
      <c r="K630" s="15">
        <v>35.53</v>
      </c>
      <c r="L630" s="15">
        <v>72.47</v>
      </c>
      <c r="M630" s="15">
        <v>4.45</v>
      </c>
      <c r="N630" s="15">
        <v>2</v>
      </c>
      <c r="O630" s="15">
        <f>1.76+2.48</f>
        <v>4.24</v>
      </c>
      <c r="P630" s="9">
        <v>1.1431100000000001</v>
      </c>
      <c r="Q630" s="9">
        <v>1.5303199999999999</v>
      </c>
      <c r="R630" s="9">
        <v>-1.6129000000000001E-2</v>
      </c>
      <c r="S630" s="9">
        <v>0.13137199999999999</v>
      </c>
      <c r="T630" s="9">
        <v>0.13631499999999999</v>
      </c>
      <c r="U630" s="9">
        <v>8.2403000000000007E-3</v>
      </c>
      <c r="V630" s="9">
        <v>6.3348800000000001</v>
      </c>
      <c r="W630" s="9">
        <v>4.1395799999999996</v>
      </c>
      <c r="X630" s="9">
        <v>4.7319899999999997</v>
      </c>
      <c r="Y630" s="9">
        <v>82.715100000000007</v>
      </c>
      <c r="Z630" s="9">
        <v>80.296999999999997</v>
      </c>
      <c r="AA630" s="9">
        <f t="shared" si="97"/>
        <v>1.4225360824742266</v>
      </c>
      <c r="AB630" s="9">
        <f t="shared" si="98"/>
        <v>2.4810996563573879</v>
      </c>
      <c r="AC630" s="9">
        <f t="shared" si="99"/>
        <v>1.9587628865979381</v>
      </c>
      <c r="AD630" s="9">
        <f t="shared" si="100"/>
        <v>5.7337515596839044</v>
      </c>
      <c r="AE630" s="9">
        <f t="shared" si="101"/>
        <v>5.5661305975322328</v>
      </c>
      <c r="AF630" s="9">
        <f t="shared" si="102"/>
        <v>4.4441146315629911</v>
      </c>
      <c r="AG630" s="9">
        <f t="shared" si="94"/>
        <v>2.1428808688509413</v>
      </c>
      <c r="AH630" s="9">
        <f t="shared" si="103"/>
        <v>0.96454743106243002</v>
      </c>
      <c r="AI630" s="9">
        <f t="shared" si="95"/>
        <v>2.676312999031321</v>
      </c>
      <c r="AJ630" s="9">
        <f>(4*PI()*(AI630^2))/(Y630+E630)</f>
        <v>0.92657516154284836</v>
      </c>
      <c r="AK630" s="12">
        <f t="shared" si="96"/>
        <v>0.68632075471698117</v>
      </c>
      <c r="AL630" s="12" t="s">
        <v>144</v>
      </c>
      <c r="AM630" s="12" t="s">
        <v>142</v>
      </c>
      <c r="AN630" s="18">
        <v>1.8895999999999999</v>
      </c>
      <c r="AO630" s="18">
        <v>0.26913999999999999</v>
      </c>
      <c r="AP630" s="18">
        <v>2536.9</v>
      </c>
      <c r="AQ630" s="18">
        <v>2416.5</v>
      </c>
      <c r="AR630" s="18">
        <v>1.1142000000000001</v>
      </c>
      <c r="AS630" s="18">
        <v>1.7604999999999999E-2</v>
      </c>
      <c r="AT630" s="18">
        <v>0.70704999999999996</v>
      </c>
      <c r="AU630" s="18">
        <v>1.3415999999999999</v>
      </c>
      <c r="AV630" s="18">
        <v>0.23302</v>
      </c>
      <c r="AW630" s="18">
        <v>1.3833E-2</v>
      </c>
      <c r="AX630" s="18">
        <v>0.11273</v>
      </c>
      <c r="AY630" s="18">
        <v>-7.0321999999999996</v>
      </c>
      <c r="AZ630" s="18">
        <v>-282.77</v>
      </c>
      <c r="BA630" s="18">
        <v>0.15737999999999999</v>
      </c>
      <c r="BB630" s="18">
        <v>18.411999999999999</v>
      </c>
      <c r="BC630" s="18" t="s">
        <v>164</v>
      </c>
      <c r="BD630" s="35" t="s">
        <v>165</v>
      </c>
      <c r="BE630" t="s">
        <v>167</v>
      </c>
    </row>
    <row r="631" spans="1:57" x14ac:dyDescent="0.25">
      <c r="A631" s="18" t="s">
        <v>701</v>
      </c>
      <c r="B631" s="18" t="s">
        <v>5</v>
      </c>
      <c r="C631" s="18" t="s">
        <v>6</v>
      </c>
      <c r="D631" s="18">
        <v>64</v>
      </c>
      <c r="E631" s="18">
        <v>9.1860999999999997</v>
      </c>
      <c r="F631" s="18">
        <v>10.948</v>
      </c>
      <c r="G631" s="15">
        <v>6.27</v>
      </c>
      <c r="H631" s="15">
        <v>5.37</v>
      </c>
      <c r="I631" s="15">
        <v>3.25</v>
      </c>
      <c r="J631" s="15">
        <v>35.47</v>
      </c>
      <c r="K631" s="15">
        <v>55.24</v>
      </c>
      <c r="L631" s="15">
        <v>56.6</v>
      </c>
      <c r="M631" s="15">
        <v>4.5999999999999996</v>
      </c>
      <c r="N631" s="15">
        <v>2</v>
      </c>
      <c r="O631" s="15">
        <f>3.23+1.9</f>
        <v>5.13</v>
      </c>
      <c r="P631" s="9">
        <v>1.5753200000000001</v>
      </c>
      <c r="Q631" s="9">
        <v>1.5102899999999999</v>
      </c>
      <c r="R631" s="9">
        <v>0.15094299999999999</v>
      </c>
      <c r="S631" s="9">
        <v>0.197768</v>
      </c>
      <c r="T631" s="9">
        <v>0.23844399999999999</v>
      </c>
      <c r="U631" s="9">
        <v>0.144649</v>
      </c>
      <c r="V631" s="9">
        <v>5.1360999999999999</v>
      </c>
      <c r="W631" s="9">
        <v>3.4007499999999999</v>
      </c>
      <c r="X631" s="9">
        <v>5.3572800000000003</v>
      </c>
      <c r="Y631" s="9">
        <v>62.835299999999997</v>
      </c>
      <c r="Z631" s="9">
        <v>44.0197</v>
      </c>
      <c r="AA631" s="9">
        <f t="shared" si="97"/>
        <v>1.0463846153846155</v>
      </c>
      <c r="AB631" s="9">
        <f t="shared" si="98"/>
        <v>1.9292307692307691</v>
      </c>
      <c r="AC631" s="9">
        <f t="shared" si="99"/>
        <v>1.6523076923076923</v>
      </c>
      <c r="AD631" s="9">
        <f t="shared" si="100"/>
        <v>6.840258651658484</v>
      </c>
      <c r="AE631" s="9">
        <f t="shared" si="101"/>
        <v>4.7919900719565431</v>
      </c>
      <c r="AF631" s="9">
        <f t="shared" si="102"/>
        <v>5.04009791834455</v>
      </c>
      <c r="AG631" s="9">
        <f t="shared" si="94"/>
        <v>1.7099784926930863</v>
      </c>
      <c r="AH631" s="9">
        <f t="shared" si="103"/>
        <v>0.98137666613831709</v>
      </c>
      <c r="AI631" s="9">
        <f t="shared" si="95"/>
        <v>2.1903801229649398</v>
      </c>
      <c r="AJ631" s="9">
        <f>(4*PI()*(AI631^2))/(Y631+E631)</f>
        <v>0.8371191639514618</v>
      </c>
      <c r="AK631" s="12">
        <f t="shared" si="96"/>
        <v>0.6335282651072125</v>
      </c>
      <c r="AL631" s="12" t="s">
        <v>140</v>
      </c>
      <c r="AM631" s="12" t="s">
        <v>142</v>
      </c>
      <c r="AN631" s="18">
        <v>3.1122000000000001</v>
      </c>
      <c r="AO631" s="18">
        <v>0.36864999999999998</v>
      </c>
      <c r="AP631" s="18">
        <v>5469</v>
      </c>
      <c r="AQ631" s="18">
        <v>5297.9</v>
      </c>
      <c r="AR631" s="18">
        <v>1.6402000000000001</v>
      </c>
      <c r="AS631" s="18">
        <v>5.6723999999999997E-2</v>
      </c>
      <c r="AT631" s="18">
        <v>0.64907999999999999</v>
      </c>
      <c r="AU631" s="18">
        <v>10.045999999999999</v>
      </c>
      <c r="AV631" s="18">
        <v>0.35165000000000002</v>
      </c>
      <c r="AW631" s="18">
        <v>3.2833000000000001E-2</v>
      </c>
      <c r="AX631" s="18">
        <v>0.13461000000000001</v>
      </c>
      <c r="AY631" s="18">
        <v>1.9524999999999999</v>
      </c>
      <c r="AZ631" s="18">
        <v>30.975999999999999</v>
      </c>
      <c r="BA631" s="18">
        <v>4.3737999999999999E-2</v>
      </c>
      <c r="BB631" s="18">
        <v>5.2293000000000003</v>
      </c>
      <c r="BC631" s="18" t="s">
        <v>162</v>
      </c>
      <c r="BD631" s="35" t="s">
        <v>165</v>
      </c>
      <c r="BE631" t="s">
        <v>168</v>
      </c>
    </row>
    <row r="632" spans="1:57" x14ac:dyDescent="0.25">
      <c r="A632" s="16" t="s">
        <v>702</v>
      </c>
      <c r="B632" s="16" t="s">
        <v>5</v>
      </c>
      <c r="C632" s="16" t="s">
        <v>6</v>
      </c>
      <c r="D632" s="16">
        <v>70</v>
      </c>
      <c r="E632" s="16">
        <v>16.062000000000001</v>
      </c>
      <c r="F632" s="16">
        <v>14.78</v>
      </c>
      <c r="G632" s="15">
        <v>7.65</v>
      </c>
      <c r="H632" s="15">
        <v>5.65</v>
      </c>
      <c r="I632" s="15">
        <v>3.2</v>
      </c>
      <c r="J632" s="15">
        <v>131.61000000000001</v>
      </c>
      <c r="K632" s="15">
        <v>21.11</v>
      </c>
      <c r="L632" s="15">
        <v>19.350000000000001</v>
      </c>
      <c r="M632" s="15">
        <v>5.4</v>
      </c>
      <c r="N632" s="15">
        <v>1</v>
      </c>
      <c r="O632" s="15">
        <v>3.11</v>
      </c>
      <c r="P632" s="9">
        <v>1.3412500000000001</v>
      </c>
      <c r="Q632" s="9">
        <v>1.7640100000000001</v>
      </c>
      <c r="R632" s="9">
        <v>8.7719500000000006E-3</v>
      </c>
      <c r="S632" s="9">
        <v>0.13625300000000001</v>
      </c>
      <c r="T632" s="9">
        <v>0.15500800000000001</v>
      </c>
      <c r="U632" s="9">
        <v>2.8908199999999998E-2</v>
      </c>
      <c r="V632" s="9">
        <v>7.5746599999999997</v>
      </c>
      <c r="W632" s="9">
        <v>4.2939999999999996</v>
      </c>
      <c r="X632" s="9">
        <v>5.7593300000000003</v>
      </c>
      <c r="Y632" s="9">
        <v>125.208</v>
      </c>
      <c r="Z632" s="9">
        <v>144.71600000000001</v>
      </c>
      <c r="AA632" s="9">
        <f t="shared" si="97"/>
        <v>1.3418749999999997</v>
      </c>
      <c r="AB632" s="9">
        <f t="shared" si="98"/>
        <v>2.390625</v>
      </c>
      <c r="AC632" s="9">
        <f t="shared" si="99"/>
        <v>1.765625</v>
      </c>
      <c r="AD632" s="9">
        <f t="shared" si="100"/>
        <v>7.7952932387000367</v>
      </c>
      <c r="AE632" s="9">
        <f t="shared" si="101"/>
        <v>9.0098368820819328</v>
      </c>
      <c r="AF632" s="9">
        <f t="shared" si="102"/>
        <v>4.5424244392445008</v>
      </c>
      <c r="AG632" s="9">
        <f t="shared" si="94"/>
        <v>2.26112657582101</v>
      </c>
      <c r="AH632" s="9">
        <f t="shared" si="103"/>
        <v>0.96123662238645868</v>
      </c>
      <c r="AI632" s="9">
        <f t="shared" si="95"/>
        <v>3.2569366671018174</v>
      </c>
      <c r="AJ632" s="9">
        <f>(4*PI()*(AI632^2))/(Y632+E632)</f>
        <v>0.94357960654931716</v>
      </c>
      <c r="AK632" s="12">
        <f t="shared" si="96"/>
        <v>1.0289389067524117</v>
      </c>
      <c r="AL632" s="12" t="s">
        <v>144</v>
      </c>
      <c r="AM632" s="12" t="s">
        <v>143</v>
      </c>
      <c r="AN632" s="16">
        <v>3.8910999999999998</v>
      </c>
      <c r="AO632" s="16">
        <v>0.53166999999999998</v>
      </c>
      <c r="AP632" s="16">
        <v>6210.2</v>
      </c>
      <c r="AQ632" s="16">
        <v>5751.1</v>
      </c>
      <c r="AR632" s="16">
        <v>2.3203</v>
      </c>
      <c r="AS632" s="16">
        <v>3.8013999999999999E-3</v>
      </c>
      <c r="AT632" s="16">
        <v>0.72448999999999997</v>
      </c>
      <c r="AU632" s="16">
        <v>0.69986999999999999</v>
      </c>
      <c r="AV632" s="16">
        <v>6.3635999999999998E-2</v>
      </c>
      <c r="AW632" s="16">
        <v>3.3592000000000001E-3</v>
      </c>
      <c r="AX632" s="16">
        <v>0.18789</v>
      </c>
      <c r="AY632" s="16">
        <v>-1.5727</v>
      </c>
      <c r="AZ632" s="16">
        <v>-452.11</v>
      </c>
      <c r="BA632" s="16">
        <v>0.14268</v>
      </c>
      <c r="BB632" s="16">
        <v>15.291</v>
      </c>
      <c r="BC632" s="16" t="s">
        <v>162</v>
      </c>
      <c r="BD632" s="34" t="s">
        <v>163</v>
      </c>
      <c r="BE632" t="s">
        <v>167</v>
      </c>
    </row>
    <row r="633" spans="1:57" x14ac:dyDescent="0.25">
      <c r="A633" s="18" t="s">
        <v>703</v>
      </c>
      <c r="B633" s="18" t="s">
        <v>40</v>
      </c>
      <c r="C633" s="18" t="s">
        <v>14</v>
      </c>
      <c r="D633" s="20">
        <v>66</v>
      </c>
      <c r="E633" s="20">
        <v>65.494</v>
      </c>
      <c r="F633" s="18">
        <v>30.135000000000002</v>
      </c>
      <c r="G633" s="15">
        <v>17.21</v>
      </c>
      <c r="H633" s="15">
        <v>8.5500000000000007</v>
      </c>
      <c r="I633" s="15">
        <v>2.11</v>
      </c>
      <c r="J633" s="15">
        <v>63.91</v>
      </c>
      <c r="K633" s="15">
        <v>6.93</v>
      </c>
      <c r="L633" s="15">
        <v>78.400000000000006</v>
      </c>
      <c r="M633" s="15">
        <v>9.4</v>
      </c>
      <c r="N633" s="15">
        <v>4</v>
      </c>
      <c r="O633" s="15">
        <f>1.25+1.2+0.85+0.72</f>
        <v>4.0200000000000005</v>
      </c>
      <c r="P633" s="9">
        <v>0.95245999999999997</v>
      </c>
      <c r="Q633" s="9">
        <v>1.8942000000000001</v>
      </c>
      <c r="R633" s="9">
        <v>-5.8823499999999997E-3</v>
      </c>
      <c r="S633" s="9">
        <v>0.14976100000000001</v>
      </c>
      <c r="T633" s="9">
        <v>0.165378</v>
      </c>
      <c r="U633" s="9">
        <v>5.79106E-2</v>
      </c>
      <c r="V633" s="9">
        <v>17.015599999999999</v>
      </c>
      <c r="W633" s="9">
        <v>8.9830299999999994</v>
      </c>
      <c r="X633" s="9">
        <v>8.5559700000000003</v>
      </c>
      <c r="Y633" s="9">
        <v>369.99900000000002</v>
      </c>
      <c r="Z633" s="9">
        <v>721.64700000000005</v>
      </c>
      <c r="AA633" s="9">
        <f t="shared" si="97"/>
        <v>4.2573601895734594</v>
      </c>
      <c r="AB633" s="9">
        <f t="shared" si="98"/>
        <v>8.1563981042654046</v>
      </c>
      <c r="AC633" s="9">
        <f t="shared" si="99"/>
        <v>4.0521327014218018</v>
      </c>
      <c r="AD633" s="9">
        <f t="shared" si="100"/>
        <v>5.6493571930253159</v>
      </c>
      <c r="AE633" s="9">
        <f t="shared" si="101"/>
        <v>11.018520780529515</v>
      </c>
      <c r="AF633" s="9">
        <f t="shared" si="102"/>
        <v>4.5988651651101975</v>
      </c>
      <c r="AG633" s="9">
        <f t="shared" si="94"/>
        <v>4.5658939634775999</v>
      </c>
      <c r="AH633" s="9">
        <f t="shared" si="103"/>
        <v>0.95199461972664412</v>
      </c>
      <c r="AI633" s="9">
        <f t="shared" si="95"/>
        <v>5.5643196038185696</v>
      </c>
      <c r="AJ633" s="9">
        <f>(4*PI()*(AI633^2))/(Y633+E633)</f>
        <v>0.89341413541935133</v>
      </c>
      <c r="AK633" s="12">
        <f t="shared" si="96"/>
        <v>0.52487562189054715</v>
      </c>
      <c r="AL633" s="12" t="s">
        <v>140</v>
      </c>
      <c r="AM633" s="12" t="s">
        <v>142</v>
      </c>
      <c r="AN633" s="20">
        <v>1.4748000000000001</v>
      </c>
      <c r="AO633" s="20">
        <v>0.21268000000000001</v>
      </c>
      <c r="AP633" s="20">
        <v>1418.8</v>
      </c>
      <c r="AQ633" s="20">
        <v>1411.2</v>
      </c>
      <c r="AR633" s="20">
        <v>0.98933000000000004</v>
      </c>
      <c r="AS633" s="20">
        <v>2.5914E-2</v>
      </c>
      <c r="AT633" s="20">
        <v>0.70084000000000002</v>
      </c>
      <c r="AU633" s="20">
        <v>3.7046000000000001</v>
      </c>
      <c r="AV633" s="20">
        <v>0.59575</v>
      </c>
      <c r="AW633" s="20">
        <v>3.5959999999999999E-2</v>
      </c>
      <c r="AX633" s="20">
        <v>7.7144000000000004E-2</v>
      </c>
      <c r="AY633" s="20">
        <v>-497.93</v>
      </c>
      <c r="AZ633" s="20">
        <v>-360.09</v>
      </c>
      <c r="BA633" s="20">
        <v>1.4719</v>
      </c>
      <c r="BB633" s="20">
        <v>4.7492000000000001</v>
      </c>
      <c r="BC633" s="18" t="s">
        <v>162</v>
      </c>
      <c r="BD633" s="35" t="s">
        <v>165</v>
      </c>
      <c r="BE633" t="s">
        <v>168</v>
      </c>
    </row>
    <row r="634" spans="1:57" x14ac:dyDescent="0.25">
      <c r="A634" s="18" t="s">
        <v>704</v>
      </c>
      <c r="B634" s="18" t="s">
        <v>26</v>
      </c>
      <c r="C634" s="18" t="s">
        <v>6</v>
      </c>
      <c r="D634" s="18">
        <v>47</v>
      </c>
      <c r="E634" s="18">
        <v>6.1988000000000003</v>
      </c>
      <c r="F634" s="18">
        <v>9.0889000000000006</v>
      </c>
      <c r="G634" s="15">
        <v>5.52</v>
      </c>
      <c r="H634" s="15">
        <v>4.7</v>
      </c>
      <c r="I634" s="15">
        <v>1.94</v>
      </c>
      <c r="J634" s="15">
        <v>60.47</v>
      </c>
      <c r="K634" s="15">
        <v>54.14</v>
      </c>
      <c r="L634" s="15">
        <v>41.84</v>
      </c>
      <c r="M634" s="15">
        <v>3.9</v>
      </c>
      <c r="N634" s="15">
        <v>2</v>
      </c>
      <c r="O634" s="15">
        <f>2.06+1.33</f>
        <v>3.39</v>
      </c>
      <c r="P634" s="9">
        <v>1.7005300000000001</v>
      </c>
      <c r="Q634" s="9">
        <v>1.1267100000000001</v>
      </c>
      <c r="R634" s="9">
        <v>0.48913000000000001</v>
      </c>
      <c r="S634" s="9">
        <v>0.179449</v>
      </c>
      <c r="T634" s="9">
        <v>0.19455</v>
      </c>
      <c r="U634" s="9">
        <v>4.7551000000000003E-2</v>
      </c>
      <c r="V634" s="9">
        <v>3.1075900000000001</v>
      </c>
      <c r="W634" s="9">
        <v>2.7581000000000002</v>
      </c>
      <c r="X634" s="9">
        <v>4.6902299999999997</v>
      </c>
      <c r="Y634" s="9">
        <v>37.767800000000001</v>
      </c>
      <c r="Z634" s="9">
        <v>22.311599999999999</v>
      </c>
      <c r="AA634" s="9">
        <f t="shared" si="97"/>
        <v>1.4217010309278353</v>
      </c>
      <c r="AB634" s="9">
        <f t="shared" si="98"/>
        <v>2.8453608247422677</v>
      </c>
      <c r="AC634" s="9">
        <f t="shared" si="99"/>
        <v>2.4226804123711343</v>
      </c>
      <c r="AD634" s="9">
        <f t="shared" si="100"/>
        <v>6.0927598890107761</v>
      </c>
      <c r="AE634" s="9">
        <f t="shared" si="101"/>
        <v>3.5993418080918884</v>
      </c>
      <c r="AF634" s="9">
        <f t="shared" si="102"/>
        <v>4.76542030221374</v>
      </c>
      <c r="AG634" s="9">
        <f t="shared" si="94"/>
        <v>1.4046847769076456</v>
      </c>
      <c r="AH634" s="9">
        <f t="shared" si="103"/>
        <v>0.97106302759244278</v>
      </c>
      <c r="AI634" s="9">
        <f t="shared" si="95"/>
        <v>1.7464146613980196</v>
      </c>
      <c r="AJ634" s="9">
        <f>(4*PI()*(AI634^2))/(Y634+E634)</f>
        <v>0.87172945178910177</v>
      </c>
      <c r="AK634" s="12">
        <f t="shared" si="96"/>
        <v>0.57227138643067843</v>
      </c>
      <c r="AL634" s="12" t="s">
        <v>144</v>
      </c>
      <c r="AM634" s="12" t="s">
        <v>142</v>
      </c>
      <c r="AN634" s="18">
        <v>7.8337000000000003</v>
      </c>
      <c r="AO634" s="18">
        <v>0.76473000000000002</v>
      </c>
      <c r="AP634" s="18">
        <v>11789</v>
      </c>
      <c r="AQ634" s="18">
        <v>11033</v>
      </c>
      <c r="AR634" s="18">
        <v>3.8429000000000002</v>
      </c>
      <c r="AS634" s="18">
        <v>6.0870999999999998E-3</v>
      </c>
      <c r="AT634" s="18">
        <v>0.74204999999999999</v>
      </c>
      <c r="AU634" s="18">
        <v>0.44966</v>
      </c>
      <c r="AV634" s="18">
        <v>1.1297E-2</v>
      </c>
      <c r="AW634" s="18">
        <v>4.4802000000000002E-3</v>
      </c>
      <c r="AX634" s="18">
        <v>0.26865</v>
      </c>
      <c r="AY634" s="18">
        <v>0.58365999999999996</v>
      </c>
      <c r="AZ634" s="18">
        <v>-529.09</v>
      </c>
      <c r="BA634" s="18">
        <v>5.7367000000000001E-2</v>
      </c>
      <c r="BB634" s="18">
        <v>14.318</v>
      </c>
      <c r="BC634" s="18" t="s">
        <v>162</v>
      </c>
      <c r="BD634" s="35" t="s">
        <v>163</v>
      </c>
      <c r="BE634" t="s">
        <v>168</v>
      </c>
    </row>
    <row r="635" spans="1:57" x14ac:dyDescent="0.25">
      <c r="A635" s="18" t="s">
        <v>705</v>
      </c>
      <c r="B635" s="18" t="s">
        <v>5</v>
      </c>
      <c r="C635" s="18" t="s">
        <v>14</v>
      </c>
      <c r="D635" s="18">
        <v>64</v>
      </c>
      <c r="E635" s="18">
        <v>78.19</v>
      </c>
      <c r="F635" s="18">
        <v>33.286000000000001</v>
      </c>
      <c r="G635" s="15">
        <v>15.43</v>
      </c>
      <c r="H635" s="15">
        <v>7.75</v>
      </c>
      <c r="I635" s="15">
        <v>3.56</v>
      </c>
      <c r="J635" s="15">
        <v>109.06</v>
      </c>
      <c r="K635" s="15">
        <v>21.07</v>
      </c>
      <c r="L635" s="15">
        <v>23.05</v>
      </c>
      <c r="M635" s="15">
        <v>14</v>
      </c>
      <c r="N635" s="15">
        <v>2</v>
      </c>
      <c r="O635" s="15">
        <f>1.15+4.47</f>
        <v>5.6199999999999992</v>
      </c>
      <c r="P635" s="9">
        <v>0.81566099999999997</v>
      </c>
      <c r="Q635" s="9">
        <v>1.5904</v>
      </c>
      <c r="R635" s="9">
        <v>1.6339900000000001E-2</v>
      </c>
      <c r="S635" s="9">
        <v>0.107949</v>
      </c>
      <c r="T635" s="9">
        <v>0.11688800000000001</v>
      </c>
      <c r="U635" s="9">
        <v>2.0040200000000001E-2</v>
      </c>
      <c r="V635" s="9">
        <v>15.0631</v>
      </c>
      <c r="W635" s="9">
        <v>9.4712499999999995</v>
      </c>
      <c r="X635" s="9">
        <v>7.7253299999999996</v>
      </c>
      <c r="Y635" s="9">
        <v>327.536</v>
      </c>
      <c r="Z635" s="9">
        <v>654.18499999999995</v>
      </c>
      <c r="AA635" s="9">
        <f t="shared" si="97"/>
        <v>2.6604634831460672</v>
      </c>
      <c r="AB635" s="9">
        <f t="shared" si="98"/>
        <v>4.334269662921348</v>
      </c>
      <c r="AC635" s="9">
        <f t="shared" si="99"/>
        <v>2.1769662921348316</v>
      </c>
      <c r="AD635" s="9">
        <f t="shared" si="100"/>
        <v>4.1889755723238267</v>
      </c>
      <c r="AE635" s="9">
        <f t="shared" si="101"/>
        <v>8.3666069829901524</v>
      </c>
      <c r="AF635" s="9">
        <f t="shared" si="102"/>
        <v>4.3463562423780706</v>
      </c>
      <c r="AG635" s="9">
        <f t="shared" si="94"/>
        <v>4.9888525735594342</v>
      </c>
      <c r="AH635" s="9">
        <f t="shared" si="103"/>
        <v>0.94171378927698435</v>
      </c>
      <c r="AI635" s="9">
        <f t="shared" si="95"/>
        <v>5.3852267059972299</v>
      </c>
      <c r="AJ635" s="9">
        <f>(4*PI()*(AI635^2))/(Y635+E635)</f>
        <v>0.89822472678942589</v>
      </c>
      <c r="AK635" s="12">
        <f t="shared" si="96"/>
        <v>0.63345195729537374</v>
      </c>
      <c r="AL635" s="12" t="s">
        <v>140</v>
      </c>
      <c r="AM635" s="12" t="s">
        <v>142</v>
      </c>
      <c r="AN635" s="18">
        <v>9.7819000000000003</v>
      </c>
      <c r="AO635" s="18">
        <v>0.97994999999999999</v>
      </c>
      <c r="AP635" s="18">
        <v>5522.1</v>
      </c>
      <c r="AQ635" s="18">
        <v>5015.1000000000004</v>
      </c>
      <c r="AR635" s="18">
        <v>5.7427000000000001</v>
      </c>
      <c r="AS635" s="18">
        <v>7.6141999999999998E-3</v>
      </c>
      <c r="AT635" s="18">
        <v>0.71611999999999998</v>
      </c>
      <c r="AU635" s="18">
        <v>0.26385999999999998</v>
      </c>
      <c r="AV635" s="18">
        <v>2.3547999999999999E-2</v>
      </c>
      <c r="AW635" s="18">
        <v>7.8125999999999994E-3</v>
      </c>
      <c r="AX635" s="18">
        <v>0.40183000000000002</v>
      </c>
      <c r="AY635" s="18">
        <v>2.8992</v>
      </c>
      <c r="AZ635" s="18">
        <v>-325.11</v>
      </c>
      <c r="BA635" s="18">
        <v>6.8985000000000005E-2</v>
      </c>
      <c r="BB635" s="18">
        <v>14.273999999999999</v>
      </c>
      <c r="BC635" s="18" t="s">
        <v>162</v>
      </c>
      <c r="BD635" s="35" t="s">
        <v>163</v>
      </c>
      <c r="BE635" t="s">
        <v>167</v>
      </c>
    </row>
    <row r="636" spans="1:57" x14ac:dyDescent="0.25">
      <c r="A636" s="18" t="s">
        <v>706</v>
      </c>
      <c r="B636" s="18" t="s">
        <v>26</v>
      </c>
      <c r="C636" s="18" t="s">
        <v>6</v>
      </c>
      <c r="D636" s="18">
        <v>52</v>
      </c>
      <c r="E636" s="18">
        <v>52.09</v>
      </c>
      <c r="F636" s="18">
        <v>27.08</v>
      </c>
      <c r="G636" s="15">
        <v>11.33</v>
      </c>
      <c r="H636" s="15">
        <v>7.75</v>
      </c>
      <c r="I636" s="15">
        <v>2.74</v>
      </c>
      <c r="J636" s="15">
        <v>47.67</v>
      </c>
      <c r="K636" s="15">
        <v>27.43</v>
      </c>
      <c r="L636" s="15">
        <v>70.72</v>
      </c>
      <c r="M636" s="15">
        <v>10.5</v>
      </c>
      <c r="N636" s="15">
        <v>2</v>
      </c>
      <c r="O636" s="15">
        <f>1.16+2.37</f>
        <v>3.5300000000000002</v>
      </c>
      <c r="P636" s="9">
        <v>0.99358000000000002</v>
      </c>
      <c r="Q636" s="9">
        <v>1.3724099999999999</v>
      </c>
      <c r="R636" s="9">
        <v>0.12987000000000001</v>
      </c>
      <c r="S636" s="9">
        <v>8.4879800000000005E-2</v>
      </c>
      <c r="T636" s="9">
        <v>8.7214299999999995E-2</v>
      </c>
      <c r="U636" s="9">
        <v>3.6093700000000002E-3</v>
      </c>
      <c r="V636" s="9">
        <v>10.7149</v>
      </c>
      <c r="W636" s="9">
        <v>7.8073499999999996</v>
      </c>
      <c r="X636" s="9">
        <v>7.7572200000000002</v>
      </c>
      <c r="Y636" s="9">
        <v>232.45599999999999</v>
      </c>
      <c r="Z636" s="9">
        <v>411.01100000000002</v>
      </c>
      <c r="AA636" s="9">
        <f t="shared" si="97"/>
        <v>2.8493978102189779</v>
      </c>
      <c r="AB636" s="9">
        <f t="shared" si="98"/>
        <v>4.1350364963503647</v>
      </c>
      <c r="AC636" s="9">
        <f t="shared" si="99"/>
        <v>2.8284671532846715</v>
      </c>
      <c r="AD636" s="9">
        <f t="shared" si="100"/>
        <v>4.4625839892493753</v>
      </c>
      <c r="AE636" s="9">
        <f t="shared" si="101"/>
        <v>7.8904012286427339</v>
      </c>
      <c r="AF636" s="9">
        <f t="shared" si="102"/>
        <v>4.2050561271541254</v>
      </c>
      <c r="AG636" s="9">
        <f t="shared" si="94"/>
        <v>4.0719481788590652</v>
      </c>
      <c r="AH636" s="9">
        <f t="shared" si="103"/>
        <v>0.94478600328670426</v>
      </c>
      <c r="AI636" s="9">
        <f t="shared" si="95"/>
        <v>4.6123431649470508</v>
      </c>
      <c r="AJ636" s="9">
        <f>(4*PI()*(AI636^2))/(Y636+E636)</f>
        <v>0.93950826073016847</v>
      </c>
      <c r="AK636" s="12">
        <f t="shared" si="96"/>
        <v>0.77620396600566577</v>
      </c>
      <c r="AL636" s="12" t="s">
        <v>144</v>
      </c>
      <c r="AM636" s="12" t="s">
        <v>142</v>
      </c>
      <c r="AN636" s="18">
        <v>4.0880999999999998</v>
      </c>
      <c r="AO636" s="18">
        <v>0.38451999999999997</v>
      </c>
      <c r="AP636" s="18">
        <v>3099.6</v>
      </c>
      <c r="AQ636" s="18">
        <v>3137.2</v>
      </c>
      <c r="AR636" s="18">
        <v>2.3220999999999998</v>
      </c>
      <c r="AS636" s="18">
        <v>1.8048999999999999E-2</v>
      </c>
      <c r="AT636" s="18">
        <v>0.68923999999999996</v>
      </c>
      <c r="AU636" s="18">
        <v>0.91873000000000005</v>
      </c>
      <c r="AV636" s="18">
        <v>0.21065</v>
      </c>
      <c r="AW636" s="18">
        <v>2.5544000000000001E-2</v>
      </c>
      <c r="AX636" s="18">
        <v>0.16868</v>
      </c>
      <c r="AY636" s="18">
        <v>-74.531999999999996</v>
      </c>
      <c r="AZ636" s="18">
        <v>-2118.4</v>
      </c>
      <c r="BA636" s="18">
        <v>0.27871000000000001</v>
      </c>
      <c r="BB636" s="18">
        <v>13.018000000000001</v>
      </c>
      <c r="BC636" s="18" t="s">
        <v>162</v>
      </c>
      <c r="BD636" s="35" t="s">
        <v>163</v>
      </c>
      <c r="BE636" t="s">
        <v>167</v>
      </c>
    </row>
    <row r="637" spans="1:57" x14ac:dyDescent="0.25">
      <c r="A637" s="18" t="s">
        <v>707</v>
      </c>
      <c r="B637" s="18" t="s">
        <v>26</v>
      </c>
      <c r="C637" s="18" t="s">
        <v>6</v>
      </c>
      <c r="D637" s="18">
        <v>66</v>
      </c>
      <c r="E637" s="18">
        <v>11.743</v>
      </c>
      <c r="F637" s="18">
        <v>12.688000000000001</v>
      </c>
      <c r="G637" s="15">
        <v>4.6900000000000004</v>
      </c>
      <c r="H637" s="15">
        <v>2.1</v>
      </c>
      <c r="I637" s="15">
        <v>2.2599999999999998</v>
      </c>
      <c r="J637" s="15">
        <v>83.42</v>
      </c>
      <c r="K637" s="15">
        <v>10.86</v>
      </c>
      <c r="L637" s="15">
        <v>83.68</v>
      </c>
      <c r="M637" s="15">
        <v>3.5</v>
      </c>
      <c r="N637" s="15">
        <v>2</v>
      </c>
      <c r="O637" s="15">
        <f>1.32+1.5</f>
        <v>2.8200000000000003</v>
      </c>
      <c r="P637" s="9">
        <v>0.57405600000000001</v>
      </c>
      <c r="Q637" s="9">
        <v>1.2922199999999999</v>
      </c>
      <c r="R637" s="9">
        <v>0.231707</v>
      </c>
      <c r="S637" s="9">
        <v>4.54373E-2</v>
      </c>
      <c r="T637" s="9">
        <v>5.2217100000000002E-2</v>
      </c>
      <c r="U637" s="9">
        <v>1.7053299999999999E-3</v>
      </c>
      <c r="V637" s="9">
        <v>4.8138399999999999</v>
      </c>
      <c r="W637" s="9">
        <v>3.72525</v>
      </c>
      <c r="X637" s="9">
        <v>2.1385000000000001</v>
      </c>
      <c r="Y637" s="9">
        <v>29.922499999999999</v>
      </c>
      <c r="Z637" s="9">
        <v>20.0839</v>
      </c>
      <c r="AA637" s="9">
        <f t="shared" si="97"/>
        <v>1.648340707964602</v>
      </c>
      <c r="AB637" s="9">
        <f t="shared" si="98"/>
        <v>2.0752212389380533</v>
      </c>
      <c r="AC637" s="9">
        <f t="shared" si="99"/>
        <v>0.92920353982300896</v>
      </c>
      <c r="AD637" s="9">
        <f t="shared" si="100"/>
        <v>2.5481137699054757</v>
      </c>
      <c r="AE637" s="9">
        <f t="shared" si="101"/>
        <v>1.7102869794771351</v>
      </c>
      <c r="AF637" s="9">
        <f t="shared" si="102"/>
        <v>4.0497900477672397</v>
      </c>
      <c r="AG637" s="9">
        <f t="shared" si="94"/>
        <v>1.9333683025890991</v>
      </c>
      <c r="AH637" s="9">
        <f t="shared" si="103"/>
        <v>0.95741734806073175</v>
      </c>
      <c r="AI637" s="9">
        <f t="shared" si="95"/>
        <v>1.6862416559787534</v>
      </c>
      <c r="AJ637" s="9">
        <f>(4*PI()*(AI637^2))/(Y637+E637)</f>
        <v>0.85757654316561871</v>
      </c>
      <c r="AK637" s="12">
        <f t="shared" si="96"/>
        <v>0.80141843971631188</v>
      </c>
      <c r="AL637" s="12" t="s">
        <v>144</v>
      </c>
      <c r="AM637" s="12" t="s">
        <v>142</v>
      </c>
      <c r="AN637" s="18">
        <v>7.6966999999999999</v>
      </c>
      <c r="AO637" s="18">
        <v>0.73755999999999999</v>
      </c>
      <c r="AP637" s="18">
        <v>12749</v>
      </c>
      <c r="AQ637" s="18">
        <v>12203</v>
      </c>
      <c r="AR637" s="18">
        <v>3.7587999999999999</v>
      </c>
      <c r="AS637" s="18">
        <v>5.8469000000000004E-3</v>
      </c>
      <c r="AT637" s="18">
        <v>0.75856999999999997</v>
      </c>
      <c r="AU637" s="18">
        <v>0.43725999999999998</v>
      </c>
      <c r="AV637" s="18">
        <v>4.3553000000000003E-3</v>
      </c>
      <c r="AW637" s="18">
        <v>4.6769000000000003E-3</v>
      </c>
      <c r="AX637" s="18">
        <v>0.22103999999999999</v>
      </c>
      <c r="AY637" s="18">
        <v>-8.0594999999999999</v>
      </c>
      <c r="AZ637" s="18">
        <v>-1671.7</v>
      </c>
      <c r="BA637" s="18">
        <v>3.7520999999999999E-2</v>
      </c>
      <c r="BB637" s="18">
        <v>51.777000000000001</v>
      </c>
      <c r="BC637" s="18" t="s">
        <v>164</v>
      </c>
      <c r="BD637" s="35" t="s">
        <v>165</v>
      </c>
      <c r="BE637" t="s">
        <v>167</v>
      </c>
    </row>
    <row r="638" spans="1:57" x14ac:dyDescent="0.25">
      <c r="A638" s="18" t="s">
        <v>708</v>
      </c>
      <c r="B638" s="18" t="s">
        <v>5</v>
      </c>
      <c r="C638" s="18" t="s">
        <v>6</v>
      </c>
      <c r="D638" s="18">
        <v>60</v>
      </c>
      <c r="E638" s="18">
        <v>14.766</v>
      </c>
      <c r="F638" s="18">
        <v>14.512</v>
      </c>
      <c r="G638" s="15">
        <v>8.02</v>
      </c>
      <c r="H638" s="15">
        <v>6.05</v>
      </c>
      <c r="I638" s="15">
        <v>2.77</v>
      </c>
      <c r="J638" s="15">
        <v>24.16</v>
      </c>
      <c r="K638" s="15">
        <v>37.659999999999997</v>
      </c>
      <c r="L638" s="15">
        <v>23.16</v>
      </c>
      <c r="M638" s="15">
        <v>5.75</v>
      </c>
      <c r="N638" s="15">
        <v>2</v>
      </c>
      <c r="O638" s="15">
        <f>0.6+3.26</f>
        <v>3.86</v>
      </c>
      <c r="P638" s="9">
        <v>1.44693</v>
      </c>
      <c r="Q638" s="9">
        <v>1.55097</v>
      </c>
      <c r="R638" s="9">
        <v>0.20833299999999999</v>
      </c>
      <c r="S638" s="9">
        <v>0.16037899999999999</v>
      </c>
      <c r="T638" s="9">
        <v>0.176209</v>
      </c>
      <c r="U638" s="9">
        <v>3.9014699999999999E-2</v>
      </c>
      <c r="V638" s="9">
        <v>6.5004</v>
      </c>
      <c r="W638" s="9">
        <v>4.1911899999999997</v>
      </c>
      <c r="X638" s="9">
        <v>6.0643700000000003</v>
      </c>
      <c r="Y638" s="9">
        <v>101.172</v>
      </c>
      <c r="Z638" s="9">
        <v>101.18300000000001</v>
      </c>
      <c r="AA638" s="9">
        <f t="shared" si="97"/>
        <v>1.5130649819494584</v>
      </c>
      <c r="AB638" s="9">
        <f t="shared" si="98"/>
        <v>2.895306859205776</v>
      </c>
      <c r="AC638" s="9">
        <f t="shared" si="99"/>
        <v>2.1841155234657039</v>
      </c>
      <c r="AD638" s="9">
        <f t="shared" si="100"/>
        <v>6.8516863063795199</v>
      </c>
      <c r="AE638" s="9">
        <f t="shared" si="101"/>
        <v>6.8524312610050115</v>
      </c>
      <c r="AF638" s="9">
        <f t="shared" si="102"/>
        <v>4.6593138727670356</v>
      </c>
      <c r="AG638" s="9">
        <f t="shared" si="94"/>
        <v>2.1679861114384136</v>
      </c>
      <c r="AH638" s="9">
        <f t="shared" si="103"/>
        <v>0.93866169249994802</v>
      </c>
      <c r="AI638" s="9">
        <f t="shared" si="95"/>
        <v>2.8907219099196633</v>
      </c>
      <c r="AJ638" s="9">
        <f>(4*PI()*(AI638^2))/(Y638+E638)</f>
        <v>0.90572569381509571</v>
      </c>
      <c r="AK638" s="12">
        <f t="shared" si="96"/>
        <v>0.71761658031088082</v>
      </c>
      <c r="AL638" s="12" t="s">
        <v>144</v>
      </c>
      <c r="AM638" s="12" t="s">
        <v>142</v>
      </c>
      <c r="AN638" s="18">
        <v>8.1928000000000001</v>
      </c>
      <c r="AO638" s="18">
        <v>0.51078000000000001</v>
      </c>
      <c r="AP638" s="18">
        <v>12001</v>
      </c>
      <c r="AQ638" s="18">
        <v>10793</v>
      </c>
      <c r="AR638" s="18">
        <v>4.0791000000000004</v>
      </c>
      <c r="AS638" s="18">
        <v>4.3940000000000003E-3</v>
      </c>
      <c r="AT638" s="18">
        <v>0.79096</v>
      </c>
      <c r="AU638" s="18">
        <v>0.35622999999999999</v>
      </c>
      <c r="AV638" s="18">
        <v>2.2702E-2</v>
      </c>
      <c r="AW638" s="18">
        <v>4.7495999999999997E-3</v>
      </c>
      <c r="AX638" s="18">
        <v>0.29382000000000003</v>
      </c>
      <c r="AY638" s="18">
        <v>-14.329000000000001</v>
      </c>
      <c r="AZ638" s="18">
        <v>-4054.3</v>
      </c>
      <c r="BA638" s="18">
        <v>8.7592000000000003E-2</v>
      </c>
      <c r="BB638" s="18">
        <v>2.3260000000000001</v>
      </c>
      <c r="BC638" s="18" t="s">
        <v>162</v>
      </c>
      <c r="BD638" s="35" t="s">
        <v>163</v>
      </c>
      <c r="BE638" t="s">
        <v>167</v>
      </c>
    </row>
    <row r="639" spans="1:57" x14ac:dyDescent="0.25">
      <c r="A639" s="18" t="s">
        <v>709</v>
      </c>
      <c r="B639" s="18" t="s">
        <v>40</v>
      </c>
      <c r="C639" s="18" t="s">
        <v>6</v>
      </c>
      <c r="D639" s="18">
        <v>51</v>
      </c>
      <c r="E639" s="18">
        <v>37.566000000000003</v>
      </c>
      <c r="F639" s="18">
        <v>23.431000000000001</v>
      </c>
      <c r="G639" s="15">
        <v>18.11</v>
      </c>
      <c r="H639" s="15">
        <v>14.05</v>
      </c>
      <c r="I639" s="15">
        <v>2.4900000000000002</v>
      </c>
      <c r="J639" s="15">
        <v>48.4</v>
      </c>
      <c r="K639" s="15">
        <v>43.35</v>
      </c>
      <c r="L639" s="15">
        <v>70.67</v>
      </c>
      <c r="M639" s="15">
        <v>7.6</v>
      </c>
      <c r="N639" s="15">
        <v>4</v>
      </c>
      <c r="O639" s="15">
        <f>0.98+1.67+0.64+1.33</f>
        <v>4.62</v>
      </c>
      <c r="P639" s="9">
        <v>2.09205</v>
      </c>
      <c r="Q639" s="9">
        <v>2.26396</v>
      </c>
      <c r="R639" s="9">
        <v>0.11071400000000001</v>
      </c>
      <c r="S639" s="9">
        <v>0.19958899999999999</v>
      </c>
      <c r="T639" s="9">
        <v>0.213366</v>
      </c>
      <c r="U639" s="9">
        <v>3.0248400000000002E-2</v>
      </c>
      <c r="V639" s="9">
        <v>15.2491</v>
      </c>
      <c r="W639" s="9">
        <v>6.7355999999999998</v>
      </c>
      <c r="X639" s="9">
        <v>14.091200000000001</v>
      </c>
      <c r="Y639" s="9">
        <v>580.02499999999998</v>
      </c>
      <c r="Z639" s="9">
        <v>1296.04</v>
      </c>
      <c r="AA639" s="9">
        <f t="shared" si="97"/>
        <v>2.7050602409638551</v>
      </c>
      <c r="AB639" s="9">
        <f t="shared" si="98"/>
        <v>7.2730923694779106</v>
      </c>
      <c r="AC639" s="9">
        <f t="shared" si="99"/>
        <v>5.642570281124498</v>
      </c>
      <c r="AD639" s="9">
        <f t="shared" si="100"/>
        <v>15.440158654102111</v>
      </c>
      <c r="AE639" s="9">
        <f t="shared" si="101"/>
        <v>34.500346057605277</v>
      </c>
      <c r="AF639" s="9">
        <f t="shared" si="102"/>
        <v>4.879415211477717</v>
      </c>
      <c r="AG639" s="9">
        <f t="shared" si="94"/>
        <v>3.4579805066512859</v>
      </c>
      <c r="AH639" s="9">
        <f t="shared" si="103"/>
        <v>0.92728147803784644</v>
      </c>
      <c r="AI639" s="9">
        <f t="shared" si="95"/>
        <v>6.7635794934403881</v>
      </c>
      <c r="AJ639" s="9">
        <f>(4*PI()*(AI639^2))/(Y639+E639)</f>
        <v>0.93081227734471439</v>
      </c>
      <c r="AK639" s="12">
        <f t="shared" si="96"/>
        <v>0.53896103896103897</v>
      </c>
      <c r="AL639" s="12" t="s">
        <v>140</v>
      </c>
      <c r="AM639" s="12" t="s">
        <v>142</v>
      </c>
      <c r="AN639" s="18">
        <v>0.78595999999999999</v>
      </c>
      <c r="AO639" s="18">
        <v>0.11867999999999999</v>
      </c>
      <c r="AP639" s="18">
        <v>959.42</v>
      </c>
      <c r="AQ639" s="18">
        <v>872.4</v>
      </c>
      <c r="AR639" s="18">
        <v>0.54315999999999998</v>
      </c>
      <c r="AS639" s="18">
        <v>3.7270999999999999E-2</v>
      </c>
      <c r="AT639" s="18">
        <v>0.66752999999999996</v>
      </c>
      <c r="AU639" s="18">
        <v>6.7716000000000003</v>
      </c>
      <c r="AV639" s="18">
        <v>0.82020999999999999</v>
      </c>
      <c r="AW639" s="18">
        <v>3.2752999999999997E-2</v>
      </c>
      <c r="AX639" s="18">
        <v>4.2903999999999998E-2</v>
      </c>
      <c r="AY639" s="18">
        <v>-118.1</v>
      </c>
      <c r="AZ639" s="18">
        <v>-118.97</v>
      </c>
      <c r="BA639" s="18">
        <v>2.5899000000000001</v>
      </c>
      <c r="BB639" s="18">
        <v>22.658000000000001</v>
      </c>
      <c r="BC639" s="18" t="s">
        <v>164</v>
      </c>
      <c r="BD639" s="35" t="s">
        <v>165</v>
      </c>
      <c r="BE639" t="s">
        <v>168</v>
      </c>
    </row>
    <row r="640" spans="1:57" x14ac:dyDescent="0.25">
      <c r="A640" s="16" t="s">
        <v>710</v>
      </c>
      <c r="B640" s="16" t="s">
        <v>5</v>
      </c>
      <c r="C640" s="16" t="s">
        <v>6</v>
      </c>
      <c r="D640" s="16">
        <v>56</v>
      </c>
      <c r="E640" s="16">
        <v>12.795999999999999</v>
      </c>
      <c r="F640" s="16">
        <v>13.057</v>
      </c>
      <c r="G640" s="15">
        <v>7.57</v>
      </c>
      <c r="H640" s="15">
        <v>6.15</v>
      </c>
      <c r="I640" s="15">
        <v>3.89</v>
      </c>
      <c r="J640" s="15">
        <v>48.6</v>
      </c>
      <c r="K640" s="15">
        <v>45.14</v>
      </c>
      <c r="L640" s="15">
        <v>31.8</v>
      </c>
      <c r="M640" s="15">
        <v>6</v>
      </c>
      <c r="N640" s="15">
        <v>1</v>
      </c>
      <c r="O640" s="15">
        <v>4.12</v>
      </c>
      <c r="P640" s="9">
        <v>1.5692600000000001</v>
      </c>
      <c r="Q640" s="9">
        <v>1.6195299999999999</v>
      </c>
      <c r="R640" s="9">
        <v>5.2845499999999997E-2</v>
      </c>
      <c r="S640" s="9">
        <v>0.157307</v>
      </c>
      <c r="T640" s="9">
        <v>0.16914999999999999</v>
      </c>
      <c r="U640" s="9">
        <v>2.3889199999999999E-2</v>
      </c>
      <c r="V640" s="9">
        <v>6.41852</v>
      </c>
      <c r="W640" s="9">
        <v>3.9632000000000001</v>
      </c>
      <c r="X640" s="9">
        <v>6.2192800000000004</v>
      </c>
      <c r="Y640" s="9">
        <v>105.35299999999999</v>
      </c>
      <c r="Z640" s="9">
        <v>108.904</v>
      </c>
      <c r="AA640" s="9">
        <f t="shared" si="97"/>
        <v>1.0188174807197943</v>
      </c>
      <c r="AB640" s="9">
        <f t="shared" si="98"/>
        <v>1.9460154241645244</v>
      </c>
      <c r="AC640" s="9">
        <f t="shared" si="99"/>
        <v>1.5809768637532133</v>
      </c>
      <c r="AD640" s="9">
        <f t="shared" si="100"/>
        <v>8.2332760237574245</v>
      </c>
      <c r="AE640" s="9">
        <f t="shared" si="101"/>
        <v>8.5107846201938102</v>
      </c>
      <c r="AF640" s="9">
        <f t="shared" si="102"/>
        <v>4.619741615790196</v>
      </c>
      <c r="AG640" s="9">
        <f t="shared" si="94"/>
        <v>2.0181906014070585</v>
      </c>
      <c r="AH640" s="9">
        <f t="shared" si="103"/>
        <v>0.97117757018065121</v>
      </c>
      <c r="AI640" s="9">
        <f t="shared" si="95"/>
        <v>2.9624548543376679</v>
      </c>
      <c r="AJ640" s="9">
        <f>(4*PI()*(AI640^2))/(Y640+E640)</f>
        <v>0.93343331108454108</v>
      </c>
      <c r="AK640" s="12">
        <f t="shared" si="96"/>
        <v>0.94417475728155342</v>
      </c>
      <c r="AL640" s="12" t="s">
        <v>144</v>
      </c>
      <c r="AM640" s="12" t="s">
        <v>143</v>
      </c>
      <c r="AN640" s="16">
        <v>1.6415</v>
      </c>
      <c r="AO640" s="16">
        <v>0.18898999999999999</v>
      </c>
      <c r="AP640" s="16">
        <v>2789.9</v>
      </c>
      <c r="AQ640" s="16">
        <v>2548.8000000000002</v>
      </c>
      <c r="AR640" s="16">
        <v>1.0599000000000001</v>
      </c>
      <c r="AS640" s="16">
        <v>1.1417999999999999E-2</v>
      </c>
      <c r="AT640" s="16">
        <v>0.69218999999999997</v>
      </c>
      <c r="AU640" s="16">
        <v>1.3666</v>
      </c>
      <c r="AV640" s="16">
        <v>0.38744000000000001</v>
      </c>
      <c r="AW640" s="16">
        <v>8.6199999999999992E-3</v>
      </c>
      <c r="AX640" s="16">
        <v>0.10183</v>
      </c>
      <c r="AY640" s="16">
        <v>14.776999999999999</v>
      </c>
      <c r="AZ640" s="16">
        <v>1346.3</v>
      </c>
      <c r="BA640" s="16">
        <v>0.10874</v>
      </c>
      <c r="BB640" s="16">
        <v>9.3560999999999996</v>
      </c>
      <c r="BC640" s="16" t="s">
        <v>162</v>
      </c>
      <c r="BD640" s="34" t="s">
        <v>163</v>
      </c>
      <c r="BE640" t="s">
        <v>167</v>
      </c>
    </row>
    <row r="641" spans="1:57" x14ac:dyDescent="0.25">
      <c r="A641" s="18" t="s">
        <v>711</v>
      </c>
      <c r="B641" s="18" t="s">
        <v>5</v>
      </c>
      <c r="C641" s="18" t="s">
        <v>14</v>
      </c>
      <c r="D641" s="18">
        <v>60</v>
      </c>
      <c r="E641" s="18">
        <v>2.5287999999999999</v>
      </c>
      <c r="F641" s="18">
        <v>6.0354000000000001</v>
      </c>
      <c r="G641" s="15">
        <v>3.69</v>
      </c>
      <c r="H641" s="15">
        <v>3.05</v>
      </c>
      <c r="I641" s="15">
        <v>3.76</v>
      </c>
      <c r="J641" s="15">
        <v>10.199999999999999</v>
      </c>
      <c r="K641" s="15">
        <v>51.22</v>
      </c>
      <c r="L641" s="15">
        <v>60.32</v>
      </c>
      <c r="M641" s="15">
        <v>2.4</v>
      </c>
      <c r="N641" s="15">
        <v>2</v>
      </c>
      <c r="O641" s="15">
        <f>0.58+3.53</f>
        <v>4.1099999999999994</v>
      </c>
      <c r="P641" s="9">
        <v>1.73383</v>
      </c>
      <c r="Q641" s="9">
        <v>1.25102</v>
      </c>
      <c r="R641" s="9">
        <v>0.482456</v>
      </c>
      <c r="S641" s="9">
        <v>0.18604000000000001</v>
      </c>
      <c r="T641" s="9">
        <v>0.23001099999999999</v>
      </c>
      <c r="U641" s="9">
        <v>0.128305</v>
      </c>
      <c r="V641" s="9">
        <v>2.1189100000000001</v>
      </c>
      <c r="W641" s="9">
        <v>1.69374</v>
      </c>
      <c r="X641" s="9">
        <v>2.9366599999999998</v>
      </c>
      <c r="Y641" s="9">
        <v>15.4436</v>
      </c>
      <c r="Z641" s="9">
        <v>5.45303</v>
      </c>
      <c r="AA641" s="9">
        <f t="shared" si="97"/>
        <v>0.45046276595744683</v>
      </c>
      <c r="AB641" s="9">
        <f t="shared" si="98"/>
        <v>0.9813829787234043</v>
      </c>
      <c r="AC641" s="9">
        <f t="shared" si="99"/>
        <v>0.81117021276595747</v>
      </c>
      <c r="AD641" s="9">
        <f t="shared" si="100"/>
        <v>6.1070863650743439</v>
      </c>
      <c r="AE641" s="9">
        <f t="shared" si="101"/>
        <v>2.1563706105662765</v>
      </c>
      <c r="AF641" s="9">
        <f t="shared" si="102"/>
        <v>4.9849019441957036</v>
      </c>
      <c r="AG641" s="9">
        <f t="shared" si="94"/>
        <v>0.89718562192088758</v>
      </c>
      <c r="AH641" s="9">
        <f t="shared" si="103"/>
        <v>0.93401986901714884</v>
      </c>
      <c r="AI641" s="9">
        <f t="shared" si="95"/>
        <v>1.0919005696344548</v>
      </c>
      <c r="AJ641" s="9">
        <f>(4*PI()*(AI641^2))/(Y641+E641)</f>
        <v>0.83362354670306893</v>
      </c>
      <c r="AK641" s="12">
        <f t="shared" si="96"/>
        <v>0.9148418491484186</v>
      </c>
      <c r="AL641" s="12" t="s">
        <v>140</v>
      </c>
      <c r="AM641" s="12" t="s">
        <v>142</v>
      </c>
      <c r="AN641" s="18">
        <v>3.7382</v>
      </c>
      <c r="AO641" s="18">
        <v>0.38938</v>
      </c>
      <c r="AP641" s="18">
        <v>10385</v>
      </c>
      <c r="AQ641" s="18">
        <v>9790.4</v>
      </c>
      <c r="AR641" s="18">
        <v>1.6008</v>
      </c>
      <c r="AS641" s="18">
        <v>1.4454E-2</v>
      </c>
      <c r="AT641" s="18">
        <v>0.73999000000000004</v>
      </c>
      <c r="AU641" s="18">
        <v>15.795</v>
      </c>
      <c r="AV641" s="18">
        <v>0.45612000000000003</v>
      </c>
      <c r="AW641" s="18">
        <v>7.7742000000000002E-3</v>
      </c>
      <c r="AX641" s="18">
        <v>9.6582000000000001E-2</v>
      </c>
      <c r="AY641" s="18">
        <v>0.60733000000000004</v>
      </c>
      <c r="AZ641" s="18">
        <v>-167.22</v>
      </c>
      <c r="BA641" s="18">
        <v>4.3393000000000001E-2</v>
      </c>
      <c r="BB641" s="18">
        <v>28.254999999999999</v>
      </c>
      <c r="BC641" s="18" t="s">
        <v>162</v>
      </c>
      <c r="BD641" s="35" t="s">
        <v>165</v>
      </c>
      <c r="BE641" t="s">
        <v>168</v>
      </c>
    </row>
    <row r="642" spans="1:57" x14ac:dyDescent="0.25">
      <c r="A642" s="18" t="s">
        <v>712</v>
      </c>
      <c r="B642" s="18" t="s">
        <v>374</v>
      </c>
      <c r="C642" s="18" t="s">
        <v>6</v>
      </c>
      <c r="D642" s="18">
        <v>55</v>
      </c>
      <c r="E642" s="18">
        <v>16.024999999999999</v>
      </c>
      <c r="F642" s="18">
        <v>14.67</v>
      </c>
      <c r="G642" s="15">
        <v>5.73</v>
      </c>
      <c r="H642" s="15">
        <v>3.35</v>
      </c>
      <c r="I642" s="15">
        <v>2.84</v>
      </c>
      <c r="J642" s="15">
        <v>31.84</v>
      </c>
      <c r="K642" s="15">
        <v>3.23</v>
      </c>
      <c r="L642" s="15">
        <v>32.21</v>
      </c>
      <c r="M642" s="15">
        <v>5.5</v>
      </c>
      <c r="N642" s="15">
        <v>2</v>
      </c>
      <c r="O642" s="15">
        <f>0.84+2.4</f>
        <v>3.2399999999999998</v>
      </c>
      <c r="P642" s="9">
        <v>0.75643099999999996</v>
      </c>
      <c r="Q642" s="9">
        <v>1.2939400000000001</v>
      </c>
      <c r="R642" s="9">
        <v>0.13636400000000001</v>
      </c>
      <c r="S642" s="9">
        <v>5.6493799999999997E-2</v>
      </c>
      <c r="T642" s="9">
        <v>6.0183899999999999E-2</v>
      </c>
      <c r="U642" s="9">
        <v>2.2601700000000001E-3</v>
      </c>
      <c r="V642" s="9">
        <v>5.7559300000000002</v>
      </c>
      <c r="W642" s="9">
        <v>4.4483600000000001</v>
      </c>
      <c r="X642" s="9">
        <v>3.3648799999999999</v>
      </c>
      <c r="Y642" s="9">
        <v>53.018300000000004</v>
      </c>
      <c r="Z642" s="9">
        <v>46.772599999999997</v>
      </c>
      <c r="AA642" s="9">
        <f t="shared" si="97"/>
        <v>1.566323943661972</v>
      </c>
      <c r="AB642" s="9">
        <f t="shared" si="98"/>
        <v>2.017605633802817</v>
      </c>
      <c r="AC642" s="9">
        <f t="shared" si="99"/>
        <v>1.1795774647887325</v>
      </c>
      <c r="AD642" s="9">
        <f t="shared" si="100"/>
        <v>3.3084742589703593</v>
      </c>
      <c r="AE642" s="9">
        <f t="shared" si="101"/>
        <v>2.9187269890795631</v>
      </c>
      <c r="AF642" s="9">
        <f t="shared" si="102"/>
        <v>4.0841165144371656</v>
      </c>
      <c r="AG642" s="9">
        <f t="shared" ref="AG642:AG705" si="104">SQRT(E642/PI())</f>
        <v>2.2585207384691524</v>
      </c>
      <c r="AH642" s="9">
        <f t="shared" si="103"/>
        <v>0.96732817449964326</v>
      </c>
      <c r="AI642" s="9">
        <f t="shared" ref="AI642:AI705" si="105">(3*Z642/(4*PI()))^(1/3)</f>
        <v>2.2351206328253608</v>
      </c>
      <c r="AJ642" s="9">
        <f>(4*PI()*(AI642^2))/(Y642+E642)</f>
        <v>0.90926454823336522</v>
      </c>
      <c r="AK642" s="12">
        <f t="shared" si="96"/>
        <v>0.87654320987654322</v>
      </c>
      <c r="AL642" s="12" t="s">
        <v>144</v>
      </c>
      <c r="AM642" s="12" t="s">
        <v>142</v>
      </c>
      <c r="AN642" s="18">
        <v>0.70499000000000001</v>
      </c>
      <c r="AO642" s="18">
        <v>0.13678999999999999</v>
      </c>
      <c r="AP642" s="18">
        <v>1442.7</v>
      </c>
      <c r="AQ642" s="18">
        <v>1284.3</v>
      </c>
      <c r="AR642" s="18">
        <v>0.58575999999999995</v>
      </c>
      <c r="AS642" s="18">
        <v>2.1021000000000001E-2</v>
      </c>
      <c r="AT642" s="18">
        <v>0.70816999999999997</v>
      </c>
      <c r="AU642" s="18">
        <v>2.86</v>
      </c>
      <c r="AV642" s="18">
        <v>0.37659999999999999</v>
      </c>
      <c r="AW642" s="18">
        <v>1.3847999999999999E-2</v>
      </c>
      <c r="AX642" s="18">
        <v>5.2794000000000001E-2</v>
      </c>
      <c r="AY642" s="18">
        <v>-105.15</v>
      </c>
      <c r="AZ642" s="18">
        <v>-453.13</v>
      </c>
      <c r="BA642" s="18">
        <v>0.22794</v>
      </c>
      <c r="BB642" s="18">
        <v>23.367000000000001</v>
      </c>
      <c r="BC642" s="18" t="s">
        <v>164</v>
      </c>
      <c r="BD642" s="35" t="s">
        <v>165</v>
      </c>
      <c r="BE642" t="s">
        <v>167</v>
      </c>
    </row>
    <row r="643" spans="1:57" x14ac:dyDescent="0.25">
      <c r="A643" s="18" t="s">
        <v>713</v>
      </c>
      <c r="B643" s="18" t="s">
        <v>5</v>
      </c>
      <c r="C643" s="18" t="s">
        <v>6</v>
      </c>
      <c r="D643" s="18">
        <v>69</v>
      </c>
      <c r="E643" s="18">
        <v>13.529</v>
      </c>
      <c r="F643" s="18">
        <v>13.535</v>
      </c>
      <c r="G643" s="15">
        <v>6</v>
      </c>
      <c r="H643" s="15">
        <v>4.2</v>
      </c>
      <c r="I643" s="15">
        <v>3.52</v>
      </c>
      <c r="J643" s="15">
        <v>71.37</v>
      </c>
      <c r="K643" s="15">
        <v>40.61</v>
      </c>
      <c r="L643" s="15">
        <v>25.13</v>
      </c>
      <c r="M643" s="15">
        <v>4.8</v>
      </c>
      <c r="N643" s="15">
        <v>2</v>
      </c>
      <c r="O643" s="15">
        <f>4+1.82</f>
        <v>5.82</v>
      </c>
      <c r="P643" s="9">
        <v>1.02668</v>
      </c>
      <c r="Q643" s="9">
        <v>1.1536599999999999</v>
      </c>
      <c r="R643" s="9">
        <v>0.48780499999999999</v>
      </c>
      <c r="S643" s="9">
        <v>0.10885</v>
      </c>
      <c r="T643" s="9">
        <v>0.143544</v>
      </c>
      <c r="U643" s="9">
        <v>9.0360499999999996E-2</v>
      </c>
      <c r="V643" s="9">
        <v>4.7092099999999997</v>
      </c>
      <c r="W643" s="9">
        <v>4.0819700000000001</v>
      </c>
      <c r="X643" s="9">
        <v>4.1908799999999999</v>
      </c>
      <c r="Y643" s="9">
        <v>51.759599999999999</v>
      </c>
      <c r="Z643" s="9">
        <v>39.249400000000001</v>
      </c>
      <c r="AA643" s="9">
        <f t="shared" si="97"/>
        <v>1.1596505681818181</v>
      </c>
      <c r="AB643" s="9">
        <f t="shared" si="98"/>
        <v>1.7045454545454546</v>
      </c>
      <c r="AC643" s="9">
        <f t="shared" si="99"/>
        <v>1.1931818181818181</v>
      </c>
      <c r="AD643" s="9">
        <f t="shared" si="100"/>
        <v>3.8258260034001035</v>
      </c>
      <c r="AE643" s="9">
        <f t="shared" si="101"/>
        <v>2.9011309039840345</v>
      </c>
      <c r="AF643" s="9">
        <f t="shared" si="102"/>
        <v>4.4816255078708371</v>
      </c>
      <c r="AG643" s="9">
        <f t="shared" si="104"/>
        <v>2.075190220240184</v>
      </c>
      <c r="AH643" s="9">
        <f t="shared" si="103"/>
        <v>0.96333983756305086</v>
      </c>
      <c r="AI643" s="9">
        <f t="shared" si="105"/>
        <v>2.1082145400731713</v>
      </c>
      <c r="AJ643" s="9">
        <f>(4*PI()*(AI643^2))/(Y643+E643)</f>
        <v>0.85546474548731954</v>
      </c>
      <c r="AK643" s="12">
        <f t="shared" ref="AK643:AK706" si="106">I643/O643</f>
        <v>0.60481099656357384</v>
      </c>
      <c r="AL643" s="12" t="s">
        <v>140</v>
      </c>
      <c r="AM643" s="12" t="s">
        <v>142</v>
      </c>
      <c r="AN643" s="18">
        <v>11.942</v>
      </c>
      <c r="AO643" s="18">
        <v>0.89468999999999999</v>
      </c>
      <c r="AP643" s="18">
        <v>16771</v>
      </c>
      <c r="AQ643" s="18">
        <v>16320</v>
      </c>
      <c r="AR643" s="18">
        <v>5.7023999999999999</v>
      </c>
      <c r="AS643" s="18">
        <v>5.8425999999999999E-3</v>
      </c>
      <c r="AT643" s="18">
        <v>0.74292999999999998</v>
      </c>
      <c r="AU643" s="18">
        <v>0.36099999999999999</v>
      </c>
      <c r="AV643" s="18">
        <v>1.4019E-2</v>
      </c>
      <c r="AW643" s="18">
        <v>5.3168E-3</v>
      </c>
      <c r="AX643" s="18">
        <v>0.35399999999999998</v>
      </c>
      <c r="AY643" s="18">
        <v>0.83020000000000005</v>
      </c>
      <c r="AZ643" s="18">
        <v>-1001.3</v>
      </c>
      <c r="BA643" s="18">
        <v>3.2216000000000002E-2</v>
      </c>
      <c r="BB643" s="18">
        <v>16.927</v>
      </c>
      <c r="BC643" s="18" t="s">
        <v>162</v>
      </c>
      <c r="BD643" s="35" t="s">
        <v>165</v>
      </c>
      <c r="BE643" t="s">
        <v>167</v>
      </c>
    </row>
    <row r="644" spans="1:57" x14ac:dyDescent="0.25">
      <c r="A644" s="18" t="s">
        <v>714</v>
      </c>
      <c r="B644" s="18" t="s">
        <v>5</v>
      </c>
      <c r="C644" s="18" t="s">
        <v>6</v>
      </c>
      <c r="D644" s="18">
        <v>65</v>
      </c>
      <c r="E644" s="18">
        <v>62.566000000000003</v>
      </c>
      <c r="F644" s="18">
        <v>28.744</v>
      </c>
      <c r="G644" s="15">
        <v>11.16</v>
      </c>
      <c r="H644" s="15">
        <v>5.85</v>
      </c>
      <c r="I644" s="15">
        <v>4.03</v>
      </c>
      <c r="J644" s="15">
        <v>99.15</v>
      </c>
      <c r="K644" s="15">
        <v>19.899999999999999</v>
      </c>
      <c r="L644" s="15">
        <v>48.37</v>
      </c>
      <c r="M644" s="15">
        <v>8.5</v>
      </c>
      <c r="N644" s="15">
        <v>3</v>
      </c>
      <c r="O644" s="15">
        <f>4.49+0.59+1.57</f>
        <v>6.65</v>
      </c>
      <c r="P644" s="9">
        <v>0.671261</v>
      </c>
      <c r="Q644" s="9">
        <v>1.20404</v>
      </c>
      <c r="R644" s="9">
        <v>0.32758599999999999</v>
      </c>
      <c r="S644" s="9">
        <v>3.9147099999999997E-2</v>
      </c>
      <c r="T644" s="9">
        <v>4.0520100000000003E-2</v>
      </c>
      <c r="U644" s="9">
        <v>4.58842E-4</v>
      </c>
      <c r="V644" s="9">
        <v>10.5664</v>
      </c>
      <c r="W644" s="9">
        <v>8.7757900000000006</v>
      </c>
      <c r="X644" s="9">
        <v>5.8908500000000004</v>
      </c>
      <c r="Y644" s="9">
        <v>168.43899999999999</v>
      </c>
      <c r="Z644" s="9">
        <v>273.21600000000001</v>
      </c>
      <c r="AA644" s="9">
        <f t="shared" si="97"/>
        <v>2.1776153846153847</v>
      </c>
      <c r="AB644" s="9">
        <f t="shared" si="98"/>
        <v>2.7692307692307692</v>
      </c>
      <c r="AC644" s="9">
        <f t="shared" si="99"/>
        <v>1.4516129032258063</v>
      </c>
      <c r="AD644" s="9">
        <f t="shared" si="100"/>
        <v>2.6921810568040145</v>
      </c>
      <c r="AE644" s="9">
        <f t="shared" si="101"/>
        <v>4.3668446120896336</v>
      </c>
      <c r="AF644" s="9">
        <f t="shared" si="102"/>
        <v>4.0004167333085938</v>
      </c>
      <c r="AG644" s="9">
        <f t="shared" si="104"/>
        <v>4.4626647128117352</v>
      </c>
      <c r="AH644" s="9">
        <f t="shared" si="103"/>
        <v>0.97549921216279922</v>
      </c>
      <c r="AI644" s="9">
        <f t="shared" si="105"/>
        <v>4.025370317333187</v>
      </c>
      <c r="AJ644" s="9">
        <f>(4*PI()*(AI644^2))/(Y644+E644)</f>
        <v>0.88145503644342571</v>
      </c>
      <c r="AK644" s="12">
        <f t="shared" si="106"/>
        <v>0.60601503759398501</v>
      </c>
      <c r="AL644" s="12" t="s">
        <v>144</v>
      </c>
      <c r="AM644" s="12" t="s">
        <v>142</v>
      </c>
      <c r="AN644" s="18">
        <v>0.82116999999999996</v>
      </c>
      <c r="AO644" s="18">
        <v>0.15722</v>
      </c>
      <c r="AP644" s="18">
        <v>619.11</v>
      </c>
      <c r="AQ644" s="18">
        <v>607.79999999999995</v>
      </c>
      <c r="AR644" s="18">
        <v>0.85162000000000004</v>
      </c>
      <c r="AS644" s="18">
        <v>2.3508999999999999E-2</v>
      </c>
      <c r="AT644" s="18">
        <v>0.69274000000000002</v>
      </c>
      <c r="AU644" s="18">
        <v>1.9419</v>
      </c>
      <c r="AV644" s="18">
        <v>0.32283000000000001</v>
      </c>
      <c r="AW644" s="18">
        <v>2.5902000000000001E-2</v>
      </c>
      <c r="AX644" s="18">
        <v>6.5700999999999996E-2</v>
      </c>
      <c r="AY644" s="18">
        <v>-62.923999999999999</v>
      </c>
      <c r="AZ644" s="18">
        <v>-228.04</v>
      </c>
      <c r="BA644" s="18">
        <v>0.28937000000000002</v>
      </c>
      <c r="BB644" s="18">
        <v>30.521999999999998</v>
      </c>
      <c r="BC644" s="18" t="s">
        <v>162</v>
      </c>
      <c r="BD644" s="35" t="s">
        <v>165</v>
      </c>
      <c r="BE644" t="s">
        <v>167</v>
      </c>
    </row>
    <row r="645" spans="1:57" x14ac:dyDescent="0.25">
      <c r="A645" s="16" t="s">
        <v>715</v>
      </c>
      <c r="B645" s="16" t="s">
        <v>5</v>
      </c>
      <c r="C645" s="16" t="s">
        <v>6</v>
      </c>
      <c r="D645" s="16">
        <v>48</v>
      </c>
      <c r="E645" s="16">
        <v>17.507999999999999</v>
      </c>
      <c r="F645" s="16">
        <v>15.42</v>
      </c>
      <c r="G645" s="15">
        <v>9.82</v>
      </c>
      <c r="H645" s="15">
        <v>7.2</v>
      </c>
      <c r="I645" s="15">
        <v>3.84</v>
      </c>
      <c r="J645" s="15">
        <v>29.24</v>
      </c>
      <c r="K645" s="15">
        <v>43.5</v>
      </c>
      <c r="L645" s="15">
        <v>19.11</v>
      </c>
      <c r="M645" s="15">
        <v>6.3</v>
      </c>
      <c r="N645" s="15">
        <v>1</v>
      </c>
      <c r="O645" s="15">
        <v>3.33</v>
      </c>
      <c r="P645" s="9">
        <v>1.56403</v>
      </c>
      <c r="Q645" s="9">
        <v>1.58318</v>
      </c>
      <c r="R645" s="9">
        <v>6.3380300000000001E-2</v>
      </c>
      <c r="S645" s="9">
        <v>0.175232</v>
      </c>
      <c r="T645" s="9">
        <v>0.19036800000000001</v>
      </c>
      <c r="U645" s="9">
        <v>4.6310200000000003E-2</v>
      </c>
      <c r="V645" s="9">
        <v>7.27278</v>
      </c>
      <c r="W645" s="9">
        <v>4.5937900000000003</v>
      </c>
      <c r="X645" s="9">
        <v>7.1848400000000003</v>
      </c>
      <c r="Y645" s="9">
        <v>129.739</v>
      </c>
      <c r="Z645" s="9">
        <v>143.161</v>
      </c>
      <c r="AA645" s="9">
        <f t="shared" ref="AA645:AA708" si="107">W645/I645</f>
        <v>1.1962994791666668</v>
      </c>
      <c r="AB645" s="9">
        <f t="shared" ref="AB645:AB708" si="108">G645/I645</f>
        <v>2.557291666666667</v>
      </c>
      <c r="AC645" s="9">
        <f t="shared" ref="AC645:AC708" si="109">H645/I645</f>
        <v>1.8750000000000002</v>
      </c>
      <c r="AD645" s="9">
        <f t="shared" ref="AD645:AD708" si="110">Y645/E645</f>
        <v>7.410269591044095</v>
      </c>
      <c r="AE645" s="9">
        <f t="shared" ref="AE645:AE708" si="111">Z645/E645</f>
        <v>8.1768905643134566</v>
      </c>
      <c r="AF645" s="9">
        <f t="shared" ref="AF645:AF708" si="112">Y645/(Z645)^(2/3)</f>
        <v>4.7408265239890524</v>
      </c>
      <c r="AG645" s="9">
        <f t="shared" si="104"/>
        <v>2.3607137664922035</v>
      </c>
      <c r="AH645" s="9">
        <f t="shared" si="103"/>
        <v>0.96191971803374798</v>
      </c>
      <c r="AI645" s="9">
        <f t="shared" si="105"/>
        <v>3.2452291724750184</v>
      </c>
      <c r="AJ645" s="9">
        <f>(4*PI()*(AI645^2))/(Y645+E645)</f>
        <v>0.89878155562050799</v>
      </c>
      <c r="AK645" s="12">
        <f t="shared" si="106"/>
        <v>1.1531531531531531</v>
      </c>
      <c r="AL645" s="12" t="s">
        <v>140</v>
      </c>
      <c r="AM645" s="12" t="s">
        <v>143</v>
      </c>
      <c r="AN645" s="16">
        <v>3.7924000000000002</v>
      </c>
      <c r="AO645" s="16">
        <v>0.46703</v>
      </c>
      <c r="AP645" s="16">
        <v>6317.8</v>
      </c>
      <c r="AQ645" s="16">
        <v>5206.1000000000004</v>
      </c>
      <c r="AR645" s="16">
        <v>1.8181</v>
      </c>
      <c r="AS645" s="16">
        <v>3.2851999999999999E-2</v>
      </c>
      <c r="AT645" s="16">
        <v>0.65315000000000001</v>
      </c>
      <c r="AU645" s="16">
        <v>1.2706999999999999</v>
      </c>
      <c r="AV645" s="16">
        <v>0.14754</v>
      </c>
      <c r="AW645" s="16">
        <v>2.5415E-2</v>
      </c>
      <c r="AX645" s="16">
        <v>0.19073999999999999</v>
      </c>
      <c r="AY645" s="16">
        <v>-2.1164999999999998</v>
      </c>
      <c r="AZ645" s="16">
        <v>-546.86</v>
      </c>
      <c r="BA645" s="16">
        <v>0.10442</v>
      </c>
      <c r="BB645" s="16">
        <v>10.137</v>
      </c>
      <c r="BC645" s="16" t="s">
        <v>162</v>
      </c>
      <c r="BD645" s="34" t="s">
        <v>163</v>
      </c>
      <c r="BE645" t="s">
        <v>168</v>
      </c>
    </row>
    <row r="646" spans="1:57" x14ac:dyDescent="0.25">
      <c r="A646" s="16" t="s">
        <v>716</v>
      </c>
      <c r="B646" s="16" t="s">
        <v>5</v>
      </c>
      <c r="C646" s="16" t="s">
        <v>6</v>
      </c>
      <c r="D646" s="16">
        <v>78</v>
      </c>
      <c r="E646" s="16">
        <v>6.6688000000000001</v>
      </c>
      <c r="F646" s="16">
        <v>9.4573999999999998</v>
      </c>
      <c r="G646" s="15">
        <v>4.1500000000000004</v>
      </c>
      <c r="H646" s="15">
        <v>2.5499999999999998</v>
      </c>
      <c r="I646" s="15">
        <v>3.06</v>
      </c>
      <c r="J646" s="15">
        <v>33.020000000000003</v>
      </c>
      <c r="K646" s="15">
        <v>33.020000000000003</v>
      </c>
      <c r="L646" s="15">
        <v>12.29</v>
      </c>
      <c r="M646" s="15">
        <v>3</v>
      </c>
      <c r="N646" s="15">
        <v>1</v>
      </c>
      <c r="O646" s="15">
        <v>2.93</v>
      </c>
      <c r="P646" s="9">
        <v>0.87982099999999996</v>
      </c>
      <c r="Q646" s="9">
        <v>1.05948</v>
      </c>
      <c r="R646" s="9">
        <v>0.47959200000000002</v>
      </c>
      <c r="S646" s="9">
        <v>0.104266</v>
      </c>
      <c r="T646" s="9">
        <v>0.16391</v>
      </c>
      <c r="U646" s="9">
        <v>0.147259</v>
      </c>
      <c r="V646" s="9">
        <v>3.0506000000000002</v>
      </c>
      <c r="W646" s="9">
        <v>2.87934</v>
      </c>
      <c r="X646" s="9">
        <v>2.5333000000000001</v>
      </c>
      <c r="Y646" s="9">
        <v>19.855</v>
      </c>
      <c r="Z646" s="9">
        <v>8.9944199999999999</v>
      </c>
      <c r="AA646" s="9">
        <f t="shared" si="107"/>
        <v>0.94096078431372543</v>
      </c>
      <c r="AB646" s="9">
        <f t="shared" si="108"/>
        <v>1.3562091503267975</v>
      </c>
      <c r="AC646" s="9">
        <f t="shared" si="109"/>
        <v>0.83333333333333326</v>
      </c>
      <c r="AD646" s="9">
        <f t="shared" si="110"/>
        <v>2.97729726487524</v>
      </c>
      <c r="AE646" s="9">
        <f t="shared" si="111"/>
        <v>1.3487314059500959</v>
      </c>
      <c r="AF646" s="9">
        <f t="shared" si="112"/>
        <v>4.5907937582959999</v>
      </c>
      <c r="AG646" s="9">
        <f t="shared" si="104"/>
        <v>1.456964299144788</v>
      </c>
      <c r="AH646" s="9">
        <f t="shared" si="103"/>
        <v>0.96795913014906154</v>
      </c>
      <c r="AI646" s="9">
        <f t="shared" si="105"/>
        <v>1.2901142868652642</v>
      </c>
      <c r="AJ646" s="9">
        <f>(4*PI()*(AI646^2))/(Y646+E646)</f>
        <v>0.78855227474728995</v>
      </c>
      <c r="AK646" s="12">
        <f t="shared" si="106"/>
        <v>1.0443686006825939</v>
      </c>
      <c r="AL646" s="12" t="s">
        <v>140</v>
      </c>
      <c r="AM646" s="12" t="s">
        <v>143</v>
      </c>
      <c r="AN646" s="16">
        <v>9.2666000000000004</v>
      </c>
      <c r="AO646" s="16">
        <v>1.141</v>
      </c>
      <c r="AP646" s="16">
        <v>16935</v>
      </c>
      <c r="AQ646" s="16">
        <v>18399</v>
      </c>
      <c r="AR646" s="16">
        <v>4.5286999999999997</v>
      </c>
      <c r="AS646" s="16">
        <v>7.0828999999999996E-3</v>
      </c>
      <c r="AT646" s="16">
        <v>0.74246999999999996</v>
      </c>
      <c r="AU646" s="16">
        <v>0.62678</v>
      </c>
      <c r="AV646" s="16">
        <v>2.6690999999999999E-2</v>
      </c>
      <c r="AW646" s="16">
        <v>5.0155E-3</v>
      </c>
      <c r="AX646" s="16">
        <v>0.25446000000000002</v>
      </c>
      <c r="AY646" s="16">
        <v>2.2968000000000002</v>
      </c>
      <c r="AZ646" s="16">
        <v>-1190.8</v>
      </c>
      <c r="BA646" s="16">
        <v>1.6265999999999999E-2</v>
      </c>
      <c r="BB646" s="16">
        <v>14.353999999999999</v>
      </c>
      <c r="BC646" s="16" t="s">
        <v>162</v>
      </c>
      <c r="BD646" s="34" t="s">
        <v>165</v>
      </c>
      <c r="BE646" t="s">
        <v>168</v>
      </c>
    </row>
    <row r="647" spans="1:57" x14ac:dyDescent="0.25">
      <c r="A647" s="18" t="s">
        <v>717</v>
      </c>
      <c r="B647" s="18" t="s">
        <v>5</v>
      </c>
      <c r="C647" s="18" t="s">
        <v>14</v>
      </c>
      <c r="D647" s="18">
        <v>35</v>
      </c>
      <c r="E647" s="18">
        <v>19.786999999999999</v>
      </c>
      <c r="F647" s="18">
        <v>16.567</v>
      </c>
      <c r="G647" s="15">
        <v>5.38</v>
      </c>
      <c r="H647" s="15">
        <v>2.5</v>
      </c>
      <c r="I647" s="15">
        <v>3.37</v>
      </c>
      <c r="J647" s="15">
        <v>43.76</v>
      </c>
      <c r="K647" s="15">
        <v>0</v>
      </c>
      <c r="L647" s="15">
        <v>36.270000000000003</v>
      </c>
      <c r="M647" s="15">
        <v>5.83</v>
      </c>
      <c r="N647" s="15">
        <v>2</v>
      </c>
      <c r="O647" s="15">
        <f>0.82+3.18</f>
        <v>4</v>
      </c>
      <c r="P647" s="9">
        <v>0.51622199999999996</v>
      </c>
      <c r="Q647" s="9">
        <v>1.16683</v>
      </c>
      <c r="R647" s="9">
        <v>0.47959200000000002</v>
      </c>
      <c r="S647" s="9">
        <v>2.5848699999999999E-2</v>
      </c>
      <c r="T647" s="9">
        <v>4.4490799999999997E-2</v>
      </c>
      <c r="U647" s="9">
        <v>3.64704E-2</v>
      </c>
      <c r="V647" s="9">
        <v>5.7323599999999999</v>
      </c>
      <c r="W647" s="9">
        <v>4.9127599999999996</v>
      </c>
      <c r="X647" s="9">
        <v>2.53607</v>
      </c>
      <c r="Y647" s="9">
        <v>40.2393</v>
      </c>
      <c r="Z647" s="9">
        <v>31.7042</v>
      </c>
      <c r="AA647" s="9">
        <f t="shared" si="107"/>
        <v>1.4577922848664686</v>
      </c>
      <c r="AB647" s="9">
        <f t="shared" si="108"/>
        <v>1.5964391691394657</v>
      </c>
      <c r="AC647" s="9">
        <f t="shared" si="109"/>
        <v>0.74183976261127593</v>
      </c>
      <c r="AD647" s="9">
        <f t="shared" si="110"/>
        <v>2.0336230858644564</v>
      </c>
      <c r="AE647" s="9">
        <f t="shared" si="111"/>
        <v>1.6022742204477689</v>
      </c>
      <c r="AF647" s="9">
        <f t="shared" si="112"/>
        <v>4.0170374861084097</v>
      </c>
      <c r="AG647" s="9">
        <f t="shared" si="104"/>
        <v>2.5096608770745634</v>
      </c>
      <c r="AH647" s="9">
        <f t="shared" si="103"/>
        <v>0.95181169486559603</v>
      </c>
      <c r="AI647" s="9">
        <f t="shared" si="105"/>
        <v>1.9634027573292068</v>
      </c>
      <c r="AJ647" s="9">
        <f>(4*PI()*(AI647^2))/(Y647+E647)</f>
        <v>0.80702517511725447</v>
      </c>
      <c r="AK647" s="12">
        <f t="shared" si="106"/>
        <v>0.84250000000000003</v>
      </c>
      <c r="AL647" s="12" t="s">
        <v>144</v>
      </c>
      <c r="AM647" s="12" t="s">
        <v>142</v>
      </c>
      <c r="AN647" s="18">
        <v>10.288</v>
      </c>
      <c r="AO647" s="18">
        <v>1.1032999999999999</v>
      </c>
      <c r="AP647" s="18">
        <v>12980</v>
      </c>
      <c r="AQ647" s="18">
        <v>12018</v>
      </c>
      <c r="AR647" s="18">
        <v>5.8055000000000003</v>
      </c>
      <c r="AS647" s="18">
        <v>6.8157000000000001E-3</v>
      </c>
      <c r="AT647" s="18">
        <v>0.74733000000000005</v>
      </c>
      <c r="AU647" s="18">
        <v>0.21654000000000001</v>
      </c>
      <c r="AV647" s="18">
        <v>0</v>
      </c>
      <c r="AW647" s="18">
        <v>4.1789000000000001E-3</v>
      </c>
      <c r="AX647" s="18">
        <v>0.36995</v>
      </c>
      <c r="AY647" s="18">
        <v>4.8244999999999996</v>
      </c>
      <c r="AZ647" s="18">
        <v>4305.8</v>
      </c>
      <c r="BA647" s="18">
        <v>1.5441E-2</v>
      </c>
      <c r="BB647" s="18">
        <v>11.925000000000001</v>
      </c>
      <c r="BC647" s="18" t="s">
        <v>162</v>
      </c>
      <c r="BD647" s="35" t="s">
        <v>163</v>
      </c>
      <c r="BE647" t="s">
        <v>167</v>
      </c>
    </row>
    <row r="648" spans="1:57" x14ac:dyDescent="0.25">
      <c r="A648" s="18" t="s">
        <v>718</v>
      </c>
      <c r="B648" s="18" t="s">
        <v>26</v>
      </c>
      <c r="C648" s="18" t="s">
        <v>6</v>
      </c>
      <c r="D648" s="18">
        <v>60</v>
      </c>
      <c r="E648" s="18">
        <v>9.2388999999999992</v>
      </c>
      <c r="F648" s="18">
        <v>11.476000000000001</v>
      </c>
      <c r="G648" s="15">
        <v>4.12</v>
      </c>
      <c r="H648" s="15">
        <v>2.4</v>
      </c>
      <c r="I648" s="15">
        <v>2.42</v>
      </c>
      <c r="J648" s="15">
        <v>89.42</v>
      </c>
      <c r="K648" s="15">
        <v>0</v>
      </c>
      <c r="L648" s="15">
        <v>45.12</v>
      </c>
      <c r="M648" s="15">
        <v>4.12</v>
      </c>
      <c r="N648" s="15">
        <v>2</v>
      </c>
      <c r="O648" s="15">
        <f>2.29+2</f>
        <v>4.29</v>
      </c>
      <c r="P648" s="9">
        <v>0.71768600000000005</v>
      </c>
      <c r="Q648" s="9">
        <v>1.2064900000000001</v>
      </c>
      <c r="R648" s="9">
        <v>0.47826099999999999</v>
      </c>
      <c r="S648" s="9">
        <v>5.1564199999999998E-2</v>
      </c>
      <c r="T648" s="9">
        <v>6.5661399999999995E-2</v>
      </c>
      <c r="U648" s="9">
        <v>2.5612599999999999E-2</v>
      </c>
      <c r="V648" s="9">
        <v>3.9957600000000002</v>
      </c>
      <c r="W648" s="9">
        <v>3.3118799999999999</v>
      </c>
      <c r="X648" s="9">
        <v>2.3768899999999999</v>
      </c>
      <c r="Y648" s="9">
        <v>21.834499999999998</v>
      </c>
      <c r="Z648" s="9">
        <v>12.253500000000001</v>
      </c>
      <c r="AA648" s="9">
        <f t="shared" si="107"/>
        <v>1.3685454545454545</v>
      </c>
      <c r="AB648" s="9">
        <f t="shared" si="108"/>
        <v>1.7024793388429753</v>
      </c>
      <c r="AC648" s="9">
        <f t="shared" si="109"/>
        <v>0.99173553719008267</v>
      </c>
      <c r="AD648" s="9">
        <f t="shared" si="110"/>
        <v>2.3633224734546321</v>
      </c>
      <c r="AE648" s="9">
        <f t="shared" si="111"/>
        <v>1.3262942558096744</v>
      </c>
      <c r="AF648" s="9">
        <f t="shared" si="112"/>
        <v>4.1080571917622155</v>
      </c>
      <c r="AG648" s="9">
        <f t="shared" si="104"/>
        <v>1.7148857709665164</v>
      </c>
      <c r="AH648" s="9">
        <f t="shared" si="103"/>
        <v>0.9389112129337881</v>
      </c>
      <c r="AI648" s="9">
        <f t="shared" si="105"/>
        <v>1.430179390141866</v>
      </c>
      <c r="AJ648" s="9">
        <f>(4*PI()*(AI648^2))/(Y648+E648)</f>
        <v>0.82718398769043477</v>
      </c>
      <c r="AK648" s="12">
        <f t="shared" si="106"/>
        <v>0.5641025641025641</v>
      </c>
      <c r="AL648" s="12" t="s">
        <v>144</v>
      </c>
      <c r="AM648" s="12" t="s">
        <v>142</v>
      </c>
      <c r="AN648" s="18">
        <v>12.186</v>
      </c>
      <c r="AO648" s="18">
        <v>1.2488999999999999</v>
      </c>
      <c r="AP648" s="18">
        <v>16549</v>
      </c>
      <c r="AQ648" s="18">
        <v>17434</v>
      </c>
      <c r="AR648" s="18">
        <v>6.0651999999999999</v>
      </c>
      <c r="AS648" s="18">
        <v>1.526E-3</v>
      </c>
      <c r="AT648" s="18">
        <v>0.76541000000000003</v>
      </c>
      <c r="AU648" s="18">
        <v>0.27389999999999998</v>
      </c>
      <c r="AV648" s="18">
        <v>9.0288E-3</v>
      </c>
      <c r="AW648" s="19">
        <v>9.2455E-4</v>
      </c>
      <c r="AX648" s="18">
        <v>0.37236000000000002</v>
      </c>
      <c r="AY648" s="18">
        <v>2.1375000000000002</v>
      </c>
      <c r="AZ648" s="18">
        <v>446.65</v>
      </c>
      <c r="BA648" s="18">
        <v>1.3636000000000001E-2</v>
      </c>
      <c r="BB648" s="18">
        <v>9.6410999999999998</v>
      </c>
      <c r="BC648" s="18" t="s">
        <v>162</v>
      </c>
      <c r="BD648" s="35" t="s">
        <v>165</v>
      </c>
      <c r="BE648" t="s">
        <v>168</v>
      </c>
    </row>
    <row r="649" spans="1:57" x14ac:dyDescent="0.25">
      <c r="A649" s="16" t="s">
        <v>719</v>
      </c>
      <c r="B649" s="16" t="s">
        <v>5</v>
      </c>
      <c r="C649" s="16" t="s">
        <v>14</v>
      </c>
      <c r="D649" s="16">
        <v>61</v>
      </c>
      <c r="E649" s="16">
        <v>18.532</v>
      </c>
      <c r="F649" s="16">
        <v>15.505000000000001</v>
      </c>
      <c r="G649" s="15">
        <v>6.41</v>
      </c>
      <c r="H649" s="15">
        <v>4.4000000000000004</v>
      </c>
      <c r="I649" s="15">
        <v>4.29</v>
      </c>
      <c r="J649" s="15">
        <v>71.2</v>
      </c>
      <c r="K649" s="15">
        <v>29.85</v>
      </c>
      <c r="L649" s="15">
        <v>13.1</v>
      </c>
      <c r="M649" s="15">
        <v>5.3</v>
      </c>
      <c r="N649" s="15">
        <v>1</v>
      </c>
      <c r="O649" s="15">
        <v>4.3600000000000003</v>
      </c>
      <c r="P649" s="9">
        <v>0.91111500000000001</v>
      </c>
      <c r="Q649" s="9">
        <v>1.2001900000000001</v>
      </c>
      <c r="R649" s="9">
        <v>0.212644</v>
      </c>
      <c r="S649" s="9">
        <v>6.8327100000000002E-2</v>
      </c>
      <c r="T649" s="9">
        <v>7.5133599999999995E-2</v>
      </c>
      <c r="U649" s="9">
        <v>8.4867199999999997E-3</v>
      </c>
      <c r="V649" s="9">
        <v>5.8221999999999996</v>
      </c>
      <c r="W649" s="9">
        <v>4.85107</v>
      </c>
      <c r="X649" s="9">
        <v>4.41988</v>
      </c>
      <c r="Y649" s="9">
        <v>69.183099999999996</v>
      </c>
      <c r="Z649" s="9">
        <v>68.062399999999997</v>
      </c>
      <c r="AA649" s="9">
        <f t="shared" si="107"/>
        <v>1.1307855477855477</v>
      </c>
      <c r="AB649" s="9">
        <f t="shared" si="108"/>
        <v>1.4941724941724941</v>
      </c>
      <c r="AC649" s="9">
        <f t="shared" si="109"/>
        <v>1.0256410256410258</v>
      </c>
      <c r="AD649" s="9">
        <f t="shared" si="110"/>
        <v>3.7331696524929847</v>
      </c>
      <c r="AE649" s="9">
        <f t="shared" si="111"/>
        <v>3.6726958774012517</v>
      </c>
      <c r="AF649" s="9">
        <f t="shared" si="112"/>
        <v>4.1501313824968191</v>
      </c>
      <c r="AG649" s="9">
        <f t="shared" si="104"/>
        <v>2.4287689908177783</v>
      </c>
      <c r="AH649" s="9">
        <f t="shared" si="103"/>
        <v>0.98422480732922635</v>
      </c>
      <c r="AI649" s="9">
        <f t="shared" si="105"/>
        <v>2.5328310208430733</v>
      </c>
      <c r="AJ649" s="9">
        <f>(4*PI()*(AI649^2))/(Y649+E649)</f>
        <v>0.91906861197173018</v>
      </c>
      <c r="AK649" s="12">
        <f t="shared" si="106"/>
        <v>0.9839449541284403</v>
      </c>
      <c r="AL649" s="12" t="s">
        <v>144</v>
      </c>
      <c r="AM649" s="12" t="s">
        <v>143</v>
      </c>
      <c r="AN649" s="16">
        <v>3.9771999999999998</v>
      </c>
      <c r="AO649" s="16">
        <v>0.47960000000000003</v>
      </c>
      <c r="AP649" s="16">
        <v>238.75</v>
      </c>
      <c r="AQ649" s="16">
        <v>269.08</v>
      </c>
      <c r="AR649" s="16">
        <v>2.5646</v>
      </c>
      <c r="AS649" s="16">
        <v>5.6349E-3</v>
      </c>
      <c r="AT649" s="16">
        <v>0.73192000000000002</v>
      </c>
      <c r="AU649" s="16">
        <v>0.46650999999999998</v>
      </c>
      <c r="AV649" s="16">
        <v>0</v>
      </c>
      <c r="AW649" s="16">
        <v>2.8321000000000002E-3</v>
      </c>
      <c r="AX649" s="16">
        <v>0.32629999999999998</v>
      </c>
      <c r="AY649" s="16">
        <v>3.6669999999999998</v>
      </c>
      <c r="AZ649" s="16">
        <v>253.52</v>
      </c>
      <c r="BA649" s="16">
        <v>3.6514999999999999E-2</v>
      </c>
      <c r="BB649" s="16">
        <v>14.895</v>
      </c>
      <c r="BC649" s="16" t="s">
        <v>162</v>
      </c>
      <c r="BD649" s="34" t="s">
        <v>163</v>
      </c>
      <c r="BE649" t="s">
        <v>167</v>
      </c>
    </row>
    <row r="650" spans="1:57" x14ac:dyDescent="0.25">
      <c r="A650" s="18" t="s">
        <v>720</v>
      </c>
      <c r="B650" s="18" t="s">
        <v>26</v>
      </c>
      <c r="C650" s="18" t="s">
        <v>6</v>
      </c>
      <c r="D650" s="18">
        <v>75</v>
      </c>
      <c r="E650" s="18">
        <v>33.637999999999998</v>
      </c>
      <c r="F650" s="18">
        <v>21.08</v>
      </c>
      <c r="G650" s="15">
        <v>10.11</v>
      </c>
      <c r="H650" s="15">
        <v>6.9</v>
      </c>
      <c r="I650" s="15">
        <v>2.44</v>
      </c>
      <c r="J650" s="15">
        <v>46.34</v>
      </c>
      <c r="K650" s="15">
        <v>40.04</v>
      </c>
      <c r="L650" s="15">
        <v>66.78</v>
      </c>
      <c r="M650" s="15">
        <v>7.1</v>
      </c>
      <c r="N650" s="15">
        <v>2</v>
      </c>
      <c r="O650" s="15">
        <f>1.67+2.36</f>
        <v>4.0299999999999994</v>
      </c>
      <c r="P650" s="9">
        <v>1.0646899999999999</v>
      </c>
      <c r="Q650" s="9">
        <v>1.30966</v>
      </c>
      <c r="R650" s="9">
        <v>-0.227941</v>
      </c>
      <c r="S650" s="9">
        <v>0.13678899999999999</v>
      </c>
      <c r="T650" s="9">
        <v>0.159668</v>
      </c>
      <c r="U650" s="9">
        <v>8.2692500000000002E-2</v>
      </c>
      <c r="V650" s="9">
        <v>8.4578000000000007</v>
      </c>
      <c r="W650" s="9">
        <v>6.4579899999999997</v>
      </c>
      <c r="X650" s="9">
        <v>6.8757799999999998</v>
      </c>
      <c r="Y650" s="9">
        <v>156.738</v>
      </c>
      <c r="Z650" s="9">
        <v>201.01400000000001</v>
      </c>
      <c r="AA650" s="9">
        <f t="shared" si="107"/>
        <v>2.6467172131147541</v>
      </c>
      <c r="AB650" s="9">
        <f t="shared" si="108"/>
        <v>4.1434426229508192</v>
      </c>
      <c r="AC650" s="9">
        <f t="shared" si="109"/>
        <v>2.8278688524590168</v>
      </c>
      <c r="AD650" s="9">
        <f t="shared" si="110"/>
        <v>4.6595516974849875</v>
      </c>
      <c r="AE650" s="9">
        <f t="shared" si="111"/>
        <v>5.9758011772400268</v>
      </c>
      <c r="AF650" s="9">
        <f t="shared" si="112"/>
        <v>4.5676213785346516</v>
      </c>
      <c r="AG650" s="9">
        <f t="shared" si="104"/>
        <v>3.2722023090650048</v>
      </c>
      <c r="AH650" s="9">
        <f t="shared" si="103"/>
        <v>0.97532511719337545</v>
      </c>
      <c r="AI650" s="9">
        <f t="shared" si="105"/>
        <v>3.6339523817710542</v>
      </c>
      <c r="AJ650" s="9">
        <f>(4*PI()*(AI650^2))/(Y650+E650)</f>
        <v>0.8716780915407194</v>
      </c>
      <c r="AK650" s="12">
        <f t="shared" si="106"/>
        <v>0.60545905707196035</v>
      </c>
      <c r="AL650" s="12" t="s">
        <v>140</v>
      </c>
      <c r="AM650" s="12" t="s">
        <v>142</v>
      </c>
      <c r="AN650" s="18">
        <v>5.2390999999999996</v>
      </c>
      <c r="AO650" s="18">
        <v>0.84192</v>
      </c>
      <c r="AP650" s="18">
        <v>5826.9</v>
      </c>
      <c r="AQ650" s="18">
        <v>5785.1</v>
      </c>
      <c r="AR650" s="18">
        <v>2.8795999999999999</v>
      </c>
      <c r="AS650" s="18">
        <v>1.0345E-2</v>
      </c>
      <c r="AT650" s="18">
        <v>0.72936000000000001</v>
      </c>
      <c r="AU650" s="18">
        <v>0.59048</v>
      </c>
      <c r="AV650" s="18">
        <v>2.9929999999999998E-2</v>
      </c>
      <c r="AW650" s="18">
        <v>1.3612000000000001E-2</v>
      </c>
      <c r="AX650" s="18">
        <v>0.21812999999999999</v>
      </c>
      <c r="AY650" s="18">
        <v>-6.3986999999999998</v>
      </c>
      <c r="AZ650" s="18">
        <v>-509.59</v>
      </c>
      <c r="BA650" s="18">
        <v>0.13063</v>
      </c>
      <c r="BB650" s="18">
        <v>28.542999999999999</v>
      </c>
      <c r="BC650" s="18" t="s">
        <v>162</v>
      </c>
      <c r="BD650" s="35" t="s">
        <v>165</v>
      </c>
      <c r="BE650" t="s">
        <v>168</v>
      </c>
    </row>
    <row r="651" spans="1:57" x14ac:dyDescent="0.25">
      <c r="A651" s="18" t="s">
        <v>721</v>
      </c>
      <c r="B651" s="18" t="s">
        <v>5</v>
      </c>
      <c r="C651" s="18" t="s">
        <v>6</v>
      </c>
      <c r="D651" s="18">
        <v>55</v>
      </c>
      <c r="E651" s="18">
        <v>5.4168000000000003</v>
      </c>
      <c r="F651" s="18">
        <v>8.6914999999999996</v>
      </c>
      <c r="G651" s="15">
        <v>8.2200000000000006</v>
      </c>
      <c r="H651" s="15">
        <v>6.6</v>
      </c>
      <c r="I651" s="15">
        <v>2.34</v>
      </c>
      <c r="J651" s="15">
        <v>31.78</v>
      </c>
      <c r="K651" s="15">
        <v>48.36</v>
      </c>
      <c r="L651" s="15">
        <v>18.97</v>
      </c>
      <c r="M651" s="15">
        <v>5.85</v>
      </c>
      <c r="N651" s="15">
        <v>1</v>
      </c>
      <c r="O651" s="15">
        <v>2.23</v>
      </c>
      <c r="P651" s="9">
        <v>2.5687500000000001</v>
      </c>
      <c r="Q651" s="9">
        <v>2.1866400000000001</v>
      </c>
      <c r="R651" s="9">
        <v>-0.11068699999999999</v>
      </c>
      <c r="S651" s="9">
        <v>0.23193</v>
      </c>
      <c r="T651" s="9">
        <v>0.25412200000000001</v>
      </c>
      <c r="U651" s="9">
        <v>8.9348200000000003E-2</v>
      </c>
      <c r="V651" s="9">
        <v>5.64208</v>
      </c>
      <c r="W651" s="9">
        <v>2.5802499999999999</v>
      </c>
      <c r="X651" s="9">
        <v>6.6280299999999999</v>
      </c>
      <c r="Y651" s="9">
        <v>96.628600000000006</v>
      </c>
      <c r="Z651" s="9">
        <v>81.367099999999994</v>
      </c>
      <c r="AA651" s="9">
        <f t="shared" si="107"/>
        <v>1.1026709401709403</v>
      </c>
      <c r="AB651" s="9">
        <f t="shared" si="108"/>
        <v>3.5128205128205132</v>
      </c>
      <c r="AC651" s="9">
        <f t="shared" si="109"/>
        <v>2.8205128205128207</v>
      </c>
      <c r="AD651" s="9">
        <f t="shared" si="110"/>
        <v>17.838687047703441</v>
      </c>
      <c r="AE651" s="9">
        <f t="shared" si="111"/>
        <v>15.021248707724116</v>
      </c>
      <c r="AF651" s="9">
        <f t="shared" si="112"/>
        <v>5.1460396596406586</v>
      </c>
      <c r="AG651" s="9">
        <f t="shared" si="104"/>
        <v>1.3130959566918015</v>
      </c>
      <c r="AH651" s="9">
        <f t="shared" si="103"/>
        <v>0.94925216844075821</v>
      </c>
      <c r="AI651" s="9">
        <f t="shared" si="105"/>
        <v>2.6881494463088313</v>
      </c>
      <c r="AJ651" s="9">
        <f>(4*PI()*(AI651^2))/(Y651+E651)</f>
        <v>0.88986320712693956</v>
      </c>
      <c r="AK651" s="12">
        <f t="shared" si="106"/>
        <v>1.0493273542600896</v>
      </c>
      <c r="AL651" s="12" t="s">
        <v>140</v>
      </c>
      <c r="AM651" s="12" t="s">
        <v>143</v>
      </c>
      <c r="AN651" s="18">
        <v>2.4874999999999998</v>
      </c>
      <c r="AO651" s="18">
        <v>0.15593000000000001</v>
      </c>
      <c r="AP651" s="18">
        <v>8651.5</v>
      </c>
      <c r="AQ651" s="18">
        <v>8202.9</v>
      </c>
      <c r="AR651" s="18">
        <v>1.3047</v>
      </c>
      <c r="AS651" s="18">
        <v>2.2114000000000002E-2</v>
      </c>
      <c r="AT651" s="18">
        <v>0.67488999999999999</v>
      </c>
      <c r="AU651" s="18">
        <v>2.7824</v>
      </c>
      <c r="AV651" s="18">
        <v>0.70391000000000004</v>
      </c>
      <c r="AW651" s="18">
        <v>1.9723999999999998E-2</v>
      </c>
      <c r="AX651" s="18">
        <v>7.9544000000000004E-2</v>
      </c>
      <c r="AY651" s="18">
        <v>4.4284999999999997</v>
      </c>
      <c r="AZ651" s="18">
        <v>1131.0999999999999</v>
      </c>
      <c r="BA651" s="18">
        <v>0.11193</v>
      </c>
      <c r="BB651" s="18">
        <v>8.3684999999999992</v>
      </c>
      <c r="BC651" s="18" t="s">
        <v>162</v>
      </c>
      <c r="BD651" s="35" t="s">
        <v>165</v>
      </c>
      <c r="BE651" t="s">
        <v>168</v>
      </c>
    </row>
    <row r="652" spans="1:57" x14ac:dyDescent="0.25">
      <c r="A652" s="18" t="s">
        <v>722</v>
      </c>
      <c r="B652" s="18" t="s">
        <v>5</v>
      </c>
      <c r="C652" s="18" t="s">
        <v>6</v>
      </c>
      <c r="D652" s="18">
        <v>58</v>
      </c>
      <c r="E652" s="18">
        <v>6.3760000000000003</v>
      </c>
      <c r="F652" s="18">
        <v>9.2235999999999994</v>
      </c>
      <c r="G652" s="15">
        <v>5</v>
      </c>
      <c r="H652" s="15">
        <v>3.45</v>
      </c>
      <c r="I652" s="15">
        <v>3.28</v>
      </c>
      <c r="J652" s="15">
        <v>111.17</v>
      </c>
      <c r="K652" s="15">
        <v>26.34</v>
      </c>
      <c r="L652" s="15">
        <v>18.11</v>
      </c>
      <c r="M652" s="15">
        <v>4.5999999999999996</v>
      </c>
      <c r="N652" s="15">
        <v>1</v>
      </c>
      <c r="O652" s="15">
        <v>2.36</v>
      </c>
      <c r="P652" s="9">
        <v>1.58832</v>
      </c>
      <c r="Q652" s="9">
        <v>1.7041900000000001</v>
      </c>
      <c r="R652" s="9">
        <v>-7.4626900000000001E-3</v>
      </c>
      <c r="S652" s="9">
        <v>0.21198500000000001</v>
      </c>
      <c r="T652" s="9">
        <v>0.26470300000000002</v>
      </c>
      <c r="U652" s="9">
        <v>0.16172700000000001</v>
      </c>
      <c r="V652" s="9">
        <v>3.6998000000000002</v>
      </c>
      <c r="W652" s="9">
        <v>2.1709999999999998</v>
      </c>
      <c r="X652" s="9">
        <v>3.4482599999999999</v>
      </c>
      <c r="Y652" s="9">
        <v>32.593400000000003</v>
      </c>
      <c r="Z652" s="9">
        <v>15.601900000000001</v>
      </c>
      <c r="AA652" s="9">
        <f t="shared" si="107"/>
        <v>0.661890243902439</v>
      </c>
      <c r="AB652" s="9">
        <f t="shared" si="108"/>
        <v>1.524390243902439</v>
      </c>
      <c r="AC652" s="9">
        <f t="shared" si="109"/>
        <v>1.0518292682926831</v>
      </c>
      <c r="AD652" s="9">
        <f t="shared" si="110"/>
        <v>5.1118883312421586</v>
      </c>
      <c r="AE652" s="9">
        <f t="shared" si="111"/>
        <v>2.4469730238393979</v>
      </c>
      <c r="AF652" s="9">
        <f t="shared" si="112"/>
        <v>5.2200901894329013</v>
      </c>
      <c r="AG652" s="9">
        <f t="shared" si="104"/>
        <v>1.4246205931081612</v>
      </c>
      <c r="AH652" s="9">
        <f t="shared" si="103"/>
        <v>0.9704622033612329</v>
      </c>
      <c r="AI652" s="9">
        <f t="shared" si="105"/>
        <v>1.5501115785009201</v>
      </c>
      <c r="AJ652" s="9">
        <f>(4*PI()*(AI652^2))/(Y652+E652)</f>
        <v>0.77484005864886851</v>
      </c>
      <c r="AK652" s="12">
        <f t="shared" si="106"/>
        <v>1.3898305084745763</v>
      </c>
      <c r="AL652" s="12" t="s">
        <v>140</v>
      </c>
      <c r="AM652" s="12" t="s">
        <v>142</v>
      </c>
      <c r="AN652" s="18">
        <v>3.0876000000000001</v>
      </c>
      <c r="AO652" s="18">
        <v>0.30303000000000002</v>
      </c>
      <c r="AP652" s="18">
        <v>5764.7</v>
      </c>
      <c r="AQ652" s="18">
        <v>5040.8999999999996</v>
      </c>
      <c r="AR652" s="18">
        <v>1.6514</v>
      </c>
      <c r="AS652" s="18">
        <v>1.1054E-2</v>
      </c>
      <c r="AT652" s="18">
        <v>0.69616</v>
      </c>
      <c r="AU652" s="18">
        <v>1.9472</v>
      </c>
      <c r="AV652" s="18">
        <v>0.34908</v>
      </c>
      <c r="AW652" s="18">
        <v>9.6088000000000007E-3</v>
      </c>
      <c r="AX652" s="18">
        <v>0.13013</v>
      </c>
      <c r="AY652" s="18">
        <v>-2.7513999999999998</v>
      </c>
      <c r="AZ652" s="18">
        <v>-560.32000000000005</v>
      </c>
      <c r="BA652" s="18">
        <v>0.12031</v>
      </c>
      <c r="BB652" s="18">
        <v>13.321</v>
      </c>
      <c r="BC652" s="18" t="s">
        <v>162</v>
      </c>
      <c r="BD652" s="35" t="s">
        <v>165</v>
      </c>
      <c r="BE652" t="s">
        <v>168</v>
      </c>
    </row>
    <row r="653" spans="1:57" x14ac:dyDescent="0.25">
      <c r="A653" s="18" t="s">
        <v>723</v>
      </c>
      <c r="B653" s="18" t="s">
        <v>5</v>
      </c>
      <c r="C653" s="18" t="s">
        <v>14</v>
      </c>
      <c r="D653" s="20">
        <v>43</v>
      </c>
      <c r="E653" s="20">
        <v>3.8875000000000002</v>
      </c>
      <c r="F653" s="23">
        <v>7.5347</v>
      </c>
      <c r="G653" s="15">
        <v>7.51</v>
      </c>
      <c r="H653" s="15">
        <v>6.5</v>
      </c>
      <c r="I653" s="15">
        <v>2.2000000000000002</v>
      </c>
      <c r="J653" s="15">
        <v>63.58</v>
      </c>
      <c r="K653" s="15">
        <v>57.56</v>
      </c>
      <c r="L653" s="15">
        <v>42.62</v>
      </c>
      <c r="M653" s="15">
        <v>3.6</v>
      </c>
      <c r="N653" s="15">
        <v>1</v>
      </c>
      <c r="O653" s="15">
        <v>3.39</v>
      </c>
      <c r="P653" s="9">
        <v>2.3466</v>
      </c>
      <c r="Q653" s="9">
        <v>1.3782700000000001</v>
      </c>
      <c r="R653" s="9">
        <v>-0.251938</v>
      </c>
      <c r="S653" s="9">
        <v>0.23754400000000001</v>
      </c>
      <c r="T653" s="9">
        <v>0.25675999999999999</v>
      </c>
      <c r="U653" s="9">
        <v>8.7965799999999997E-2</v>
      </c>
      <c r="V653" s="9">
        <v>3.8419400000000001</v>
      </c>
      <c r="W653" s="9">
        <v>2.7875200000000002</v>
      </c>
      <c r="X653" s="9">
        <v>6.5411700000000002</v>
      </c>
      <c r="Y653" s="9">
        <v>68.853099999999998</v>
      </c>
      <c r="Z653" s="9">
        <v>48.681899999999999</v>
      </c>
      <c r="AA653" s="9">
        <f t="shared" si="107"/>
        <v>1.2670545454545454</v>
      </c>
      <c r="AB653" s="9">
        <f t="shared" si="108"/>
        <v>3.4136363636363631</v>
      </c>
      <c r="AC653" s="9">
        <f t="shared" si="109"/>
        <v>2.9545454545454541</v>
      </c>
      <c r="AD653" s="9">
        <f t="shared" si="110"/>
        <v>17.711408360128615</v>
      </c>
      <c r="AE653" s="9">
        <f t="shared" si="111"/>
        <v>12.522675241157556</v>
      </c>
      <c r="AF653" s="9">
        <f t="shared" si="112"/>
        <v>5.1643042275376567</v>
      </c>
      <c r="AG653" s="9">
        <f t="shared" si="104"/>
        <v>1.1123981672672274</v>
      </c>
      <c r="AH653" s="9">
        <f t="shared" si="103"/>
        <v>0.92762868067832061</v>
      </c>
      <c r="AI653" s="9">
        <f t="shared" si="105"/>
        <v>2.2651291559861173</v>
      </c>
      <c r="AJ653" s="9">
        <f>(4*PI()*(AI653^2))/(Y653+E653)</f>
        <v>0.88637791253140885</v>
      </c>
      <c r="AK653" s="12">
        <f t="shared" si="106"/>
        <v>0.64896755162241893</v>
      </c>
      <c r="AL653" s="12" t="s">
        <v>140</v>
      </c>
      <c r="AM653" s="12" t="s">
        <v>142</v>
      </c>
      <c r="AN653" s="20">
        <v>3.4274</v>
      </c>
      <c r="AO653" s="20">
        <v>0.54993999999999998</v>
      </c>
      <c r="AP653" s="20">
        <v>8445.7000000000007</v>
      </c>
      <c r="AQ653" s="20">
        <v>8103.8</v>
      </c>
      <c r="AR653" s="20">
        <v>1.704</v>
      </c>
      <c r="AS653" s="20">
        <v>1.1955E-2</v>
      </c>
      <c r="AT653" s="20">
        <v>0.73345000000000005</v>
      </c>
      <c r="AU653" s="20">
        <v>5.7853000000000003</v>
      </c>
      <c r="AV653" s="20">
        <v>0.41192000000000001</v>
      </c>
      <c r="AW653" s="20">
        <v>1.1891000000000001E-2</v>
      </c>
      <c r="AX653" s="20">
        <v>8.7709999999999996E-2</v>
      </c>
      <c r="AY653" s="20">
        <v>3.2919999999999998</v>
      </c>
      <c r="AZ653" s="20">
        <v>630.12</v>
      </c>
      <c r="BA653" s="20">
        <v>4.7608999999999999E-2</v>
      </c>
      <c r="BB653" s="20">
        <v>9.7088000000000001</v>
      </c>
      <c r="BC653" s="23" t="s">
        <v>164</v>
      </c>
      <c r="BD653" s="36" t="s">
        <v>165</v>
      </c>
      <c r="BE653" t="s">
        <v>168</v>
      </c>
    </row>
    <row r="654" spans="1:57" x14ac:dyDescent="0.25">
      <c r="A654" s="18" t="s">
        <v>724</v>
      </c>
      <c r="B654" s="18" t="s">
        <v>26</v>
      </c>
      <c r="C654" s="18" t="s">
        <v>6</v>
      </c>
      <c r="D654" s="18">
        <v>52</v>
      </c>
      <c r="E654" s="18">
        <v>9.1123999999999992</v>
      </c>
      <c r="F654" s="18">
        <v>10.903</v>
      </c>
      <c r="G654" s="15">
        <v>7.94</v>
      </c>
      <c r="H654" s="15">
        <v>7.2</v>
      </c>
      <c r="I654" s="15">
        <v>2.14</v>
      </c>
      <c r="J654" s="15">
        <v>35.06</v>
      </c>
      <c r="K654" s="15">
        <v>38.770000000000003</v>
      </c>
      <c r="L654" s="15">
        <v>72.44</v>
      </c>
      <c r="M654" s="15">
        <v>6.7</v>
      </c>
      <c r="N654" s="15">
        <v>2</v>
      </c>
      <c r="O654" s="15">
        <f>1.39+2.47</f>
        <v>3.8600000000000003</v>
      </c>
      <c r="P654" s="9">
        <v>2.14588</v>
      </c>
      <c r="Q654" s="9">
        <v>1.9472100000000001</v>
      </c>
      <c r="R654" s="9">
        <v>-0.140845</v>
      </c>
      <c r="S654" s="9">
        <v>0.21786700000000001</v>
      </c>
      <c r="T654" s="9">
        <v>0.25401499999999999</v>
      </c>
      <c r="U654" s="9">
        <v>0.123153</v>
      </c>
      <c r="V654" s="9">
        <v>6.5229999999999997</v>
      </c>
      <c r="W654" s="9">
        <v>3.34992</v>
      </c>
      <c r="X654" s="9">
        <v>7.1885300000000001</v>
      </c>
      <c r="Y654" s="9">
        <v>101.654</v>
      </c>
      <c r="Z654" s="9">
        <v>87.815700000000007</v>
      </c>
      <c r="AA654" s="9">
        <f t="shared" si="107"/>
        <v>1.5653831775700933</v>
      </c>
      <c r="AB654" s="9">
        <f t="shared" si="108"/>
        <v>3.7102803738317758</v>
      </c>
      <c r="AC654" s="9">
        <f t="shared" si="109"/>
        <v>3.3644859813084111</v>
      </c>
      <c r="AD654" s="9">
        <f t="shared" si="110"/>
        <v>11.155568236688469</v>
      </c>
      <c r="AE654" s="9">
        <f t="shared" si="111"/>
        <v>9.6369452614020474</v>
      </c>
      <c r="AF654" s="9">
        <f t="shared" si="112"/>
        <v>5.1452880627079365</v>
      </c>
      <c r="AG654" s="9">
        <f t="shared" si="104"/>
        <v>1.7031051074027035</v>
      </c>
      <c r="AH654" s="9">
        <f t="shared" si="103"/>
        <v>0.98146610909063348</v>
      </c>
      <c r="AI654" s="9">
        <f t="shared" si="105"/>
        <v>2.7573666554945637</v>
      </c>
      <c r="AJ654" s="9">
        <f>(4*PI()*(AI654^2))/(Y654+E654)</f>
        <v>0.86256307323576675</v>
      </c>
      <c r="AK654" s="12">
        <f t="shared" si="106"/>
        <v>0.55440414507772018</v>
      </c>
      <c r="AL654" s="12" t="s">
        <v>140</v>
      </c>
      <c r="AM654" s="12" t="s">
        <v>142</v>
      </c>
      <c r="AN654" s="18">
        <v>2.3347000000000002</v>
      </c>
      <c r="AO654" s="18">
        <v>0.25883</v>
      </c>
      <c r="AP654" s="18">
        <v>6527.9</v>
      </c>
      <c r="AQ654" s="18">
        <v>5780.9</v>
      </c>
      <c r="AR654" s="18">
        <v>1.1825000000000001</v>
      </c>
      <c r="AS654" s="18">
        <v>1.3176999999999999E-2</v>
      </c>
      <c r="AT654" s="18">
        <v>0.71735000000000004</v>
      </c>
      <c r="AU654" s="18">
        <v>1.9521999999999999</v>
      </c>
      <c r="AV654" s="18">
        <v>0.29964000000000002</v>
      </c>
      <c r="AW654" s="18">
        <v>1.3787000000000001E-2</v>
      </c>
      <c r="AX654" s="18">
        <v>0.10312</v>
      </c>
      <c r="AY654" s="18">
        <v>-50.305</v>
      </c>
      <c r="AZ654" s="18">
        <v>-224.74</v>
      </c>
      <c r="BA654" s="18">
        <v>0.58213000000000004</v>
      </c>
      <c r="BB654" s="18">
        <v>168.86</v>
      </c>
      <c r="BC654" s="18" t="s">
        <v>164</v>
      </c>
      <c r="BD654" s="35" t="s">
        <v>165</v>
      </c>
      <c r="BE654" t="s">
        <v>167</v>
      </c>
    </row>
    <row r="655" spans="1:57" x14ac:dyDescent="0.25">
      <c r="A655" s="18" t="s">
        <v>725</v>
      </c>
      <c r="B655" s="18" t="s">
        <v>5</v>
      </c>
      <c r="C655" s="18" t="s">
        <v>6</v>
      </c>
      <c r="D655" s="18">
        <v>57</v>
      </c>
      <c r="E655" s="18">
        <v>12.241</v>
      </c>
      <c r="F655" s="18">
        <v>14.215</v>
      </c>
      <c r="G655" s="15">
        <v>7.01</v>
      </c>
      <c r="H655" s="15">
        <v>3.88</v>
      </c>
      <c r="I655" s="15">
        <v>3.24</v>
      </c>
      <c r="J655" s="15">
        <v>74.14</v>
      </c>
      <c r="K655" s="15">
        <v>12.03</v>
      </c>
      <c r="L655" s="15">
        <v>67.430000000000007</v>
      </c>
      <c r="M655" s="15">
        <v>5</v>
      </c>
      <c r="N655" s="15">
        <v>2</v>
      </c>
      <c r="O655" s="15">
        <f>2.3+1.71</f>
        <v>4.01</v>
      </c>
      <c r="P655" s="9">
        <v>1.0969599999999999</v>
      </c>
      <c r="Q655" s="9">
        <v>1.9273800000000001</v>
      </c>
      <c r="R655" s="9">
        <v>-1.31579E-2</v>
      </c>
      <c r="S655" s="9">
        <v>0.13452800000000001</v>
      </c>
      <c r="T655" s="9">
        <v>0.166573</v>
      </c>
      <c r="U655" s="9">
        <v>5.6910099999999998E-2</v>
      </c>
      <c r="V655" s="9">
        <v>6.7809900000000001</v>
      </c>
      <c r="W655" s="9">
        <v>3.51824</v>
      </c>
      <c r="X655" s="9">
        <v>3.8593799999999998</v>
      </c>
      <c r="Y655" s="9">
        <v>71.846900000000005</v>
      </c>
      <c r="Z655" s="9">
        <v>61.6173</v>
      </c>
      <c r="AA655" s="9">
        <f t="shared" si="107"/>
        <v>1.0858765432098765</v>
      </c>
      <c r="AB655" s="9">
        <f t="shared" si="108"/>
        <v>2.1635802469135799</v>
      </c>
      <c r="AC655" s="9">
        <f t="shared" si="109"/>
        <v>1.1975308641975309</v>
      </c>
      <c r="AD655" s="9">
        <f t="shared" si="110"/>
        <v>5.8693652479372602</v>
      </c>
      <c r="AE655" s="9">
        <f t="shared" si="111"/>
        <v>5.0336818887345807</v>
      </c>
      <c r="AF655" s="9">
        <f t="shared" si="112"/>
        <v>4.605459047441486</v>
      </c>
      <c r="AG655" s="9">
        <f t="shared" si="104"/>
        <v>1.973938022526488</v>
      </c>
      <c r="AH655" s="9">
        <f t="shared" si="103"/>
        <v>0.87250217238280381</v>
      </c>
      <c r="AI655" s="9">
        <f t="shared" si="105"/>
        <v>2.4502177683684314</v>
      </c>
      <c r="AJ655" s="9">
        <f>(4*PI()*(AI655^2))/(Y655+E655)</f>
        <v>0.89719269173035709</v>
      </c>
      <c r="AK655" s="12">
        <f t="shared" si="106"/>
        <v>0.8079800498753118</v>
      </c>
      <c r="AL655" s="12" t="s">
        <v>140</v>
      </c>
      <c r="AM655" s="12" t="s">
        <v>142</v>
      </c>
      <c r="AN655" s="18">
        <v>6.4531000000000001</v>
      </c>
      <c r="AO655" s="18">
        <v>0.64746999999999999</v>
      </c>
      <c r="AP655" s="18">
        <v>13797</v>
      </c>
      <c r="AQ655" s="18">
        <v>13329</v>
      </c>
      <c r="AR655" s="18">
        <v>3.1297999999999999</v>
      </c>
      <c r="AS655" s="18">
        <v>1.2394000000000001E-2</v>
      </c>
      <c r="AT655" s="18">
        <v>0.75214999999999999</v>
      </c>
      <c r="AU655" s="18">
        <v>0.80708999999999997</v>
      </c>
      <c r="AV655" s="18">
        <v>6.0842E-2</v>
      </c>
      <c r="AW655" s="18">
        <v>8.3472000000000008E-3</v>
      </c>
      <c r="AX655" s="18">
        <v>0.23204</v>
      </c>
      <c r="AY655" s="18">
        <v>-12.045</v>
      </c>
      <c r="AZ655" s="18">
        <v>-1286.7</v>
      </c>
      <c r="BA655" s="18">
        <v>0.11853</v>
      </c>
      <c r="BB655" s="18">
        <v>24.018999999999998</v>
      </c>
      <c r="BC655" s="18" t="s">
        <v>162</v>
      </c>
      <c r="BD655" s="35" t="s">
        <v>165</v>
      </c>
      <c r="BE655" t="s">
        <v>168</v>
      </c>
    </row>
    <row r="656" spans="1:57" x14ac:dyDescent="0.25">
      <c r="A656" s="12" t="s">
        <v>726</v>
      </c>
      <c r="B656" s="18" t="s">
        <v>5</v>
      </c>
      <c r="C656" s="18" t="s">
        <v>6</v>
      </c>
      <c r="D656" s="18">
        <v>50</v>
      </c>
      <c r="E656" s="18">
        <v>11.962999999999999</v>
      </c>
      <c r="F656" s="18">
        <v>12.757</v>
      </c>
      <c r="G656" s="15">
        <v>5.9</v>
      </c>
      <c r="H656" s="15">
        <v>4.5999999999999996</v>
      </c>
      <c r="I656" s="15">
        <v>4.4400000000000004</v>
      </c>
      <c r="J656" s="15">
        <v>34.86</v>
      </c>
      <c r="K656" s="15">
        <v>38.979999999999997</v>
      </c>
      <c r="L656" s="15">
        <v>24.17</v>
      </c>
      <c r="M656" s="15">
        <v>5.0999999999999996</v>
      </c>
      <c r="N656" s="15">
        <v>2</v>
      </c>
      <c r="O656" s="15">
        <f>4.44+0.89</f>
        <v>5.33</v>
      </c>
      <c r="P656" s="9">
        <v>1.2466999999999999</v>
      </c>
      <c r="Q656" s="9">
        <v>1.44255</v>
      </c>
      <c r="R656" s="9">
        <v>0.25824200000000003</v>
      </c>
      <c r="S656" s="9">
        <v>0.12543499999999999</v>
      </c>
      <c r="T656" s="9">
        <v>0.13372600000000001</v>
      </c>
      <c r="U656" s="9">
        <v>9.6260100000000008E-3</v>
      </c>
      <c r="V656" s="9">
        <v>5.3278499999999998</v>
      </c>
      <c r="W656" s="9">
        <v>3.6933500000000001</v>
      </c>
      <c r="X656" s="9">
        <v>4.6045100000000003</v>
      </c>
      <c r="Y656" s="9">
        <v>73.329700000000003</v>
      </c>
      <c r="Z656" s="9">
        <v>67.327299999999994</v>
      </c>
      <c r="AA656" s="9">
        <f t="shared" si="107"/>
        <v>0.83183558558558557</v>
      </c>
      <c r="AB656" s="9">
        <f t="shared" si="108"/>
        <v>1.3288288288288288</v>
      </c>
      <c r="AC656" s="9">
        <f t="shared" si="109"/>
        <v>1.0360360360360359</v>
      </c>
      <c r="AD656" s="9">
        <f t="shared" si="110"/>
        <v>6.129708267157068</v>
      </c>
      <c r="AE656" s="9">
        <f t="shared" si="111"/>
        <v>5.6279612137423722</v>
      </c>
      <c r="AF656" s="9">
        <f t="shared" si="112"/>
        <v>4.4308370231941581</v>
      </c>
      <c r="AG656" s="9">
        <f t="shared" si="104"/>
        <v>1.9513946726422842</v>
      </c>
      <c r="AH656" s="9">
        <f t="shared" si="103"/>
        <v>0.96111737365011518</v>
      </c>
      <c r="AI656" s="9">
        <f t="shared" si="105"/>
        <v>2.5236794794370154</v>
      </c>
      <c r="AJ656" s="9">
        <f>(4*PI()*(AI656^2))/(Y656+E656)</f>
        <v>0.93835331862585436</v>
      </c>
      <c r="AK656" s="12">
        <f t="shared" si="106"/>
        <v>0.83302063789868674</v>
      </c>
      <c r="AL656" s="12" t="s">
        <v>144</v>
      </c>
      <c r="AM656" s="12" t="s">
        <v>143</v>
      </c>
      <c r="AN656" s="18">
        <v>4.0952000000000002</v>
      </c>
      <c r="AO656" s="18">
        <v>0.4143</v>
      </c>
      <c r="AP656" s="18">
        <v>9920.7000000000007</v>
      </c>
      <c r="AQ656" s="18">
        <v>9200.5</v>
      </c>
      <c r="AR656" s="18">
        <v>2.1518999999999999</v>
      </c>
      <c r="AS656" s="18">
        <v>5.3686999999999997E-3</v>
      </c>
      <c r="AT656" s="18">
        <v>0.74963999999999997</v>
      </c>
      <c r="AU656" s="18">
        <v>0.61419999999999997</v>
      </c>
      <c r="AV656" s="18">
        <v>1.7527000000000001E-2</v>
      </c>
      <c r="AW656" s="18">
        <v>4.5173000000000001E-3</v>
      </c>
      <c r="AX656" s="18">
        <v>0.19112999999999999</v>
      </c>
      <c r="AY656" s="18">
        <v>13.583</v>
      </c>
      <c r="AZ656" s="18">
        <v>850.24</v>
      </c>
      <c r="BA656" s="18">
        <v>8.2927000000000001E-2</v>
      </c>
      <c r="BB656" s="18">
        <v>18.756</v>
      </c>
      <c r="BC656" s="18" t="s">
        <v>162</v>
      </c>
      <c r="BD656" s="35" t="s">
        <v>165</v>
      </c>
      <c r="BE656" t="s">
        <v>167</v>
      </c>
    </row>
    <row r="657" spans="1:57" x14ac:dyDescent="0.25">
      <c r="A657" s="18" t="s">
        <v>727</v>
      </c>
      <c r="B657" s="18" t="s">
        <v>26</v>
      </c>
      <c r="C657" s="18" t="s">
        <v>6</v>
      </c>
      <c r="D657" s="18">
        <v>52</v>
      </c>
      <c r="E657" s="18">
        <v>9.0983999999999998</v>
      </c>
      <c r="F657" s="18">
        <v>10.923999999999999</v>
      </c>
      <c r="G657" s="15">
        <v>6.83</v>
      </c>
      <c r="H657" s="15">
        <v>4.2</v>
      </c>
      <c r="I657" s="15">
        <v>1.22</v>
      </c>
      <c r="J657" s="15">
        <v>61.84</v>
      </c>
      <c r="K657" s="15">
        <v>28.45</v>
      </c>
      <c r="L657" s="15">
        <v>75.930000000000007</v>
      </c>
      <c r="M657" s="15">
        <v>6.4</v>
      </c>
      <c r="N657" s="15">
        <v>2</v>
      </c>
      <c r="O657" s="15">
        <f>0.97+1</f>
        <v>1.97</v>
      </c>
      <c r="P657" s="9">
        <v>1.2622199999999999</v>
      </c>
      <c r="Q657" s="9">
        <v>1.8492200000000001</v>
      </c>
      <c r="R657" s="9">
        <v>-0.13855400000000001</v>
      </c>
      <c r="S657" s="9">
        <v>0.177619</v>
      </c>
      <c r="T657" s="9">
        <v>0.21221499999999999</v>
      </c>
      <c r="U657" s="9">
        <v>0.107763</v>
      </c>
      <c r="V657" s="9">
        <v>6.1972100000000001</v>
      </c>
      <c r="W657" s="9">
        <v>3.3512599999999999</v>
      </c>
      <c r="X657" s="9">
        <v>4.2300199999999997</v>
      </c>
      <c r="Y657" s="9">
        <v>65.305300000000003</v>
      </c>
      <c r="Z657" s="9">
        <v>49.070799999999998</v>
      </c>
      <c r="AA657" s="9">
        <f t="shared" si="107"/>
        <v>2.7469344262295081</v>
      </c>
      <c r="AB657" s="9">
        <f t="shared" si="108"/>
        <v>5.5983606557377055</v>
      </c>
      <c r="AC657" s="9">
        <f t="shared" si="109"/>
        <v>3.4426229508196724</v>
      </c>
      <c r="AD657" s="9">
        <f t="shared" si="110"/>
        <v>7.1776686010727166</v>
      </c>
      <c r="AE657" s="9">
        <f t="shared" si="111"/>
        <v>5.3933438846390578</v>
      </c>
      <c r="AF657" s="9">
        <f t="shared" si="112"/>
        <v>4.8722885818200847</v>
      </c>
      <c r="AG657" s="9">
        <f t="shared" si="104"/>
        <v>1.7017963063935122</v>
      </c>
      <c r="AH657" s="9">
        <f t="shared" si="103"/>
        <v>0.9788265789220254</v>
      </c>
      <c r="AI657" s="9">
        <f t="shared" si="105"/>
        <v>2.2711448986144189</v>
      </c>
      <c r="AJ657" s="9">
        <f>(4*PI()*(AI657^2))/(Y657+E657)</f>
        <v>0.87117422373918374</v>
      </c>
      <c r="AK657" s="12">
        <f t="shared" si="106"/>
        <v>0.61928934010152281</v>
      </c>
      <c r="AL657" s="12" t="s">
        <v>140</v>
      </c>
      <c r="AM657" s="12" t="s">
        <v>142</v>
      </c>
      <c r="AN657" s="18">
        <v>11.026999999999999</v>
      </c>
      <c r="AO657" s="18">
        <v>0.44472</v>
      </c>
      <c r="AP657" s="18">
        <v>22941</v>
      </c>
      <c r="AQ657" s="18">
        <v>21191</v>
      </c>
      <c r="AR657" s="18">
        <v>5.0094000000000003</v>
      </c>
      <c r="AS657" s="18">
        <v>7.1038000000000004E-3</v>
      </c>
      <c r="AT657" s="18">
        <v>0.75697000000000003</v>
      </c>
      <c r="AU657" s="18">
        <v>0.42970999999999998</v>
      </c>
      <c r="AV657" s="18">
        <v>9.1049000000000005E-2</v>
      </c>
      <c r="AW657" s="18">
        <v>6.6220000000000003E-3</v>
      </c>
      <c r="AX657" s="18">
        <v>0.28976000000000002</v>
      </c>
      <c r="AY657" s="18">
        <v>-40.753999999999998</v>
      </c>
      <c r="AZ657" s="18">
        <v>-4356.3</v>
      </c>
      <c r="BA657" s="18">
        <v>0.11223</v>
      </c>
      <c r="BB657" s="18">
        <v>55.588999999999999</v>
      </c>
      <c r="BC657" s="18" t="s">
        <v>162</v>
      </c>
      <c r="BD657" s="35" t="s">
        <v>165</v>
      </c>
      <c r="BE657" t="s">
        <v>168</v>
      </c>
    </row>
    <row r="658" spans="1:57" x14ac:dyDescent="0.25">
      <c r="A658" s="12" t="s">
        <v>728</v>
      </c>
      <c r="B658" s="18" t="s">
        <v>5</v>
      </c>
      <c r="C658" s="18" t="s">
        <v>14</v>
      </c>
      <c r="D658" s="18">
        <v>53</v>
      </c>
      <c r="E658" s="18">
        <v>12.332000000000001</v>
      </c>
      <c r="F658" s="18">
        <v>13.185</v>
      </c>
      <c r="G658" s="15">
        <v>5.17</v>
      </c>
      <c r="H658" s="15">
        <v>3.23</v>
      </c>
      <c r="I658" s="15">
        <v>3.39</v>
      </c>
      <c r="J658" s="15">
        <v>96</v>
      </c>
      <c r="K658" s="15">
        <v>11.74</v>
      </c>
      <c r="L658" s="15">
        <v>13.26</v>
      </c>
      <c r="M658" s="15">
        <v>4.55</v>
      </c>
      <c r="N658" s="15">
        <v>2</v>
      </c>
      <c r="O658" s="15">
        <f>0.83+3.3</f>
        <v>4.13</v>
      </c>
      <c r="P658" s="9">
        <v>0.88717299999999999</v>
      </c>
      <c r="Q658" s="9">
        <v>1.37096</v>
      </c>
      <c r="R658" s="9">
        <v>5.5555599999999997E-2</v>
      </c>
      <c r="S658" s="9">
        <v>7.9233999999999999E-2</v>
      </c>
      <c r="T658" s="9">
        <v>0.117019</v>
      </c>
      <c r="U658" s="9">
        <v>3.9402399999999997E-2</v>
      </c>
      <c r="V658" s="9">
        <v>4.9943099999999996</v>
      </c>
      <c r="W658" s="9">
        <v>3.6429200000000002</v>
      </c>
      <c r="X658" s="9">
        <v>3.2319</v>
      </c>
      <c r="Y658" s="9">
        <v>48.737400000000001</v>
      </c>
      <c r="Z658" s="9">
        <v>37.5413</v>
      </c>
      <c r="AA658" s="9">
        <f t="shared" si="107"/>
        <v>1.0746076696165192</v>
      </c>
      <c r="AB658" s="9">
        <f t="shared" si="108"/>
        <v>1.5250737463126842</v>
      </c>
      <c r="AC658" s="9">
        <f t="shared" si="109"/>
        <v>0.9528023598820059</v>
      </c>
      <c r="AD658" s="9">
        <f t="shared" si="110"/>
        <v>3.9521083360363281</v>
      </c>
      <c r="AE658" s="9">
        <f t="shared" si="111"/>
        <v>3.0442182938696072</v>
      </c>
      <c r="AF658" s="9">
        <f t="shared" si="112"/>
        <v>4.3469984508762378</v>
      </c>
      <c r="AG658" s="9">
        <f t="shared" si="104"/>
        <v>1.9812615971694669</v>
      </c>
      <c r="AH658" s="9">
        <f t="shared" si="103"/>
        <v>0.9441512140321846</v>
      </c>
      <c r="AI658" s="9">
        <f t="shared" si="105"/>
        <v>2.0771772914964197</v>
      </c>
      <c r="AJ658" s="9">
        <f>(4*PI()*(AI658^2))/(Y658+E658)</f>
        <v>0.88783721067940446</v>
      </c>
      <c r="AK658" s="12">
        <f t="shared" si="106"/>
        <v>0.82082324455205813</v>
      </c>
      <c r="AL658" s="12" t="s">
        <v>144</v>
      </c>
      <c r="AM658" s="12" t="s">
        <v>143</v>
      </c>
      <c r="AN658" s="18">
        <v>12.478999999999999</v>
      </c>
      <c r="AO658" s="18">
        <v>1.4684999999999999</v>
      </c>
      <c r="AP658" s="18">
        <v>23296</v>
      </c>
      <c r="AQ658" s="18">
        <v>23331</v>
      </c>
      <c r="AR658" s="18">
        <v>6.0183999999999997</v>
      </c>
      <c r="AS658" s="18">
        <v>3.9512000000000002E-3</v>
      </c>
      <c r="AT658" s="18">
        <v>0.76422999999999996</v>
      </c>
      <c r="AU658" s="18">
        <v>0.22206000000000001</v>
      </c>
      <c r="AV658" s="18">
        <v>1.1655999999999999E-3</v>
      </c>
      <c r="AW658" s="18">
        <v>2.8609999999999998E-3</v>
      </c>
      <c r="AX658" s="18">
        <v>0.38877</v>
      </c>
      <c r="AY658" s="18">
        <v>2.0874999999999999</v>
      </c>
      <c r="AZ658" s="18">
        <v>-866.41</v>
      </c>
      <c r="BA658" s="18">
        <v>3.1365999999999998E-2</v>
      </c>
      <c r="BB658" s="18">
        <v>17.076000000000001</v>
      </c>
      <c r="BC658" s="18" t="s">
        <v>162</v>
      </c>
      <c r="BD658" s="35" t="s">
        <v>163</v>
      </c>
      <c r="BE658" t="s">
        <v>167</v>
      </c>
    </row>
    <row r="659" spans="1:57" x14ac:dyDescent="0.25">
      <c r="A659" s="18" t="s">
        <v>729</v>
      </c>
      <c r="B659" s="18" t="s">
        <v>5</v>
      </c>
      <c r="C659" s="18" t="s">
        <v>6</v>
      </c>
      <c r="D659" s="18">
        <v>44</v>
      </c>
      <c r="E659" s="18">
        <v>3.6505999999999998</v>
      </c>
      <c r="F659" s="18">
        <v>7.1704999999999997</v>
      </c>
      <c r="G659" s="15">
        <v>3.47</v>
      </c>
      <c r="H659" s="15">
        <v>2.85</v>
      </c>
      <c r="I659" s="15">
        <v>2.4700000000000002</v>
      </c>
      <c r="J659" s="15">
        <v>12.41</v>
      </c>
      <c r="K659" s="15">
        <v>54.25</v>
      </c>
      <c r="L659" s="15">
        <v>54.5</v>
      </c>
      <c r="M659" s="15">
        <v>2.9</v>
      </c>
      <c r="N659" s="15">
        <v>2</v>
      </c>
      <c r="O659" s="15">
        <f>0.87+2.44</f>
        <v>3.31</v>
      </c>
      <c r="P659" s="9">
        <v>1.3944799999999999</v>
      </c>
      <c r="Q659" s="9">
        <v>1.21082</v>
      </c>
      <c r="R659" s="9">
        <v>0.48214299999999999</v>
      </c>
      <c r="S659" s="9">
        <v>0.14402699999999999</v>
      </c>
      <c r="T659" s="9">
        <v>0.17155200000000001</v>
      </c>
      <c r="U659" s="9">
        <v>7.5080999999999995E-2</v>
      </c>
      <c r="V659" s="9">
        <v>2.4786100000000002</v>
      </c>
      <c r="W659" s="9">
        <v>2.04705</v>
      </c>
      <c r="X659" s="9">
        <v>2.8545600000000002</v>
      </c>
      <c r="Y659" s="9">
        <v>19.0869</v>
      </c>
      <c r="Z659" s="9">
        <v>8.36158</v>
      </c>
      <c r="AA659" s="9">
        <f t="shared" si="107"/>
        <v>0.82876518218623474</v>
      </c>
      <c r="AB659" s="9">
        <f t="shared" si="108"/>
        <v>1.4048582995951417</v>
      </c>
      <c r="AC659" s="9">
        <f t="shared" si="109"/>
        <v>1.1538461538461537</v>
      </c>
      <c r="AD659" s="9">
        <f t="shared" si="110"/>
        <v>5.2284282035829728</v>
      </c>
      <c r="AE659" s="9">
        <f t="shared" si="111"/>
        <v>2.2904673204404755</v>
      </c>
      <c r="AF659" s="9">
        <f t="shared" si="112"/>
        <v>4.6331514697400999</v>
      </c>
      <c r="AG659" s="9">
        <f t="shared" si="104"/>
        <v>1.0779712753605943</v>
      </c>
      <c r="AH659" s="9">
        <f t="shared" si="103"/>
        <v>0.94457754395193172</v>
      </c>
      <c r="AI659" s="9">
        <f t="shared" si="105"/>
        <v>1.2591184275152965</v>
      </c>
      <c r="AJ659" s="9">
        <f>(4*PI()*(AI659^2))/(Y659+E659)</f>
        <v>0.87619407471430932</v>
      </c>
      <c r="AK659" s="12">
        <f t="shared" si="106"/>
        <v>0.74622356495468278</v>
      </c>
      <c r="AL659" s="12" t="s">
        <v>144</v>
      </c>
      <c r="AM659" s="12" t="s">
        <v>142</v>
      </c>
      <c r="AN659" s="18">
        <v>10.673</v>
      </c>
      <c r="AO659" s="18">
        <v>0.45001000000000002</v>
      </c>
      <c r="AP659" s="18">
        <v>26497</v>
      </c>
      <c r="AQ659" s="18">
        <v>25097</v>
      </c>
      <c r="AR659" s="18">
        <v>5.0045999999999999</v>
      </c>
      <c r="AS659" s="18">
        <v>4.7238999999999996E-3</v>
      </c>
      <c r="AT659" s="18">
        <v>0.72057000000000004</v>
      </c>
      <c r="AU659" s="18">
        <v>0.68706999999999996</v>
      </c>
      <c r="AV659" s="18">
        <v>0.22595000000000001</v>
      </c>
      <c r="AW659" s="18">
        <v>4.5653999999999998E-3</v>
      </c>
      <c r="AX659" s="18">
        <v>0.24936</v>
      </c>
      <c r="AY659" s="18">
        <v>-9.6790000000000001E-2</v>
      </c>
      <c r="AZ659" s="18">
        <v>-3589</v>
      </c>
      <c r="BA659" s="18">
        <v>2.0247999999999999E-2</v>
      </c>
      <c r="BB659" s="18">
        <v>14.486000000000001</v>
      </c>
      <c r="BC659" s="18" t="s">
        <v>162</v>
      </c>
      <c r="BD659" s="35" t="s">
        <v>165</v>
      </c>
      <c r="BE659" t="s">
        <v>167</v>
      </c>
    </row>
    <row r="660" spans="1:57" x14ac:dyDescent="0.25">
      <c r="A660" s="12" t="s">
        <v>730</v>
      </c>
      <c r="B660" s="18" t="s">
        <v>5</v>
      </c>
      <c r="C660" s="18" t="s">
        <v>14</v>
      </c>
      <c r="D660" s="18">
        <v>42</v>
      </c>
      <c r="E660" s="18">
        <v>4.2708000000000004</v>
      </c>
      <c r="F660" s="18">
        <v>7.8634000000000004</v>
      </c>
      <c r="G660" s="15">
        <v>2.93</v>
      </c>
      <c r="H660" s="15">
        <v>1.9</v>
      </c>
      <c r="I660" s="15">
        <v>3.23</v>
      </c>
      <c r="J660" s="15">
        <v>130.57</v>
      </c>
      <c r="K660" s="15">
        <v>26.15</v>
      </c>
      <c r="L660" s="15">
        <v>11.72</v>
      </c>
      <c r="M660" s="15">
        <v>2.6</v>
      </c>
      <c r="N660" s="15">
        <v>1</v>
      </c>
      <c r="O660" s="15">
        <v>3.49</v>
      </c>
      <c r="P660" s="9">
        <v>0.82726100000000002</v>
      </c>
      <c r="Q660" s="9">
        <v>1.0478099999999999</v>
      </c>
      <c r="R660" s="9">
        <v>0.47297299999999998</v>
      </c>
      <c r="S660" s="9">
        <v>5.7712399999999997E-2</v>
      </c>
      <c r="T660" s="9">
        <v>0.10897</v>
      </c>
      <c r="U660" s="9">
        <v>7.8980700000000001E-2</v>
      </c>
      <c r="V660" s="9">
        <v>2.41927</v>
      </c>
      <c r="W660" s="9">
        <v>2.3088799999999998</v>
      </c>
      <c r="X660" s="9">
        <v>1.91005</v>
      </c>
      <c r="Y660" s="9">
        <v>12.9512</v>
      </c>
      <c r="Z660" s="9">
        <v>5.2130299999999998</v>
      </c>
      <c r="AA660" s="9">
        <f t="shared" si="107"/>
        <v>0.71482352941176464</v>
      </c>
      <c r="AB660" s="9">
        <f t="shared" si="108"/>
        <v>0.90712074303405577</v>
      </c>
      <c r="AC660" s="9">
        <f t="shared" si="109"/>
        <v>0.58823529411764708</v>
      </c>
      <c r="AD660" s="9">
        <f t="shared" si="110"/>
        <v>3.0324997658518309</v>
      </c>
      <c r="AE660" s="9">
        <f t="shared" si="111"/>
        <v>1.2206214292404232</v>
      </c>
      <c r="AF660" s="9">
        <f t="shared" si="112"/>
        <v>4.3077437458495709</v>
      </c>
      <c r="AG660" s="9">
        <f t="shared" si="104"/>
        <v>1.1659493393427234</v>
      </c>
      <c r="AH660" s="9">
        <f t="shared" si="103"/>
        <v>0.93164226134673866</v>
      </c>
      <c r="AI660" s="9">
        <f t="shared" si="105"/>
        <v>1.0756406462844397</v>
      </c>
      <c r="AJ660" s="9">
        <f>(4*PI()*(AI660^2))/(Y660+E660)</f>
        <v>0.84422982150083226</v>
      </c>
      <c r="AK660" s="12">
        <f t="shared" si="106"/>
        <v>0.92550143266475637</v>
      </c>
      <c r="AL660" s="12" t="s">
        <v>144</v>
      </c>
      <c r="AM660" s="12" t="s">
        <v>143</v>
      </c>
      <c r="AN660" s="18">
        <v>5.5331999999999999</v>
      </c>
      <c r="AO660" s="18">
        <v>0.50312999999999997</v>
      </c>
      <c r="AP660" s="18">
        <v>15210</v>
      </c>
      <c r="AQ660" s="18">
        <v>15297</v>
      </c>
      <c r="AR660" s="18">
        <v>2.6598000000000002</v>
      </c>
      <c r="AS660" s="18">
        <v>8.8871999999999996E-3</v>
      </c>
      <c r="AT660" s="18">
        <v>0.74683999999999995</v>
      </c>
      <c r="AU660" s="18">
        <v>0.89883000000000002</v>
      </c>
      <c r="AV660" s="18">
        <v>5.3976999999999997E-2</v>
      </c>
      <c r="AW660" s="18">
        <v>7.0010000000000003E-3</v>
      </c>
      <c r="AX660" s="18">
        <v>0.13328000000000001</v>
      </c>
      <c r="AY660" s="18">
        <v>2.4765000000000001</v>
      </c>
      <c r="AZ660" s="18">
        <v>559.62</v>
      </c>
      <c r="BA660" s="18">
        <v>2.0478E-2</v>
      </c>
      <c r="BB660" s="18">
        <v>15.898</v>
      </c>
      <c r="BC660" s="18" t="s">
        <v>162</v>
      </c>
      <c r="BD660" s="35" t="s">
        <v>163</v>
      </c>
      <c r="BE660" t="s">
        <v>167</v>
      </c>
    </row>
    <row r="661" spans="1:57" x14ac:dyDescent="0.25">
      <c r="A661" s="18" t="s">
        <v>731</v>
      </c>
      <c r="B661" s="18" t="s">
        <v>26</v>
      </c>
      <c r="C661" s="18" t="s">
        <v>14</v>
      </c>
      <c r="D661" s="18">
        <v>42</v>
      </c>
      <c r="E661" s="18">
        <v>11.058</v>
      </c>
      <c r="F661" s="18">
        <v>12.523999999999999</v>
      </c>
      <c r="G661" s="15">
        <v>7.28</v>
      </c>
      <c r="H661" s="15">
        <v>4.75</v>
      </c>
      <c r="I661" s="15">
        <v>2.79</v>
      </c>
      <c r="J661" s="15">
        <v>45.56</v>
      </c>
      <c r="K661" s="15">
        <v>30.65</v>
      </c>
      <c r="L661" s="15">
        <v>57.12</v>
      </c>
      <c r="M661" s="15">
        <v>6.1</v>
      </c>
      <c r="N661" s="15">
        <v>2</v>
      </c>
      <c r="O661" s="15">
        <f>2.25+2.3</f>
        <v>4.55</v>
      </c>
      <c r="P661" s="9">
        <v>1.31277</v>
      </c>
      <c r="Q661" s="9">
        <v>1.8877999999999999</v>
      </c>
      <c r="R661" s="9">
        <v>0.112903</v>
      </c>
      <c r="S661" s="9">
        <v>0.174376</v>
      </c>
      <c r="T661" s="9">
        <v>0.20932400000000001</v>
      </c>
      <c r="U661" s="9">
        <v>8.7789199999999998E-2</v>
      </c>
      <c r="V661" s="9">
        <v>6.8156800000000004</v>
      </c>
      <c r="W661" s="9">
        <v>3.6103700000000001</v>
      </c>
      <c r="X661" s="9">
        <v>4.7396000000000003</v>
      </c>
      <c r="Y661" s="9">
        <v>93.914100000000005</v>
      </c>
      <c r="Z661" s="9">
        <v>85.090800000000002</v>
      </c>
      <c r="AA661" s="9">
        <f t="shared" si="107"/>
        <v>1.2940394265232975</v>
      </c>
      <c r="AB661" s="9">
        <f t="shared" si="108"/>
        <v>2.6093189964157708</v>
      </c>
      <c r="AC661" s="9">
        <f t="shared" si="109"/>
        <v>1.7025089605734767</v>
      </c>
      <c r="AD661" s="9">
        <f t="shared" si="110"/>
        <v>8.4928648941942484</v>
      </c>
      <c r="AE661" s="9">
        <f t="shared" si="111"/>
        <v>7.6949538795442214</v>
      </c>
      <c r="AF661" s="9">
        <f t="shared" si="112"/>
        <v>4.8544764255031385</v>
      </c>
      <c r="AG661" s="9">
        <f t="shared" si="104"/>
        <v>1.8761318507557931</v>
      </c>
      <c r="AH661" s="9">
        <f t="shared" si="103"/>
        <v>0.94123954639096485</v>
      </c>
      <c r="AI661" s="9">
        <f t="shared" si="105"/>
        <v>2.7285463306812265</v>
      </c>
      <c r="AJ661" s="9">
        <f>(4*PI()*(AI661^2))/(Y661+E661)</f>
        <v>0.89124815441035277</v>
      </c>
      <c r="AK661" s="12">
        <f t="shared" si="106"/>
        <v>0.61318681318681323</v>
      </c>
      <c r="AL661" s="12" t="s">
        <v>140</v>
      </c>
      <c r="AM661" s="12" t="s">
        <v>142</v>
      </c>
      <c r="AN661" s="18">
        <v>3.0291000000000001</v>
      </c>
      <c r="AO661" s="18">
        <v>0.40867999999999999</v>
      </c>
      <c r="AP661" s="18">
        <v>6517.3</v>
      </c>
      <c r="AQ661" s="18">
        <v>5772.4</v>
      </c>
      <c r="AR661" s="18">
        <v>1.4527000000000001</v>
      </c>
      <c r="AS661" s="18">
        <v>1.7804E-2</v>
      </c>
      <c r="AT661" s="18">
        <v>0.71164000000000005</v>
      </c>
      <c r="AU661" s="18">
        <v>6.0949999999999998</v>
      </c>
      <c r="AV661" s="18">
        <v>0.25975999999999999</v>
      </c>
      <c r="AW661" s="18">
        <v>1.3693E-2</v>
      </c>
      <c r="AX661" s="18">
        <v>0.13181999999999999</v>
      </c>
      <c r="AY661" s="18">
        <v>-4.1928999999999998</v>
      </c>
      <c r="AZ661" s="18">
        <v>-226.51</v>
      </c>
      <c r="BA661" s="18">
        <v>0.19488</v>
      </c>
      <c r="BB661" s="18">
        <v>55.912999999999997</v>
      </c>
      <c r="BC661" s="18" t="s">
        <v>164</v>
      </c>
      <c r="BD661" s="35" t="s">
        <v>165</v>
      </c>
      <c r="BE661" t="s">
        <v>168</v>
      </c>
    </row>
    <row r="662" spans="1:57" x14ac:dyDescent="0.25">
      <c r="A662" s="18" t="s">
        <v>732</v>
      </c>
      <c r="B662" s="18" t="s">
        <v>26</v>
      </c>
      <c r="C662" s="18" t="s">
        <v>14</v>
      </c>
      <c r="D662" s="18">
        <v>43</v>
      </c>
      <c r="E662" s="18">
        <v>13.266</v>
      </c>
      <c r="F662" s="18">
        <v>13.254</v>
      </c>
      <c r="G662" s="15">
        <v>6.36</v>
      </c>
      <c r="H662" s="15">
        <v>3.95</v>
      </c>
      <c r="I662" s="15">
        <v>2.56</v>
      </c>
      <c r="J662" s="15">
        <v>67.91</v>
      </c>
      <c r="K662" s="15">
        <v>32.76</v>
      </c>
      <c r="L662" s="15">
        <v>62.04</v>
      </c>
      <c r="M662" s="15">
        <v>5</v>
      </c>
      <c r="N662" s="15">
        <v>2</v>
      </c>
      <c r="O662" s="15">
        <f>1.57+2.26</f>
        <v>3.83</v>
      </c>
      <c r="P662" s="9">
        <v>0.97716999999999998</v>
      </c>
      <c r="Q662" s="9">
        <v>1.26037</v>
      </c>
      <c r="R662" s="9">
        <v>-2.5641000000000001E-2</v>
      </c>
      <c r="S662" s="9">
        <v>0.12900900000000001</v>
      </c>
      <c r="T662" s="9">
        <v>0.16994100000000001</v>
      </c>
      <c r="U662" s="9">
        <v>0.11709</v>
      </c>
      <c r="V662" s="9">
        <v>5.10846</v>
      </c>
      <c r="W662" s="9">
        <v>4.05314</v>
      </c>
      <c r="X662" s="9">
        <v>3.96061</v>
      </c>
      <c r="Y662" s="9">
        <v>59.142200000000003</v>
      </c>
      <c r="Z662" s="9">
        <v>45.740200000000002</v>
      </c>
      <c r="AA662" s="9">
        <f t="shared" si="107"/>
        <v>1.5832578124999999</v>
      </c>
      <c r="AB662" s="9">
        <f t="shared" si="108"/>
        <v>2.484375</v>
      </c>
      <c r="AC662" s="9">
        <f t="shared" si="109"/>
        <v>1.54296875</v>
      </c>
      <c r="AD662" s="9">
        <f t="shared" si="110"/>
        <v>4.4581788029549223</v>
      </c>
      <c r="AE662" s="9">
        <f t="shared" si="111"/>
        <v>3.4479270315091211</v>
      </c>
      <c r="AF662" s="9">
        <f t="shared" si="112"/>
        <v>4.6241520156204947</v>
      </c>
      <c r="AG662" s="9">
        <f t="shared" si="104"/>
        <v>2.0549206675962375</v>
      </c>
      <c r="AH662" s="9">
        <f t="shared" si="103"/>
        <v>0.97415477184701571</v>
      </c>
      <c r="AI662" s="9">
        <f t="shared" si="105"/>
        <v>2.218553042982701</v>
      </c>
      <c r="AJ662" s="9">
        <f>(4*PI()*(AI662^2))/(Y662+E662)</f>
        <v>0.85420428534436865</v>
      </c>
      <c r="AK662" s="12">
        <f t="shared" si="106"/>
        <v>0.66840731070496084</v>
      </c>
      <c r="AL662" s="12" t="s">
        <v>140</v>
      </c>
      <c r="AM662" s="12" t="s">
        <v>142</v>
      </c>
      <c r="AN662" s="18">
        <v>7.0946999999999996</v>
      </c>
      <c r="AO662" s="18">
        <v>0.67769999999999997</v>
      </c>
      <c r="AP662" s="18">
        <v>12419</v>
      </c>
      <c r="AQ662" s="18">
        <v>11664</v>
      </c>
      <c r="AR662" s="18">
        <v>3.4626999999999999</v>
      </c>
      <c r="AS662" s="18">
        <v>6.0895999999999997E-3</v>
      </c>
      <c r="AT662" s="18">
        <v>0.72901000000000005</v>
      </c>
      <c r="AU662" s="18">
        <v>0.47411999999999999</v>
      </c>
      <c r="AV662" s="18">
        <v>6.4599999999999996E-3</v>
      </c>
      <c r="AW662" s="18">
        <v>4.9846999999999999E-3</v>
      </c>
      <c r="AX662" s="18">
        <v>0.25091999999999998</v>
      </c>
      <c r="AY662" s="18">
        <v>-3.5956999999999999</v>
      </c>
      <c r="AZ662" s="18">
        <v>-1081.7</v>
      </c>
      <c r="BA662" s="18">
        <v>5.7598000000000003E-2</v>
      </c>
      <c r="BB662" s="18">
        <v>23.326000000000001</v>
      </c>
      <c r="BC662" s="18" t="s">
        <v>164</v>
      </c>
      <c r="BD662" s="35" t="s">
        <v>165</v>
      </c>
      <c r="BE662" t="s">
        <v>167</v>
      </c>
    </row>
    <row r="663" spans="1:57" x14ac:dyDescent="0.25">
      <c r="A663" s="18" t="s">
        <v>733</v>
      </c>
      <c r="B663" s="18" t="s">
        <v>26</v>
      </c>
      <c r="C663" s="18" t="s">
        <v>14</v>
      </c>
      <c r="D663" s="18">
        <v>54</v>
      </c>
      <c r="E663" s="18">
        <v>28.190999999999999</v>
      </c>
      <c r="F663" s="18">
        <v>19.934999999999999</v>
      </c>
      <c r="G663" s="15">
        <v>10.49</v>
      </c>
      <c r="H663" s="15">
        <v>5.8</v>
      </c>
      <c r="I663" s="15">
        <v>2.89</v>
      </c>
      <c r="J663" s="15">
        <v>43.86</v>
      </c>
      <c r="K663" s="15">
        <v>29.21</v>
      </c>
      <c r="L663" s="15">
        <v>66.209999999999994</v>
      </c>
      <c r="M663" s="15">
        <v>9.4</v>
      </c>
      <c r="N663" s="15">
        <v>2</v>
      </c>
      <c r="O663" s="15">
        <f>2.48+2.36</f>
        <v>4.84</v>
      </c>
      <c r="P663" s="9">
        <v>1.0234300000000001</v>
      </c>
      <c r="Q663" s="9">
        <v>1.4657899999999999</v>
      </c>
      <c r="R663" s="9">
        <v>-0.181034</v>
      </c>
      <c r="S663" s="9">
        <v>0.15329000000000001</v>
      </c>
      <c r="T663" s="9">
        <v>0.18587699999999999</v>
      </c>
      <c r="U663" s="9">
        <v>0.112231</v>
      </c>
      <c r="V663" s="9">
        <v>8.3848199999999995</v>
      </c>
      <c r="W663" s="9">
        <v>5.7203499999999998</v>
      </c>
      <c r="X663" s="9">
        <v>5.8543799999999999</v>
      </c>
      <c r="Y663" s="9">
        <v>144.47399999999999</v>
      </c>
      <c r="Z663" s="9">
        <v>169.63200000000001</v>
      </c>
      <c r="AA663" s="9">
        <f t="shared" si="107"/>
        <v>1.9793598615916954</v>
      </c>
      <c r="AB663" s="9">
        <f t="shared" si="108"/>
        <v>3.6297577854671279</v>
      </c>
      <c r="AC663" s="9">
        <f t="shared" si="109"/>
        <v>2.0069204152249132</v>
      </c>
      <c r="AD663" s="9">
        <f t="shared" si="110"/>
        <v>5.1248270724699374</v>
      </c>
      <c r="AE663" s="9">
        <f t="shared" si="111"/>
        <v>6.0172395445354905</v>
      </c>
      <c r="AF663" s="9">
        <f t="shared" si="112"/>
        <v>4.7146686474700523</v>
      </c>
      <c r="AG663" s="9">
        <f t="shared" si="104"/>
        <v>2.9955757378853307</v>
      </c>
      <c r="AH663" s="9">
        <f t="shared" si="103"/>
        <v>0.94415638138072522</v>
      </c>
      <c r="AI663" s="9">
        <f t="shared" si="105"/>
        <v>3.4340482355371327</v>
      </c>
      <c r="AJ663" s="9">
        <f>(4*PI()*(AI663^2))/(Y663+E663)</f>
        <v>0.85825893464182412</v>
      </c>
      <c r="AK663" s="12">
        <f t="shared" si="106"/>
        <v>0.59710743801652899</v>
      </c>
      <c r="AL663" s="12" t="s">
        <v>140</v>
      </c>
      <c r="AM663" s="12" t="s">
        <v>142</v>
      </c>
      <c r="AN663" s="18">
        <v>3.8239000000000001</v>
      </c>
      <c r="AO663" s="18">
        <v>0.52885000000000004</v>
      </c>
      <c r="AP663" s="18">
        <v>7737.8</v>
      </c>
      <c r="AQ663" s="18">
        <v>6819.6</v>
      </c>
      <c r="AR663" s="18">
        <v>2.0222000000000002</v>
      </c>
      <c r="AS663" s="18">
        <v>1.8067E-2</v>
      </c>
      <c r="AT663" s="18">
        <v>0.70691000000000004</v>
      </c>
      <c r="AU663" s="18">
        <v>1.5316000000000001</v>
      </c>
      <c r="AV663" s="18">
        <v>0.15867000000000001</v>
      </c>
      <c r="AW663" s="18">
        <v>2.2838000000000001E-2</v>
      </c>
      <c r="AX663" s="18">
        <v>0.14606</v>
      </c>
      <c r="AY663" s="18">
        <v>-76.742999999999995</v>
      </c>
      <c r="AZ663" s="18">
        <v>-340.88</v>
      </c>
      <c r="BA663" s="18">
        <v>0.47610000000000002</v>
      </c>
      <c r="BB663" s="18">
        <v>175.89</v>
      </c>
      <c r="BC663" s="18" t="s">
        <v>162</v>
      </c>
      <c r="BD663" s="35" t="s">
        <v>165</v>
      </c>
      <c r="BE663" t="s">
        <v>168</v>
      </c>
    </row>
    <row r="664" spans="1:57" x14ac:dyDescent="0.25">
      <c r="A664" s="18" t="s">
        <v>734</v>
      </c>
      <c r="B664" s="18" t="s">
        <v>13</v>
      </c>
      <c r="C664" s="18" t="s">
        <v>6</v>
      </c>
      <c r="D664" s="18">
        <v>45</v>
      </c>
      <c r="E664" s="18">
        <v>3.2094999999999998</v>
      </c>
      <c r="F664" s="18">
        <v>6.5002000000000004</v>
      </c>
      <c r="G664" s="15">
        <v>4.59</v>
      </c>
      <c r="H664" s="15">
        <v>3.3</v>
      </c>
      <c r="I664" s="15">
        <v>1.6</v>
      </c>
      <c r="J664" s="15">
        <v>62.05</v>
      </c>
      <c r="K664" s="15">
        <v>34.78</v>
      </c>
      <c r="L664" s="15">
        <v>65.59</v>
      </c>
      <c r="M664" s="15">
        <v>3.7</v>
      </c>
      <c r="N664" s="15">
        <v>2</v>
      </c>
      <c r="O664" s="15">
        <f>0.9+0.98</f>
        <v>1.88</v>
      </c>
      <c r="P664" s="9">
        <v>1.66225</v>
      </c>
      <c r="Q664" s="9">
        <v>2.0058799999999999</v>
      </c>
      <c r="R664" s="10">
        <v>4.6309300000000003E-9</v>
      </c>
      <c r="S664" s="9">
        <v>0.191971</v>
      </c>
      <c r="T664" s="9">
        <v>0.23064000000000001</v>
      </c>
      <c r="U664" s="9">
        <v>9.29175E-2</v>
      </c>
      <c r="V664" s="9">
        <v>3.9656199999999999</v>
      </c>
      <c r="W664" s="9">
        <v>1.97699</v>
      </c>
      <c r="X664" s="9">
        <v>3.2862499999999999</v>
      </c>
      <c r="Y664" s="9">
        <v>33.698599999999999</v>
      </c>
      <c r="Z664" s="9">
        <v>17.555</v>
      </c>
      <c r="AA664" s="9">
        <f t="shared" si="107"/>
        <v>1.23561875</v>
      </c>
      <c r="AB664" s="9">
        <f t="shared" si="108"/>
        <v>2.8687499999999999</v>
      </c>
      <c r="AC664" s="9">
        <f t="shared" si="109"/>
        <v>2.0624999999999996</v>
      </c>
      <c r="AD664" s="9">
        <f t="shared" si="110"/>
        <v>10.499641688736563</v>
      </c>
      <c r="AE664" s="9">
        <f t="shared" si="111"/>
        <v>5.4696993301137251</v>
      </c>
      <c r="AF664" s="9">
        <f t="shared" si="112"/>
        <v>4.9889747133650291</v>
      </c>
      <c r="AG664" s="9">
        <f t="shared" si="104"/>
        <v>1.0107500085119347</v>
      </c>
      <c r="AH664" s="9">
        <f t="shared" si="103"/>
        <v>0.97700526179407243</v>
      </c>
      <c r="AI664" s="9">
        <f t="shared" si="105"/>
        <v>1.6122686455609643</v>
      </c>
      <c r="AJ664" s="9">
        <f>(4*PI()*(AI664^2))/(Y664+E664)</f>
        <v>0.88504018817597574</v>
      </c>
      <c r="AK664" s="12">
        <f t="shared" si="106"/>
        <v>0.85106382978723416</v>
      </c>
      <c r="AL664" s="12" t="s">
        <v>140</v>
      </c>
      <c r="AM664" s="12" t="s">
        <v>142</v>
      </c>
      <c r="AN664" s="18">
        <v>3.6768000000000001</v>
      </c>
      <c r="AO664" s="18">
        <v>0.33584000000000003</v>
      </c>
      <c r="AP664" s="18">
        <v>8901.2000000000007</v>
      </c>
      <c r="AQ664" s="18">
        <v>8485.7999999999993</v>
      </c>
      <c r="AR664" s="18">
        <v>1.7637</v>
      </c>
      <c r="AS664" s="18">
        <v>1.3185000000000001E-2</v>
      </c>
      <c r="AT664" s="18">
        <v>0.73077000000000003</v>
      </c>
      <c r="AU664" s="18">
        <v>1.7592000000000001</v>
      </c>
      <c r="AV664" s="18">
        <v>0.28317999999999999</v>
      </c>
      <c r="AW664" s="18">
        <v>1.1219E-2</v>
      </c>
      <c r="AX664" s="18">
        <v>0.12293999999999999</v>
      </c>
      <c r="AY664" s="18">
        <v>-14.727</v>
      </c>
      <c r="AZ664" s="18">
        <v>-1186.4000000000001</v>
      </c>
      <c r="BA664" s="18">
        <v>0.11531</v>
      </c>
      <c r="BB664" s="18">
        <v>24.995000000000001</v>
      </c>
      <c r="BC664" s="18" t="s">
        <v>164</v>
      </c>
      <c r="BD664" s="35" t="s">
        <v>165</v>
      </c>
      <c r="BE664" t="s">
        <v>168</v>
      </c>
    </row>
    <row r="665" spans="1:57" x14ac:dyDescent="0.25">
      <c r="A665" s="18" t="s">
        <v>735</v>
      </c>
      <c r="B665" s="18" t="s">
        <v>5</v>
      </c>
      <c r="C665" s="18" t="s">
        <v>6</v>
      </c>
      <c r="D665" s="18">
        <v>45</v>
      </c>
      <c r="E665" s="18">
        <v>10.371</v>
      </c>
      <c r="F665" s="18">
        <v>11.776</v>
      </c>
      <c r="G665" s="15">
        <v>8.0500000000000007</v>
      </c>
      <c r="H665" s="15">
        <v>6.7</v>
      </c>
      <c r="I665" s="15">
        <v>3.2</v>
      </c>
      <c r="J665" s="15">
        <v>12.3</v>
      </c>
      <c r="K665" s="15">
        <v>32.65</v>
      </c>
      <c r="L665" s="15">
        <v>38.229999999999997</v>
      </c>
      <c r="M665" s="15">
        <v>6.8</v>
      </c>
      <c r="N665" s="15">
        <v>2</v>
      </c>
      <c r="O665" s="15">
        <f>1.12+2.87</f>
        <v>3.99</v>
      </c>
      <c r="P665" s="9">
        <v>1.8686100000000001</v>
      </c>
      <c r="Q665" s="9">
        <v>1.81552</v>
      </c>
      <c r="R665" s="9">
        <v>0.265152</v>
      </c>
      <c r="S665" s="9">
        <v>0.208064</v>
      </c>
      <c r="T665" s="9">
        <v>0.31861699999999998</v>
      </c>
      <c r="U665" s="9">
        <v>0.255693</v>
      </c>
      <c r="V665" s="9">
        <v>6.47689</v>
      </c>
      <c r="W665" s="9">
        <v>3.56752</v>
      </c>
      <c r="X665" s="9">
        <v>6.6663199999999998</v>
      </c>
      <c r="Y665" s="9">
        <v>109.19</v>
      </c>
      <c r="Z665" s="9">
        <v>85.339200000000005</v>
      </c>
      <c r="AA665" s="9">
        <f t="shared" si="107"/>
        <v>1.1148499999999999</v>
      </c>
      <c r="AB665" s="9">
        <f t="shared" si="108"/>
        <v>2.515625</v>
      </c>
      <c r="AC665" s="9">
        <f t="shared" si="109"/>
        <v>2.09375</v>
      </c>
      <c r="AD665" s="9">
        <f t="shared" si="110"/>
        <v>10.528396490213094</v>
      </c>
      <c r="AE665" s="9">
        <f t="shared" si="111"/>
        <v>8.2286375470060751</v>
      </c>
      <c r="AF665" s="9">
        <f t="shared" si="112"/>
        <v>5.6331392597026992</v>
      </c>
      <c r="AG665" s="9">
        <f t="shared" si="104"/>
        <v>1.8169182231493231</v>
      </c>
      <c r="AH665" s="9">
        <f t="shared" si="103"/>
        <v>0.96943222520708794</v>
      </c>
      <c r="AI665" s="9">
        <f t="shared" si="105"/>
        <v>2.7311988401260483</v>
      </c>
      <c r="AJ665" s="9">
        <f>(4*PI()*(AI665^2))/(Y665+E665)</f>
        <v>0.78401967941817086</v>
      </c>
      <c r="AK665" s="12">
        <f t="shared" si="106"/>
        <v>0.80200501253132828</v>
      </c>
      <c r="AL665" s="12" t="s">
        <v>140</v>
      </c>
      <c r="AM665" s="12" t="s">
        <v>142</v>
      </c>
      <c r="AN665" s="18">
        <v>8.0569000000000006</v>
      </c>
      <c r="AO665" s="18">
        <v>0.68330999999999997</v>
      </c>
      <c r="AP665" s="18">
        <v>20520</v>
      </c>
      <c r="AQ665" s="18">
        <v>18299</v>
      </c>
      <c r="AR665" s="18">
        <v>4.1052999999999997</v>
      </c>
      <c r="AS665" s="18">
        <v>1.1108E-2</v>
      </c>
      <c r="AT665" s="18">
        <v>0.72843999999999998</v>
      </c>
      <c r="AU665" s="18">
        <v>0.79615999999999998</v>
      </c>
      <c r="AV665" s="18">
        <v>0.14843999999999999</v>
      </c>
      <c r="AW665" s="18">
        <v>7.0984999999999998E-3</v>
      </c>
      <c r="AX665" s="18">
        <v>0.26301999999999998</v>
      </c>
      <c r="AY665" s="18">
        <v>-4.8480999999999996</v>
      </c>
      <c r="AZ665" s="18">
        <v>-1411.7</v>
      </c>
      <c r="BA665" s="18">
        <v>0.11586</v>
      </c>
      <c r="BB665" s="18">
        <v>12.941000000000001</v>
      </c>
      <c r="BC665" s="18" t="s">
        <v>162</v>
      </c>
      <c r="BD665" s="35" t="s">
        <v>165</v>
      </c>
      <c r="BE665" t="s">
        <v>168</v>
      </c>
    </row>
    <row r="666" spans="1:57" x14ac:dyDescent="0.25">
      <c r="A666" s="12" t="s">
        <v>736</v>
      </c>
      <c r="B666" s="18" t="s">
        <v>5</v>
      </c>
      <c r="C666" s="18" t="s">
        <v>6</v>
      </c>
      <c r="D666" s="18">
        <v>45</v>
      </c>
      <c r="E666" s="18">
        <v>13.879</v>
      </c>
      <c r="F666" s="18">
        <v>13.692</v>
      </c>
      <c r="G666" s="15">
        <v>4.82</v>
      </c>
      <c r="H666" s="15">
        <v>3.2</v>
      </c>
      <c r="I666" s="15">
        <v>3.99</v>
      </c>
      <c r="J666" s="15">
        <v>22.68</v>
      </c>
      <c r="K666" s="15">
        <v>28.8</v>
      </c>
      <c r="L666" s="15">
        <v>10.17</v>
      </c>
      <c r="M666" s="15">
        <v>4.5</v>
      </c>
      <c r="N666" s="15">
        <v>1</v>
      </c>
      <c r="O666" s="15">
        <v>2.97</v>
      </c>
      <c r="P666" s="9">
        <v>0.76721499999999998</v>
      </c>
      <c r="Q666" s="9">
        <v>1.10294</v>
      </c>
      <c r="R666" s="9">
        <v>0.483871</v>
      </c>
      <c r="S666" s="9">
        <v>4.6002500000000002E-2</v>
      </c>
      <c r="T666" s="9">
        <v>5.7817300000000002E-2</v>
      </c>
      <c r="U666" s="9">
        <v>1.6375000000000001E-2</v>
      </c>
      <c r="V666" s="9">
        <v>4.5743200000000002</v>
      </c>
      <c r="W666" s="9">
        <v>4.1474000000000002</v>
      </c>
      <c r="X666" s="9">
        <v>3.1819500000000001</v>
      </c>
      <c r="Y666" s="9">
        <v>42.0717</v>
      </c>
      <c r="Z666" s="9">
        <v>33.1877</v>
      </c>
      <c r="AA666" s="9">
        <f t="shared" si="107"/>
        <v>1.0394486215538847</v>
      </c>
      <c r="AB666" s="9">
        <f t="shared" si="108"/>
        <v>1.2080200501253133</v>
      </c>
      <c r="AC666" s="9">
        <f t="shared" si="109"/>
        <v>0.80200501253132828</v>
      </c>
      <c r="AD666" s="9">
        <f t="shared" si="110"/>
        <v>3.0313207003386413</v>
      </c>
      <c r="AE666" s="9">
        <f t="shared" si="111"/>
        <v>2.3912169464658839</v>
      </c>
      <c r="AF666" s="9">
        <f t="shared" si="112"/>
        <v>4.0738524054189815</v>
      </c>
      <c r="AG666" s="9">
        <f t="shared" si="104"/>
        <v>2.101861772416262</v>
      </c>
      <c r="AH666" s="9">
        <f t="shared" si="103"/>
        <v>0.96453308546365035</v>
      </c>
      <c r="AI666" s="9">
        <f t="shared" si="105"/>
        <v>1.9935609379272821</v>
      </c>
      <c r="AJ666" s="9">
        <f>(4*PI()*(AI666^2))/(Y666+E666)</f>
        <v>0.89261333489320827</v>
      </c>
      <c r="AK666" s="12">
        <f t="shared" si="106"/>
        <v>1.3434343434343434</v>
      </c>
      <c r="AL666" s="12" t="s">
        <v>144</v>
      </c>
      <c r="AM666" s="12" t="s">
        <v>143</v>
      </c>
      <c r="AN666" s="18">
        <v>17.367999999999999</v>
      </c>
      <c r="AO666" s="18">
        <v>1.4925999999999999</v>
      </c>
      <c r="AP666" s="18">
        <v>22471</v>
      </c>
      <c r="AQ666" s="18">
        <v>24740</v>
      </c>
      <c r="AR666" s="18">
        <v>8.9636999999999993</v>
      </c>
      <c r="AS666" s="18">
        <v>3.1267999999999999E-3</v>
      </c>
      <c r="AT666" s="18">
        <v>0.75463999999999998</v>
      </c>
      <c r="AU666" s="18">
        <v>0.14896999999999999</v>
      </c>
      <c r="AV666" s="18">
        <v>2.6023999999999999E-3</v>
      </c>
      <c r="AW666" s="18">
        <v>2.2152999999999999E-3</v>
      </c>
      <c r="AX666" s="18">
        <v>0.58860000000000001</v>
      </c>
      <c r="AY666" s="18">
        <v>3.9481000000000002</v>
      </c>
      <c r="AZ666" s="18">
        <v>27559</v>
      </c>
      <c r="BA666" s="18">
        <v>1.0187999999999999E-2</v>
      </c>
      <c r="BB666" s="18">
        <v>4.0720000000000001</v>
      </c>
      <c r="BC666" s="18" t="s">
        <v>162</v>
      </c>
      <c r="BD666" s="35" t="s">
        <v>163</v>
      </c>
      <c r="BE666" t="s">
        <v>167</v>
      </c>
    </row>
    <row r="667" spans="1:57" x14ac:dyDescent="0.25">
      <c r="A667" s="18" t="s">
        <v>737</v>
      </c>
      <c r="B667" s="18" t="s">
        <v>5</v>
      </c>
      <c r="C667" s="18" t="s">
        <v>6</v>
      </c>
      <c r="D667" s="18">
        <v>58</v>
      </c>
      <c r="E667" s="18">
        <v>17.577999999999999</v>
      </c>
      <c r="F667" s="18">
        <v>16.039000000000001</v>
      </c>
      <c r="G667" s="15">
        <v>8.73</v>
      </c>
      <c r="H667" s="15">
        <v>5.6</v>
      </c>
      <c r="I667" s="15">
        <v>3.83</v>
      </c>
      <c r="J667" s="15">
        <v>69.64</v>
      </c>
      <c r="K667" s="15">
        <v>26.66</v>
      </c>
      <c r="L667" s="15">
        <v>44.58</v>
      </c>
      <c r="M667" s="15">
        <v>5.8</v>
      </c>
      <c r="N667" s="15">
        <v>2</v>
      </c>
      <c r="O667" s="15">
        <f>2.05+3.98</f>
        <v>6.0299999999999994</v>
      </c>
      <c r="P667" s="9">
        <v>1.2504500000000001</v>
      </c>
      <c r="Q667" s="9">
        <v>1.4788699999999999</v>
      </c>
      <c r="R667" s="9">
        <v>0.247748</v>
      </c>
      <c r="S667" s="9">
        <v>0.14987</v>
      </c>
      <c r="T667" s="9">
        <v>0.21060300000000001</v>
      </c>
      <c r="U667" s="9">
        <v>0.119299</v>
      </c>
      <c r="V667" s="9">
        <v>6.6250799999999996</v>
      </c>
      <c r="W667" s="9">
        <v>4.4798200000000001</v>
      </c>
      <c r="X667" s="9">
        <v>5.6017700000000001</v>
      </c>
      <c r="Y667" s="9">
        <v>105.223</v>
      </c>
      <c r="Z667" s="9">
        <v>100.67</v>
      </c>
      <c r="AA667" s="9">
        <f t="shared" si="107"/>
        <v>1.1696657963446475</v>
      </c>
      <c r="AB667" s="9">
        <f t="shared" si="108"/>
        <v>2.2793733681462141</v>
      </c>
      <c r="AC667" s="9">
        <f t="shared" si="109"/>
        <v>1.4621409921671018</v>
      </c>
      <c r="AD667" s="9">
        <f t="shared" si="110"/>
        <v>5.9860621231084314</v>
      </c>
      <c r="AE667" s="9">
        <f t="shared" si="111"/>
        <v>5.7270451700989877</v>
      </c>
      <c r="AF667" s="9">
        <f t="shared" si="112"/>
        <v>4.8623248144800364</v>
      </c>
      <c r="AG667" s="9">
        <f t="shared" si="104"/>
        <v>2.3654283289372078</v>
      </c>
      <c r="AH667" s="9">
        <f t="shared" si="103"/>
        <v>0.92664284067364699</v>
      </c>
      <c r="AI667" s="9">
        <f t="shared" si="105"/>
        <v>2.8858282894408793</v>
      </c>
      <c r="AJ667" s="9">
        <f>(4*PI()*(AI667^2))/(Y667+E667)</f>
        <v>0.85221452801187392</v>
      </c>
      <c r="AK667" s="12">
        <f t="shared" si="106"/>
        <v>0.63515754560530691</v>
      </c>
      <c r="AL667" s="12" t="s">
        <v>140</v>
      </c>
      <c r="AM667" s="12" t="s">
        <v>142</v>
      </c>
      <c r="AN667" s="18">
        <v>8.0389999999999997</v>
      </c>
      <c r="AO667" s="18">
        <v>0.76037999999999994</v>
      </c>
      <c r="AP667" s="18">
        <v>14689</v>
      </c>
      <c r="AQ667" s="18">
        <v>13426</v>
      </c>
      <c r="AR667" s="18">
        <v>3.7162999999999999</v>
      </c>
      <c r="AS667" s="18">
        <v>1.1667E-2</v>
      </c>
      <c r="AT667" s="18">
        <v>0.73895</v>
      </c>
      <c r="AU667" s="18">
        <v>0.44127</v>
      </c>
      <c r="AV667" s="18">
        <v>2.5760000000000002E-2</v>
      </c>
      <c r="AW667" s="18">
        <v>1.5663E-2</v>
      </c>
      <c r="AX667" s="18">
        <v>0.25990999999999997</v>
      </c>
      <c r="AY667" s="18">
        <v>-2.8178000000000001</v>
      </c>
      <c r="AZ667" s="18">
        <v>-570.29</v>
      </c>
      <c r="BA667" s="18">
        <v>0.10616</v>
      </c>
      <c r="BB667" s="18">
        <v>27.363</v>
      </c>
      <c r="BC667" s="18" t="s">
        <v>162</v>
      </c>
      <c r="BD667" s="35" t="s">
        <v>165</v>
      </c>
      <c r="BE667" t="s">
        <v>167</v>
      </c>
    </row>
    <row r="668" spans="1:57" x14ac:dyDescent="0.25">
      <c r="A668" s="12" t="s">
        <v>738</v>
      </c>
      <c r="B668" s="18" t="s">
        <v>5</v>
      </c>
      <c r="C668" s="18" t="s">
        <v>6</v>
      </c>
      <c r="D668" s="18">
        <v>58</v>
      </c>
      <c r="E668" s="18">
        <v>10.481999999999999</v>
      </c>
      <c r="F668" s="18">
        <v>12.242000000000001</v>
      </c>
      <c r="G668" s="15">
        <v>11.17</v>
      </c>
      <c r="H668" s="15">
        <v>9.9</v>
      </c>
      <c r="I668" s="15">
        <v>3.32</v>
      </c>
      <c r="J668" s="15">
        <v>34.61</v>
      </c>
      <c r="K668" s="15">
        <v>59.25</v>
      </c>
      <c r="L668" s="15">
        <v>25.12</v>
      </c>
      <c r="M668" s="15">
        <v>6.6</v>
      </c>
      <c r="N668" s="15">
        <v>1</v>
      </c>
      <c r="O668" s="15">
        <v>3.36</v>
      </c>
      <c r="P668" s="9">
        <v>2.8047399999999998</v>
      </c>
      <c r="Q668" s="9">
        <v>1.7366900000000001</v>
      </c>
      <c r="R668" s="9">
        <v>0.22081200000000001</v>
      </c>
      <c r="S668" s="9">
        <v>0.24765100000000001</v>
      </c>
      <c r="T668" s="9">
        <v>0.33069700000000002</v>
      </c>
      <c r="U668" s="9">
        <v>0.21037900000000001</v>
      </c>
      <c r="V668" s="9">
        <v>6.1462700000000003</v>
      </c>
      <c r="W668" s="9">
        <v>3.5390600000000001</v>
      </c>
      <c r="X668" s="9">
        <v>9.9261300000000006</v>
      </c>
      <c r="Y668" s="9">
        <v>171.78899999999999</v>
      </c>
      <c r="Z668" s="9">
        <v>163.952</v>
      </c>
      <c r="AA668" s="9">
        <f t="shared" si="107"/>
        <v>1.0659819277108435</v>
      </c>
      <c r="AB668" s="9">
        <f t="shared" si="108"/>
        <v>3.3644578313253013</v>
      </c>
      <c r="AC668" s="9">
        <f t="shared" si="109"/>
        <v>2.9819277108433737</v>
      </c>
      <c r="AD668" s="9">
        <f t="shared" si="110"/>
        <v>16.388952489982827</v>
      </c>
      <c r="AE668" s="9">
        <f t="shared" si="111"/>
        <v>15.64128983018508</v>
      </c>
      <c r="AF668" s="9">
        <f t="shared" si="112"/>
        <v>5.7347902611666894</v>
      </c>
      <c r="AG668" s="9">
        <f t="shared" si="104"/>
        <v>1.8266155115345137</v>
      </c>
      <c r="AH668" s="9">
        <f t="shared" si="103"/>
        <v>0.93750724913739425</v>
      </c>
      <c r="AI668" s="9">
        <f t="shared" si="105"/>
        <v>3.3952834498849009</v>
      </c>
      <c r="AJ668" s="9">
        <f>(4*PI()*(AI668^2))/(Y668+E668)</f>
        <v>0.79477529841557659</v>
      </c>
      <c r="AK668" s="12">
        <f t="shared" si="106"/>
        <v>0.98809523809523814</v>
      </c>
      <c r="AL668" s="12" t="s">
        <v>140</v>
      </c>
      <c r="AM668" s="12" t="s">
        <v>143</v>
      </c>
      <c r="AN668" s="18">
        <v>1.9830000000000001</v>
      </c>
      <c r="AO668" s="18">
        <v>0.27844000000000002</v>
      </c>
      <c r="AP668" s="18">
        <v>4733.2</v>
      </c>
      <c r="AQ668" s="18">
        <v>4390.3</v>
      </c>
      <c r="AR668" s="18">
        <v>1.1128</v>
      </c>
      <c r="AS668" s="18">
        <v>1.7892999999999999E-2</v>
      </c>
      <c r="AT668" s="18">
        <v>0.68206999999999995</v>
      </c>
      <c r="AU668" s="18">
        <v>6.2442000000000002</v>
      </c>
      <c r="AV668" s="18">
        <v>0.48857</v>
      </c>
      <c r="AW668" s="18">
        <v>1.4682000000000001E-2</v>
      </c>
      <c r="AX668" s="18">
        <v>7.7788999999999997E-2</v>
      </c>
      <c r="AY668" s="18">
        <v>2.9578000000000002</v>
      </c>
      <c r="AZ668" s="18">
        <v>406.66</v>
      </c>
      <c r="BA668" s="18">
        <v>0.14213000000000001</v>
      </c>
      <c r="BB668" s="18">
        <v>11.215999999999999</v>
      </c>
      <c r="BC668" s="18" t="s">
        <v>162</v>
      </c>
      <c r="BD668" s="35" t="s">
        <v>165</v>
      </c>
      <c r="BE668" t="s">
        <v>168</v>
      </c>
    </row>
    <row r="669" spans="1:57" x14ac:dyDescent="0.25">
      <c r="A669" s="18" t="s">
        <v>739</v>
      </c>
      <c r="B669" s="18" t="s">
        <v>5</v>
      </c>
      <c r="C669" s="18" t="s">
        <v>6</v>
      </c>
      <c r="D669" s="18">
        <v>57</v>
      </c>
      <c r="E669" s="18">
        <v>6.4241999999999999</v>
      </c>
      <c r="F669" s="18">
        <v>9.1918000000000006</v>
      </c>
      <c r="G669" s="15">
        <v>4.91</v>
      </c>
      <c r="H669" s="15">
        <v>2.4</v>
      </c>
      <c r="I669" s="15">
        <v>3.48</v>
      </c>
      <c r="J669" s="15">
        <v>45.93</v>
      </c>
      <c r="K669" s="15">
        <v>21.28</v>
      </c>
      <c r="L669" s="15">
        <v>63.54</v>
      </c>
      <c r="M669" s="15">
        <v>4.5999999999999996</v>
      </c>
      <c r="N669" s="15">
        <v>2</v>
      </c>
      <c r="O669" s="15">
        <f>2.95+2.81</f>
        <v>5.76</v>
      </c>
      <c r="P669" s="9">
        <v>0.85501700000000003</v>
      </c>
      <c r="Q669" s="9">
        <v>1.7872300000000001</v>
      </c>
      <c r="R669" s="9">
        <v>-4.3478299999999998E-2</v>
      </c>
      <c r="S669" s="9">
        <v>0.16928699999999999</v>
      </c>
      <c r="T669" s="9">
        <v>0.22469900000000001</v>
      </c>
      <c r="U669" s="9">
        <v>0.15893499999999999</v>
      </c>
      <c r="V669" s="9">
        <v>4.9896500000000001</v>
      </c>
      <c r="W669" s="9">
        <v>2.79183</v>
      </c>
      <c r="X669" s="9">
        <v>2.38706</v>
      </c>
      <c r="Y669" s="9">
        <v>31.736999999999998</v>
      </c>
      <c r="Z669" s="9">
        <v>16.230899999999998</v>
      </c>
      <c r="AA669" s="9">
        <f t="shared" si="107"/>
        <v>0.80225000000000002</v>
      </c>
      <c r="AB669" s="9">
        <f t="shared" si="108"/>
        <v>1.4109195402298851</v>
      </c>
      <c r="AC669" s="9">
        <f t="shared" si="109"/>
        <v>0.68965517241379304</v>
      </c>
      <c r="AD669" s="9">
        <f t="shared" si="110"/>
        <v>4.9402260203605115</v>
      </c>
      <c r="AE669" s="9">
        <f t="shared" si="111"/>
        <v>2.5265247034650224</v>
      </c>
      <c r="AF669" s="9">
        <f t="shared" si="112"/>
        <v>4.9507478077183817</v>
      </c>
      <c r="AG669" s="9">
        <f t="shared" si="104"/>
        <v>1.4299952345451743</v>
      </c>
      <c r="AH669" s="9">
        <f t="shared" si="103"/>
        <v>0.97749353195577204</v>
      </c>
      <c r="AI669" s="9">
        <f t="shared" si="105"/>
        <v>1.5706689711030575</v>
      </c>
      <c r="AJ669" s="9">
        <f>(4*PI()*(AI669^2))/(Y669+E669)</f>
        <v>0.81237615910749661</v>
      </c>
      <c r="AK669" s="12">
        <f t="shared" si="106"/>
        <v>0.60416666666666674</v>
      </c>
      <c r="AL669" s="12" t="s">
        <v>140</v>
      </c>
      <c r="AM669" s="12" t="s">
        <v>142</v>
      </c>
      <c r="AN669" s="18">
        <v>7.0643000000000002</v>
      </c>
      <c r="AO669" s="18">
        <v>0.81672999999999996</v>
      </c>
      <c r="AP669" s="18">
        <v>18655</v>
      </c>
      <c r="AQ669" s="18">
        <v>16790</v>
      </c>
      <c r="AR669" s="18">
        <v>3.3841000000000001</v>
      </c>
      <c r="AS669" s="18">
        <v>2.0205999999999998E-2</v>
      </c>
      <c r="AT669" s="18">
        <v>0.72221000000000002</v>
      </c>
      <c r="AU669" s="18">
        <v>19.106000000000002</v>
      </c>
      <c r="AV669" s="18">
        <v>0.20782999999999999</v>
      </c>
      <c r="AW669" s="18">
        <v>1.004E-2</v>
      </c>
      <c r="AX669" s="18">
        <v>0.26162000000000002</v>
      </c>
      <c r="AY669" s="18">
        <v>1.6655</v>
      </c>
      <c r="AZ669" s="18">
        <v>-384.45</v>
      </c>
      <c r="BA669" s="18">
        <v>2.5815999999999999E-2</v>
      </c>
      <c r="BB669" s="18">
        <v>3.8969</v>
      </c>
      <c r="BC669" s="18" t="s">
        <v>162</v>
      </c>
      <c r="BD669" s="35" t="s">
        <v>165</v>
      </c>
      <c r="BE669" t="s">
        <v>168</v>
      </c>
    </row>
    <row r="670" spans="1:57" x14ac:dyDescent="0.25">
      <c r="A670" s="12" t="s">
        <v>740</v>
      </c>
      <c r="B670" s="18" t="s">
        <v>5</v>
      </c>
      <c r="C670" s="18" t="s">
        <v>6</v>
      </c>
      <c r="D670" s="18">
        <v>28</v>
      </c>
      <c r="E670" s="18">
        <v>6.6078000000000001</v>
      </c>
      <c r="F670" s="18">
        <v>9.7478999999999996</v>
      </c>
      <c r="G670" s="15">
        <v>3.39</v>
      </c>
      <c r="H670" s="15">
        <v>1.7</v>
      </c>
      <c r="I670" s="15">
        <v>3.96</v>
      </c>
      <c r="J670" s="15">
        <v>46.15</v>
      </c>
      <c r="K670" s="15">
        <v>0</v>
      </c>
      <c r="L670" s="15">
        <v>24.89</v>
      </c>
      <c r="M670" s="15">
        <v>3.39</v>
      </c>
      <c r="N670" s="15">
        <v>1</v>
      </c>
      <c r="O670" s="15">
        <v>4.0999999999999996</v>
      </c>
      <c r="P670" s="9">
        <v>0.59516599999999997</v>
      </c>
      <c r="Q670" s="9">
        <v>1.1143000000000001</v>
      </c>
      <c r="R670" s="9">
        <v>0.46969699999999998</v>
      </c>
      <c r="S670" s="9">
        <v>3.3721599999999997E-2</v>
      </c>
      <c r="T670" s="9">
        <v>8.3580299999999996E-2</v>
      </c>
      <c r="U670" s="9">
        <v>8.8171100000000002E-2</v>
      </c>
      <c r="V670" s="9">
        <v>3.1980499999999998</v>
      </c>
      <c r="W670" s="9">
        <v>2.8700100000000002</v>
      </c>
      <c r="X670" s="9">
        <v>1.7081299999999999</v>
      </c>
      <c r="Y670" s="9">
        <v>13.085100000000001</v>
      </c>
      <c r="Z670" s="9">
        <v>5.5219800000000001</v>
      </c>
      <c r="AA670" s="9">
        <f t="shared" si="107"/>
        <v>0.72475000000000001</v>
      </c>
      <c r="AB670" s="9">
        <f t="shared" si="108"/>
        <v>0.85606060606060608</v>
      </c>
      <c r="AC670" s="9">
        <f t="shared" si="109"/>
        <v>0.42929292929292928</v>
      </c>
      <c r="AD670" s="9">
        <f t="shared" si="110"/>
        <v>1.9802506129120132</v>
      </c>
      <c r="AE670" s="9">
        <f t="shared" si="111"/>
        <v>0.83567601924997725</v>
      </c>
      <c r="AF670" s="9">
        <f t="shared" si="112"/>
        <v>4.1883904411471633</v>
      </c>
      <c r="AG670" s="9">
        <f t="shared" si="104"/>
        <v>1.4502855118649058</v>
      </c>
      <c r="AH670" s="9">
        <f t="shared" si="103"/>
        <v>0.93480776571005053</v>
      </c>
      <c r="AI670" s="9">
        <f t="shared" si="105"/>
        <v>1.0964834308028237</v>
      </c>
      <c r="AJ670" s="9">
        <f>(4*PI()*(AI670^2))/(Y670+E670)</f>
        <v>0.76719247629131382</v>
      </c>
      <c r="AK670" s="12">
        <f t="shared" si="106"/>
        <v>0.96585365853658545</v>
      </c>
      <c r="AL670" s="12" t="s">
        <v>144</v>
      </c>
      <c r="AM670" s="12" t="s">
        <v>143</v>
      </c>
      <c r="AN670" s="18">
        <v>29.837</v>
      </c>
      <c r="AO670" s="18">
        <v>2.7643</v>
      </c>
      <c r="AP670" s="18">
        <v>68459</v>
      </c>
      <c r="AQ670" s="18">
        <v>66404</v>
      </c>
      <c r="AR670" s="18">
        <v>14.763</v>
      </c>
      <c r="AS670" s="18">
        <v>3.0737E-3</v>
      </c>
      <c r="AT670" s="18">
        <v>0.73870999999999998</v>
      </c>
      <c r="AU670" s="18">
        <v>8.8145000000000001E-2</v>
      </c>
      <c r="AV670" s="18">
        <v>0</v>
      </c>
      <c r="AW670" s="18">
        <v>2.8013000000000001E-3</v>
      </c>
      <c r="AX670" s="18">
        <v>0.63763999999999998</v>
      </c>
      <c r="AY670" s="18">
        <v>2.0817000000000001</v>
      </c>
      <c r="AZ670" s="18">
        <v>24719</v>
      </c>
      <c r="BA670" s="18">
        <v>3.8384000000000001E-3</v>
      </c>
      <c r="BB670" s="18">
        <v>5.3699000000000003</v>
      </c>
      <c r="BC670" s="18" t="s">
        <v>162</v>
      </c>
      <c r="BD670" s="35" t="s">
        <v>165</v>
      </c>
      <c r="BE670" t="s">
        <v>167</v>
      </c>
    </row>
    <row r="671" spans="1:57" x14ac:dyDescent="0.25">
      <c r="A671" s="18" t="s">
        <v>741</v>
      </c>
      <c r="B671" s="18" t="s">
        <v>13</v>
      </c>
      <c r="C671" s="18" t="s">
        <v>6</v>
      </c>
      <c r="D671" s="18">
        <v>50</v>
      </c>
      <c r="E671" s="18">
        <v>5.1604000000000001</v>
      </c>
      <c r="F671" s="18">
        <v>8.3518000000000008</v>
      </c>
      <c r="G671" s="15">
        <v>6.73</v>
      </c>
      <c r="H671" s="15">
        <v>6.25</v>
      </c>
      <c r="I671" s="15">
        <v>1.08</v>
      </c>
      <c r="J671" s="15">
        <v>19.2</v>
      </c>
      <c r="K671" s="15">
        <v>65.400000000000006</v>
      </c>
      <c r="L671" s="15">
        <v>82.89</v>
      </c>
      <c r="M671" s="15">
        <v>4.42</v>
      </c>
      <c r="N671" s="15">
        <v>2</v>
      </c>
      <c r="O671" s="15">
        <f>1.24+1.14</f>
        <v>2.38</v>
      </c>
      <c r="P671" s="9">
        <v>2.49065</v>
      </c>
      <c r="Q671" s="9">
        <v>1.7815000000000001</v>
      </c>
      <c r="R671" s="9">
        <v>-0.10975600000000001</v>
      </c>
      <c r="S671" s="9">
        <v>0.206286</v>
      </c>
      <c r="T671" s="9">
        <v>0.221779</v>
      </c>
      <c r="U671" s="9">
        <v>5.4612300000000003E-2</v>
      </c>
      <c r="V671" s="9">
        <v>4.4641900000000003</v>
      </c>
      <c r="W671" s="9">
        <v>2.5058600000000002</v>
      </c>
      <c r="X671" s="9">
        <v>6.2412299999999998</v>
      </c>
      <c r="Y671" s="9">
        <v>74.136700000000005</v>
      </c>
      <c r="Z671" s="9">
        <v>58.276499999999999</v>
      </c>
      <c r="AA671" s="9">
        <f t="shared" si="107"/>
        <v>2.3202407407407408</v>
      </c>
      <c r="AB671" s="9">
        <f t="shared" si="108"/>
        <v>6.2314814814814818</v>
      </c>
      <c r="AC671" s="9">
        <f t="shared" si="109"/>
        <v>5.7870370370370363</v>
      </c>
      <c r="AD671" s="9">
        <f t="shared" si="110"/>
        <v>14.366463840012402</v>
      </c>
      <c r="AE671" s="9">
        <f t="shared" si="111"/>
        <v>11.293019920936361</v>
      </c>
      <c r="AF671" s="9">
        <f t="shared" si="112"/>
        <v>4.9321651489761713</v>
      </c>
      <c r="AG671" s="9">
        <f t="shared" si="104"/>
        <v>1.2816420470095515</v>
      </c>
      <c r="AH671" s="9">
        <f t="shared" si="103"/>
        <v>0.96419867320026609</v>
      </c>
      <c r="AI671" s="9">
        <f t="shared" si="105"/>
        <v>2.4051100357901061</v>
      </c>
      <c r="AJ671" s="9">
        <f>(4*PI()*(AI671^2))/(Y671+E671)</f>
        <v>0.91668992907519664</v>
      </c>
      <c r="AK671" s="12">
        <f t="shared" si="106"/>
        <v>0.45378151260504207</v>
      </c>
      <c r="AL671" s="12" t="s">
        <v>144</v>
      </c>
      <c r="AM671" s="12" t="s">
        <v>142</v>
      </c>
      <c r="AN671" s="18">
        <v>2.4598</v>
      </c>
      <c r="AO671" s="18">
        <v>0.32579999999999998</v>
      </c>
      <c r="AP671" s="18">
        <v>5456.2</v>
      </c>
      <c r="AQ671" s="18">
        <v>4870.5</v>
      </c>
      <c r="AR671" s="18">
        <v>1.2365999999999999</v>
      </c>
      <c r="AS671" s="18">
        <v>3.1933000000000003E-2</v>
      </c>
      <c r="AT671" s="18">
        <v>0.67984</v>
      </c>
      <c r="AU671" s="18">
        <v>1.7015</v>
      </c>
      <c r="AV671" s="18">
        <v>0.10983</v>
      </c>
      <c r="AW671" s="18">
        <v>3.4505000000000001E-2</v>
      </c>
      <c r="AX671" s="18">
        <v>9.3184000000000003E-2</v>
      </c>
      <c r="AY671" s="18">
        <v>-5.9401000000000002</v>
      </c>
      <c r="AZ671" s="18">
        <v>-78.941999999999993</v>
      </c>
      <c r="BA671" s="18">
        <v>0.41393000000000002</v>
      </c>
      <c r="BB671" s="18">
        <v>95.186000000000007</v>
      </c>
      <c r="BC671" s="18" t="s">
        <v>162</v>
      </c>
      <c r="BD671" s="35" t="s">
        <v>165</v>
      </c>
      <c r="BE671" t="s">
        <v>168</v>
      </c>
    </row>
    <row r="672" spans="1:57" x14ac:dyDescent="0.25">
      <c r="A672" s="12" t="s">
        <v>742</v>
      </c>
      <c r="B672" s="18" t="s">
        <v>5</v>
      </c>
      <c r="C672" s="18" t="s">
        <v>6</v>
      </c>
      <c r="D672" s="18">
        <v>63</v>
      </c>
      <c r="E672" s="18">
        <v>14.494999999999999</v>
      </c>
      <c r="F672" s="18">
        <v>14.358000000000001</v>
      </c>
      <c r="G672" s="15">
        <v>11.01</v>
      </c>
      <c r="H672" s="15">
        <v>9.9</v>
      </c>
      <c r="I672" s="15">
        <v>3.96</v>
      </c>
      <c r="J672" s="15">
        <v>111.46</v>
      </c>
      <c r="K672" s="15">
        <v>26.59</v>
      </c>
      <c r="L672" s="15">
        <v>30.75</v>
      </c>
      <c r="M672" s="15">
        <v>7.6</v>
      </c>
      <c r="N672" s="15">
        <v>1</v>
      </c>
      <c r="O672" s="15">
        <v>3.84</v>
      </c>
      <c r="P672" s="9">
        <v>2.3998699999999999</v>
      </c>
      <c r="Q672" s="9">
        <v>2.5805099999999999</v>
      </c>
      <c r="R672" s="9">
        <v>5.83756E-2</v>
      </c>
      <c r="S672" s="9">
        <v>0.18881899999999999</v>
      </c>
      <c r="T672" s="9">
        <v>0.20741899999999999</v>
      </c>
      <c r="U672" s="9">
        <v>3.2636999999999999E-2</v>
      </c>
      <c r="V672" s="9">
        <v>10.6671</v>
      </c>
      <c r="W672" s="9">
        <v>4.1337299999999999</v>
      </c>
      <c r="X672" s="9">
        <v>9.9204100000000004</v>
      </c>
      <c r="Y672" s="9">
        <v>287.52600000000001</v>
      </c>
      <c r="Z672" s="9">
        <v>457.47800000000001</v>
      </c>
      <c r="AA672" s="9">
        <f t="shared" si="107"/>
        <v>1.0438712121212121</v>
      </c>
      <c r="AB672" s="9">
        <f t="shared" si="108"/>
        <v>2.7803030303030303</v>
      </c>
      <c r="AC672" s="9">
        <f t="shared" si="109"/>
        <v>2.5</v>
      </c>
      <c r="AD672" s="9">
        <f t="shared" si="110"/>
        <v>19.836219385995172</v>
      </c>
      <c r="AE672" s="9">
        <f t="shared" si="111"/>
        <v>31.56109003104519</v>
      </c>
      <c r="AF672" s="9">
        <f t="shared" si="112"/>
        <v>4.8428049767600125</v>
      </c>
      <c r="AG672" s="9">
        <f t="shared" si="104"/>
        <v>2.1479994879501358</v>
      </c>
      <c r="AH672" s="9">
        <f t="shared" si="103"/>
        <v>0.93998320257121937</v>
      </c>
      <c r="AI672" s="9">
        <f t="shared" si="105"/>
        <v>4.7799923493235381</v>
      </c>
      <c r="AJ672" s="9">
        <f>(4*PI()*(AI672^2))/(Y672+E672)</f>
        <v>0.95066416982807411</v>
      </c>
      <c r="AK672" s="12">
        <f t="shared" si="106"/>
        <v>1.03125</v>
      </c>
      <c r="AL672" s="12" t="s">
        <v>144</v>
      </c>
      <c r="AM672" s="12" t="s">
        <v>143</v>
      </c>
      <c r="AN672" s="18">
        <v>3.6267</v>
      </c>
      <c r="AO672" s="18">
        <v>0.32414999999999999</v>
      </c>
      <c r="AP672" s="18">
        <v>8157.6</v>
      </c>
      <c r="AQ672" s="18">
        <v>7112</v>
      </c>
      <c r="AR672" s="18">
        <v>2.3109000000000002</v>
      </c>
      <c r="AS672" s="18">
        <v>1.2083E-2</v>
      </c>
      <c r="AT672" s="18">
        <v>0.70799000000000001</v>
      </c>
      <c r="AU672" s="18">
        <v>0.77963000000000005</v>
      </c>
      <c r="AV672" s="18">
        <v>0.37629000000000001</v>
      </c>
      <c r="AW672" s="18">
        <v>8.9987000000000001E-3</v>
      </c>
      <c r="AX672" s="18">
        <v>0.15110000000000001</v>
      </c>
      <c r="AY672" s="18">
        <v>1.3428</v>
      </c>
      <c r="AZ672" s="18">
        <v>455.41</v>
      </c>
      <c r="BA672" s="18">
        <v>0.15379000000000001</v>
      </c>
      <c r="BB672" s="18">
        <v>4.3555999999999999</v>
      </c>
      <c r="BC672" s="18" t="s">
        <v>162</v>
      </c>
      <c r="BD672" s="35" t="s">
        <v>163</v>
      </c>
      <c r="BE672" t="s">
        <v>167</v>
      </c>
    </row>
    <row r="673" spans="1:57" x14ac:dyDescent="0.25">
      <c r="A673" s="18" t="s">
        <v>743</v>
      </c>
      <c r="B673" s="18" t="s">
        <v>5</v>
      </c>
      <c r="C673" s="18" t="s">
        <v>6</v>
      </c>
      <c r="D673" s="18">
        <v>44</v>
      </c>
      <c r="E673" s="18">
        <v>4.9617000000000004</v>
      </c>
      <c r="F673" s="18">
        <v>8.0924999999999994</v>
      </c>
      <c r="G673" s="15">
        <v>6.33</v>
      </c>
      <c r="H673" s="15">
        <v>4.75</v>
      </c>
      <c r="I673" s="15">
        <v>2.59</v>
      </c>
      <c r="J673" s="15">
        <v>42.85</v>
      </c>
      <c r="K673" s="15">
        <v>44.15</v>
      </c>
      <c r="L673" s="15">
        <v>44.27</v>
      </c>
      <c r="M673" s="15">
        <v>4.6100000000000003</v>
      </c>
      <c r="N673" s="15">
        <v>2</v>
      </c>
      <c r="O673" s="15">
        <f>0.66+2.91</f>
        <v>3.5700000000000003</v>
      </c>
      <c r="P673" s="9">
        <v>1.94452</v>
      </c>
      <c r="Q673" s="9">
        <v>1.9564900000000001</v>
      </c>
      <c r="R673" s="9">
        <v>1.5789500000000001E-2</v>
      </c>
      <c r="S673" s="9">
        <v>0.20158799999999999</v>
      </c>
      <c r="T673" s="9">
        <v>0.22300700000000001</v>
      </c>
      <c r="U673" s="9">
        <v>5.7758200000000003E-2</v>
      </c>
      <c r="V673" s="9">
        <v>4.8478300000000001</v>
      </c>
      <c r="W673" s="9">
        <v>2.4778199999999999</v>
      </c>
      <c r="X673" s="9">
        <v>4.8181799999999999</v>
      </c>
      <c r="Y673" s="9">
        <v>61.3598</v>
      </c>
      <c r="Z673" s="9">
        <v>43.776400000000002</v>
      </c>
      <c r="AA673" s="9">
        <f t="shared" si="107"/>
        <v>0.95668725868725868</v>
      </c>
      <c r="AB673" s="9">
        <f t="shared" si="108"/>
        <v>2.4440154440154442</v>
      </c>
      <c r="AC673" s="9">
        <f t="shared" si="109"/>
        <v>1.8339768339768341</v>
      </c>
      <c r="AD673" s="9">
        <f t="shared" si="110"/>
        <v>12.366688836487493</v>
      </c>
      <c r="AE673" s="9">
        <f t="shared" si="111"/>
        <v>8.8228631315879635</v>
      </c>
      <c r="AF673" s="9">
        <f t="shared" si="112"/>
        <v>4.9399653879023404</v>
      </c>
      <c r="AG673" s="9">
        <f t="shared" si="104"/>
        <v>1.2567251737265845</v>
      </c>
      <c r="AH673" s="9">
        <f t="shared" si="103"/>
        <v>0.97574756215280689</v>
      </c>
      <c r="AI673" s="9">
        <f t="shared" si="105"/>
        <v>2.1863372032586934</v>
      </c>
      <c r="AJ673" s="9">
        <f>(4*PI()*(AI673^2))/(Y673+E673)</f>
        <v>0.90571135734728547</v>
      </c>
      <c r="AK673" s="12">
        <f t="shared" si="106"/>
        <v>0.72549019607843124</v>
      </c>
      <c r="AL673" s="12" t="s">
        <v>144</v>
      </c>
      <c r="AM673" s="12" t="s">
        <v>142</v>
      </c>
      <c r="AN673" s="18">
        <v>4.2080000000000002</v>
      </c>
      <c r="AO673" s="18">
        <v>0.38602999999999998</v>
      </c>
      <c r="AP673" s="18">
        <v>9212.4</v>
      </c>
      <c r="AQ673" s="18">
        <v>8604</v>
      </c>
      <c r="AR673" s="18">
        <v>2.0213000000000001</v>
      </c>
      <c r="AS673" s="18">
        <v>1.0647999999999999E-2</v>
      </c>
      <c r="AT673" s="18">
        <v>0.74626000000000003</v>
      </c>
      <c r="AU673" s="18">
        <v>0.93174000000000001</v>
      </c>
      <c r="AV673" s="18">
        <v>5.4897000000000001E-2</v>
      </c>
      <c r="AW673" s="18">
        <v>1.4156999999999999E-2</v>
      </c>
      <c r="AX673" s="18">
        <v>0.14851</v>
      </c>
      <c r="AY673" s="18">
        <v>-8.2494999999999994</v>
      </c>
      <c r="AZ673" s="18">
        <v>-876.6</v>
      </c>
      <c r="BA673" s="18">
        <v>0.15537999999999999</v>
      </c>
      <c r="BB673" s="18">
        <v>12.452999999999999</v>
      </c>
      <c r="BC673" s="18" t="s">
        <v>164</v>
      </c>
      <c r="BD673" s="35" t="s">
        <v>165</v>
      </c>
      <c r="BE673" t="s">
        <v>168</v>
      </c>
    </row>
    <row r="674" spans="1:57" x14ac:dyDescent="0.25">
      <c r="A674" s="18" t="s">
        <v>744</v>
      </c>
      <c r="B674" s="18" t="s">
        <v>26</v>
      </c>
      <c r="C674" s="18" t="s">
        <v>14</v>
      </c>
      <c r="D674" s="18">
        <v>41</v>
      </c>
      <c r="E674" s="18">
        <v>9.8526000000000007</v>
      </c>
      <c r="F674" s="18">
        <v>12.329000000000001</v>
      </c>
      <c r="G674" s="15">
        <v>5.73</v>
      </c>
      <c r="H674" s="15">
        <v>3.4</v>
      </c>
      <c r="I674" s="15">
        <v>1.25</v>
      </c>
      <c r="J674" s="15">
        <v>64.61</v>
      </c>
      <c r="K674" s="15">
        <v>34.22</v>
      </c>
      <c r="L674" s="15">
        <v>76.88</v>
      </c>
      <c r="M674" s="15">
        <v>5.2</v>
      </c>
      <c r="N674" s="15">
        <v>2</v>
      </c>
      <c r="O674" s="15">
        <f>1.76</f>
        <v>1.76</v>
      </c>
      <c r="P674" s="9">
        <v>1.18943</v>
      </c>
      <c r="Q674" s="9">
        <v>1.56799</v>
      </c>
      <c r="R674" s="9">
        <v>0.25</v>
      </c>
      <c r="S674" s="9">
        <v>0.152199</v>
      </c>
      <c r="T674" s="9">
        <v>0.22869100000000001</v>
      </c>
      <c r="U674" s="9">
        <v>0.18292700000000001</v>
      </c>
      <c r="V674" s="9">
        <v>5.1367599999999998</v>
      </c>
      <c r="W674" s="9">
        <v>3.2760199999999999</v>
      </c>
      <c r="X674" s="9">
        <v>3.8965900000000002</v>
      </c>
      <c r="Y674" s="9">
        <v>53.220300000000002</v>
      </c>
      <c r="Z674" s="9">
        <v>34.9741</v>
      </c>
      <c r="AA674" s="9">
        <f t="shared" si="107"/>
        <v>2.620816</v>
      </c>
      <c r="AB674" s="9">
        <f t="shared" si="108"/>
        <v>4.5840000000000005</v>
      </c>
      <c r="AC674" s="9">
        <f t="shared" si="109"/>
        <v>2.7199999999999998</v>
      </c>
      <c r="AD674" s="9">
        <f t="shared" si="110"/>
        <v>5.4016503258023265</v>
      </c>
      <c r="AE674" s="9">
        <f t="shared" si="111"/>
        <v>3.5497330653837564</v>
      </c>
      <c r="AF674" s="9">
        <f t="shared" si="112"/>
        <v>4.9763733236705399</v>
      </c>
      <c r="AG674" s="9">
        <f t="shared" si="104"/>
        <v>1.7709263069406407</v>
      </c>
      <c r="AH674" s="9">
        <f t="shared" ref="AH674:AH709" si="113">(2*PI()*AG674)/F674</f>
        <v>0.90251100266584794</v>
      </c>
      <c r="AI674" s="9">
        <f t="shared" si="105"/>
        <v>2.0287069299006708</v>
      </c>
      <c r="AJ674" s="9">
        <f>(4*PI()*(AI674^2))/(Y674+E674)</f>
        <v>0.81998458817947051</v>
      </c>
      <c r="AK674" s="12">
        <f t="shared" si="106"/>
        <v>0.71022727272727271</v>
      </c>
      <c r="AL674" s="12" t="s">
        <v>140</v>
      </c>
      <c r="AM674" s="12" t="s">
        <v>142</v>
      </c>
      <c r="AN674" s="18">
        <v>16.09</v>
      </c>
      <c r="AO674" s="18">
        <v>0.60362000000000005</v>
      </c>
      <c r="AP674" s="18">
        <v>51585</v>
      </c>
      <c r="AQ674" s="18">
        <v>48300</v>
      </c>
      <c r="AR674" s="18">
        <v>7.6238999999999999</v>
      </c>
      <c r="AS674" s="18">
        <v>1.21E-2</v>
      </c>
      <c r="AT674" s="18">
        <v>0.73119000000000001</v>
      </c>
      <c r="AU674" s="18">
        <v>0.88322000000000001</v>
      </c>
      <c r="AV674" s="18">
        <v>0.24995999999999999</v>
      </c>
      <c r="AW674" s="18">
        <v>9.6834E-3</v>
      </c>
      <c r="AX674" s="18">
        <v>0.32457999999999998</v>
      </c>
      <c r="AY674" s="18">
        <v>-56.063000000000002</v>
      </c>
      <c r="AZ674" s="18">
        <v>-8641.4</v>
      </c>
      <c r="BA674" s="18">
        <v>6.2427999999999997E-2</v>
      </c>
      <c r="BB674" s="18">
        <v>281.89</v>
      </c>
      <c r="BC674" s="18" t="s">
        <v>162</v>
      </c>
      <c r="BD674" s="35" t="s">
        <v>165</v>
      </c>
      <c r="BE674" t="s">
        <v>168</v>
      </c>
    </row>
    <row r="675" spans="1:57" x14ac:dyDescent="0.25">
      <c r="A675" s="18" t="s">
        <v>745</v>
      </c>
      <c r="B675" s="18" t="s">
        <v>40</v>
      </c>
      <c r="C675" s="18" t="s">
        <v>6</v>
      </c>
      <c r="D675" s="18">
        <v>54</v>
      </c>
      <c r="E675" s="18">
        <v>55.814</v>
      </c>
      <c r="F675" s="18">
        <v>29.027000000000001</v>
      </c>
      <c r="G675" s="15">
        <v>20.010000000000002</v>
      </c>
      <c r="H675" s="15">
        <v>13.9</v>
      </c>
      <c r="I675" s="15">
        <v>2.77</v>
      </c>
      <c r="J675" s="15">
        <v>56.17</v>
      </c>
      <c r="K675" s="15">
        <v>1.1499999999999999</v>
      </c>
      <c r="L675" s="15">
        <v>52.56</v>
      </c>
      <c r="M675" s="15">
        <v>8.1</v>
      </c>
      <c r="N675" s="15">
        <v>4</v>
      </c>
      <c r="O675" s="15">
        <f>1.51+1.18+1.28+0.72</f>
        <v>4.6899999999999995</v>
      </c>
      <c r="P675" s="9">
        <v>1.70346</v>
      </c>
      <c r="Q675" s="9">
        <v>2.4538899999999999</v>
      </c>
      <c r="R675" s="9">
        <v>3.6231800000000002E-3</v>
      </c>
      <c r="S675" s="9">
        <v>0.17881</v>
      </c>
      <c r="T675" s="9">
        <v>0.199743</v>
      </c>
      <c r="U675" s="9">
        <v>3.9337900000000002E-2</v>
      </c>
      <c r="V675" s="9">
        <v>19.956099999999999</v>
      </c>
      <c r="W675" s="9">
        <v>8.1324100000000001</v>
      </c>
      <c r="X675" s="9">
        <v>13.853199999999999</v>
      </c>
      <c r="Y675" s="9">
        <v>792.46299999999997</v>
      </c>
      <c r="Z675" s="9">
        <v>2123.7399999999998</v>
      </c>
      <c r="AA675" s="9">
        <f t="shared" si="107"/>
        <v>2.9358880866425991</v>
      </c>
      <c r="AB675" s="9">
        <f t="shared" si="108"/>
        <v>7.2238267148014446</v>
      </c>
      <c r="AC675" s="9">
        <f t="shared" si="109"/>
        <v>5.0180505415162457</v>
      </c>
      <c r="AD675" s="9">
        <f t="shared" si="110"/>
        <v>14.198283584763679</v>
      </c>
      <c r="AE675" s="9">
        <f t="shared" si="111"/>
        <v>38.050309958075033</v>
      </c>
      <c r="AF675" s="9">
        <f t="shared" si="112"/>
        <v>4.7963562133492488</v>
      </c>
      <c r="AG675" s="9">
        <f t="shared" si="104"/>
        <v>4.214990864457727</v>
      </c>
      <c r="AH675" s="9">
        <f t="shared" si="113"/>
        <v>0.91237705134726188</v>
      </c>
      <c r="AI675" s="9">
        <f t="shared" si="105"/>
        <v>7.9739023434033811</v>
      </c>
      <c r="AJ675" s="9">
        <f>(4*PI()*(AI675^2))/(Y675+E675)</f>
        <v>0.94191995411857521</v>
      </c>
      <c r="AK675" s="12">
        <f t="shared" si="106"/>
        <v>0.59061833688699372</v>
      </c>
      <c r="AL675" s="12" t="s">
        <v>144</v>
      </c>
      <c r="AM675" s="12" t="s">
        <v>142</v>
      </c>
      <c r="AN675" s="18">
        <v>0.69038999999999995</v>
      </c>
      <c r="AO675" s="18">
        <v>8.6261000000000004E-2</v>
      </c>
      <c r="AP675" s="18">
        <v>1312.5</v>
      </c>
      <c r="AQ675" s="18">
        <v>1188.5999999999999</v>
      </c>
      <c r="AR675" s="18">
        <v>0.57969000000000004</v>
      </c>
      <c r="AS675" s="18">
        <v>8.4878999999999996E-2</v>
      </c>
      <c r="AT675" s="18">
        <v>0.61397000000000002</v>
      </c>
      <c r="AU675" s="18">
        <v>6.5926</v>
      </c>
      <c r="AV675" s="18">
        <v>0.79812000000000005</v>
      </c>
      <c r="AW675" s="18">
        <v>6.3477000000000006E-2</v>
      </c>
      <c r="AX675" s="18">
        <v>5.5087999999999998E-2</v>
      </c>
      <c r="AY675" s="18">
        <v>-87.132999999999996</v>
      </c>
      <c r="AZ675" s="18">
        <v>-282.07</v>
      </c>
      <c r="BA675" s="18">
        <v>1.4208000000000001</v>
      </c>
      <c r="BB675" s="18">
        <v>15.781000000000001</v>
      </c>
      <c r="BC675" s="18" t="s">
        <v>162</v>
      </c>
      <c r="BD675" s="35" t="s">
        <v>165</v>
      </c>
      <c r="BE675" t="s">
        <v>168</v>
      </c>
    </row>
    <row r="676" spans="1:57" x14ac:dyDescent="0.25">
      <c r="A676" s="18" t="s">
        <v>746</v>
      </c>
      <c r="B676" s="18" t="s">
        <v>13</v>
      </c>
      <c r="C676" s="18" t="s">
        <v>14</v>
      </c>
      <c r="D676" s="18">
        <v>49</v>
      </c>
      <c r="E676" s="18">
        <v>12.776999999999999</v>
      </c>
      <c r="F676" s="18">
        <v>13.202999999999999</v>
      </c>
      <c r="G676" s="15">
        <v>10.75</v>
      </c>
      <c r="H676" s="15">
        <v>9.2200000000000006</v>
      </c>
      <c r="I676" s="15">
        <v>2.2000000000000002</v>
      </c>
      <c r="J676" s="15">
        <v>46.59</v>
      </c>
      <c r="K676" s="15">
        <v>57.12</v>
      </c>
      <c r="L676" s="15">
        <v>67.88</v>
      </c>
      <c r="M676" s="15">
        <v>6.3</v>
      </c>
      <c r="N676" s="15">
        <v>2</v>
      </c>
      <c r="O676" s="15">
        <f>1.03+2.33</f>
        <v>3.3600000000000003</v>
      </c>
      <c r="P676" s="9">
        <v>2.3648600000000002</v>
      </c>
      <c r="Q676" s="9">
        <v>2.0216799999999999</v>
      </c>
      <c r="R676" s="9">
        <v>-0.22677600000000001</v>
      </c>
      <c r="S676" s="9">
        <v>0.22672400000000001</v>
      </c>
      <c r="T676" s="9">
        <v>0.27471899999999999</v>
      </c>
      <c r="U676" s="9">
        <v>0.169684</v>
      </c>
      <c r="V676" s="9">
        <v>7.8990400000000003</v>
      </c>
      <c r="W676" s="9">
        <v>3.9071600000000002</v>
      </c>
      <c r="X676" s="9">
        <v>9.2398900000000008</v>
      </c>
      <c r="Y676" s="9">
        <v>168.584</v>
      </c>
      <c r="Z676" s="9">
        <v>179.792</v>
      </c>
      <c r="AA676" s="9">
        <f t="shared" si="107"/>
        <v>1.7759818181818181</v>
      </c>
      <c r="AB676" s="9">
        <f t="shared" si="108"/>
        <v>4.8863636363636358</v>
      </c>
      <c r="AC676" s="9">
        <f t="shared" si="109"/>
        <v>4.1909090909090905</v>
      </c>
      <c r="AD676" s="9">
        <f t="shared" si="110"/>
        <v>13.194333568130235</v>
      </c>
      <c r="AE676" s="9">
        <f t="shared" si="111"/>
        <v>14.071534789074118</v>
      </c>
      <c r="AF676" s="9">
        <f t="shared" si="112"/>
        <v>5.2921983348150139</v>
      </c>
      <c r="AG676" s="9">
        <f t="shared" si="104"/>
        <v>2.0166917007243059</v>
      </c>
      <c r="AH676" s="9">
        <f t="shared" si="113"/>
        <v>0.95972488548829593</v>
      </c>
      <c r="AI676" s="9">
        <f t="shared" si="105"/>
        <v>3.5012832924799455</v>
      </c>
      <c r="AJ676" s="9">
        <f>(4*PI()*(AI676^2))/(Y676+E676)</f>
        <v>0.8494160542953767</v>
      </c>
      <c r="AK676" s="12">
        <f t="shared" si="106"/>
        <v>0.65476190476190477</v>
      </c>
      <c r="AL676" s="12" t="s">
        <v>140</v>
      </c>
      <c r="AM676" s="12" t="s">
        <v>142</v>
      </c>
      <c r="AN676" s="18">
        <v>1.4078999999999999</v>
      </c>
      <c r="AO676" s="18">
        <v>0.20380999999999999</v>
      </c>
      <c r="AP676" s="18">
        <v>2310.6</v>
      </c>
      <c r="AQ676" s="18">
        <v>2206.1999999999998</v>
      </c>
      <c r="AR676" s="18">
        <v>0.87775999999999998</v>
      </c>
      <c r="AS676" s="18">
        <v>4.9022999999999997E-2</v>
      </c>
      <c r="AT676" s="18">
        <v>0.63263999999999998</v>
      </c>
      <c r="AU676" s="18">
        <v>9.9236000000000004</v>
      </c>
      <c r="AV676" s="18">
        <v>0.47120000000000001</v>
      </c>
      <c r="AW676" s="18">
        <v>3.1639E-2</v>
      </c>
      <c r="AX676" s="18">
        <v>8.4040000000000004E-2</v>
      </c>
      <c r="AY676" s="18">
        <v>17.245999999999999</v>
      </c>
      <c r="AZ676" s="18">
        <v>538.30999999999995</v>
      </c>
      <c r="BA676" s="18">
        <v>0.18618999999999999</v>
      </c>
      <c r="BB676" s="18">
        <v>4.1166999999999998</v>
      </c>
      <c r="BC676" s="18" t="s">
        <v>164</v>
      </c>
      <c r="BD676" s="35" t="s">
        <v>163</v>
      </c>
      <c r="BE676" t="s">
        <v>168</v>
      </c>
    </row>
    <row r="677" spans="1:57" x14ac:dyDescent="0.25">
      <c r="A677" s="18" t="s">
        <v>747</v>
      </c>
      <c r="B677" s="18" t="s">
        <v>26</v>
      </c>
      <c r="C677" s="18" t="s">
        <v>14</v>
      </c>
      <c r="D677" s="18">
        <v>58</v>
      </c>
      <c r="E677" s="18">
        <v>7.319</v>
      </c>
      <c r="F677" s="18">
        <v>9.8828999999999994</v>
      </c>
      <c r="G677" s="15">
        <v>5.34</v>
      </c>
      <c r="H677" s="15">
        <v>3.8</v>
      </c>
      <c r="I677" s="15">
        <v>2.2000000000000002</v>
      </c>
      <c r="J677" s="15">
        <v>50.82</v>
      </c>
      <c r="K677" s="15">
        <v>43.69</v>
      </c>
      <c r="L677" s="15">
        <v>79.12</v>
      </c>
      <c r="M677" s="15">
        <v>4.2</v>
      </c>
      <c r="N677" s="15">
        <v>2</v>
      </c>
      <c r="O677" s="15">
        <f>1.77+1.7</f>
        <v>3.4699999999999998</v>
      </c>
      <c r="P677" s="9">
        <v>1.2714799999999999</v>
      </c>
      <c r="Q677" s="9">
        <v>1.53406</v>
      </c>
      <c r="R677" s="9">
        <v>3.3333300000000003E-2</v>
      </c>
      <c r="S677" s="9">
        <v>0.15191199999999999</v>
      </c>
      <c r="T677" s="9">
        <v>0.17862600000000001</v>
      </c>
      <c r="U677" s="9">
        <v>6.8398100000000003E-2</v>
      </c>
      <c r="V677" s="9">
        <v>4.6235900000000001</v>
      </c>
      <c r="W677" s="9">
        <v>3.01396</v>
      </c>
      <c r="X677" s="9">
        <v>3.8321900000000002</v>
      </c>
      <c r="Y677" s="9">
        <v>49.506500000000003</v>
      </c>
      <c r="Z677" s="9">
        <v>34.482100000000003</v>
      </c>
      <c r="AA677" s="9">
        <f t="shared" si="107"/>
        <v>1.369981818181818</v>
      </c>
      <c r="AB677" s="9">
        <f t="shared" si="108"/>
        <v>2.4272727272727268</v>
      </c>
      <c r="AC677" s="9">
        <f t="shared" si="109"/>
        <v>1.7272727272727271</v>
      </c>
      <c r="AD677" s="9">
        <f t="shared" si="110"/>
        <v>6.7641071184588064</v>
      </c>
      <c r="AE677" s="9">
        <f t="shared" si="111"/>
        <v>4.7113130209044956</v>
      </c>
      <c r="AF677" s="9">
        <f t="shared" si="112"/>
        <v>4.6730427324034629</v>
      </c>
      <c r="AG677" s="9">
        <f t="shared" si="104"/>
        <v>1.5263387752983162</v>
      </c>
      <c r="AH677" s="9">
        <f t="shared" si="113"/>
        <v>0.97039020598537518</v>
      </c>
      <c r="AI677" s="9">
        <f t="shared" si="105"/>
        <v>2.0191489892028938</v>
      </c>
      <c r="AJ677" s="9">
        <f>(4*PI()*(AI677^2))/(Y677+E677)</f>
        <v>0.90157805074595565</v>
      </c>
      <c r="AK677" s="12">
        <f t="shared" si="106"/>
        <v>0.63400576368876094</v>
      </c>
      <c r="AL677" s="12" t="s">
        <v>140</v>
      </c>
      <c r="AM677" s="12" t="s">
        <v>142</v>
      </c>
      <c r="AN677" s="18">
        <v>4.1813000000000002</v>
      </c>
      <c r="AO677" s="18">
        <v>0.61912</v>
      </c>
      <c r="AP677" s="18">
        <v>10111</v>
      </c>
      <c r="AQ677" s="18">
        <v>8867.2999999999993</v>
      </c>
      <c r="AR677" s="18">
        <v>1.9558</v>
      </c>
      <c r="AS677" s="18">
        <v>7.8919999999999997E-3</v>
      </c>
      <c r="AT677" s="18">
        <v>0.72829999999999995</v>
      </c>
      <c r="AU677" s="18">
        <v>1.1627000000000001</v>
      </c>
      <c r="AV677" s="18">
        <v>5.4523000000000002E-2</v>
      </c>
      <c r="AW677" s="18">
        <v>6.8729999999999998E-3</v>
      </c>
      <c r="AX677" s="18">
        <v>0.15384</v>
      </c>
      <c r="AY677" s="18">
        <v>-0.19395000000000001</v>
      </c>
      <c r="AZ677" s="18">
        <v>-171.97</v>
      </c>
      <c r="BA677" s="18">
        <v>9.3785999999999994E-2</v>
      </c>
      <c r="BB677" s="18">
        <v>26.381</v>
      </c>
      <c r="BC677" s="18" t="s">
        <v>162</v>
      </c>
      <c r="BD677" s="35" t="s">
        <v>165</v>
      </c>
      <c r="BE677" t="s">
        <v>168</v>
      </c>
    </row>
    <row r="678" spans="1:57" x14ac:dyDescent="0.25">
      <c r="A678" s="18" t="s">
        <v>748</v>
      </c>
      <c r="B678" s="18" t="s">
        <v>26</v>
      </c>
      <c r="C678" s="18" t="s">
        <v>14</v>
      </c>
      <c r="D678" s="18">
        <v>55</v>
      </c>
      <c r="E678" s="18">
        <v>16.074000000000002</v>
      </c>
      <c r="F678" s="18">
        <v>14.673</v>
      </c>
      <c r="G678" s="15">
        <v>6.98</v>
      </c>
      <c r="H678" s="15">
        <v>5.8</v>
      </c>
      <c r="I678" s="15">
        <v>2.84</v>
      </c>
      <c r="J678" s="15">
        <v>97.87</v>
      </c>
      <c r="K678" s="15">
        <v>46.17</v>
      </c>
      <c r="L678" s="15">
        <v>37.81</v>
      </c>
      <c r="M678" s="15">
        <v>5.4</v>
      </c>
      <c r="N678" s="15">
        <v>2</v>
      </c>
      <c r="O678" s="15">
        <f>2.1+2.24</f>
        <v>4.34</v>
      </c>
      <c r="P678" s="9">
        <v>1.3134699999999999</v>
      </c>
      <c r="Q678" s="9">
        <v>1.39943</v>
      </c>
      <c r="R678" s="9">
        <v>3.9130400000000003E-2</v>
      </c>
      <c r="S678" s="9">
        <v>0.12663199999999999</v>
      </c>
      <c r="T678" s="9">
        <v>0.13931499999999999</v>
      </c>
      <c r="U678" s="9">
        <v>3.3300200000000002E-2</v>
      </c>
      <c r="V678" s="9">
        <v>6.2032400000000001</v>
      </c>
      <c r="W678" s="9">
        <v>4.4326999999999996</v>
      </c>
      <c r="X678" s="9">
        <v>5.8222199999999997</v>
      </c>
      <c r="Y678" s="9">
        <v>99.284599999999998</v>
      </c>
      <c r="Z678" s="9">
        <v>105.04600000000001</v>
      </c>
      <c r="AA678" s="9">
        <f t="shared" si="107"/>
        <v>1.5608098591549295</v>
      </c>
      <c r="AB678" s="9">
        <f t="shared" si="108"/>
        <v>2.4577464788732395</v>
      </c>
      <c r="AC678" s="9">
        <f t="shared" si="109"/>
        <v>2.0422535211267605</v>
      </c>
      <c r="AD678" s="9">
        <f t="shared" si="110"/>
        <v>6.1767201692173686</v>
      </c>
      <c r="AE678" s="9">
        <f t="shared" si="111"/>
        <v>6.5351499315665045</v>
      </c>
      <c r="AF678" s="9">
        <f t="shared" si="112"/>
        <v>4.459596274185742</v>
      </c>
      <c r="AG678" s="9">
        <f t="shared" si="104"/>
        <v>2.2619710675687812</v>
      </c>
      <c r="AH678" s="9">
        <f t="shared" si="113"/>
        <v>0.96860787684955285</v>
      </c>
      <c r="AI678" s="9">
        <f t="shared" si="105"/>
        <v>2.927051094186722</v>
      </c>
      <c r="AJ678" s="9">
        <f>(4*PI()*(AI678^2))/(Y678+E678)</f>
        <v>0.93329834178703286</v>
      </c>
      <c r="AK678" s="12">
        <f t="shared" si="106"/>
        <v>0.65437788018433174</v>
      </c>
      <c r="AL678" s="12" t="s">
        <v>144</v>
      </c>
      <c r="AM678" s="12" t="s">
        <v>142</v>
      </c>
      <c r="AN678" s="18">
        <v>4.1045999999999996</v>
      </c>
      <c r="AO678" s="18">
        <v>0.63219000000000003</v>
      </c>
      <c r="AP678" s="18">
        <v>5129.8</v>
      </c>
      <c r="AQ678" s="18">
        <v>4716.8999999999996</v>
      </c>
      <c r="AR678" s="18">
        <v>2.2854000000000001</v>
      </c>
      <c r="AS678" s="18">
        <v>7.3353000000000003E-3</v>
      </c>
      <c r="AT678" s="18">
        <v>0.71860999999999997</v>
      </c>
      <c r="AU678" s="18">
        <v>0.60985999999999996</v>
      </c>
      <c r="AV678" s="18">
        <v>5.0106999999999999E-3</v>
      </c>
      <c r="AW678" s="18">
        <v>9.2923999999999993E-3</v>
      </c>
      <c r="AX678" s="18">
        <v>0.18087</v>
      </c>
      <c r="AY678" s="18">
        <v>-7.7789999999999999</v>
      </c>
      <c r="AZ678" s="18">
        <v>-502.76</v>
      </c>
      <c r="BA678" s="18">
        <v>0.15478</v>
      </c>
      <c r="BB678" s="18">
        <v>8.5183999999999997</v>
      </c>
      <c r="BC678" s="18" t="s">
        <v>162</v>
      </c>
      <c r="BD678" s="35" t="s">
        <v>165</v>
      </c>
      <c r="BE678" t="s">
        <v>167</v>
      </c>
    </row>
    <row r="679" spans="1:57" x14ac:dyDescent="0.25">
      <c r="A679" s="18" t="s">
        <v>749</v>
      </c>
      <c r="B679" s="18" t="s">
        <v>5</v>
      </c>
      <c r="C679" s="18" t="s">
        <v>14</v>
      </c>
      <c r="D679" s="18">
        <v>58</v>
      </c>
      <c r="E679" s="18">
        <v>8.5121000000000002</v>
      </c>
      <c r="F679" s="18">
        <v>10.926</v>
      </c>
      <c r="G679" s="15">
        <v>11.67</v>
      </c>
      <c r="H679" s="15">
        <v>7.1</v>
      </c>
      <c r="I679" s="15">
        <v>3.76</v>
      </c>
      <c r="J679" s="15">
        <v>33.25</v>
      </c>
      <c r="K679" s="15">
        <v>2.4500000000000002</v>
      </c>
      <c r="L679" s="15">
        <v>39.299999999999997</v>
      </c>
      <c r="M679" s="15">
        <v>7.5</v>
      </c>
      <c r="N679" s="15">
        <v>2</v>
      </c>
      <c r="O679" s="15">
        <f>3.16+2.43</f>
        <v>5.59</v>
      </c>
      <c r="P679" s="9">
        <v>2.2356099999999999</v>
      </c>
      <c r="Q679" s="9">
        <v>3.67578</v>
      </c>
      <c r="R679" s="9">
        <v>3.1914900000000003E-2</v>
      </c>
      <c r="S679" s="9">
        <v>0.24387800000000001</v>
      </c>
      <c r="T679" s="9">
        <v>0.360626</v>
      </c>
      <c r="U679" s="9">
        <v>0.284443</v>
      </c>
      <c r="V679" s="9">
        <v>11.6759</v>
      </c>
      <c r="W679" s="9">
        <v>3.1764399999999999</v>
      </c>
      <c r="X679" s="9">
        <v>7.1012700000000004</v>
      </c>
      <c r="Y679" s="9">
        <v>183.71899999999999</v>
      </c>
      <c r="Z679" s="9">
        <v>169.29900000000001</v>
      </c>
      <c r="AA679" s="9">
        <f t="shared" si="107"/>
        <v>0.84479787234042558</v>
      </c>
      <c r="AB679" s="9">
        <f t="shared" si="108"/>
        <v>3.1037234042553195</v>
      </c>
      <c r="AC679" s="9">
        <f t="shared" si="109"/>
        <v>1.8882978723404256</v>
      </c>
      <c r="AD679" s="9">
        <f t="shared" si="110"/>
        <v>21.583275572420437</v>
      </c>
      <c r="AE679" s="9">
        <f t="shared" si="111"/>
        <v>19.889216527061478</v>
      </c>
      <c r="AF679" s="9">
        <f t="shared" si="112"/>
        <v>6.0032230184508428</v>
      </c>
      <c r="AG679" s="9">
        <f t="shared" si="104"/>
        <v>1.6460515126158854</v>
      </c>
      <c r="AH679" s="9">
        <f t="shared" si="113"/>
        <v>0.94659039711961046</v>
      </c>
      <c r="AI679" s="9">
        <f t="shared" si="105"/>
        <v>3.4317996677305906</v>
      </c>
      <c r="AJ679" s="9">
        <f>(4*PI()*(AI679^2))/(Y679+E679)</f>
        <v>0.76989246402817291</v>
      </c>
      <c r="AK679" s="12">
        <f t="shared" si="106"/>
        <v>0.6726296958855098</v>
      </c>
      <c r="AL679" s="12" t="s">
        <v>140</v>
      </c>
      <c r="AM679" s="12" t="s">
        <v>142</v>
      </c>
      <c r="AN679" s="18">
        <v>1.3249</v>
      </c>
      <c r="AO679" s="18">
        <v>0.22070000000000001</v>
      </c>
      <c r="AP679" s="18">
        <v>3733.8</v>
      </c>
      <c r="AQ679" s="18">
        <v>3345</v>
      </c>
      <c r="AR679" s="18">
        <v>0.75390999999999997</v>
      </c>
      <c r="AS679" s="18">
        <v>1.8891000000000002E-2</v>
      </c>
      <c r="AT679" s="18">
        <v>0.66402000000000005</v>
      </c>
      <c r="AU679" s="18">
        <v>15.817</v>
      </c>
      <c r="AV679" s="18">
        <v>0.66607000000000005</v>
      </c>
      <c r="AW679" s="18">
        <v>1.2893E-2</v>
      </c>
      <c r="AX679" s="18">
        <v>5.2517000000000001E-2</v>
      </c>
      <c r="AY679" s="18">
        <v>2.3833000000000002</v>
      </c>
      <c r="AZ679" s="18">
        <v>85.209000000000003</v>
      </c>
      <c r="BA679" s="18">
        <v>0.23196</v>
      </c>
      <c r="BB679" s="18">
        <v>7.9294000000000002</v>
      </c>
      <c r="BC679" s="18" t="s">
        <v>164</v>
      </c>
      <c r="BD679" s="35" t="s">
        <v>165</v>
      </c>
      <c r="BE679" t="s">
        <v>168</v>
      </c>
    </row>
    <row r="680" spans="1:57" x14ac:dyDescent="0.25">
      <c r="A680" s="18" t="s">
        <v>750</v>
      </c>
      <c r="B680" s="18" t="s">
        <v>13</v>
      </c>
      <c r="C680" s="18" t="s">
        <v>6</v>
      </c>
      <c r="D680" s="18">
        <v>50</v>
      </c>
      <c r="E680" s="18">
        <v>7.6439000000000004</v>
      </c>
      <c r="F680" s="18">
        <v>10.022</v>
      </c>
      <c r="G680" s="15">
        <v>5.42</v>
      </c>
      <c r="H680" s="15">
        <v>4.8499999999999996</v>
      </c>
      <c r="I680" s="15">
        <v>2.0299999999999998</v>
      </c>
      <c r="J680" s="15">
        <v>21.93</v>
      </c>
      <c r="K680" s="15">
        <v>60.55</v>
      </c>
      <c r="L680" s="15">
        <v>75.36</v>
      </c>
      <c r="M680" s="15">
        <v>4.45</v>
      </c>
      <c r="N680" s="15">
        <v>2</v>
      </c>
      <c r="O680" s="15">
        <f>1.69+1.48</f>
        <v>3.17</v>
      </c>
      <c r="P680" s="9">
        <v>1.5185</v>
      </c>
      <c r="Q680" s="9">
        <v>1.4002399999999999</v>
      </c>
      <c r="R680" s="9">
        <v>-1.04166E-2</v>
      </c>
      <c r="S680" s="9">
        <v>0.15657399999999999</v>
      </c>
      <c r="T680" s="9">
        <v>0.191747</v>
      </c>
      <c r="U680" s="9">
        <v>9.7717499999999999E-2</v>
      </c>
      <c r="V680" s="9">
        <v>4.4776800000000003</v>
      </c>
      <c r="W680" s="9">
        <v>3.1977899999999999</v>
      </c>
      <c r="X680" s="9">
        <v>4.8558500000000002</v>
      </c>
      <c r="Y680" s="9">
        <v>54.022599999999997</v>
      </c>
      <c r="Z680" s="9">
        <v>38.368299999999998</v>
      </c>
      <c r="AA680" s="9">
        <f t="shared" si="107"/>
        <v>1.5752660098522169</v>
      </c>
      <c r="AB680" s="9">
        <f t="shared" si="108"/>
        <v>2.6699507389162562</v>
      </c>
      <c r="AC680" s="9">
        <f t="shared" si="109"/>
        <v>2.3891625615763545</v>
      </c>
      <c r="AD680" s="9">
        <f t="shared" si="110"/>
        <v>7.0674132314656122</v>
      </c>
      <c r="AE680" s="9">
        <f t="shared" si="111"/>
        <v>5.0194665027015004</v>
      </c>
      <c r="AF680" s="9">
        <f t="shared" si="112"/>
        <v>4.7489082315641804</v>
      </c>
      <c r="AG680" s="9">
        <f t="shared" si="104"/>
        <v>1.5598490116034558</v>
      </c>
      <c r="AH680" s="9">
        <f t="shared" si="113"/>
        <v>0.97793059181056019</v>
      </c>
      <c r="AI680" s="9">
        <f t="shared" si="105"/>
        <v>2.0923194036896073</v>
      </c>
      <c r="AJ680" s="9">
        <f>(4*PI()*(AI680^2))/(Y680+E680)</f>
        <v>0.89210614184473291</v>
      </c>
      <c r="AK680" s="12">
        <f t="shared" si="106"/>
        <v>0.64037854889589896</v>
      </c>
      <c r="AL680" s="12" t="s">
        <v>144</v>
      </c>
      <c r="AM680" s="12" t="s">
        <v>142</v>
      </c>
      <c r="AN680" s="18">
        <v>3.4066999999999998</v>
      </c>
      <c r="AO680" s="18">
        <v>0.41702</v>
      </c>
      <c r="AP680" s="18">
        <v>5477.2</v>
      </c>
      <c r="AQ680" s="18">
        <v>5159.5</v>
      </c>
      <c r="AR680" s="18">
        <v>1.7707999999999999</v>
      </c>
      <c r="AS680" s="18">
        <v>3.4216999999999997E-2</v>
      </c>
      <c r="AT680" s="18">
        <v>0.65732000000000002</v>
      </c>
      <c r="AU680" s="18">
        <v>0.91959999999999997</v>
      </c>
      <c r="AV680" s="18">
        <v>3.4902000000000002E-2</v>
      </c>
      <c r="AW680" s="18">
        <v>2.7729E-2</v>
      </c>
      <c r="AX680" s="18">
        <v>0.15035000000000001</v>
      </c>
      <c r="AY680" s="18">
        <v>-6.1528</v>
      </c>
      <c r="AZ680" s="18">
        <v>-721.95</v>
      </c>
      <c r="BA680" s="18">
        <v>9.6388000000000001E-2</v>
      </c>
      <c r="BB680" s="18">
        <v>5.1256000000000004</v>
      </c>
      <c r="BC680" s="18" t="s">
        <v>164</v>
      </c>
      <c r="BD680" s="35" t="s">
        <v>165</v>
      </c>
      <c r="BE680" t="s">
        <v>167</v>
      </c>
    </row>
    <row r="681" spans="1:57" x14ac:dyDescent="0.25">
      <c r="A681" s="12" t="s">
        <v>751</v>
      </c>
      <c r="B681" s="18" t="s">
        <v>5</v>
      </c>
      <c r="C681" s="18" t="s">
        <v>6</v>
      </c>
      <c r="D681" s="18">
        <v>53</v>
      </c>
      <c r="E681" s="18">
        <v>5.2157</v>
      </c>
      <c r="F681" s="18">
        <v>8.7036999999999995</v>
      </c>
      <c r="G681" s="15">
        <v>6.53</v>
      </c>
      <c r="H681" s="15">
        <v>5.0999999999999996</v>
      </c>
      <c r="I681" s="15">
        <v>2.2999999999999998</v>
      </c>
      <c r="J681" s="15">
        <v>28.46</v>
      </c>
      <c r="K681" s="15">
        <v>47.73</v>
      </c>
      <c r="L681" s="15">
        <v>18.02</v>
      </c>
      <c r="M681" s="15">
        <v>4.2</v>
      </c>
      <c r="N681" s="15">
        <v>1</v>
      </c>
      <c r="O681" s="15">
        <v>2.52</v>
      </c>
      <c r="P681" s="9">
        <v>2.0503100000000001</v>
      </c>
      <c r="Q681" s="9">
        <v>1.7388600000000001</v>
      </c>
      <c r="R681" s="9">
        <v>-0.16336600000000001</v>
      </c>
      <c r="S681" s="9">
        <v>0.212032</v>
      </c>
      <c r="T681" s="9">
        <v>0.25485999999999998</v>
      </c>
      <c r="U681" s="9">
        <v>0.136931</v>
      </c>
      <c r="V681" s="9">
        <v>4.3265099999999999</v>
      </c>
      <c r="W681" s="9">
        <v>2.4881199999999999</v>
      </c>
      <c r="X681" s="9">
        <v>5.1014299999999997</v>
      </c>
      <c r="Y681" s="9">
        <v>54.760199999999998</v>
      </c>
      <c r="Z681" s="9">
        <v>34.661200000000001</v>
      </c>
      <c r="AA681" s="9">
        <f t="shared" si="107"/>
        <v>1.0817913043478262</v>
      </c>
      <c r="AB681" s="9">
        <f t="shared" si="108"/>
        <v>2.839130434782609</v>
      </c>
      <c r="AC681" s="9">
        <f t="shared" si="109"/>
        <v>2.2173913043478262</v>
      </c>
      <c r="AD681" s="9">
        <f t="shared" si="110"/>
        <v>10.499108460992771</v>
      </c>
      <c r="AE681" s="9">
        <f t="shared" si="111"/>
        <v>6.6455509327607034</v>
      </c>
      <c r="AF681" s="9">
        <f t="shared" si="112"/>
        <v>5.1511314121537799</v>
      </c>
      <c r="AG681" s="9">
        <f t="shared" si="104"/>
        <v>1.2884909287103254</v>
      </c>
      <c r="AH681" s="9">
        <f t="shared" si="113"/>
        <v>0.93015927383835584</v>
      </c>
      <c r="AI681" s="9">
        <f t="shared" si="105"/>
        <v>2.0226387735946658</v>
      </c>
      <c r="AJ681" s="9">
        <f>(4*PI()*(AI681^2))/(Y681+E681)</f>
        <v>0.85717549509326774</v>
      </c>
      <c r="AK681" s="12">
        <f t="shared" si="106"/>
        <v>0.91269841269841268</v>
      </c>
      <c r="AL681" s="12" t="s">
        <v>140</v>
      </c>
      <c r="AM681" s="12" t="s">
        <v>143</v>
      </c>
      <c r="AN681" s="18">
        <v>9.2231000000000005</v>
      </c>
      <c r="AO681" s="18">
        <v>0.81808000000000003</v>
      </c>
      <c r="AP681" s="18">
        <v>23641</v>
      </c>
      <c r="AQ681" s="18">
        <v>21470</v>
      </c>
      <c r="AR681" s="18">
        <v>4.3358999999999996</v>
      </c>
      <c r="AS681" s="18">
        <v>6.8179E-3</v>
      </c>
      <c r="AT681" s="18">
        <v>0.75702999999999998</v>
      </c>
      <c r="AU681" s="18">
        <v>0.46228000000000002</v>
      </c>
      <c r="AV681" s="18">
        <v>8.3619999999999996E-3</v>
      </c>
      <c r="AW681" s="18">
        <v>4.0055000000000004E-3</v>
      </c>
      <c r="AX681" s="18">
        <v>0.25651000000000002</v>
      </c>
      <c r="AY681" s="18">
        <v>2.1613000000000002</v>
      </c>
      <c r="AZ681" s="18">
        <v>3922.7</v>
      </c>
      <c r="BA681" s="18">
        <v>3.2655999999999998E-2</v>
      </c>
      <c r="BB681" s="18">
        <v>5.74</v>
      </c>
      <c r="BC681" s="18" t="s">
        <v>162</v>
      </c>
      <c r="BD681" s="35" t="s">
        <v>165</v>
      </c>
      <c r="BE681" t="s">
        <v>168</v>
      </c>
    </row>
    <row r="682" spans="1:57" x14ac:dyDescent="0.25">
      <c r="A682" s="18" t="s">
        <v>752</v>
      </c>
      <c r="B682" s="18" t="s">
        <v>5</v>
      </c>
      <c r="C682" s="18" t="s">
        <v>6</v>
      </c>
      <c r="D682" s="18">
        <v>46</v>
      </c>
      <c r="E682" s="18">
        <v>3.4525999999999999</v>
      </c>
      <c r="F682" s="18">
        <v>6.9863999999999997</v>
      </c>
      <c r="G682" s="15">
        <v>5.86</v>
      </c>
      <c r="H682" s="15">
        <v>5.3</v>
      </c>
      <c r="I682" s="15">
        <v>1.63</v>
      </c>
      <c r="J682" s="15">
        <v>34.14</v>
      </c>
      <c r="K682" s="15">
        <v>63.61</v>
      </c>
      <c r="L682" s="15">
        <v>36.909999999999997</v>
      </c>
      <c r="M682" s="15">
        <v>3.25</v>
      </c>
      <c r="N682" s="15">
        <v>1</v>
      </c>
      <c r="O682" s="15">
        <v>1.34</v>
      </c>
      <c r="P682" s="9">
        <v>2.5986099999999999</v>
      </c>
      <c r="Q682" s="9">
        <v>1.69425</v>
      </c>
      <c r="R682" s="9">
        <v>3.8461500000000003E-2</v>
      </c>
      <c r="S682" s="9">
        <v>0.24626000000000001</v>
      </c>
      <c r="T682" s="9">
        <v>0.31959900000000002</v>
      </c>
      <c r="U682" s="9">
        <v>0.23837800000000001</v>
      </c>
      <c r="V682" s="9">
        <v>3.43838</v>
      </c>
      <c r="W682" s="9">
        <v>2.0294400000000001</v>
      </c>
      <c r="X682" s="9">
        <v>5.2737299999999996</v>
      </c>
      <c r="Y682" s="9">
        <v>44.521099999999997</v>
      </c>
      <c r="Z682" s="9">
        <v>22.170999999999999</v>
      </c>
      <c r="AA682" s="9">
        <f t="shared" si="107"/>
        <v>1.2450552147239264</v>
      </c>
      <c r="AB682" s="9">
        <f t="shared" si="108"/>
        <v>3.5950920245398779</v>
      </c>
      <c r="AC682" s="9">
        <f t="shared" si="109"/>
        <v>3.2515337423312887</v>
      </c>
      <c r="AD682" s="9">
        <f t="shared" si="110"/>
        <v>12.894948734287203</v>
      </c>
      <c r="AE682" s="9">
        <f t="shared" si="111"/>
        <v>6.4215373921102934</v>
      </c>
      <c r="AF682" s="9">
        <f t="shared" si="112"/>
        <v>5.6412545667783247</v>
      </c>
      <c r="AG682" s="9">
        <f t="shared" si="104"/>
        <v>1.0483304407667249</v>
      </c>
      <c r="AH682" s="9">
        <f t="shared" si="113"/>
        <v>0.94281095020247696</v>
      </c>
      <c r="AI682" s="9">
        <f t="shared" si="105"/>
        <v>1.7427384944929738</v>
      </c>
      <c r="AJ682" s="9">
        <f>(4*PI()*(AI682^2))/(Y682+E682)</f>
        <v>0.79555662647390912</v>
      </c>
      <c r="AK682" s="12">
        <f t="shared" si="106"/>
        <v>1.216417910447761</v>
      </c>
      <c r="AL682" s="12" t="s">
        <v>140</v>
      </c>
      <c r="AM682" s="12" t="s">
        <v>142</v>
      </c>
      <c r="AN682" s="18">
        <v>3.1905999999999999</v>
      </c>
      <c r="AO682" s="18">
        <v>0.31152999999999997</v>
      </c>
      <c r="AP682" s="18">
        <v>10160</v>
      </c>
      <c r="AQ682" s="18">
        <v>8497.7999999999993</v>
      </c>
      <c r="AR682" s="18">
        <v>1.4032</v>
      </c>
      <c r="AS682" s="18">
        <v>2.8573000000000001E-2</v>
      </c>
      <c r="AT682" s="18">
        <v>0.70545999999999998</v>
      </c>
      <c r="AU682" s="18">
        <v>12.007999999999999</v>
      </c>
      <c r="AV682" s="18">
        <v>0.38661000000000001</v>
      </c>
      <c r="AW682" s="18">
        <v>1.7971999999999998E-2</v>
      </c>
      <c r="AX682" s="18">
        <v>0.1116</v>
      </c>
      <c r="AY682" s="18">
        <v>2.7985000000000002</v>
      </c>
      <c r="AZ682" s="18">
        <v>483.12</v>
      </c>
      <c r="BA682" s="18">
        <v>7.0560999999999999E-2</v>
      </c>
      <c r="BB682" s="18">
        <v>5.8216999999999999</v>
      </c>
      <c r="BC682" s="18" t="s">
        <v>164</v>
      </c>
      <c r="BD682" s="35" t="s">
        <v>165</v>
      </c>
      <c r="BE682" t="s">
        <v>168</v>
      </c>
    </row>
    <row r="683" spans="1:57" x14ac:dyDescent="0.25">
      <c r="A683" s="18" t="s">
        <v>753</v>
      </c>
      <c r="B683" s="18" t="s">
        <v>5</v>
      </c>
      <c r="C683" s="18" t="s">
        <v>6</v>
      </c>
      <c r="D683" s="18">
        <v>49</v>
      </c>
      <c r="E683" s="18">
        <v>33.247</v>
      </c>
      <c r="F683" s="18">
        <v>22.087</v>
      </c>
      <c r="G683" s="15">
        <v>12.21</v>
      </c>
      <c r="H683" s="15">
        <v>7.4</v>
      </c>
      <c r="I683" s="15">
        <v>1.7</v>
      </c>
      <c r="J683" s="15">
        <v>117.49</v>
      </c>
      <c r="K683" s="15">
        <v>10.53</v>
      </c>
      <c r="L683" s="15">
        <v>49.7</v>
      </c>
      <c r="M683" s="15">
        <v>6.1</v>
      </c>
      <c r="N683" s="15">
        <v>2</v>
      </c>
      <c r="O683" s="15">
        <f>0.87+2.17</f>
        <v>3.04</v>
      </c>
      <c r="P683" s="9">
        <v>0.50033700000000003</v>
      </c>
      <c r="Q683" s="9">
        <v>1.2033</v>
      </c>
      <c r="R683" s="9">
        <v>0.46774199999999999</v>
      </c>
      <c r="S683" s="9">
        <v>5.0452499999999997E-2</v>
      </c>
      <c r="T683" s="9">
        <v>7.1359800000000001E-2</v>
      </c>
      <c r="U683" s="9">
        <v>4.3476599999999997E-2</v>
      </c>
      <c r="V683" s="9">
        <v>3.9236200000000001</v>
      </c>
      <c r="W683" s="9">
        <v>3.26071</v>
      </c>
      <c r="X683" s="9">
        <v>1.6314500000000001</v>
      </c>
      <c r="Y683" s="9">
        <v>14.963699999999999</v>
      </c>
      <c r="Z683" s="9">
        <v>6.8883799999999997</v>
      </c>
      <c r="AA683" s="9">
        <f t="shared" si="107"/>
        <v>1.918064705882353</v>
      </c>
      <c r="AB683" s="9">
        <f t="shared" si="108"/>
        <v>7.1823529411764717</v>
      </c>
      <c r="AC683" s="9">
        <f t="shared" si="109"/>
        <v>4.3529411764705888</v>
      </c>
      <c r="AD683" s="9">
        <f t="shared" si="110"/>
        <v>0.45007669864950217</v>
      </c>
      <c r="AE683" s="9">
        <f t="shared" si="111"/>
        <v>0.2071880169639366</v>
      </c>
      <c r="AF683" s="9">
        <f t="shared" si="112"/>
        <v>4.1332746192745429</v>
      </c>
      <c r="AG683" s="9">
        <f t="shared" si="104"/>
        <v>3.2531290761284724</v>
      </c>
      <c r="AH683" s="9">
        <f t="shared" si="113"/>
        <v>0.9254318292882292</v>
      </c>
      <c r="AI683" s="9">
        <f t="shared" si="105"/>
        <v>1.1803464438903373</v>
      </c>
      <c r="AJ683" s="9">
        <f>(4*PI()*(AI683^2))/(Y683+E683)</f>
        <v>0.36314947328236818</v>
      </c>
      <c r="AK683" s="12">
        <f t="shared" si="106"/>
        <v>0.55921052631578949</v>
      </c>
      <c r="AL683" s="12" t="s">
        <v>140</v>
      </c>
      <c r="AM683" s="12" t="s">
        <v>142</v>
      </c>
      <c r="AN683" s="18">
        <v>2.3338000000000001</v>
      </c>
      <c r="AO683" s="18">
        <v>0.25625999999999999</v>
      </c>
      <c r="AP683" s="18">
        <v>3993.9</v>
      </c>
      <c r="AQ683" s="18">
        <v>3359.3</v>
      </c>
      <c r="AR683" s="18">
        <v>1.3666</v>
      </c>
      <c r="AS683" s="18">
        <v>3.2451000000000001E-2</v>
      </c>
      <c r="AT683" s="18">
        <v>0.65449000000000002</v>
      </c>
      <c r="AU683" s="18">
        <v>3.9129</v>
      </c>
      <c r="AV683" s="18">
        <v>0.62517999999999996</v>
      </c>
      <c r="AW683" s="18">
        <v>2.7144000000000001E-2</v>
      </c>
      <c r="AX683" s="18">
        <v>8.5195000000000007E-2</v>
      </c>
      <c r="AY683" s="18">
        <v>-116.01</v>
      </c>
      <c r="AZ683" s="18">
        <v>-259.95999999999998</v>
      </c>
      <c r="BA683" s="18">
        <v>1.2666999999999999</v>
      </c>
      <c r="BB683" s="18">
        <v>79.52</v>
      </c>
      <c r="BC683" s="18" t="s">
        <v>164</v>
      </c>
      <c r="BD683" s="35" t="s">
        <v>165</v>
      </c>
      <c r="BE683" t="s">
        <v>168</v>
      </c>
    </row>
    <row r="684" spans="1:57" x14ac:dyDescent="0.25">
      <c r="A684" s="18" t="s">
        <v>754</v>
      </c>
      <c r="B684" s="18" t="s">
        <v>40</v>
      </c>
      <c r="C684" s="18" t="s">
        <v>6</v>
      </c>
      <c r="D684" s="18">
        <v>58</v>
      </c>
      <c r="E684" s="18">
        <v>14.811999999999999</v>
      </c>
      <c r="F684" s="18">
        <v>13.984</v>
      </c>
      <c r="G684" s="15">
        <v>6.58</v>
      </c>
      <c r="H684" s="15">
        <v>3.95</v>
      </c>
      <c r="I684" s="15">
        <v>2.31</v>
      </c>
      <c r="J684" s="15">
        <v>93.47</v>
      </c>
      <c r="K684" s="15">
        <v>63.03</v>
      </c>
      <c r="L684" s="15">
        <v>28.42</v>
      </c>
      <c r="M684" s="15">
        <v>4.7</v>
      </c>
      <c r="N684" s="15">
        <v>3</v>
      </c>
      <c r="O684" s="15">
        <f>1.07+1.38+1.71</f>
        <v>4.16</v>
      </c>
      <c r="P684" s="9">
        <v>0.92853399999999997</v>
      </c>
      <c r="Q684" s="9">
        <v>1.2053400000000001</v>
      </c>
      <c r="R684" s="9">
        <v>1.28205E-2</v>
      </c>
      <c r="S684" s="9">
        <v>9.8951999999999998E-2</v>
      </c>
      <c r="T684" s="9">
        <v>0.108519</v>
      </c>
      <c r="U684" s="9">
        <v>1.94533E-2</v>
      </c>
      <c r="V684" s="9">
        <v>5.1276000000000002</v>
      </c>
      <c r="W684" s="9">
        <v>4.25406</v>
      </c>
      <c r="X684" s="9">
        <v>3.95004</v>
      </c>
      <c r="Y684" s="9">
        <v>59.596899999999998</v>
      </c>
      <c r="Z684" s="9">
        <v>51.498199999999997</v>
      </c>
      <c r="AA684" s="9">
        <f t="shared" si="107"/>
        <v>1.8415844155844154</v>
      </c>
      <c r="AB684" s="9">
        <f t="shared" si="108"/>
        <v>2.8484848484848486</v>
      </c>
      <c r="AC684" s="9">
        <f t="shared" si="109"/>
        <v>1.7099567099567099</v>
      </c>
      <c r="AD684" s="9">
        <f t="shared" si="110"/>
        <v>4.0235552254928439</v>
      </c>
      <c r="AE684" s="9">
        <f t="shared" si="111"/>
        <v>3.4767890899270859</v>
      </c>
      <c r="AF684" s="9">
        <f t="shared" si="112"/>
        <v>4.3055533041706466</v>
      </c>
      <c r="AG684" s="9">
        <f t="shared" si="104"/>
        <v>2.1713604109300482</v>
      </c>
      <c r="AH684" s="9">
        <f t="shared" si="113"/>
        <v>0.9756192670585746</v>
      </c>
      <c r="AI684" s="9">
        <f t="shared" si="105"/>
        <v>2.3079929616599664</v>
      </c>
      <c r="AJ684" s="9">
        <f>(4*PI()*(AI684^2))/(Y684+E684)</f>
        <v>0.8996093070637643</v>
      </c>
      <c r="AK684" s="12">
        <f t="shared" si="106"/>
        <v>0.55528846153846156</v>
      </c>
      <c r="AL684" s="12" t="s">
        <v>144</v>
      </c>
      <c r="AM684" s="12" t="s">
        <v>142</v>
      </c>
      <c r="AN684" s="18">
        <v>5.1235999999999997</v>
      </c>
      <c r="AO684" s="18">
        <v>0.73617999999999995</v>
      </c>
      <c r="AP684" s="18">
        <v>9899.9</v>
      </c>
      <c r="AQ684" s="18">
        <v>8850.5</v>
      </c>
      <c r="AR684" s="18">
        <v>2.6501999999999999</v>
      </c>
      <c r="AS684" s="18">
        <v>4.2814000000000003E-3</v>
      </c>
      <c r="AT684" s="18">
        <v>0.75092999999999999</v>
      </c>
      <c r="AU684" s="18">
        <v>0.59721999999999997</v>
      </c>
      <c r="AV684" s="18">
        <v>3.0779000000000002E-3</v>
      </c>
      <c r="AW684" s="18">
        <v>4.2263999999999999E-3</v>
      </c>
      <c r="AX684" s="18">
        <v>0.18773999999999999</v>
      </c>
      <c r="AY684" s="18">
        <v>-12.336</v>
      </c>
      <c r="AZ684" s="18">
        <v>-944.74</v>
      </c>
      <c r="BA684" s="18">
        <v>9.1784000000000004E-2</v>
      </c>
      <c r="BB684" s="18">
        <v>26.986000000000001</v>
      </c>
      <c r="BC684" s="18" t="s">
        <v>162</v>
      </c>
      <c r="BD684" s="35" t="s">
        <v>165</v>
      </c>
      <c r="BE684" t="s">
        <v>168</v>
      </c>
    </row>
    <row r="685" spans="1:57" x14ac:dyDescent="0.25">
      <c r="A685" s="18" t="s">
        <v>755</v>
      </c>
      <c r="B685" s="18" t="s">
        <v>26</v>
      </c>
      <c r="C685" s="18" t="s">
        <v>14</v>
      </c>
      <c r="D685" s="18">
        <v>47</v>
      </c>
      <c r="E685" s="18">
        <v>10.079000000000001</v>
      </c>
      <c r="F685" s="18">
        <v>11.753</v>
      </c>
      <c r="G685" s="15">
        <v>5.63</v>
      </c>
      <c r="H685" s="15">
        <v>4.5999999999999996</v>
      </c>
      <c r="I685" s="15">
        <v>2.74</v>
      </c>
      <c r="J685" s="15">
        <f>180-153.47</f>
        <v>26.53</v>
      </c>
      <c r="K685" s="15">
        <v>41.91</v>
      </c>
      <c r="L685" s="15">
        <v>45.24</v>
      </c>
      <c r="M685" s="15">
        <v>4.5999999999999996</v>
      </c>
      <c r="N685" s="15">
        <v>2</v>
      </c>
      <c r="O685" s="15">
        <f>1.95+2.18</f>
        <v>4.13</v>
      </c>
      <c r="P685" s="9">
        <v>1.3323700000000001</v>
      </c>
      <c r="Q685" s="9">
        <v>1.3883000000000001</v>
      </c>
      <c r="R685" s="9">
        <v>2.74725E-2</v>
      </c>
      <c r="S685" s="9">
        <v>0.12198000000000001</v>
      </c>
      <c r="T685" s="9">
        <v>0.13680300000000001</v>
      </c>
      <c r="U685" s="9">
        <v>2.5180999999999999E-2</v>
      </c>
      <c r="V685" s="9">
        <v>4.8122299999999996</v>
      </c>
      <c r="W685" s="9">
        <v>3.4662700000000002</v>
      </c>
      <c r="X685" s="9">
        <v>4.61836</v>
      </c>
      <c r="Y685" s="9">
        <v>62.154800000000002</v>
      </c>
      <c r="Z685" s="9">
        <v>52.259599999999999</v>
      </c>
      <c r="AA685" s="9">
        <f t="shared" si="107"/>
        <v>1.2650620437956204</v>
      </c>
      <c r="AB685" s="9">
        <f t="shared" si="108"/>
        <v>2.054744525547445</v>
      </c>
      <c r="AC685" s="9">
        <f t="shared" si="109"/>
        <v>1.6788321167883209</v>
      </c>
      <c r="AD685" s="9">
        <f t="shared" si="110"/>
        <v>6.1667625756523465</v>
      </c>
      <c r="AE685" s="9">
        <f t="shared" si="111"/>
        <v>5.1849985117571187</v>
      </c>
      <c r="AF685" s="9">
        <f t="shared" si="112"/>
        <v>4.4466261650102066</v>
      </c>
      <c r="AG685" s="9">
        <f t="shared" si="104"/>
        <v>1.7911575427210267</v>
      </c>
      <c r="AH685" s="9">
        <f t="shared" si="113"/>
        <v>0.95755762403374856</v>
      </c>
      <c r="AI685" s="9">
        <f t="shared" si="105"/>
        <v>2.3193119055287954</v>
      </c>
      <c r="AJ685" s="9">
        <f>(4*PI()*(AI685^2))/(Y685+E685)</f>
        <v>0.93581007450686204</v>
      </c>
      <c r="AK685" s="12">
        <f t="shared" si="106"/>
        <v>0.66343825665859568</v>
      </c>
      <c r="AL685" s="12" t="s">
        <v>144</v>
      </c>
      <c r="AM685" s="12" t="s">
        <v>142</v>
      </c>
      <c r="AN685" s="18">
        <v>7.3597000000000001</v>
      </c>
      <c r="AO685" s="18">
        <v>0.94167999999999996</v>
      </c>
      <c r="AP685" s="18">
        <v>13522</v>
      </c>
      <c r="AQ685" s="18">
        <v>13008</v>
      </c>
      <c r="AR685" s="18">
        <v>3.8483999999999998</v>
      </c>
      <c r="AS685" s="18">
        <v>2.4256999999999998E-3</v>
      </c>
      <c r="AT685" s="18">
        <v>0.78073999999999999</v>
      </c>
      <c r="AU685" s="18">
        <v>0.33376</v>
      </c>
      <c r="AV685" s="19">
        <v>8.7416999999999993E-5</v>
      </c>
      <c r="AW685" s="18">
        <v>2.4838999999999998E-3</v>
      </c>
      <c r="AX685" s="18">
        <v>0.26913999999999999</v>
      </c>
      <c r="AY685" s="18">
        <v>2.4093</v>
      </c>
      <c r="AZ685" s="18">
        <v>674.37</v>
      </c>
      <c r="BA685" s="18">
        <v>5.1131000000000003E-2</v>
      </c>
      <c r="BB685" s="18">
        <v>9.3327000000000009</v>
      </c>
      <c r="BC685" s="18" t="s">
        <v>162</v>
      </c>
      <c r="BD685" s="35" t="s">
        <v>163</v>
      </c>
      <c r="BE685" t="s">
        <v>167</v>
      </c>
    </row>
    <row r="686" spans="1:57" x14ac:dyDescent="0.25">
      <c r="A686" s="18" t="s">
        <v>756</v>
      </c>
      <c r="B686" s="18" t="s">
        <v>374</v>
      </c>
      <c r="C686" s="18" t="s">
        <v>6</v>
      </c>
      <c r="D686" s="18">
        <v>46</v>
      </c>
      <c r="E686" s="18">
        <v>5.1421999999999999</v>
      </c>
      <c r="F686" s="18">
        <v>8.5450999999999997</v>
      </c>
      <c r="G686" s="15">
        <v>4.46</v>
      </c>
      <c r="H686" s="15">
        <v>3.45</v>
      </c>
      <c r="I686" s="15">
        <v>3.36</v>
      </c>
      <c r="J686" s="15">
        <v>102.39</v>
      </c>
      <c r="K686" s="15">
        <v>47.53</v>
      </c>
      <c r="L686" s="15">
        <v>28.14</v>
      </c>
      <c r="M686" s="15">
        <v>3.6</v>
      </c>
      <c r="N686" s="15">
        <v>2</v>
      </c>
      <c r="O686" s="15">
        <f>1.86+1.72</f>
        <v>3.58</v>
      </c>
      <c r="P686" s="9">
        <v>1.4314100000000001</v>
      </c>
      <c r="Q686" s="9">
        <v>1.38639</v>
      </c>
      <c r="R686" s="9">
        <v>0.16176499999999999</v>
      </c>
      <c r="S686" s="9">
        <v>0.14626400000000001</v>
      </c>
      <c r="T686" s="9">
        <v>0.159077</v>
      </c>
      <c r="U686" s="9">
        <v>1.9270300000000001E-2</v>
      </c>
      <c r="V686" s="9">
        <v>3.3453200000000001</v>
      </c>
      <c r="W686" s="9">
        <v>2.4129800000000001</v>
      </c>
      <c r="X686" s="9">
        <v>3.4539499999999999</v>
      </c>
      <c r="Y686" s="9">
        <v>29.847000000000001</v>
      </c>
      <c r="Z686" s="9">
        <v>16.721499999999999</v>
      </c>
      <c r="AA686" s="9">
        <f t="shared" si="107"/>
        <v>0.71814880952380955</v>
      </c>
      <c r="AB686" s="9">
        <f t="shared" si="108"/>
        <v>1.3273809523809523</v>
      </c>
      <c r="AC686" s="9">
        <f t="shared" si="109"/>
        <v>1.0267857142857144</v>
      </c>
      <c r="AD686" s="9">
        <f t="shared" si="110"/>
        <v>5.8043249970829613</v>
      </c>
      <c r="AE686" s="9">
        <f t="shared" si="111"/>
        <v>3.2518182878923416</v>
      </c>
      <c r="AF686" s="9">
        <f t="shared" si="112"/>
        <v>4.5644017527121807</v>
      </c>
      <c r="AG686" s="9">
        <f t="shared" si="104"/>
        <v>1.2793799657389857</v>
      </c>
      <c r="AH686" s="9">
        <f t="shared" si="113"/>
        <v>0.94072408784345618</v>
      </c>
      <c r="AI686" s="9">
        <f t="shared" si="105"/>
        <v>1.5863373191792929</v>
      </c>
      <c r="AJ686" s="9">
        <f>(4*PI()*(AI686^2))/(Y686+E686)</f>
        <v>0.90378875562127192</v>
      </c>
      <c r="AK686" s="12">
        <f t="shared" si="106"/>
        <v>0.93854748603351945</v>
      </c>
      <c r="AL686" s="12" t="s">
        <v>144</v>
      </c>
      <c r="AM686" s="12" t="s">
        <v>142</v>
      </c>
      <c r="AN686" s="18">
        <v>0.78649000000000002</v>
      </c>
      <c r="AO686" s="18">
        <v>0.24443000000000001</v>
      </c>
      <c r="AP686" s="18">
        <v>3329.8</v>
      </c>
      <c r="AQ686" s="18">
        <v>2893.3</v>
      </c>
      <c r="AR686" s="18">
        <v>0.44507000000000002</v>
      </c>
      <c r="AS686" s="18">
        <v>1.7228E-2</v>
      </c>
      <c r="AT686" s="18">
        <v>0.68745000000000001</v>
      </c>
      <c r="AU686" s="18">
        <v>7.4424000000000001</v>
      </c>
      <c r="AV686" s="18">
        <v>0.56438999999999995</v>
      </c>
      <c r="AW686" s="18">
        <v>1.0444999999999999E-2</v>
      </c>
      <c r="AX686" s="18">
        <v>3.6162E-2</v>
      </c>
      <c r="AY686" s="18">
        <v>2.2078000000000002</v>
      </c>
      <c r="AZ686" s="18">
        <v>8.7453000000000003</v>
      </c>
      <c r="BA686" s="18">
        <v>0.10151</v>
      </c>
      <c r="BB686" s="18">
        <v>10.59</v>
      </c>
      <c r="BC686" s="18" t="s">
        <v>162</v>
      </c>
      <c r="BD686" s="35" t="s">
        <v>163</v>
      </c>
      <c r="BE686" t="s">
        <v>168</v>
      </c>
    </row>
    <row r="687" spans="1:57" x14ac:dyDescent="0.25">
      <c r="A687" s="18" t="s">
        <v>757</v>
      </c>
      <c r="B687" s="18" t="s">
        <v>40</v>
      </c>
      <c r="C687" s="18" t="s">
        <v>6</v>
      </c>
      <c r="D687" s="18">
        <v>50</v>
      </c>
      <c r="E687" s="18">
        <v>30.812000000000001</v>
      </c>
      <c r="F687" s="18">
        <v>21.059000000000001</v>
      </c>
      <c r="G687" s="15">
        <v>10.19</v>
      </c>
      <c r="H687" s="15">
        <v>6.3</v>
      </c>
      <c r="I687" s="15">
        <v>2.82</v>
      </c>
      <c r="J687" s="15">
        <v>80.36</v>
      </c>
      <c r="K687" s="15">
        <v>16.059999999999999</v>
      </c>
      <c r="L687" s="15">
        <v>80.14</v>
      </c>
      <c r="M687" s="15">
        <v>8.25</v>
      </c>
      <c r="N687" s="15">
        <v>3</v>
      </c>
      <c r="O687" s="15">
        <f>1.93+2.1+0.91</f>
        <v>4.9400000000000004</v>
      </c>
      <c r="P687" s="9">
        <v>1.0311999999999999</v>
      </c>
      <c r="Q687" s="9">
        <v>1.6413199999999999</v>
      </c>
      <c r="R687" s="9">
        <v>-2.41935E-2</v>
      </c>
      <c r="S687" s="9">
        <v>0.134774</v>
      </c>
      <c r="T687" s="9">
        <v>0.151444</v>
      </c>
      <c r="U687" s="9">
        <v>4.1491500000000001E-2</v>
      </c>
      <c r="V687" s="9">
        <v>9.9746600000000001</v>
      </c>
      <c r="W687" s="9">
        <v>6.07721</v>
      </c>
      <c r="X687" s="9">
        <v>6.2668299999999997</v>
      </c>
      <c r="Y687" s="9">
        <v>175.70599999999999</v>
      </c>
      <c r="Z687" s="9">
        <v>242.09700000000001</v>
      </c>
      <c r="AA687" s="9">
        <f t="shared" si="107"/>
        <v>2.1550390070921988</v>
      </c>
      <c r="AB687" s="9">
        <f t="shared" si="108"/>
        <v>3.6134751773049647</v>
      </c>
      <c r="AC687" s="9">
        <f t="shared" si="109"/>
        <v>2.2340425531914896</v>
      </c>
      <c r="AD687" s="9">
        <f t="shared" si="110"/>
        <v>5.7025184992859916</v>
      </c>
      <c r="AE687" s="9">
        <f t="shared" si="111"/>
        <v>7.8572309489809165</v>
      </c>
      <c r="AF687" s="9">
        <f t="shared" si="112"/>
        <v>4.523351322756807</v>
      </c>
      <c r="AG687" s="9">
        <f t="shared" si="104"/>
        <v>3.1317350164237969</v>
      </c>
      <c r="AH687" s="9">
        <f t="shared" si="113"/>
        <v>0.93438774116405443</v>
      </c>
      <c r="AI687" s="9">
        <f t="shared" si="105"/>
        <v>3.8663419907044454</v>
      </c>
      <c r="AJ687" s="9">
        <f>(4*PI()*(AI687^2))/(Y687+E687)</f>
        <v>0.90960426042857501</v>
      </c>
      <c r="AK687" s="12">
        <f t="shared" si="106"/>
        <v>0.57085020242914974</v>
      </c>
      <c r="AL687" s="12" t="s">
        <v>140</v>
      </c>
      <c r="AM687" s="12" t="s">
        <v>142</v>
      </c>
      <c r="AN687" s="18">
        <v>1.6861999999999999</v>
      </c>
      <c r="AO687" s="18">
        <v>0.31622</v>
      </c>
      <c r="AP687" s="18">
        <v>2415.6999999999998</v>
      </c>
      <c r="AQ687" s="18">
        <v>2131.4</v>
      </c>
      <c r="AR687" s="18">
        <v>1.2564</v>
      </c>
      <c r="AS687" s="18">
        <v>2.1978000000000001E-2</v>
      </c>
      <c r="AT687" s="18">
        <v>0.70723000000000003</v>
      </c>
      <c r="AU687" s="18">
        <v>1.4999</v>
      </c>
      <c r="AV687" s="18">
        <v>0.1278</v>
      </c>
      <c r="AW687" s="18">
        <v>2.2083999999999999E-2</v>
      </c>
      <c r="AX687" s="18">
        <v>0.11712</v>
      </c>
      <c r="AY687" s="18">
        <v>-29.056000000000001</v>
      </c>
      <c r="AZ687" s="18">
        <v>-390.97</v>
      </c>
      <c r="BA687" s="18">
        <v>0.29128999999999999</v>
      </c>
      <c r="BB687" s="18">
        <v>5.0461</v>
      </c>
      <c r="BC687" s="18" t="s">
        <v>162</v>
      </c>
      <c r="BD687" s="35" t="s">
        <v>165</v>
      </c>
      <c r="BE687" t="s">
        <v>167</v>
      </c>
    </row>
    <row r="688" spans="1:57" x14ac:dyDescent="0.25">
      <c r="A688" s="18" t="s">
        <v>758</v>
      </c>
      <c r="B688" s="18" t="s">
        <v>5</v>
      </c>
      <c r="C688" s="18" t="s">
        <v>6</v>
      </c>
      <c r="D688" s="18">
        <v>59</v>
      </c>
      <c r="E688" s="18">
        <v>17.358000000000001</v>
      </c>
      <c r="F688" s="18">
        <v>15.494</v>
      </c>
      <c r="G688" s="15">
        <v>9.58</v>
      </c>
      <c r="H688" s="15">
        <v>6.2</v>
      </c>
      <c r="I688" s="15">
        <v>2.2999999999999998</v>
      </c>
      <c r="J688" s="15">
        <v>61.26</v>
      </c>
      <c r="K688" s="15">
        <v>2.91</v>
      </c>
      <c r="L688" s="15">
        <v>40.04</v>
      </c>
      <c r="M688" s="15">
        <v>9</v>
      </c>
      <c r="N688" s="15">
        <v>2</v>
      </c>
      <c r="O688" s="15">
        <f>1.64+3.16</f>
        <v>4.8</v>
      </c>
      <c r="P688" s="9">
        <v>1.35117</v>
      </c>
      <c r="Q688" s="9">
        <v>2.07633</v>
      </c>
      <c r="R688" s="9">
        <v>2.0325200000000002E-2</v>
      </c>
      <c r="S688" s="9">
        <v>0.18790000000000001</v>
      </c>
      <c r="T688" s="9">
        <v>0.281584</v>
      </c>
      <c r="U688" s="9">
        <v>0.22084599999999999</v>
      </c>
      <c r="V688" s="9">
        <v>9.5710899999999999</v>
      </c>
      <c r="W688" s="9">
        <v>4.6096199999999996</v>
      </c>
      <c r="X688" s="9">
        <v>6.2283900000000001</v>
      </c>
      <c r="Y688" s="9">
        <v>139.47200000000001</v>
      </c>
      <c r="Z688" s="9">
        <v>133.37700000000001</v>
      </c>
      <c r="AA688" s="9">
        <f t="shared" si="107"/>
        <v>2.0041826086956522</v>
      </c>
      <c r="AB688" s="9">
        <f t="shared" si="108"/>
        <v>4.1652173913043482</v>
      </c>
      <c r="AC688" s="9">
        <f t="shared" si="109"/>
        <v>2.6956521739130439</v>
      </c>
      <c r="AD688" s="9">
        <f t="shared" si="110"/>
        <v>8.0350270768521721</v>
      </c>
      <c r="AE688" s="9">
        <f t="shared" si="111"/>
        <v>7.6838921534739031</v>
      </c>
      <c r="AF688" s="9">
        <f t="shared" si="112"/>
        <v>5.3427690168334507</v>
      </c>
      <c r="AG688" s="9">
        <f t="shared" si="104"/>
        <v>2.3505792912340224</v>
      </c>
      <c r="AH688" s="9">
        <f t="shared" si="113"/>
        <v>0.95321577811037916</v>
      </c>
      <c r="AI688" s="9">
        <f t="shared" si="105"/>
        <v>3.1695488173276885</v>
      </c>
      <c r="AJ688" s="9">
        <f>(4*PI()*(AI688^2))/(Y688+E688)</f>
        <v>0.80496243158144121</v>
      </c>
      <c r="AK688" s="12">
        <f t="shared" si="106"/>
        <v>0.47916666666666663</v>
      </c>
      <c r="AL688" s="12" t="s">
        <v>140</v>
      </c>
      <c r="AM688" s="12" t="s">
        <v>142</v>
      </c>
      <c r="AN688" s="18">
        <v>8.4244000000000003</v>
      </c>
      <c r="AO688" s="18">
        <v>0.50360000000000005</v>
      </c>
      <c r="AP688" s="18">
        <v>18362</v>
      </c>
      <c r="AQ688" s="18">
        <v>16049</v>
      </c>
      <c r="AR688" s="18">
        <v>4.4535999999999998</v>
      </c>
      <c r="AS688" s="18">
        <v>1.0189999999999999E-2</v>
      </c>
      <c r="AT688" s="18">
        <v>0.73509999999999998</v>
      </c>
      <c r="AU688" s="18">
        <v>0.65561999999999998</v>
      </c>
      <c r="AV688" s="18">
        <v>0.14574000000000001</v>
      </c>
      <c r="AW688" s="18">
        <v>7.4936999999999998E-3</v>
      </c>
      <c r="AX688" s="18">
        <v>0.28825000000000001</v>
      </c>
      <c r="AY688" s="18">
        <v>-16.259</v>
      </c>
      <c r="AZ688" s="18">
        <v>-1932</v>
      </c>
      <c r="BA688" s="18">
        <v>0.14237</v>
      </c>
      <c r="BB688" s="18">
        <v>33.808999999999997</v>
      </c>
      <c r="BC688" s="18" t="s">
        <v>162</v>
      </c>
      <c r="BD688" s="35" t="s">
        <v>165</v>
      </c>
      <c r="BE688" t="s">
        <v>168</v>
      </c>
    </row>
    <row r="689" spans="1:57" x14ac:dyDescent="0.25">
      <c r="A689" s="18" t="s">
        <v>759</v>
      </c>
      <c r="B689" s="18" t="s">
        <v>5</v>
      </c>
      <c r="C689" s="18" t="s">
        <v>6</v>
      </c>
      <c r="D689" s="18">
        <v>59</v>
      </c>
      <c r="E689" s="18">
        <v>12.563000000000001</v>
      </c>
      <c r="F689" s="18">
        <v>13.225</v>
      </c>
      <c r="G689" s="15">
        <v>5.22</v>
      </c>
      <c r="H689" s="15">
        <v>4.05</v>
      </c>
      <c r="I689" s="15">
        <v>4.25</v>
      </c>
      <c r="J689" s="15">
        <v>58.94</v>
      </c>
      <c r="K689" s="15">
        <v>41.09</v>
      </c>
      <c r="L689" s="15">
        <v>13.07</v>
      </c>
      <c r="M689" s="15">
        <v>4.7</v>
      </c>
      <c r="N689" s="15">
        <v>1</v>
      </c>
      <c r="O689" s="15">
        <v>3.18</v>
      </c>
      <c r="P689" s="9">
        <v>1.0363</v>
      </c>
      <c r="Q689" s="9">
        <v>1.33117</v>
      </c>
      <c r="R689" s="9">
        <v>0.16250000000000001</v>
      </c>
      <c r="S689" s="9">
        <v>9.5885399999999996E-2</v>
      </c>
      <c r="T689" s="9">
        <v>0.121027</v>
      </c>
      <c r="U689" s="9">
        <v>4.1041000000000001E-2</v>
      </c>
      <c r="V689" s="9">
        <v>5.2232599999999998</v>
      </c>
      <c r="W689" s="9">
        <v>3.9238200000000001</v>
      </c>
      <c r="X689" s="9">
        <v>4.0662399999999996</v>
      </c>
      <c r="Y689" s="9">
        <v>58.103700000000003</v>
      </c>
      <c r="Z689" s="9">
        <v>48.535400000000003</v>
      </c>
      <c r="AA689" s="9">
        <f t="shared" si="107"/>
        <v>0.92325176470588233</v>
      </c>
      <c r="AB689" s="9">
        <f t="shared" si="108"/>
        <v>1.2282352941176471</v>
      </c>
      <c r="AC689" s="9">
        <f t="shared" si="109"/>
        <v>0.95294117647058818</v>
      </c>
      <c r="AD689" s="9">
        <f t="shared" si="110"/>
        <v>4.6249860702061607</v>
      </c>
      <c r="AE689" s="9">
        <f t="shared" si="111"/>
        <v>3.8633606622621985</v>
      </c>
      <c r="AF689" s="9">
        <f t="shared" si="112"/>
        <v>4.3668141949201722</v>
      </c>
      <c r="AG689" s="9">
        <f t="shared" si="104"/>
        <v>1.9997317570431696</v>
      </c>
      <c r="AH689" s="9">
        <f t="shared" si="113"/>
        <v>0.95007071411372868</v>
      </c>
      <c r="AI689" s="9">
        <f t="shared" si="105"/>
        <v>2.262854697699042</v>
      </c>
      <c r="AJ689" s="9">
        <f>(4*PI()*(AI689^2))/(Y689+E689)</f>
        <v>0.91055962387586931</v>
      </c>
      <c r="AK689" s="12">
        <f t="shared" si="106"/>
        <v>1.3364779874213837</v>
      </c>
      <c r="AL689" s="12" t="s">
        <v>144</v>
      </c>
      <c r="AM689" s="12" t="s">
        <v>143</v>
      </c>
      <c r="AN689" s="18">
        <v>8.8245000000000005</v>
      </c>
      <c r="AO689" s="18">
        <v>0.67796999999999996</v>
      </c>
      <c r="AP689" s="18">
        <v>18155</v>
      </c>
      <c r="AQ689" s="18">
        <v>16809</v>
      </c>
      <c r="AR689" s="18">
        <v>4.5762</v>
      </c>
      <c r="AS689" s="18">
        <v>5.1070000000000004E-3</v>
      </c>
      <c r="AT689" s="18">
        <v>0.74817999999999996</v>
      </c>
      <c r="AU689" s="18">
        <v>0.32958999999999999</v>
      </c>
      <c r="AV689" s="18">
        <v>1.6379999999999999E-2</v>
      </c>
      <c r="AW689" s="18">
        <v>3.0160999999999999E-3</v>
      </c>
      <c r="AX689" s="18">
        <v>0.35237000000000002</v>
      </c>
      <c r="AY689" s="18">
        <v>0.89190000000000003</v>
      </c>
      <c r="AZ689" s="18">
        <v>-426.14</v>
      </c>
      <c r="BA689" s="18">
        <v>3.3690999999999999E-2</v>
      </c>
      <c r="BB689" s="18">
        <v>7.7967000000000004</v>
      </c>
      <c r="BC689" s="18" t="s">
        <v>162</v>
      </c>
      <c r="BD689" s="35" t="s">
        <v>163</v>
      </c>
      <c r="BE689" t="s">
        <v>167</v>
      </c>
    </row>
    <row r="690" spans="1:57" x14ac:dyDescent="0.25">
      <c r="A690" s="18" t="s">
        <v>760</v>
      </c>
      <c r="B690" s="18" t="s">
        <v>5</v>
      </c>
      <c r="C690" s="18" t="s">
        <v>6</v>
      </c>
      <c r="D690" s="18">
        <v>59</v>
      </c>
      <c r="E690" s="18">
        <v>8.1921999999999997</v>
      </c>
      <c r="F690" s="18">
        <v>10.875999999999999</v>
      </c>
      <c r="G690" s="15">
        <v>4.6900000000000004</v>
      </c>
      <c r="H690" s="15">
        <v>3.1</v>
      </c>
      <c r="I690" s="15">
        <v>2.5499999999999998</v>
      </c>
      <c r="J690" s="15">
        <v>61.87</v>
      </c>
      <c r="K690" s="15">
        <v>26.57</v>
      </c>
      <c r="L690" s="15">
        <v>77.22</v>
      </c>
      <c r="M690" s="15">
        <v>4.2</v>
      </c>
      <c r="N690" s="15">
        <v>2</v>
      </c>
      <c r="O690" s="15">
        <f>1.44+2.69</f>
        <v>4.13</v>
      </c>
      <c r="P690" s="9">
        <v>1.05514</v>
      </c>
      <c r="Q690" s="9">
        <v>1.35704</v>
      </c>
      <c r="R690" s="9">
        <v>-4.0983600000000002E-2</v>
      </c>
      <c r="S690" s="9">
        <v>0.117872</v>
      </c>
      <c r="T690" s="9">
        <v>0.22431899999999999</v>
      </c>
      <c r="U690" s="9">
        <v>0.20733799999999999</v>
      </c>
      <c r="V690" s="9">
        <v>4.0315799999999999</v>
      </c>
      <c r="W690" s="9">
        <v>2.9708700000000001</v>
      </c>
      <c r="X690" s="9">
        <v>3.1346699999999998</v>
      </c>
      <c r="Y690" s="9">
        <v>31.471</v>
      </c>
      <c r="Z690" s="9">
        <v>16.039000000000001</v>
      </c>
      <c r="AA690" s="9">
        <f t="shared" si="107"/>
        <v>1.1650470588235295</v>
      </c>
      <c r="AB690" s="9">
        <f t="shared" si="108"/>
        <v>1.8392156862745102</v>
      </c>
      <c r="AC690" s="9">
        <f t="shared" si="109"/>
        <v>1.215686274509804</v>
      </c>
      <c r="AD690" s="9">
        <f t="shared" si="110"/>
        <v>3.8415810160884747</v>
      </c>
      <c r="AE690" s="9">
        <f t="shared" si="111"/>
        <v>1.9578379434095849</v>
      </c>
      <c r="AF690" s="9">
        <f t="shared" si="112"/>
        <v>4.9483341403170149</v>
      </c>
      <c r="AG690" s="9">
        <f t="shared" si="104"/>
        <v>1.6148245259454199</v>
      </c>
      <c r="AH690" s="9">
        <f t="shared" si="113"/>
        <v>0.93290196166729522</v>
      </c>
      <c r="AI690" s="9">
        <f t="shared" si="105"/>
        <v>1.5644543410850897</v>
      </c>
      <c r="AJ690" s="9">
        <f>(4*PI()*(AI690^2))/(Y690+E690)</f>
        <v>0.77543946401877673</v>
      </c>
      <c r="AK690" s="12">
        <f t="shared" si="106"/>
        <v>0.61743341404358354</v>
      </c>
      <c r="AL690" s="12" t="s">
        <v>140</v>
      </c>
      <c r="AM690" s="12" t="s">
        <v>142</v>
      </c>
      <c r="AN690" s="18">
        <v>14.09</v>
      </c>
      <c r="AO690" s="18">
        <v>1.1231</v>
      </c>
      <c r="AP690" s="18">
        <v>51807</v>
      </c>
      <c r="AQ690" s="18">
        <v>49689</v>
      </c>
      <c r="AR690" s="18">
        <v>6.8474000000000004</v>
      </c>
      <c r="AS690" s="18">
        <v>4.4126E-3</v>
      </c>
      <c r="AT690" s="18">
        <v>0.75312000000000001</v>
      </c>
      <c r="AU690" s="18">
        <v>0.253</v>
      </c>
      <c r="AV690" s="18">
        <v>3.9981000000000001E-3</v>
      </c>
      <c r="AW690" s="18">
        <v>2.9604000000000002E-3</v>
      </c>
      <c r="AX690" s="18">
        <v>0.36935000000000001</v>
      </c>
      <c r="AY690" s="18">
        <v>-5.0719000000000003</v>
      </c>
      <c r="AZ690" s="18">
        <v>-7382</v>
      </c>
      <c r="BA690" s="18">
        <v>2.3015000000000001E-2</v>
      </c>
      <c r="BB690" s="18">
        <v>29.858000000000001</v>
      </c>
      <c r="BC690" s="18" t="s">
        <v>162</v>
      </c>
      <c r="BD690" s="35" t="s">
        <v>165</v>
      </c>
      <c r="BE690" t="s">
        <v>167</v>
      </c>
    </row>
    <row r="691" spans="1:57" x14ac:dyDescent="0.25">
      <c r="A691" s="18" t="s">
        <v>761</v>
      </c>
      <c r="B691" s="18" t="s">
        <v>40</v>
      </c>
      <c r="C691" s="18" t="s">
        <v>6</v>
      </c>
      <c r="D691" s="18">
        <v>47</v>
      </c>
      <c r="E691" s="18">
        <v>13.064</v>
      </c>
      <c r="F691" s="18">
        <v>13.464</v>
      </c>
      <c r="G691" s="15">
        <v>9.6999999999999993</v>
      </c>
      <c r="H691" s="15">
        <v>7.2</v>
      </c>
      <c r="I691" s="15">
        <v>2.0699999999999998</v>
      </c>
      <c r="J691" s="15">
        <v>43.84</v>
      </c>
      <c r="K691" s="15">
        <v>22.28</v>
      </c>
      <c r="L691" s="15">
        <v>59.36</v>
      </c>
      <c r="M691" s="15">
        <v>5</v>
      </c>
      <c r="N691" s="15">
        <v>4</v>
      </c>
      <c r="O691" s="15">
        <f>0.82+0.67+0.71+0.68</f>
        <v>2.8800000000000003</v>
      </c>
      <c r="P691" s="9">
        <v>1.8123899999999999</v>
      </c>
      <c r="Q691" s="9">
        <v>2.0994299999999999</v>
      </c>
      <c r="R691" s="9">
        <v>3.8461500000000003E-2</v>
      </c>
      <c r="S691" s="9">
        <v>0.18187400000000001</v>
      </c>
      <c r="T691" s="9">
        <v>0.19531899999999999</v>
      </c>
      <c r="U691" s="9">
        <v>3.1176100000000002E-2</v>
      </c>
      <c r="V691" s="9">
        <v>8.3659099999999995</v>
      </c>
      <c r="W691" s="9">
        <v>3.9848499999999998</v>
      </c>
      <c r="X691" s="9">
        <v>7.2221000000000002</v>
      </c>
      <c r="Y691" s="9">
        <v>176.017</v>
      </c>
      <c r="Z691" s="9">
        <v>224.16</v>
      </c>
      <c r="AA691" s="9">
        <f t="shared" si="107"/>
        <v>1.925048309178744</v>
      </c>
      <c r="AB691" s="9">
        <f t="shared" si="108"/>
        <v>4.6859903381642516</v>
      </c>
      <c r="AC691" s="9">
        <f t="shared" si="109"/>
        <v>3.4782608695652177</v>
      </c>
      <c r="AD691" s="9">
        <f t="shared" si="110"/>
        <v>13.473438456827923</v>
      </c>
      <c r="AE691" s="9">
        <f t="shared" si="111"/>
        <v>17.158603796693203</v>
      </c>
      <c r="AF691" s="9">
        <f t="shared" si="112"/>
        <v>4.7699724357915922</v>
      </c>
      <c r="AG691" s="9">
        <f t="shared" si="104"/>
        <v>2.039215622023586</v>
      </c>
      <c r="AH691" s="9">
        <f t="shared" si="113"/>
        <v>0.95163173161539483</v>
      </c>
      <c r="AI691" s="9">
        <f t="shared" si="105"/>
        <v>3.7683957287852969</v>
      </c>
      <c r="AJ691" s="9">
        <f>(4*PI()*(AI691^2))/(Y691+E691)</f>
        <v>0.94378914778417167</v>
      </c>
      <c r="AK691" s="12">
        <f t="shared" si="106"/>
        <v>0.71874999999999989</v>
      </c>
      <c r="AL691" s="12" t="s">
        <v>144</v>
      </c>
      <c r="AM691" s="12" t="s">
        <v>142</v>
      </c>
      <c r="AN691" s="18">
        <v>0.13968</v>
      </c>
      <c r="AO691" s="18">
        <v>2.5101999999999999E-2</v>
      </c>
      <c r="AP691" s="18">
        <v>538.1</v>
      </c>
      <c r="AQ691" s="18">
        <v>468.96</v>
      </c>
      <c r="AR691" s="18">
        <v>9.7123000000000001E-2</v>
      </c>
      <c r="AS691" s="18">
        <v>4.0866E-2</v>
      </c>
      <c r="AT691" s="18">
        <v>0.63712000000000002</v>
      </c>
      <c r="AU691" s="18">
        <v>23.527000000000001</v>
      </c>
      <c r="AV691" s="18">
        <v>0.97484999999999999</v>
      </c>
      <c r="AW691" s="18">
        <v>3.1827000000000001E-2</v>
      </c>
      <c r="AX691" s="18">
        <v>7.8840999999999998E-3</v>
      </c>
      <c r="AY691" s="18">
        <v>-328.86</v>
      </c>
      <c r="AZ691" s="18">
        <v>-50.180999999999997</v>
      </c>
      <c r="BA691" s="18">
        <v>2.3666999999999998</v>
      </c>
      <c r="BB691" s="18">
        <v>80.897999999999996</v>
      </c>
      <c r="BC691" s="18" t="s">
        <v>164</v>
      </c>
      <c r="BD691" s="35" t="s">
        <v>165</v>
      </c>
      <c r="BE691" t="s">
        <v>168</v>
      </c>
    </row>
    <row r="692" spans="1:57" x14ac:dyDescent="0.25">
      <c r="A692" s="18" t="s">
        <v>762</v>
      </c>
      <c r="B692" s="18" t="s">
        <v>5</v>
      </c>
      <c r="C692" s="18" t="s">
        <v>6</v>
      </c>
      <c r="D692" s="18">
        <v>55</v>
      </c>
      <c r="E692" s="18">
        <v>15.614000000000001</v>
      </c>
      <c r="F692" s="18">
        <v>14.285</v>
      </c>
      <c r="G692" s="15">
        <v>7.32</v>
      </c>
      <c r="H692" s="15">
        <v>4.95</v>
      </c>
      <c r="I692" s="15">
        <v>3.2</v>
      </c>
      <c r="J692" s="15">
        <v>61.52</v>
      </c>
      <c r="K692" s="15">
        <v>38.53</v>
      </c>
      <c r="L692" s="15">
        <v>72</v>
      </c>
      <c r="M692" s="15">
        <v>4.2</v>
      </c>
      <c r="N692" s="15">
        <v>2</v>
      </c>
      <c r="O692" s="15">
        <f>3.75+1.11</f>
        <v>4.8600000000000003</v>
      </c>
      <c r="P692" s="9">
        <v>1.1250800000000001</v>
      </c>
      <c r="Q692" s="9">
        <v>1.07561</v>
      </c>
      <c r="R692" s="9">
        <v>0.48979600000000001</v>
      </c>
      <c r="S692" s="9">
        <v>0.13295899999999999</v>
      </c>
      <c r="T692" s="9">
        <v>0.19691900000000001</v>
      </c>
      <c r="U692" s="9">
        <v>0.171928</v>
      </c>
      <c r="V692" s="9">
        <v>4.7405099999999996</v>
      </c>
      <c r="W692" s="9">
        <v>4.4072699999999996</v>
      </c>
      <c r="X692" s="9">
        <v>4.95852</v>
      </c>
      <c r="Y692" s="9">
        <v>66.537899999999993</v>
      </c>
      <c r="Z692" s="9">
        <v>51.9435</v>
      </c>
      <c r="AA692" s="9">
        <f t="shared" si="107"/>
        <v>1.3772718749999997</v>
      </c>
      <c r="AB692" s="9">
        <f t="shared" si="108"/>
        <v>2.2875000000000001</v>
      </c>
      <c r="AC692" s="9">
        <f t="shared" si="109"/>
        <v>1.546875</v>
      </c>
      <c r="AD692" s="9">
        <f t="shared" si="110"/>
        <v>4.2614256436531308</v>
      </c>
      <c r="AE692" s="9">
        <f t="shared" si="111"/>
        <v>3.3267260151146405</v>
      </c>
      <c r="AF692" s="9">
        <f t="shared" si="112"/>
        <v>4.7794906576829508</v>
      </c>
      <c r="AG692" s="9">
        <f t="shared" si="104"/>
        <v>2.2293699923686305</v>
      </c>
      <c r="AH692" s="9">
        <f t="shared" si="113"/>
        <v>0.98057716348040924</v>
      </c>
      <c r="AI692" s="9">
        <f t="shared" si="105"/>
        <v>2.3146262105340223</v>
      </c>
      <c r="AJ692" s="9">
        <f>(4*PI()*(AI692^2))/(Y692+E692)</f>
        <v>0.81950948647765731</v>
      </c>
      <c r="AK692" s="12">
        <f t="shared" si="106"/>
        <v>0.65843621399176955</v>
      </c>
      <c r="AL692" s="12" t="s">
        <v>140</v>
      </c>
      <c r="AM692" s="12" t="s">
        <v>142</v>
      </c>
      <c r="AN692" s="18">
        <v>1.7991999999999999</v>
      </c>
      <c r="AO692" s="18">
        <v>0.28987000000000002</v>
      </c>
      <c r="AP692" s="18">
        <v>3783.6</v>
      </c>
      <c r="AQ692" s="18">
        <v>3479.4</v>
      </c>
      <c r="AR692" s="18">
        <v>1.1991000000000001</v>
      </c>
      <c r="AS692" s="18">
        <v>7.0755000000000002E-3</v>
      </c>
      <c r="AT692" s="18">
        <v>0.71065</v>
      </c>
      <c r="AU692" s="18">
        <v>3.3795999999999999</v>
      </c>
      <c r="AV692" s="18">
        <v>0.33696999999999999</v>
      </c>
      <c r="AW692" s="18">
        <v>5.5764999999999999E-3</v>
      </c>
      <c r="AX692" s="18">
        <v>0.10067</v>
      </c>
      <c r="AY692" s="18">
        <v>-13.657</v>
      </c>
      <c r="AZ692" s="18">
        <v>-297.02</v>
      </c>
      <c r="BA692" s="18">
        <v>0.13086</v>
      </c>
      <c r="BB692" s="18">
        <v>14.945</v>
      </c>
      <c r="BC692" s="18" t="s">
        <v>162</v>
      </c>
      <c r="BD692" s="35" t="s">
        <v>163</v>
      </c>
      <c r="BE692" t="s">
        <v>167</v>
      </c>
    </row>
    <row r="693" spans="1:57" x14ac:dyDescent="0.25">
      <c r="A693" s="18" t="s">
        <v>763</v>
      </c>
      <c r="B693" s="18" t="s">
        <v>26</v>
      </c>
      <c r="C693" s="18" t="s">
        <v>6</v>
      </c>
      <c r="D693" s="18">
        <v>55</v>
      </c>
      <c r="E693" s="18">
        <v>5.7721</v>
      </c>
      <c r="F693" s="18">
        <v>9.2840000000000007</v>
      </c>
      <c r="G693" s="15">
        <v>3.49</v>
      </c>
      <c r="H693" s="15">
        <v>1.55</v>
      </c>
      <c r="I693" s="15">
        <v>2.66</v>
      </c>
      <c r="J693" s="15">
        <v>74.3</v>
      </c>
      <c r="K693" s="15">
        <v>6.08</v>
      </c>
      <c r="L693" s="15">
        <v>78.099999999999994</v>
      </c>
      <c r="M693" s="15">
        <v>3.36</v>
      </c>
      <c r="N693" s="15">
        <v>1</v>
      </c>
      <c r="O693" s="15">
        <v>2.11</v>
      </c>
      <c r="P693" s="9">
        <v>0.63678999999999997</v>
      </c>
      <c r="Q693" s="9">
        <v>1.3778300000000001</v>
      </c>
      <c r="R693" s="9">
        <v>0.466667</v>
      </c>
      <c r="S693" s="9">
        <v>6.0585199999999999E-2</v>
      </c>
      <c r="T693" s="9">
        <v>9.9600999999999995E-2</v>
      </c>
      <c r="U693" s="9">
        <v>5.9705000000000001E-2</v>
      </c>
      <c r="V693" s="9">
        <v>3.4267500000000002</v>
      </c>
      <c r="W693" s="9">
        <v>2.48706</v>
      </c>
      <c r="X693" s="9">
        <v>1.5837300000000001</v>
      </c>
      <c r="Y693" s="9">
        <v>13.8896</v>
      </c>
      <c r="Z693" s="9">
        <v>5.8813500000000003</v>
      </c>
      <c r="AA693" s="9">
        <f t="shared" si="107"/>
        <v>0.93498496240601503</v>
      </c>
      <c r="AB693" s="9">
        <f t="shared" si="108"/>
        <v>1.3120300751879699</v>
      </c>
      <c r="AC693" s="9">
        <f t="shared" si="109"/>
        <v>0.58270676691729317</v>
      </c>
      <c r="AD693" s="9">
        <f t="shared" si="110"/>
        <v>2.4063339165988116</v>
      </c>
      <c r="AE693" s="9">
        <f t="shared" si="111"/>
        <v>1.0189272535125864</v>
      </c>
      <c r="AF693" s="9">
        <f t="shared" si="112"/>
        <v>4.2628991213154928</v>
      </c>
      <c r="AG693" s="9">
        <f t="shared" si="104"/>
        <v>1.3554764822900685</v>
      </c>
      <c r="AH693" s="9">
        <f t="shared" si="113"/>
        <v>0.91735350255842618</v>
      </c>
      <c r="AI693" s="9">
        <f t="shared" si="105"/>
        <v>1.1197716601974179</v>
      </c>
      <c r="AJ693" s="9">
        <f>(4*PI()*(AI693^2))/(Y693+E693)</f>
        <v>0.80139705580188858</v>
      </c>
      <c r="AK693" s="12">
        <f t="shared" si="106"/>
        <v>1.2606635071090049</v>
      </c>
      <c r="AL693" s="12" t="s">
        <v>144</v>
      </c>
      <c r="AM693" s="12" t="s">
        <v>142</v>
      </c>
      <c r="AN693" s="18">
        <v>9.4048999999999996</v>
      </c>
      <c r="AO693" s="18">
        <v>1.4486000000000001</v>
      </c>
      <c r="AP693" s="18">
        <v>26784</v>
      </c>
      <c r="AQ693" s="18">
        <v>24482</v>
      </c>
      <c r="AR693" s="18">
        <v>4.7384000000000004</v>
      </c>
      <c r="AS693" s="18">
        <v>6.2161999999999999E-3</v>
      </c>
      <c r="AT693" s="18">
        <v>0.73860000000000003</v>
      </c>
      <c r="AU693" s="18">
        <v>0.38485999999999998</v>
      </c>
      <c r="AV693" s="18">
        <v>5.9611000000000004E-3</v>
      </c>
      <c r="AW693" s="18">
        <v>2.4082000000000001E-3</v>
      </c>
      <c r="AX693" s="18">
        <v>0.27273999999999998</v>
      </c>
      <c r="AY693" s="18">
        <v>1.7783</v>
      </c>
      <c r="AZ693" s="18">
        <v>346.48</v>
      </c>
      <c r="BA693" s="18">
        <v>1.0911000000000001E-2</v>
      </c>
      <c r="BB693" s="18">
        <v>4.7473999999999998</v>
      </c>
      <c r="BC693" s="18" t="s">
        <v>162</v>
      </c>
      <c r="BD693" s="35" t="s">
        <v>163</v>
      </c>
      <c r="BE693" t="s">
        <v>167</v>
      </c>
    </row>
    <row r="694" spans="1:57" x14ac:dyDescent="0.25">
      <c r="A694" s="18" t="s">
        <v>764</v>
      </c>
      <c r="B694" s="18" t="s">
        <v>26</v>
      </c>
      <c r="C694" s="18" t="s">
        <v>6</v>
      </c>
      <c r="D694" s="18">
        <v>48</v>
      </c>
      <c r="E694" s="18">
        <v>25.047000000000001</v>
      </c>
      <c r="F694" s="18">
        <v>18.591000000000001</v>
      </c>
      <c r="G694" s="15">
        <v>10.47</v>
      </c>
      <c r="H694" s="15">
        <v>6.9</v>
      </c>
      <c r="I694" s="15">
        <v>2.2400000000000002</v>
      </c>
      <c r="J694" s="15">
        <v>58.98</v>
      </c>
      <c r="K694" s="15">
        <v>23.68</v>
      </c>
      <c r="L694" s="15">
        <v>75.7</v>
      </c>
      <c r="M694" s="15">
        <v>7</v>
      </c>
      <c r="N694" s="15">
        <v>2</v>
      </c>
      <c r="O694" s="15">
        <f>2.17+2.02</f>
        <v>4.1899999999999995</v>
      </c>
      <c r="P694" s="9">
        <v>1.2767500000000001</v>
      </c>
      <c r="Q694" s="9">
        <v>1.56775</v>
      </c>
      <c r="R694" s="9">
        <v>0.275362</v>
      </c>
      <c r="S694" s="9">
        <v>0.16401299999999999</v>
      </c>
      <c r="T694" s="9">
        <v>0.19465199999999999</v>
      </c>
      <c r="U694" s="9">
        <v>0.14841199999999999</v>
      </c>
      <c r="V694" s="9">
        <v>8.5522600000000004</v>
      </c>
      <c r="W694" s="9">
        <v>5.45512</v>
      </c>
      <c r="X694" s="9">
        <v>6.9648300000000001</v>
      </c>
      <c r="Y694" s="9">
        <v>135.57599999999999</v>
      </c>
      <c r="Z694" s="9">
        <v>151.71799999999999</v>
      </c>
      <c r="AA694" s="9">
        <f t="shared" si="107"/>
        <v>2.4353214285714282</v>
      </c>
      <c r="AB694" s="9">
        <f t="shared" si="108"/>
        <v>4.6741071428571423</v>
      </c>
      <c r="AC694" s="9">
        <f t="shared" si="109"/>
        <v>3.0803571428571428</v>
      </c>
      <c r="AD694" s="9">
        <f t="shared" si="110"/>
        <v>5.4128638160258706</v>
      </c>
      <c r="AE694" s="9">
        <f t="shared" si="111"/>
        <v>6.0573322154349816</v>
      </c>
      <c r="AF694" s="9">
        <f t="shared" si="112"/>
        <v>4.7660443254856899</v>
      </c>
      <c r="AG694" s="9">
        <f t="shared" si="104"/>
        <v>2.8235983636568083</v>
      </c>
      <c r="AH694" s="9">
        <f t="shared" si="113"/>
        <v>0.95428926641411316</v>
      </c>
      <c r="AI694" s="9">
        <f t="shared" si="105"/>
        <v>3.3086398784460749</v>
      </c>
      <c r="AJ694" s="9">
        <f>(4*PI()*(AI694^2))/(Y694+E694)</f>
        <v>0.85644825881090825</v>
      </c>
      <c r="AK694" s="12">
        <f t="shared" si="106"/>
        <v>0.53460620525059677</v>
      </c>
      <c r="AL694" s="12" t="s">
        <v>140</v>
      </c>
      <c r="AM694" s="12" t="s">
        <v>142</v>
      </c>
      <c r="AN694" s="18">
        <v>4.4836</v>
      </c>
      <c r="AO694" s="18">
        <v>0.55386999999999997</v>
      </c>
      <c r="AP694" s="18">
        <v>5924.9</v>
      </c>
      <c r="AQ694" s="18">
        <v>5654.1</v>
      </c>
      <c r="AR694" s="18">
        <v>2.42</v>
      </c>
      <c r="AS694" s="18">
        <v>1.2199E-2</v>
      </c>
      <c r="AT694" s="18">
        <v>0.70591000000000004</v>
      </c>
      <c r="AU694" s="18">
        <v>4.9416000000000002</v>
      </c>
      <c r="AV694" s="18">
        <v>8.5162000000000002E-2</v>
      </c>
      <c r="AW694" s="18">
        <v>2.0428000000000002E-2</v>
      </c>
      <c r="AX694" s="18">
        <v>0.20363000000000001</v>
      </c>
      <c r="AY694" s="18">
        <v>-25.986000000000001</v>
      </c>
      <c r="AZ694" s="18">
        <v>-616.80999999999995</v>
      </c>
      <c r="BA694" s="18">
        <v>0.23818</v>
      </c>
      <c r="BB694" s="18">
        <v>4.6902999999999997</v>
      </c>
      <c r="BC694" s="18" t="s">
        <v>162</v>
      </c>
      <c r="BD694" s="35" t="s">
        <v>165</v>
      </c>
      <c r="BE694" t="s">
        <v>167</v>
      </c>
    </row>
    <row r="695" spans="1:57" x14ac:dyDescent="0.25">
      <c r="A695" s="18" t="s">
        <v>765</v>
      </c>
      <c r="B695" s="18" t="s">
        <v>5</v>
      </c>
      <c r="C695" s="18" t="s">
        <v>14</v>
      </c>
      <c r="D695" s="18">
        <v>57</v>
      </c>
      <c r="E695" s="18">
        <v>57.273000000000003</v>
      </c>
      <c r="F695" s="18">
        <v>28.702999999999999</v>
      </c>
      <c r="G695" s="15">
        <v>18.61</v>
      </c>
      <c r="H695" s="15">
        <v>17.5</v>
      </c>
      <c r="I695" s="15">
        <v>3.71</v>
      </c>
      <c r="J695" s="15">
        <v>32.549999999999997</v>
      </c>
      <c r="K695" s="15">
        <v>69.37</v>
      </c>
      <c r="L695" s="15">
        <v>42.27</v>
      </c>
      <c r="M695" s="15">
        <v>9.75</v>
      </c>
      <c r="N695" s="15">
        <v>2</v>
      </c>
      <c r="O695" s="15">
        <f>4.33+1.83</f>
        <v>6.16</v>
      </c>
      <c r="P695" s="9">
        <v>2.1615799999999998</v>
      </c>
      <c r="Q695" s="9">
        <v>1.8113999999999999</v>
      </c>
      <c r="R695" s="9">
        <v>9.1428599999999999E-2</v>
      </c>
      <c r="S695" s="9">
        <v>0.174981</v>
      </c>
      <c r="T695" s="9">
        <v>0.208395</v>
      </c>
      <c r="U695" s="9">
        <v>7.3289099999999996E-2</v>
      </c>
      <c r="V695" s="9">
        <v>14.7157</v>
      </c>
      <c r="W695" s="9">
        <v>8.1239399999999993</v>
      </c>
      <c r="X695" s="9">
        <v>17.560500000000001</v>
      </c>
      <c r="Y695" s="9">
        <v>636.46</v>
      </c>
      <c r="Z695" s="9">
        <v>1503.86</v>
      </c>
      <c r="AA695" s="9">
        <f t="shared" si="107"/>
        <v>2.1897412398921832</v>
      </c>
      <c r="AB695" s="9">
        <f t="shared" si="108"/>
        <v>5.0161725067385445</v>
      </c>
      <c r="AC695" s="9">
        <f t="shared" si="109"/>
        <v>4.716981132075472</v>
      </c>
      <c r="AD695" s="9">
        <f t="shared" si="110"/>
        <v>11.112740732980637</v>
      </c>
      <c r="AE695" s="9">
        <f t="shared" si="111"/>
        <v>26.257747978977875</v>
      </c>
      <c r="AF695" s="9">
        <f t="shared" si="112"/>
        <v>4.8487840505982103</v>
      </c>
      <c r="AG695" s="9">
        <f t="shared" si="104"/>
        <v>4.2697262337770843</v>
      </c>
      <c r="AH695" s="9">
        <f t="shared" si="113"/>
        <v>0.9346577409242034</v>
      </c>
      <c r="AI695" s="9">
        <f t="shared" si="105"/>
        <v>7.107326491791528</v>
      </c>
      <c r="AJ695" s="9">
        <f>(4*PI()*(AI695^2))/(Y695+E695)</f>
        <v>0.91501885370796066</v>
      </c>
      <c r="AK695" s="12">
        <f t="shared" si="106"/>
        <v>0.60227272727272729</v>
      </c>
      <c r="AL695" s="12" t="s">
        <v>140</v>
      </c>
      <c r="AM695" s="12" t="s">
        <v>142</v>
      </c>
      <c r="AN695" s="18">
        <v>0.72323000000000004</v>
      </c>
      <c r="AO695" s="18">
        <v>0.13911999999999999</v>
      </c>
      <c r="AP695" s="18">
        <v>1216.8</v>
      </c>
      <c r="AQ695" s="18">
        <v>1131.8</v>
      </c>
      <c r="AR695" s="18">
        <v>0.71892999999999996</v>
      </c>
      <c r="AS695" s="18">
        <v>3.7943999999999999E-2</v>
      </c>
      <c r="AT695" s="18">
        <v>0.63029000000000002</v>
      </c>
      <c r="AU695" s="18">
        <v>3.395</v>
      </c>
      <c r="AV695" s="18">
        <v>0.62827999999999995</v>
      </c>
      <c r="AW695" s="18">
        <v>3.6934000000000002E-2</v>
      </c>
      <c r="AX695" s="18">
        <v>6.2564999999999996E-2</v>
      </c>
      <c r="AY695" s="18">
        <v>-13.433999999999999</v>
      </c>
      <c r="AZ695" s="18">
        <v>-63.683999999999997</v>
      </c>
      <c r="BA695" s="18">
        <v>0.95521</v>
      </c>
      <c r="BB695" s="18">
        <v>28.391999999999999</v>
      </c>
      <c r="BC695" s="18" t="s">
        <v>162</v>
      </c>
      <c r="BD695" s="35" t="s">
        <v>165</v>
      </c>
      <c r="BE695" t="s">
        <v>168</v>
      </c>
    </row>
    <row r="696" spans="1:57" x14ac:dyDescent="0.25">
      <c r="A696" s="18" t="s">
        <v>766</v>
      </c>
      <c r="B696" s="18" t="s">
        <v>5</v>
      </c>
      <c r="C696" s="18" t="s">
        <v>6</v>
      </c>
      <c r="D696" s="18">
        <v>39</v>
      </c>
      <c r="E696" s="18">
        <v>5.6449999999999996</v>
      </c>
      <c r="F696" s="18">
        <v>8.7125000000000004</v>
      </c>
      <c r="G696" s="15">
        <v>6.82</v>
      </c>
      <c r="H696" s="15">
        <v>6.25</v>
      </c>
      <c r="I696" s="15">
        <v>3.3</v>
      </c>
      <c r="J696" s="15">
        <f>180-171.25</f>
        <v>8.75</v>
      </c>
      <c r="K696" s="15">
        <v>61.35</v>
      </c>
      <c r="L696" s="15">
        <v>56.88</v>
      </c>
      <c r="M696" s="15">
        <v>5.3</v>
      </c>
      <c r="N696" s="15">
        <v>1</v>
      </c>
      <c r="O696" s="15">
        <v>2.52</v>
      </c>
      <c r="P696" s="9">
        <v>2.4035700000000002</v>
      </c>
      <c r="Q696" s="9">
        <v>2.0658500000000002</v>
      </c>
      <c r="R696" s="9">
        <v>-0.18548400000000001</v>
      </c>
      <c r="S696" s="9">
        <v>0.208649</v>
      </c>
      <c r="T696" s="9">
        <v>0.23303399999999999</v>
      </c>
      <c r="U696" s="9">
        <v>6.1605500000000001E-2</v>
      </c>
      <c r="V696" s="9">
        <v>5.3742900000000002</v>
      </c>
      <c r="W696" s="9">
        <v>2.6014900000000001</v>
      </c>
      <c r="X696" s="9">
        <v>6.2528499999999996</v>
      </c>
      <c r="Y696" s="9">
        <v>86.752200000000002</v>
      </c>
      <c r="Z696" s="9">
        <v>72.172799999999995</v>
      </c>
      <c r="AA696" s="9">
        <f t="shared" si="107"/>
        <v>0.78833030303030305</v>
      </c>
      <c r="AB696" s="9">
        <f t="shared" si="108"/>
        <v>2.0666666666666669</v>
      </c>
      <c r="AC696" s="9">
        <f t="shared" si="109"/>
        <v>1.893939393939394</v>
      </c>
      <c r="AD696" s="9">
        <f t="shared" si="110"/>
        <v>15.36797165633304</v>
      </c>
      <c r="AE696" s="9">
        <f t="shared" si="111"/>
        <v>12.785261293179806</v>
      </c>
      <c r="AF696" s="9">
        <f t="shared" si="112"/>
        <v>5.0045472526211467</v>
      </c>
      <c r="AG696" s="9">
        <f t="shared" si="104"/>
        <v>1.3404698085027869</v>
      </c>
      <c r="AH696" s="9">
        <f t="shared" si="113"/>
        <v>0.96670533205194187</v>
      </c>
      <c r="AI696" s="9">
        <f t="shared" si="105"/>
        <v>2.5828250016285121</v>
      </c>
      <c r="AJ696" s="9">
        <f>(4*PI()*(AI696^2))/(Y696+E696)</f>
        <v>0.90727933027266816</v>
      </c>
      <c r="AK696" s="12">
        <f t="shared" si="106"/>
        <v>1.3095238095238095</v>
      </c>
      <c r="AL696" s="12" t="s">
        <v>144</v>
      </c>
      <c r="AM696" s="12" t="s">
        <v>142</v>
      </c>
      <c r="AN696" s="18">
        <v>5.2789999999999999</v>
      </c>
      <c r="AO696" s="18">
        <v>0.50876999999999994</v>
      </c>
      <c r="AP696" s="18">
        <v>9638.5</v>
      </c>
      <c r="AQ696" s="18">
        <v>9221.1</v>
      </c>
      <c r="AR696" s="18">
        <v>2.8029999999999999</v>
      </c>
      <c r="AS696" s="18">
        <v>4.6943999999999996E-3</v>
      </c>
      <c r="AT696" s="18">
        <v>0.76529999999999998</v>
      </c>
      <c r="AU696" s="18">
        <v>0.74851999999999996</v>
      </c>
      <c r="AV696" s="18">
        <v>7.5734999999999997E-2</v>
      </c>
      <c r="AW696" s="18">
        <v>6.2547999999999996E-3</v>
      </c>
      <c r="AX696" s="18">
        <v>0.16369</v>
      </c>
      <c r="AY696" s="18">
        <v>2.7503000000000002</v>
      </c>
      <c r="AZ696" s="18">
        <v>1047.9000000000001</v>
      </c>
      <c r="BA696" s="18">
        <v>8.3479999999999999E-2</v>
      </c>
      <c r="BB696" s="18">
        <v>6.7477</v>
      </c>
      <c r="BC696" s="18" t="s">
        <v>162</v>
      </c>
      <c r="BD696" s="35" t="s">
        <v>163</v>
      </c>
      <c r="BE696" t="s">
        <v>167</v>
      </c>
    </row>
    <row r="697" spans="1:57" x14ac:dyDescent="0.25">
      <c r="A697" s="18" t="s">
        <v>767</v>
      </c>
      <c r="B697" s="18" t="s">
        <v>5</v>
      </c>
      <c r="C697" s="18" t="s">
        <v>6</v>
      </c>
      <c r="D697" s="18">
        <v>73</v>
      </c>
      <c r="E697" s="18">
        <v>7.1527000000000003</v>
      </c>
      <c r="F697" s="18">
        <v>9.7281999999999993</v>
      </c>
      <c r="G697" s="15">
        <v>6.47</v>
      </c>
      <c r="H697" s="15">
        <v>4</v>
      </c>
      <c r="I697" s="15">
        <v>3.21</v>
      </c>
      <c r="J697" s="15">
        <v>26.63</v>
      </c>
      <c r="K697" s="15">
        <v>16.920000000000002</v>
      </c>
      <c r="L697" s="15">
        <v>24.69</v>
      </c>
      <c r="M697" s="15">
        <v>6</v>
      </c>
      <c r="N697" s="15">
        <v>1</v>
      </c>
      <c r="O697" s="15">
        <v>3.42</v>
      </c>
      <c r="P697" s="9">
        <v>1.3532</v>
      </c>
      <c r="Q697" s="9">
        <v>1.9729099999999999</v>
      </c>
      <c r="R697" s="9">
        <v>-0.125</v>
      </c>
      <c r="S697" s="9">
        <v>0.18674099999999999</v>
      </c>
      <c r="T697" s="9">
        <v>0.25468600000000002</v>
      </c>
      <c r="U697" s="9">
        <v>0.17513200000000001</v>
      </c>
      <c r="V697" s="9">
        <v>5.9690200000000004</v>
      </c>
      <c r="W697" s="9">
        <v>3.0255000000000001</v>
      </c>
      <c r="X697" s="9">
        <v>4.0941099999999997</v>
      </c>
      <c r="Y697" s="9">
        <v>61.655999999999999</v>
      </c>
      <c r="Z697" s="9">
        <v>41.424799999999998</v>
      </c>
      <c r="AA697" s="9">
        <f t="shared" si="107"/>
        <v>0.9425233644859814</v>
      </c>
      <c r="AB697" s="9">
        <f t="shared" si="108"/>
        <v>2.0155763239875388</v>
      </c>
      <c r="AC697" s="9">
        <f t="shared" si="109"/>
        <v>1.2461059190031152</v>
      </c>
      <c r="AD697" s="9">
        <f t="shared" si="110"/>
        <v>8.6199616927873386</v>
      </c>
      <c r="AE697" s="9">
        <f t="shared" si="111"/>
        <v>5.7914913249542126</v>
      </c>
      <c r="AF697" s="9">
        <f t="shared" si="112"/>
        <v>5.1499348199576707</v>
      </c>
      <c r="AG697" s="9">
        <f t="shared" si="104"/>
        <v>1.5088986456706759</v>
      </c>
      <c r="AH697" s="9">
        <f t="shared" si="113"/>
        <v>0.97455745158417473</v>
      </c>
      <c r="AI697" s="9">
        <f t="shared" si="105"/>
        <v>2.146465621179996</v>
      </c>
      <c r="AJ697" s="9">
        <f>(4*PI()*(AI697^2))/(Y697+E697)</f>
        <v>0.84142301178584289</v>
      </c>
      <c r="AK697" s="12">
        <f t="shared" si="106"/>
        <v>0.93859649122807021</v>
      </c>
      <c r="AL697" s="12" t="s">
        <v>140</v>
      </c>
      <c r="AM697" s="12" t="s">
        <v>143</v>
      </c>
      <c r="AN697" s="18">
        <v>3.9592000000000001</v>
      </c>
      <c r="AO697" s="18">
        <v>0.42148999999999998</v>
      </c>
      <c r="AP697" s="18">
        <v>8899.9</v>
      </c>
      <c r="AQ697" s="18">
        <v>8077.4</v>
      </c>
      <c r="AR697" s="18">
        <v>1.8548</v>
      </c>
      <c r="AS697" s="18">
        <v>9.6605000000000007E-3</v>
      </c>
      <c r="AT697" s="18">
        <v>0.72621999999999998</v>
      </c>
      <c r="AU697" s="18">
        <v>1.2527999999999999</v>
      </c>
      <c r="AV697" s="18">
        <v>0.18626000000000001</v>
      </c>
      <c r="AW697" s="18">
        <v>6.4132E-3</v>
      </c>
      <c r="AX697" s="18">
        <v>0.1588</v>
      </c>
      <c r="AY697" s="18">
        <v>-1.4637</v>
      </c>
      <c r="AZ697" s="18">
        <v>-573.88</v>
      </c>
      <c r="BA697" s="18">
        <v>7.3913000000000006E-2</v>
      </c>
      <c r="BB697" s="18">
        <v>8.8007000000000009</v>
      </c>
      <c r="BC697" s="18" t="s">
        <v>164</v>
      </c>
      <c r="BD697" s="35" t="s">
        <v>165</v>
      </c>
      <c r="BE697" t="s">
        <v>168</v>
      </c>
    </row>
    <row r="698" spans="1:57" x14ac:dyDescent="0.25">
      <c r="A698" s="18" t="s">
        <v>768</v>
      </c>
      <c r="B698" s="18" t="s">
        <v>5</v>
      </c>
      <c r="C698" s="18" t="s">
        <v>6</v>
      </c>
      <c r="D698" s="18">
        <v>45</v>
      </c>
      <c r="E698" s="18">
        <v>11.59</v>
      </c>
      <c r="F698" s="18">
        <v>12.457000000000001</v>
      </c>
      <c r="G698" s="15">
        <v>10.039999999999999</v>
      </c>
      <c r="H698" s="15">
        <v>8.1</v>
      </c>
      <c r="I698" s="15">
        <v>3.5</v>
      </c>
      <c r="J698" s="15">
        <v>18.05</v>
      </c>
      <c r="K698" s="15">
        <v>51.25</v>
      </c>
      <c r="L698" s="15">
        <v>69.78</v>
      </c>
      <c r="M698" s="15">
        <v>8.9</v>
      </c>
      <c r="N698" s="15">
        <v>2</v>
      </c>
      <c r="O698" s="15">
        <f>1.94+2.98</f>
        <v>4.92</v>
      </c>
      <c r="P698" s="9">
        <v>2.13842</v>
      </c>
      <c r="Q698" s="9">
        <v>2.3931399999999998</v>
      </c>
      <c r="R698" s="9">
        <v>-0.13353999999999999</v>
      </c>
      <c r="S698" s="9">
        <v>0.22142700000000001</v>
      </c>
      <c r="T698" s="9">
        <v>0.29760999999999999</v>
      </c>
      <c r="U698" s="9">
        <v>0.167993</v>
      </c>
      <c r="V698" s="9">
        <v>9.0811100000000007</v>
      </c>
      <c r="W698" s="9">
        <v>3.7946499999999999</v>
      </c>
      <c r="X698" s="9">
        <v>8.1145499999999995</v>
      </c>
      <c r="Y698" s="9">
        <v>192.25700000000001</v>
      </c>
      <c r="Z698" s="9">
        <v>208.679</v>
      </c>
      <c r="AA698" s="9">
        <f t="shared" si="107"/>
        <v>1.0841857142857143</v>
      </c>
      <c r="AB698" s="9">
        <f t="shared" si="108"/>
        <v>2.8685714285714283</v>
      </c>
      <c r="AC698" s="9">
        <f t="shared" si="109"/>
        <v>2.3142857142857141</v>
      </c>
      <c r="AD698" s="9">
        <f t="shared" si="110"/>
        <v>16.588179465056083</v>
      </c>
      <c r="AE698" s="9">
        <f t="shared" si="111"/>
        <v>18.00509059534081</v>
      </c>
      <c r="AF698" s="9">
        <f t="shared" si="112"/>
        <v>5.4646581181441647</v>
      </c>
      <c r="AG698" s="9">
        <f t="shared" si="104"/>
        <v>1.9207320429643835</v>
      </c>
      <c r="AH698" s="9">
        <f t="shared" si="113"/>
        <v>0.96879789286207307</v>
      </c>
      <c r="AI698" s="9">
        <f t="shared" si="105"/>
        <v>3.6795669769069068</v>
      </c>
      <c r="AJ698" s="9">
        <f>(4*PI()*(AI698^2))/(Y698+E698)</f>
        <v>0.83463955865515049</v>
      </c>
      <c r="AK698" s="12">
        <f t="shared" si="106"/>
        <v>0.71138211382113825</v>
      </c>
      <c r="AL698" s="12" t="s">
        <v>140</v>
      </c>
      <c r="AM698" s="12" t="s">
        <v>142</v>
      </c>
      <c r="AN698" s="18">
        <v>2.7725</v>
      </c>
      <c r="AO698" s="18">
        <v>0.24815000000000001</v>
      </c>
      <c r="AP698" s="18">
        <v>6291.5</v>
      </c>
      <c r="AQ698" s="18">
        <v>5382.1</v>
      </c>
      <c r="AR698" s="18">
        <v>1.5617000000000001</v>
      </c>
      <c r="AS698" s="18">
        <v>3.9919000000000003E-2</v>
      </c>
      <c r="AT698" s="18">
        <v>0.68223999999999996</v>
      </c>
      <c r="AU698" s="18">
        <v>2.9047999999999998</v>
      </c>
      <c r="AV698" s="18">
        <v>0.35310999999999998</v>
      </c>
      <c r="AW698" s="18">
        <v>2.9221E-2</v>
      </c>
      <c r="AX698" s="18">
        <v>0.14116000000000001</v>
      </c>
      <c r="AY698" s="18">
        <v>-5.2931999999999997</v>
      </c>
      <c r="AZ698" s="18">
        <v>-302.72000000000003</v>
      </c>
      <c r="BA698" s="18">
        <v>0.33712999999999999</v>
      </c>
      <c r="BB698" s="18">
        <v>20.936</v>
      </c>
      <c r="BC698" s="18" t="s">
        <v>164</v>
      </c>
      <c r="BD698" s="35" t="s">
        <v>165</v>
      </c>
      <c r="BE698" t="s">
        <v>168</v>
      </c>
    </row>
    <row r="699" spans="1:57" x14ac:dyDescent="0.25">
      <c r="A699" s="18" t="s">
        <v>769</v>
      </c>
      <c r="B699" s="18" t="s">
        <v>5</v>
      </c>
      <c r="C699" s="18" t="s">
        <v>6</v>
      </c>
      <c r="D699" s="18">
        <v>65</v>
      </c>
      <c r="E699" s="18">
        <v>14.6712487704064</v>
      </c>
      <c r="F699" s="18">
        <v>16.739000000000001</v>
      </c>
      <c r="G699" s="15">
        <v>5.43</v>
      </c>
      <c r="H699" s="15">
        <v>2.2000000000000002</v>
      </c>
      <c r="I699" s="15">
        <v>3.28</v>
      </c>
      <c r="J699" s="15">
        <v>20.77</v>
      </c>
      <c r="K699" s="15">
        <v>0</v>
      </c>
      <c r="L699" s="15">
        <v>15.32</v>
      </c>
      <c r="M699" s="15">
        <v>5.43</v>
      </c>
      <c r="N699" s="15">
        <v>2</v>
      </c>
      <c r="O699" s="15">
        <f>2.73+0.54</f>
        <v>3.27</v>
      </c>
      <c r="P699" s="9">
        <v>0.54093899999999995</v>
      </c>
      <c r="Q699" s="9">
        <v>1.2761400000000001</v>
      </c>
      <c r="R699" s="9">
        <v>0.477273</v>
      </c>
      <c r="S699" s="9">
        <v>0.10026400000000001</v>
      </c>
      <c r="T699" s="9">
        <v>0.12651899999999999</v>
      </c>
      <c r="U699" s="9">
        <v>6.7816799999999997E-2</v>
      </c>
      <c r="V699" s="9">
        <v>5.3169599999999999</v>
      </c>
      <c r="W699" s="9">
        <v>4.1664399999999997</v>
      </c>
      <c r="X699" s="9">
        <v>2.25379</v>
      </c>
      <c r="Y699" s="9">
        <v>25.6355</v>
      </c>
      <c r="Z699" s="9">
        <v>14.0906</v>
      </c>
      <c r="AA699" s="9">
        <f t="shared" si="107"/>
        <v>1.2702560975609756</v>
      </c>
      <c r="AB699" s="9">
        <f t="shared" si="108"/>
        <v>1.6554878048780488</v>
      </c>
      <c r="AC699" s="9">
        <f t="shared" si="109"/>
        <v>0.67073170731707321</v>
      </c>
      <c r="AD699" s="9">
        <f t="shared" si="110"/>
        <v>1.7473291061432861</v>
      </c>
      <c r="AE699" s="9">
        <f t="shared" si="111"/>
        <v>0.96042267570449524</v>
      </c>
      <c r="AF699" s="9">
        <f t="shared" si="112"/>
        <v>4.3942908780839947</v>
      </c>
      <c r="AG699" s="9">
        <f t="shared" si="104"/>
        <v>2.1610190943816625</v>
      </c>
      <c r="AH699" s="9">
        <f t="shared" si="113"/>
        <v>0.8111645511890434</v>
      </c>
      <c r="AI699" s="9">
        <f t="shared" si="105"/>
        <v>1.4983512197087616</v>
      </c>
      <c r="AJ699" s="9">
        <f>(4*PI()*(AI699^2))/(Y699+E699)</f>
        <v>0.6999376370390934</v>
      </c>
      <c r="AK699" s="12">
        <f t="shared" si="106"/>
        <v>1.0030581039755351</v>
      </c>
      <c r="AL699" s="12" t="s">
        <v>144</v>
      </c>
      <c r="AM699" s="12" t="s">
        <v>143</v>
      </c>
      <c r="AN699" s="18">
        <v>12.8288836080194</v>
      </c>
      <c r="AO699" s="18">
        <v>1.9041398011650501</v>
      </c>
      <c r="AP699" s="18">
        <v>21004.604882210901</v>
      </c>
      <c r="AQ699" s="18">
        <v>21428.639531459499</v>
      </c>
      <c r="AR699" s="18">
        <v>6.0492056851176601</v>
      </c>
      <c r="AS699" s="18">
        <v>1.3060183242314401E-2</v>
      </c>
      <c r="AT699" s="18">
        <v>0.74426818667803396</v>
      </c>
      <c r="AU699" s="18">
        <v>0.37585413956325198</v>
      </c>
      <c r="AV699" s="18">
        <v>6.32396923920604E-3</v>
      </c>
      <c r="AW699" s="18">
        <v>6.7369121011283803E-3</v>
      </c>
      <c r="AX699" s="18">
        <v>0.4450716913287</v>
      </c>
      <c r="AY699" s="18">
        <v>2.98998486479449</v>
      </c>
      <c r="AZ699" s="18">
        <v>31510.242319311699</v>
      </c>
      <c r="BA699" s="18">
        <v>4.9644455542292498E-3</v>
      </c>
      <c r="BB699" s="18">
        <v>5.38546468932695</v>
      </c>
      <c r="BC699" s="18" t="s">
        <v>162</v>
      </c>
      <c r="BD699" s="35" t="s">
        <v>163</v>
      </c>
      <c r="BE699" t="s">
        <v>168</v>
      </c>
    </row>
    <row r="700" spans="1:57" x14ac:dyDescent="0.25">
      <c r="A700" s="18" t="s">
        <v>770</v>
      </c>
      <c r="B700" s="18" t="s">
        <v>26</v>
      </c>
      <c r="C700" s="18" t="s">
        <v>6</v>
      </c>
      <c r="D700" s="18">
        <v>57</v>
      </c>
      <c r="E700" s="18">
        <v>20.789000000000001</v>
      </c>
      <c r="F700" s="18">
        <v>16.68</v>
      </c>
      <c r="G700" s="15">
        <v>6.46</v>
      </c>
      <c r="H700" s="15">
        <v>4.5</v>
      </c>
      <c r="I700" s="15">
        <v>1.28</v>
      </c>
      <c r="J700" s="15">
        <v>60.94</v>
      </c>
      <c r="K700" s="15">
        <v>37.49</v>
      </c>
      <c r="L700" s="15">
        <v>84.27</v>
      </c>
      <c r="M700" s="15">
        <v>5.45</v>
      </c>
      <c r="N700" s="15">
        <v>2</v>
      </c>
      <c r="O700" s="15">
        <f>1.53+1.6</f>
        <v>3.13</v>
      </c>
      <c r="P700" s="9">
        <v>0.90764299999999998</v>
      </c>
      <c r="Q700" s="9">
        <v>1.14306</v>
      </c>
      <c r="R700" s="9">
        <v>0.48876399999999998</v>
      </c>
      <c r="S700" s="9">
        <v>7.4548299999999998E-2</v>
      </c>
      <c r="T700" s="9">
        <v>8.2707000000000003E-2</v>
      </c>
      <c r="U700" s="9">
        <v>2.30093E-2</v>
      </c>
      <c r="V700" s="9">
        <v>5.7278599999999997</v>
      </c>
      <c r="W700" s="9">
        <v>5.0110000000000001</v>
      </c>
      <c r="X700" s="9">
        <v>4.5481999999999996</v>
      </c>
      <c r="Y700" s="9">
        <v>68.923900000000003</v>
      </c>
      <c r="Z700" s="9">
        <v>66.8506</v>
      </c>
      <c r="AA700" s="9">
        <f t="shared" si="107"/>
        <v>3.9148437500000002</v>
      </c>
      <c r="AB700" s="9">
        <f t="shared" si="108"/>
        <v>5.046875</v>
      </c>
      <c r="AC700" s="9">
        <f t="shared" si="109"/>
        <v>3.515625</v>
      </c>
      <c r="AD700" s="9">
        <f t="shared" si="110"/>
        <v>3.315402376256674</v>
      </c>
      <c r="AE700" s="9">
        <f t="shared" si="111"/>
        <v>3.2156717494828992</v>
      </c>
      <c r="AF700" s="9">
        <f t="shared" si="112"/>
        <v>4.1843978535506654</v>
      </c>
      <c r="AG700" s="9">
        <f t="shared" si="104"/>
        <v>2.5724199159302947</v>
      </c>
      <c r="AH700" s="9">
        <f t="shared" si="113"/>
        <v>0.96900425777394328</v>
      </c>
      <c r="AI700" s="9">
        <f t="shared" si="105"/>
        <v>2.5177091992569371</v>
      </c>
      <c r="AJ700" s="9">
        <f>(4*PI()*(AI700^2))/(Y700+E700)</f>
        <v>0.88790418275492267</v>
      </c>
      <c r="AK700" s="12">
        <f t="shared" si="106"/>
        <v>0.4089456869009585</v>
      </c>
      <c r="AL700" s="12" t="s">
        <v>144</v>
      </c>
      <c r="AM700" s="12" t="s">
        <v>142</v>
      </c>
      <c r="AN700" s="18">
        <v>14.983000000000001</v>
      </c>
      <c r="AO700" s="18">
        <v>1.2657</v>
      </c>
      <c r="AP700" s="18">
        <v>20318</v>
      </c>
      <c r="AQ700" s="18">
        <v>18834</v>
      </c>
      <c r="AR700" s="18">
        <v>7.4085000000000001</v>
      </c>
      <c r="AS700" s="18">
        <v>9.5264000000000008E-3</v>
      </c>
      <c r="AT700" s="18">
        <v>0.72148999999999996</v>
      </c>
      <c r="AU700" s="18">
        <v>0.33045000000000002</v>
      </c>
      <c r="AV700" s="18">
        <v>4.3742000000000003E-2</v>
      </c>
      <c r="AW700" s="18">
        <v>1.0982E-2</v>
      </c>
      <c r="AX700" s="18">
        <v>0.34926000000000001</v>
      </c>
      <c r="AY700" s="18">
        <v>-0.64856999999999998</v>
      </c>
      <c r="AZ700" s="18">
        <v>-584.54</v>
      </c>
      <c r="BA700" s="18">
        <v>4.7230000000000001E-2</v>
      </c>
      <c r="BB700" s="18">
        <v>75.903999999999996</v>
      </c>
      <c r="BC700" s="18" t="s">
        <v>162</v>
      </c>
      <c r="BD700" s="35" t="s">
        <v>165</v>
      </c>
      <c r="BE700" t="s">
        <v>167</v>
      </c>
    </row>
    <row r="701" spans="1:57" x14ac:dyDescent="0.25">
      <c r="A701" s="18" t="s">
        <v>771</v>
      </c>
      <c r="B701" s="18" t="s">
        <v>5</v>
      </c>
      <c r="C701" s="18" t="s">
        <v>14</v>
      </c>
      <c r="D701" s="18">
        <v>44</v>
      </c>
      <c r="E701" s="18">
        <v>5.1321000000000003</v>
      </c>
      <c r="F701" s="18">
        <v>8.7651000000000003</v>
      </c>
      <c r="G701" s="15">
        <v>3.37</v>
      </c>
      <c r="H701" s="15">
        <v>1.8</v>
      </c>
      <c r="I701" s="15">
        <v>2.74</v>
      </c>
      <c r="J701" s="15">
        <v>43.82</v>
      </c>
      <c r="K701" s="15">
        <v>26.33</v>
      </c>
      <c r="L701" s="15">
        <v>46.52</v>
      </c>
      <c r="M701" s="15">
        <v>3.2</v>
      </c>
      <c r="N701" s="15">
        <v>2</v>
      </c>
      <c r="O701" s="15">
        <f>2.8+0.8</f>
        <v>3.5999999999999996</v>
      </c>
      <c r="P701" s="9">
        <v>0.77930500000000003</v>
      </c>
      <c r="Q701" s="9">
        <v>1.29755</v>
      </c>
      <c r="R701" s="9">
        <v>0.47142899999999999</v>
      </c>
      <c r="S701" s="9">
        <v>6.5917900000000001E-2</v>
      </c>
      <c r="T701" s="9">
        <v>8.6355699999999994E-2</v>
      </c>
      <c r="U701" s="9">
        <v>4.3402200000000002E-2</v>
      </c>
      <c r="V701" s="9">
        <v>3.0613600000000001</v>
      </c>
      <c r="W701" s="9">
        <v>2.35934</v>
      </c>
      <c r="X701" s="9">
        <v>1.8386499999999999</v>
      </c>
      <c r="Y701" s="9">
        <v>12.978199999999999</v>
      </c>
      <c r="Z701" s="9">
        <v>5.42971</v>
      </c>
      <c r="AA701" s="9">
        <f t="shared" si="107"/>
        <v>0.8610729927007299</v>
      </c>
      <c r="AB701" s="9">
        <f t="shared" si="108"/>
        <v>1.2299270072992701</v>
      </c>
      <c r="AC701" s="9">
        <f t="shared" si="109"/>
        <v>0.65693430656934304</v>
      </c>
      <c r="AD701" s="9">
        <f t="shared" si="110"/>
        <v>2.5288283548644803</v>
      </c>
      <c r="AE701" s="9">
        <f t="shared" si="111"/>
        <v>1.0579899066658871</v>
      </c>
      <c r="AF701" s="9">
        <f t="shared" si="112"/>
        <v>4.2011034197000372</v>
      </c>
      <c r="AG701" s="9">
        <f t="shared" si="104"/>
        <v>1.2781229075812044</v>
      </c>
      <c r="AH701" s="9">
        <f t="shared" si="113"/>
        <v>0.91621123246555936</v>
      </c>
      <c r="AI701" s="9">
        <f t="shared" si="105"/>
        <v>1.0903418334437229</v>
      </c>
      <c r="AJ701" s="9">
        <f>(4*PI()*(AI701^2))/(Y701+E701)</f>
        <v>0.82491570077910603</v>
      </c>
      <c r="AK701" s="12">
        <f t="shared" si="106"/>
        <v>0.76111111111111129</v>
      </c>
      <c r="AL701" s="12" t="s">
        <v>144</v>
      </c>
      <c r="AM701" s="12" t="s">
        <v>142</v>
      </c>
      <c r="AN701" s="18">
        <v>21.257999999999999</v>
      </c>
      <c r="AO701" s="18">
        <v>1.9077999999999999</v>
      </c>
      <c r="AP701" s="18">
        <v>46251</v>
      </c>
      <c r="AQ701" s="18">
        <v>45795</v>
      </c>
      <c r="AR701" s="18">
        <v>9.7660999999999998</v>
      </c>
      <c r="AS701" s="18">
        <v>1.2933999999999999E-2</v>
      </c>
      <c r="AT701" s="18">
        <v>0.72104999999999997</v>
      </c>
      <c r="AU701" s="18">
        <v>0.21651999999999999</v>
      </c>
      <c r="AV701" s="18">
        <v>2.8817000000000001E-3</v>
      </c>
      <c r="AW701" s="18">
        <v>6.1284E-3</v>
      </c>
      <c r="AX701" s="18">
        <v>0.48081000000000002</v>
      </c>
      <c r="AY701" s="18">
        <v>3.7303999999999999</v>
      </c>
      <c r="AZ701" s="18">
        <v>10391</v>
      </c>
      <c r="BA701" s="18">
        <v>7.3790000000000001E-3</v>
      </c>
      <c r="BB701" s="18">
        <v>13.756</v>
      </c>
      <c r="BC701" s="18" t="s">
        <v>162</v>
      </c>
      <c r="BD701" s="35" t="s">
        <v>163</v>
      </c>
      <c r="BE701" t="s">
        <v>168</v>
      </c>
    </row>
    <row r="702" spans="1:57" x14ac:dyDescent="0.25">
      <c r="A702" s="18" t="s">
        <v>772</v>
      </c>
      <c r="B702" s="18" t="s">
        <v>5</v>
      </c>
      <c r="C702" s="18" t="s">
        <v>6</v>
      </c>
      <c r="D702" s="18">
        <v>55</v>
      </c>
      <c r="E702" s="18">
        <v>8.7119</v>
      </c>
      <c r="F702" s="18">
        <v>10.898999999999999</v>
      </c>
      <c r="G702" s="15">
        <v>5.42</v>
      </c>
      <c r="H702" s="15">
        <v>3.95</v>
      </c>
      <c r="I702" s="15">
        <v>2.5499999999999998</v>
      </c>
      <c r="J702" s="15">
        <v>27.88</v>
      </c>
      <c r="K702" s="15">
        <v>40.04</v>
      </c>
      <c r="L702" s="15">
        <v>64.64</v>
      </c>
      <c r="M702" s="15">
        <v>4.3</v>
      </c>
      <c r="N702" s="15">
        <v>2</v>
      </c>
      <c r="O702" s="15">
        <f>1.96+1.73</f>
        <v>3.69</v>
      </c>
      <c r="P702" s="9">
        <v>1.23359</v>
      </c>
      <c r="Q702" s="9">
        <v>1.18354</v>
      </c>
      <c r="R702" s="9">
        <v>3.2467500000000003E-2</v>
      </c>
      <c r="S702" s="9">
        <v>0.13544600000000001</v>
      </c>
      <c r="T702" s="9">
        <v>0.15609400000000001</v>
      </c>
      <c r="U702" s="9">
        <v>5.8381500000000003E-2</v>
      </c>
      <c r="V702" s="9">
        <v>3.77644</v>
      </c>
      <c r="W702" s="9">
        <v>3.1908099999999999</v>
      </c>
      <c r="X702" s="9">
        <v>3.9361299999999999</v>
      </c>
      <c r="Y702" s="9">
        <v>43.162100000000002</v>
      </c>
      <c r="Z702" s="9">
        <v>29.233799999999999</v>
      </c>
      <c r="AA702" s="9">
        <f t="shared" si="107"/>
        <v>1.2512980392156863</v>
      </c>
      <c r="AB702" s="9">
        <f t="shared" si="108"/>
        <v>2.1254901960784314</v>
      </c>
      <c r="AC702" s="9">
        <f t="shared" si="109"/>
        <v>1.5490196078431375</v>
      </c>
      <c r="AD702" s="9">
        <f t="shared" si="110"/>
        <v>4.9543842330605266</v>
      </c>
      <c r="AE702" s="9">
        <f t="shared" si="111"/>
        <v>3.355617029580229</v>
      </c>
      <c r="AF702" s="9">
        <f t="shared" si="112"/>
        <v>4.5482645652400135</v>
      </c>
      <c r="AG702" s="9">
        <f t="shared" si="104"/>
        <v>1.6652579071857205</v>
      </c>
      <c r="AH702" s="9">
        <f t="shared" si="113"/>
        <v>0.9600077085139872</v>
      </c>
      <c r="AI702" s="9">
        <f t="shared" si="105"/>
        <v>1.9110214160721015</v>
      </c>
      <c r="AJ702" s="9">
        <f>(4*PI()*(AI702^2))/(Y702+E702)</f>
        <v>0.88469023656459855</v>
      </c>
      <c r="AK702" s="12">
        <f t="shared" si="106"/>
        <v>0.69105691056910568</v>
      </c>
      <c r="AL702" s="12" t="s">
        <v>144</v>
      </c>
      <c r="AM702" s="12" t="s">
        <v>142</v>
      </c>
      <c r="AN702" s="18">
        <v>10.981</v>
      </c>
      <c r="AO702" s="18">
        <v>0.79378000000000004</v>
      </c>
      <c r="AP702" s="18">
        <v>17052</v>
      </c>
      <c r="AQ702" s="18">
        <v>16570</v>
      </c>
      <c r="AR702" s="18">
        <v>5.5617000000000001</v>
      </c>
      <c r="AS702" s="18">
        <v>7.4110000000000001E-3</v>
      </c>
      <c r="AT702" s="18">
        <v>0.78761000000000003</v>
      </c>
      <c r="AU702" s="18">
        <v>0.23758000000000001</v>
      </c>
      <c r="AV702" s="19">
        <v>1.1415E-4</v>
      </c>
      <c r="AW702" s="18">
        <v>7.4720000000000003E-3</v>
      </c>
      <c r="AX702" s="18">
        <v>0.32902999999999999</v>
      </c>
      <c r="AY702" s="18">
        <v>-1.2493000000000001</v>
      </c>
      <c r="AZ702" s="18">
        <v>-1956.3</v>
      </c>
      <c r="BA702" s="18">
        <v>4.3032000000000001E-2</v>
      </c>
      <c r="BB702" s="18">
        <v>20.957999999999998</v>
      </c>
      <c r="BC702" s="18" t="s">
        <v>164</v>
      </c>
      <c r="BD702" s="35" t="s">
        <v>163</v>
      </c>
      <c r="BE702" t="s">
        <v>168</v>
      </c>
    </row>
    <row r="703" spans="1:57" x14ac:dyDescent="0.25">
      <c r="A703" s="18" t="s">
        <v>773</v>
      </c>
      <c r="B703" s="18" t="s">
        <v>5</v>
      </c>
      <c r="C703" s="18" t="s">
        <v>14</v>
      </c>
      <c r="D703" s="18">
        <v>38</v>
      </c>
      <c r="E703" s="18">
        <v>4.6417000000000002</v>
      </c>
      <c r="F703" s="18">
        <v>7.9813000000000001</v>
      </c>
      <c r="G703" s="15">
        <v>3.93</v>
      </c>
      <c r="H703" s="15">
        <v>3.3</v>
      </c>
      <c r="I703" s="15">
        <v>3.45</v>
      </c>
      <c r="J703" s="15">
        <v>77.42</v>
      </c>
      <c r="K703" s="15">
        <v>51.79</v>
      </c>
      <c r="L703" s="15">
        <v>52.85</v>
      </c>
      <c r="M703" s="15">
        <v>2.75</v>
      </c>
      <c r="N703" s="15">
        <v>2</v>
      </c>
      <c r="O703" s="15">
        <f>2.45+1.95</f>
        <v>4.4000000000000004</v>
      </c>
      <c r="P703" s="9">
        <v>1.43109</v>
      </c>
      <c r="Q703" s="9">
        <v>1.1837899999999999</v>
      </c>
      <c r="R703" s="9">
        <v>-0.130769</v>
      </c>
      <c r="S703" s="9">
        <v>0.14638899999999999</v>
      </c>
      <c r="T703" s="9">
        <v>0.188023</v>
      </c>
      <c r="U703" s="9">
        <v>0.113384</v>
      </c>
      <c r="V703" s="9">
        <v>2.7456399999999999</v>
      </c>
      <c r="W703" s="9">
        <v>2.3193600000000001</v>
      </c>
      <c r="X703" s="9">
        <v>3.31921</v>
      </c>
      <c r="Y703" s="9">
        <v>25.6648</v>
      </c>
      <c r="Z703" s="9">
        <v>12.650600000000001</v>
      </c>
      <c r="AA703" s="9">
        <f t="shared" si="107"/>
        <v>0.67227826086956521</v>
      </c>
      <c r="AB703" s="9">
        <f t="shared" si="108"/>
        <v>1.1391304347826088</v>
      </c>
      <c r="AC703" s="9">
        <f t="shared" si="109"/>
        <v>0.9565217391304347</v>
      </c>
      <c r="AD703" s="9">
        <f t="shared" si="110"/>
        <v>5.5291811189865783</v>
      </c>
      <c r="AE703" s="9">
        <f t="shared" si="111"/>
        <v>2.7254238748734299</v>
      </c>
      <c r="AF703" s="9">
        <f t="shared" si="112"/>
        <v>4.7271255265425873</v>
      </c>
      <c r="AG703" s="9">
        <f t="shared" si="104"/>
        <v>1.2155241662341811</v>
      </c>
      <c r="AH703" s="9">
        <f t="shared" si="113"/>
        <v>0.95690721834842984</v>
      </c>
      <c r="AI703" s="9">
        <f t="shared" si="105"/>
        <v>1.4454647490959158</v>
      </c>
      <c r="AJ703" s="9">
        <f>(4*PI()*(AI703^2))/(Y703+E703)</f>
        <v>0.86634144231083177</v>
      </c>
      <c r="AK703" s="12">
        <f t="shared" si="106"/>
        <v>0.78409090909090906</v>
      </c>
      <c r="AL703" s="12" t="s">
        <v>144</v>
      </c>
      <c r="AM703" s="12" t="s">
        <v>142</v>
      </c>
      <c r="AN703" s="18">
        <v>7.4511000000000003</v>
      </c>
      <c r="AO703" s="18">
        <v>0.57081000000000004</v>
      </c>
      <c r="AP703" s="18">
        <v>17018</v>
      </c>
      <c r="AQ703" s="18">
        <v>16980</v>
      </c>
      <c r="AR703" s="18">
        <v>3.4546000000000001</v>
      </c>
      <c r="AS703" s="18">
        <v>2.1849E-2</v>
      </c>
      <c r="AT703" s="18">
        <v>0.72828999999999999</v>
      </c>
      <c r="AU703" s="18">
        <v>0.81959000000000004</v>
      </c>
      <c r="AV703" s="18">
        <v>8.7728E-2</v>
      </c>
      <c r="AW703" s="18">
        <v>1.5280999999999999E-2</v>
      </c>
      <c r="AX703" s="18">
        <v>0.21553</v>
      </c>
      <c r="AY703" s="18">
        <v>1.7221</v>
      </c>
      <c r="AZ703" s="18">
        <v>-383.71</v>
      </c>
      <c r="BA703" s="18">
        <v>2.1850000000000001E-2</v>
      </c>
      <c r="BB703" s="18">
        <v>3.7945000000000002</v>
      </c>
      <c r="BC703" s="18" t="s">
        <v>162</v>
      </c>
      <c r="BD703" s="35" t="s">
        <v>165</v>
      </c>
      <c r="BE703" t="s">
        <v>167</v>
      </c>
    </row>
    <row r="704" spans="1:57" x14ac:dyDescent="0.25">
      <c r="A704" s="18" t="s">
        <v>774</v>
      </c>
      <c r="B704" s="18" t="s">
        <v>26</v>
      </c>
      <c r="C704" s="18" t="s">
        <v>14</v>
      </c>
      <c r="D704" s="18">
        <v>38</v>
      </c>
      <c r="E704" s="18">
        <v>10.728</v>
      </c>
      <c r="F704" s="18">
        <v>12.183999999999999</v>
      </c>
      <c r="G704" s="15">
        <v>7.15</v>
      </c>
      <c r="H704" s="15">
        <v>2.95</v>
      </c>
      <c r="I704" s="15">
        <v>2.86</v>
      </c>
      <c r="J704" s="15">
        <v>61.86</v>
      </c>
      <c r="K704" s="15">
        <v>5.41</v>
      </c>
      <c r="L704" s="15">
        <v>57</v>
      </c>
      <c r="M704" s="15">
        <v>4.2</v>
      </c>
      <c r="N704" s="15">
        <v>2</v>
      </c>
      <c r="O704" s="15">
        <f>1.8+1.82</f>
        <v>3.62</v>
      </c>
      <c r="P704" s="9">
        <v>0.84171399999999996</v>
      </c>
      <c r="Q704" s="9">
        <v>2.0055999999999998</v>
      </c>
      <c r="R704" s="9">
        <v>-6.8965499999999999E-2</v>
      </c>
      <c r="S704" s="9">
        <v>0.181031</v>
      </c>
      <c r="T704" s="9">
        <v>0.23055200000000001</v>
      </c>
      <c r="U704" s="9">
        <v>0.145817</v>
      </c>
      <c r="V704" s="9">
        <v>7.0892499999999998</v>
      </c>
      <c r="W704" s="9">
        <v>3.5347300000000001</v>
      </c>
      <c r="X704" s="9">
        <v>2.9752299999999998</v>
      </c>
      <c r="Y704" s="9">
        <v>57.037100000000002</v>
      </c>
      <c r="Z704" s="9">
        <v>38.662799999999997</v>
      </c>
      <c r="AA704" s="9">
        <f t="shared" si="107"/>
        <v>1.2359195804195806</v>
      </c>
      <c r="AB704" s="9">
        <f t="shared" si="108"/>
        <v>2.5000000000000004</v>
      </c>
      <c r="AC704" s="9">
        <f t="shared" si="109"/>
        <v>1.0314685314685317</v>
      </c>
      <c r="AD704" s="9">
        <f t="shared" si="110"/>
        <v>5.3166573452647281</v>
      </c>
      <c r="AE704" s="9">
        <f t="shared" si="111"/>
        <v>3.6039149888143176</v>
      </c>
      <c r="AF704" s="9">
        <f t="shared" si="112"/>
        <v>4.9884072395493106</v>
      </c>
      <c r="AG704" s="9">
        <f t="shared" si="104"/>
        <v>1.8479254473543314</v>
      </c>
      <c r="AH704" s="9">
        <f t="shared" si="113"/>
        <v>0.95295945663000647</v>
      </c>
      <c r="AI704" s="9">
        <f t="shared" si="105"/>
        <v>2.0976590392195935</v>
      </c>
      <c r="AJ704" s="9">
        <f>(4*PI()*(AI704^2))/(Y704+E704)</f>
        <v>0.81596884347644205</v>
      </c>
      <c r="AK704" s="12">
        <f t="shared" si="106"/>
        <v>0.79005524861878451</v>
      </c>
      <c r="AL704" s="12" t="s">
        <v>140</v>
      </c>
      <c r="AM704" s="12" t="s">
        <v>142</v>
      </c>
      <c r="AN704" s="18">
        <v>6.1177999999999999</v>
      </c>
      <c r="AO704" s="18">
        <v>0.65327000000000002</v>
      </c>
      <c r="AP704" s="18">
        <v>14421</v>
      </c>
      <c r="AQ704" s="18">
        <v>15213</v>
      </c>
      <c r="AR704" s="18">
        <v>2.9811000000000001</v>
      </c>
      <c r="AS704" s="18">
        <v>1.2104E-2</v>
      </c>
      <c r="AT704" s="18">
        <v>0.75727</v>
      </c>
      <c r="AU704" s="18">
        <v>0.74860000000000004</v>
      </c>
      <c r="AV704" s="18">
        <v>4.9017999999999999E-2</v>
      </c>
      <c r="AW704" s="18">
        <v>5.8187999999999998E-3</v>
      </c>
      <c r="AX704" s="18">
        <v>0.23261999999999999</v>
      </c>
      <c r="AY704" s="18">
        <v>-0.72672000000000003</v>
      </c>
      <c r="AZ704" s="18">
        <v>-804.55</v>
      </c>
      <c r="BA704" s="18">
        <v>5.3220000000000003E-2</v>
      </c>
      <c r="BB704" s="18">
        <v>9.8934999999999995</v>
      </c>
      <c r="BC704" s="18" t="s">
        <v>162</v>
      </c>
      <c r="BD704" s="35" t="s">
        <v>165</v>
      </c>
      <c r="BE704" t="s">
        <v>168</v>
      </c>
    </row>
    <row r="705" spans="1:57" x14ac:dyDescent="0.25">
      <c r="A705" s="18" t="s">
        <v>775</v>
      </c>
      <c r="B705" s="18" t="s">
        <v>5</v>
      </c>
      <c r="C705" s="18" t="s">
        <v>6</v>
      </c>
      <c r="D705" s="18">
        <v>46</v>
      </c>
      <c r="E705" s="18">
        <v>6.5849000000000002</v>
      </c>
      <c r="F705" s="18">
        <v>9.6943000000000001</v>
      </c>
      <c r="G705" s="15">
        <v>5.73</v>
      </c>
      <c r="H705" s="15">
        <v>3.95</v>
      </c>
      <c r="I705" s="15">
        <v>3.21</v>
      </c>
      <c r="J705" s="15">
        <v>64.75</v>
      </c>
      <c r="K705" s="15">
        <v>30.75</v>
      </c>
      <c r="L705" s="15">
        <v>24.44</v>
      </c>
      <c r="M705" s="15">
        <v>3.6</v>
      </c>
      <c r="N705" s="15">
        <v>2</v>
      </c>
      <c r="O705" s="15">
        <f>2.82+1.41</f>
        <v>4.2299999999999995</v>
      </c>
      <c r="P705" s="9">
        <v>1.45726</v>
      </c>
      <c r="Q705" s="9">
        <v>1.6105100000000001</v>
      </c>
      <c r="R705" s="9">
        <v>0.214286</v>
      </c>
      <c r="S705" s="9">
        <v>0.18717300000000001</v>
      </c>
      <c r="T705" s="9">
        <v>0.25060700000000002</v>
      </c>
      <c r="U705" s="9">
        <v>0.197212</v>
      </c>
      <c r="V705" s="9">
        <v>4.34213</v>
      </c>
      <c r="W705" s="9">
        <v>2.6961200000000001</v>
      </c>
      <c r="X705" s="9">
        <v>3.92896</v>
      </c>
      <c r="Y705" s="9">
        <v>42.567599999999999</v>
      </c>
      <c r="Z705" s="9">
        <v>23.959199999999999</v>
      </c>
      <c r="AA705" s="9">
        <f t="shared" si="107"/>
        <v>0.83991277258566976</v>
      </c>
      <c r="AB705" s="9">
        <f t="shared" si="108"/>
        <v>1.7850467289719627</v>
      </c>
      <c r="AC705" s="9">
        <f t="shared" si="109"/>
        <v>1.2305295950155763</v>
      </c>
      <c r="AD705" s="9">
        <f t="shared" si="110"/>
        <v>6.4644261871858335</v>
      </c>
      <c r="AE705" s="9">
        <f t="shared" si="111"/>
        <v>3.6385062795182916</v>
      </c>
      <c r="AF705" s="9">
        <f t="shared" si="112"/>
        <v>5.1218983648406597</v>
      </c>
      <c r="AG705" s="9">
        <f t="shared" si="104"/>
        <v>1.4477702751236619</v>
      </c>
      <c r="AH705" s="9">
        <f t="shared" si="113"/>
        <v>0.93834613338026873</v>
      </c>
      <c r="AI705" s="9">
        <f t="shared" si="105"/>
        <v>1.7883858891468414</v>
      </c>
      <c r="AJ705" s="9">
        <f>(4*PI()*(AI705^2))/(Y705+E705)</f>
        <v>0.81768629959651473</v>
      </c>
      <c r="AK705" s="12">
        <f t="shared" si="106"/>
        <v>0.75886524822695045</v>
      </c>
      <c r="AL705" s="12" t="s">
        <v>140</v>
      </c>
      <c r="AM705" s="12" t="s">
        <v>142</v>
      </c>
      <c r="AN705" s="18">
        <v>6.0486000000000004</v>
      </c>
      <c r="AO705" s="18">
        <v>0.63070000000000004</v>
      </c>
      <c r="AP705" s="18">
        <v>14595</v>
      </c>
      <c r="AQ705" s="18">
        <v>13544</v>
      </c>
      <c r="AR705" s="18">
        <v>2.9575</v>
      </c>
      <c r="AS705" s="18">
        <v>9.9003000000000008E-3</v>
      </c>
      <c r="AT705" s="18">
        <v>0.75914000000000004</v>
      </c>
      <c r="AU705" s="18">
        <v>45.085000000000001</v>
      </c>
      <c r="AV705" s="18">
        <v>0.14535000000000001</v>
      </c>
      <c r="AW705" s="18">
        <v>5.6724999999999996E-3</v>
      </c>
      <c r="AX705" s="18">
        <v>0.21548999999999999</v>
      </c>
      <c r="AY705" s="18">
        <v>-1.9967999999999999</v>
      </c>
      <c r="AZ705" s="18">
        <v>-941.35</v>
      </c>
      <c r="BA705" s="18">
        <v>5.9421000000000002E-2</v>
      </c>
      <c r="BB705" s="18">
        <v>9.6151999999999997</v>
      </c>
      <c r="BC705" s="18" t="s">
        <v>164</v>
      </c>
      <c r="BD705" s="35" t="s">
        <v>165</v>
      </c>
      <c r="BE705" t="s">
        <v>167</v>
      </c>
    </row>
    <row r="706" spans="1:57" x14ac:dyDescent="0.25">
      <c r="A706" s="18" t="s">
        <v>776</v>
      </c>
      <c r="B706" s="18" t="s">
        <v>26</v>
      </c>
      <c r="C706" s="18" t="s">
        <v>6</v>
      </c>
      <c r="D706" s="18">
        <v>68</v>
      </c>
      <c r="E706" s="18">
        <v>7.2225999999999999</v>
      </c>
      <c r="F706" s="18">
        <v>9.8712</v>
      </c>
      <c r="G706" s="15">
        <v>5.64</v>
      </c>
      <c r="H706" s="15">
        <v>4.5999999999999996</v>
      </c>
      <c r="I706" s="15">
        <v>2.54</v>
      </c>
      <c r="J706" s="15">
        <v>45.93</v>
      </c>
      <c r="K706" s="15">
        <v>51.83</v>
      </c>
      <c r="L706" s="15">
        <v>25.34</v>
      </c>
      <c r="M706" s="15">
        <v>4.4000000000000004</v>
      </c>
      <c r="N706" s="15">
        <v>1</v>
      </c>
      <c r="O706" s="15">
        <v>2.4900000000000002</v>
      </c>
      <c r="P706" s="9">
        <v>1.5588200000000001</v>
      </c>
      <c r="Q706" s="9">
        <v>1.4374199999999999</v>
      </c>
      <c r="R706" s="9">
        <v>0.291209</v>
      </c>
      <c r="S706" s="9">
        <v>0.17716499999999999</v>
      </c>
      <c r="T706" s="9">
        <v>0.219447</v>
      </c>
      <c r="U706" s="9">
        <v>0.100635</v>
      </c>
      <c r="V706" s="9">
        <v>4.2734199999999998</v>
      </c>
      <c r="W706" s="9">
        <v>2.9729899999999998</v>
      </c>
      <c r="X706" s="9">
        <v>4.63436</v>
      </c>
      <c r="Y706" s="9">
        <v>51.697000000000003</v>
      </c>
      <c r="Z706" s="9">
        <v>34.0871</v>
      </c>
      <c r="AA706" s="9">
        <f t="shared" si="107"/>
        <v>1.1704685039370077</v>
      </c>
      <c r="AB706" s="9">
        <f t="shared" si="108"/>
        <v>2.2204724409448819</v>
      </c>
      <c r="AC706" s="9">
        <f t="shared" si="109"/>
        <v>1.811023622047244</v>
      </c>
      <c r="AD706" s="9">
        <f t="shared" si="110"/>
        <v>7.1576717525544824</v>
      </c>
      <c r="AE706" s="9">
        <f t="shared" si="111"/>
        <v>4.7195054412538422</v>
      </c>
      <c r="AF706" s="9">
        <f t="shared" si="112"/>
        <v>4.9174351176527749</v>
      </c>
      <c r="AG706" s="9">
        <f t="shared" ref="AG706:AG709" si="114">SQRT(E706/PI())</f>
        <v>1.516253601463504</v>
      </c>
      <c r="AH706" s="9">
        <f t="shared" si="113"/>
        <v>0.9651209934631676</v>
      </c>
      <c r="AI706" s="9">
        <f t="shared" ref="AI706:AI709" si="115">(3*Z706/(4*PI()))^(1/3)</f>
        <v>2.0114094296062106</v>
      </c>
      <c r="AJ706" s="9">
        <f>(4*PI()*(AI706^2))/(Y706+E706)</f>
        <v>0.86288126140548405</v>
      </c>
      <c r="AK706" s="12">
        <f t="shared" si="106"/>
        <v>1.0200803212851406</v>
      </c>
      <c r="AL706" s="12" t="s">
        <v>140</v>
      </c>
      <c r="AM706" s="12" t="s">
        <v>143</v>
      </c>
      <c r="AN706" s="18">
        <v>3.2829999999999999</v>
      </c>
      <c r="AO706" s="18">
        <v>0.34478999999999999</v>
      </c>
      <c r="AP706" s="18">
        <v>12281</v>
      </c>
      <c r="AQ706" s="18">
        <v>11230</v>
      </c>
      <c r="AR706" s="18">
        <v>1.6293</v>
      </c>
      <c r="AS706" s="18">
        <v>9.9810000000000003E-3</v>
      </c>
      <c r="AT706" s="18">
        <v>0.74167000000000005</v>
      </c>
      <c r="AU706" s="18">
        <v>1.3777999999999999</v>
      </c>
      <c r="AV706" s="18">
        <v>0.21324000000000001</v>
      </c>
      <c r="AW706" s="18">
        <v>9.2721999999999995E-3</v>
      </c>
      <c r="AX706" s="18">
        <v>0.12181</v>
      </c>
      <c r="AY706" s="18">
        <v>0.86106000000000005</v>
      </c>
      <c r="AZ706" s="18">
        <v>-15.138</v>
      </c>
      <c r="BA706" s="18">
        <v>6.4328999999999997E-2</v>
      </c>
      <c r="BB706" s="18">
        <v>14.981999999999999</v>
      </c>
      <c r="BC706" s="18" t="s">
        <v>164</v>
      </c>
      <c r="BD706" s="35" t="s">
        <v>165</v>
      </c>
      <c r="BE706" t="s">
        <v>167</v>
      </c>
    </row>
    <row r="707" spans="1:57" x14ac:dyDescent="0.25">
      <c r="A707" s="18" t="s">
        <v>777</v>
      </c>
      <c r="B707" s="18" t="s">
        <v>40</v>
      </c>
      <c r="C707" s="18" t="s">
        <v>6</v>
      </c>
      <c r="D707" s="18">
        <v>47</v>
      </c>
      <c r="E707" s="18">
        <v>19.280999999999999</v>
      </c>
      <c r="F707" s="18">
        <v>16.327999999999999</v>
      </c>
      <c r="G707" s="15">
        <v>10.71</v>
      </c>
      <c r="H707" s="15">
        <v>7.4</v>
      </c>
      <c r="I707" s="15">
        <v>2.3199999999999998</v>
      </c>
      <c r="J707" s="15">
        <v>85.12</v>
      </c>
      <c r="K707" s="15">
        <v>29.09</v>
      </c>
      <c r="L707" s="15">
        <v>44.38</v>
      </c>
      <c r="M707" s="15">
        <v>7</v>
      </c>
      <c r="N707" s="15">
        <v>4</v>
      </c>
      <c r="O707" s="15">
        <f>1.05+0.96+1.11+1.45</f>
        <v>4.57</v>
      </c>
      <c r="P707" s="9">
        <v>1.56362</v>
      </c>
      <c r="Q707" s="9">
        <v>2.0859700000000001</v>
      </c>
      <c r="R707" s="9">
        <v>0.10274</v>
      </c>
      <c r="S707" s="9">
        <v>0.19697400000000001</v>
      </c>
      <c r="T707" s="9">
        <v>0.28787499999999999</v>
      </c>
      <c r="U707" s="9">
        <v>0.173897</v>
      </c>
      <c r="V707" s="9">
        <v>9.8112100000000009</v>
      </c>
      <c r="W707" s="9">
        <v>4.70343</v>
      </c>
      <c r="X707" s="9">
        <v>7.3543700000000003</v>
      </c>
      <c r="Y707" s="9">
        <v>177.46100000000001</v>
      </c>
      <c r="Z707" s="9">
        <v>188.92</v>
      </c>
      <c r="AA707" s="9">
        <f t="shared" si="107"/>
        <v>2.0273405172413796</v>
      </c>
      <c r="AB707" s="9">
        <f t="shared" si="108"/>
        <v>4.6163793103448283</v>
      </c>
      <c r="AC707" s="9">
        <f t="shared" si="109"/>
        <v>3.1896551724137936</v>
      </c>
      <c r="AD707" s="9">
        <f t="shared" si="110"/>
        <v>9.2039313313624831</v>
      </c>
      <c r="AE707" s="9">
        <f t="shared" si="111"/>
        <v>9.7982469788911359</v>
      </c>
      <c r="AF707" s="9">
        <f t="shared" si="112"/>
        <v>5.389944581335242</v>
      </c>
      <c r="AG707" s="9">
        <f t="shared" si="114"/>
        <v>2.4773641063658101</v>
      </c>
      <c r="AH707" s="9">
        <f t="shared" si="113"/>
        <v>0.95331563900365901</v>
      </c>
      <c r="AI707" s="9">
        <f t="shared" si="115"/>
        <v>3.5595610222671379</v>
      </c>
      <c r="AJ707" s="9">
        <f>(4*PI()*(AI707^2))/(Y707+E707)</f>
        <v>0.80929278231743162</v>
      </c>
      <c r="AK707" s="12">
        <f t="shared" ref="AK707:AK709" si="116">I707/O707</f>
        <v>0.50765864332603927</v>
      </c>
      <c r="AL707" s="12" t="s">
        <v>140</v>
      </c>
      <c r="AM707" s="12" t="s">
        <v>142</v>
      </c>
      <c r="AN707" s="18">
        <v>0.95709999999999995</v>
      </c>
      <c r="AO707" s="18">
        <v>0.17887</v>
      </c>
      <c r="AP707" s="18">
        <v>2771.2</v>
      </c>
      <c r="AQ707" s="18">
        <v>2494.5</v>
      </c>
      <c r="AR707" s="18">
        <v>0.56759999999999999</v>
      </c>
      <c r="AS707" s="18">
        <v>4.5503000000000002E-2</v>
      </c>
      <c r="AT707" s="18">
        <v>0.65917000000000003</v>
      </c>
      <c r="AU707" s="18">
        <v>26.739000000000001</v>
      </c>
      <c r="AV707" s="18">
        <v>0.56738</v>
      </c>
      <c r="AW707" s="18">
        <v>3.6450000000000003E-2</v>
      </c>
      <c r="AX707" s="18">
        <v>5.5918000000000002E-2</v>
      </c>
      <c r="AY707" s="18">
        <v>-19.155999999999999</v>
      </c>
      <c r="AZ707" s="18">
        <v>-203.57</v>
      </c>
      <c r="BA707" s="18">
        <v>0.33277000000000001</v>
      </c>
      <c r="BB707" s="18">
        <v>13.977</v>
      </c>
      <c r="BC707" s="18" t="s">
        <v>164</v>
      </c>
      <c r="BD707" s="35" t="s">
        <v>165</v>
      </c>
      <c r="BE707" t="s">
        <v>167</v>
      </c>
    </row>
    <row r="708" spans="1:57" x14ac:dyDescent="0.25">
      <c r="A708" s="18" t="s">
        <v>778</v>
      </c>
      <c r="B708" s="18" t="s">
        <v>5</v>
      </c>
      <c r="C708" s="18" t="s">
        <v>6</v>
      </c>
      <c r="D708" s="18">
        <v>59</v>
      </c>
      <c r="E708" s="18">
        <v>9.8825000000000003</v>
      </c>
      <c r="F708" s="18">
        <v>11.532999999999999</v>
      </c>
      <c r="G708" s="15">
        <v>8.08</v>
      </c>
      <c r="H708" s="15">
        <v>5</v>
      </c>
      <c r="I708" s="15">
        <v>3.32</v>
      </c>
      <c r="J708" s="15">
        <v>13.92</v>
      </c>
      <c r="K708" s="15">
        <v>30.95</v>
      </c>
      <c r="L708" s="15">
        <v>20.88</v>
      </c>
      <c r="M708" s="15">
        <v>6.6</v>
      </c>
      <c r="N708" s="15">
        <v>1</v>
      </c>
      <c r="O708" s="15">
        <v>3.39</v>
      </c>
      <c r="P708" s="9">
        <v>1.458</v>
      </c>
      <c r="Q708" s="9">
        <v>1.9615199999999999</v>
      </c>
      <c r="R708" s="9">
        <v>1.51515E-2</v>
      </c>
      <c r="S708" s="9">
        <v>0.19154399999999999</v>
      </c>
      <c r="T708" s="9">
        <v>0.24076400000000001</v>
      </c>
      <c r="U708" s="9">
        <v>0.12529899999999999</v>
      </c>
      <c r="V708" s="9">
        <v>6.7602000000000002</v>
      </c>
      <c r="W708" s="9">
        <v>3.4464199999999998</v>
      </c>
      <c r="X708" s="9">
        <v>5.0248799999999996</v>
      </c>
      <c r="Y708" s="9">
        <v>100.527</v>
      </c>
      <c r="Z708" s="9">
        <v>88.669899999999998</v>
      </c>
      <c r="AA708" s="9">
        <f t="shared" si="107"/>
        <v>1.038078313253012</v>
      </c>
      <c r="AB708" s="9">
        <f t="shared" si="108"/>
        <v>2.4337349397590362</v>
      </c>
      <c r="AC708" s="9">
        <f t="shared" si="109"/>
        <v>1.5060240963855422</v>
      </c>
      <c r="AD708" s="9">
        <f t="shared" si="110"/>
        <v>10.172223627624589</v>
      </c>
      <c r="AE708" s="9">
        <f t="shared" si="111"/>
        <v>8.9724158866683528</v>
      </c>
      <c r="AF708" s="9">
        <f t="shared" si="112"/>
        <v>5.0555131350910774</v>
      </c>
      <c r="AG708" s="9">
        <f t="shared" si="114"/>
        <v>1.7736114146597364</v>
      </c>
      <c r="AH708" s="9">
        <f t="shared" si="113"/>
        <v>0.96626456093263291</v>
      </c>
      <c r="AI708" s="9">
        <f t="shared" si="115"/>
        <v>2.7662782990330848</v>
      </c>
      <c r="AJ708" s="9">
        <f>(4*PI()*(AI708^2))/(Y708+E708)</f>
        <v>0.8709538844785617</v>
      </c>
      <c r="AK708" s="12">
        <f t="shared" si="116"/>
        <v>0.97935103244837751</v>
      </c>
      <c r="AL708" s="12" t="s">
        <v>140</v>
      </c>
      <c r="AM708" s="12" t="s">
        <v>143</v>
      </c>
      <c r="AN708" s="18">
        <v>1.1037999999999999</v>
      </c>
      <c r="AO708" s="18">
        <v>0.13969000000000001</v>
      </c>
      <c r="AP708" s="18">
        <v>3775.8</v>
      </c>
      <c r="AQ708" s="18">
        <v>3527.1</v>
      </c>
      <c r="AR708" s="18">
        <v>0.63566</v>
      </c>
      <c r="AS708" s="18">
        <v>2.3411000000000001E-2</v>
      </c>
      <c r="AT708" s="18">
        <v>0.68908000000000003</v>
      </c>
      <c r="AU708" s="18">
        <v>7.0035999999999996</v>
      </c>
      <c r="AV708" s="18">
        <v>0.80506</v>
      </c>
      <c r="AW708" s="18">
        <v>1.6650999999999999E-2</v>
      </c>
      <c r="AX708" s="18">
        <v>5.5189000000000002E-2</v>
      </c>
      <c r="AY708" s="18">
        <v>3.3580000000000001</v>
      </c>
      <c r="AZ708" s="18">
        <v>994.21</v>
      </c>
      <c r="BA708" s="18">
        <v>7.2595999999999994E-2</v>
      </c>
      <c r="BB708" s="18">
        <v>2.7391999999999999</v>
      </c>
      <c r="BC708" s="18" t="s">
        <v>162</v>
      </c>
      <c r="BD708" s="35" t="s">
        <v>163</v>
      </c>
      <c r="BE708" t="s">
        <v>168</v>
      </c>
    </row>
    <row r="709" spans="1:57" x14ac:dyDescent="0.25">
      <c r="A709" s="18" t="s">
        <v>779</v>
      </c>
      <c r="B709" s="18" t="s">
        <v>26</v>
      </c>
      <c r="C709" s="18" t="s">
        <v>6</v>
      </c>
      <c r="D709" s="18">
        <v>67</v>
      </c>
      <c r="E709" s="18">
        <v>18.149999999999999</v>
      </c>
      <c r="F709" s="18">
        <v>15.468</v>
      </c>
      <c r="G709" s="15">
        <v>5.9</v>
      </c>
      <c r="H709" s="15">
        <v>3.75</v>
      </c>
      <c r="I709" s="15">
        <v>2.6</v>
      </c>
      <c r="J709" s="15">
        <v>75.099999999999994</v>
      </c>
      <c r="K709" s="15">
        <v>27.95</v>
      </c>
      <c r="L709" s="15">
        <v>62.93</v>
      </c>
      <c r="M709" s="15">
        <v>5</v>
      </c>
      <c r="N709" s="15">
        <v>3</v>
      </c>
      <c r="O709" s="15">
        <f>2.86+1.27+1.24</f>
        <v>5.37</v>
      </c>
      <c r="P709" s="9">
        <v>0.805751</v>
      </c>
      <c r="Q709" s="9">
        <v>1.1231500000000001</v>
      </c>
      <c r="R709" s="9">
        <v>0.148649</v>
      </c>
      <c r="S709" s="9">
        <v>4.8738900000000002E-2</v>
      </c>
      <c r="T709" s="9">
        <v>5.2755400000000001E-2</v>
      </c>
      <c r="U709" s="9">
        <v>4.4432999999999999E-3</v>
      </c>
      <c r="V709" s="9">
        <v>5.2780500000000004</v>
      </c>
      <c r="W709" s="9">
        <v>4.6993200000000002</v>
      </c>
      <c r="X709" s="9">
        <v>3.7864800000000001</v>
      </c>
      <c r="Y709" s="9">
        <v>60.065899999999999</v>
      </c>
      <c r="Z709" s="9">
        <v>57.072200000000002</v>
      </c>
      <c r="AA709" s="9">
        <f t="shared" ref="AA709" si="117">W709/I709</f>
        <v>1.8074307692307692</v>
      </c>
      <c r="AB709" s="9">
        <f t="shared" ref="AB709" si="118">G709/I709</f>
        <v>2.2692307692307692</v>
      </c>
      <c r="AC709" s="9">
        <f t="shared" ref="AC709" si="119">H709/I709</f>
        <v>1.4423076923076923</v>
      </c>
      <c r="AD709" s="9">
        <f t="shared" ref="AD709" si="120">Y709/E709</f>
        <v>3.3094159779614327</v>
      </c>
      <c r="AE709" s="9">
        <f t="shared" ref="AE709" si="121">Z709/E709</f>
        <v>3.1444738292011021</v>
      </c>
      <c r="AF709" s="9">
        <f t="shared" ref="AF709" si="122">Y709/(Z709)^(2/3)</f>
        <v>4.0520821935129865</v>
      </c>
      <c r="AG709" s="9">
        <f t="shared" si="114"/>
        <v>2.4036065473025738</v>
      </c>
      <c r="AH709" s="9">
        <f t="shared" si="113"/>
        <v>0.97635798695708476</v>
      </c>
      <c r="AI709" s="9">
        <f t="shared" si="115"/>
        <v>2.3884271622991338</v>
      </c>
      <c r="AJ709" s="9">
        <f>(4*PI()*(AI709^2))/(Y709+E709)</f>
        <v>0.91651340245904034</v>
      </c>
      <c r="AK709" s="12">
        <f t="shared" si="116"/>
        <v>0.48417132216014896</v>
      </c>
      <c r="AL709" s="12" t="s">
        <v>144</v>
      </c>
      <c r="AM709" s="12" t="s">
        <v>142</v>
      </c>
      <c r="AN709" s="18">
        <v>5.2896000000000001</v>
      </c>
      <c r="AO709" s="18">
        <v>0.67962999999999996</v>
      </c>
      <c r="AP709" s="18">
        <v>4785.7</v>
      </c>
      <c r="AQ709" s="18">
        <v>4762.8</v>
      </c>
      <c r="AR709" s="18">
        <v>2.6606999999999998</v>
      </c>
      <c r="AS709" s="18">
        <v>3.1808000000000001E-3</v>
      </c>
      <c r="AT709" s="18">
        <v>0.74694000000000005</v>
      </c>
      <c r="AU709" s="18">
        <v>0.48723</v>
      </c>
      <c r="AV709" s="19">
        <v>7.1100000000000004E-4</v>
      </c>
      <c r="AW709" s="18">
        <v>2.7277E-3</v>
      </c>
      <c r="AX709" s="18">
        <v>0.20874999999999999</v>
      </c>
      <c r="AY709" s="18">
        <v>-17.7</v>
      </c>
      <c r="AZ709" s="18">
        <v>-1069.2</v>
      </c>
      <c r="BA709" s="18">
        <v>9.5186999999999994E-2</v>
      </c>
      <c r="BB709" s="18">
        <v>23.033000000000001</v>
      </c>
      <c r="BC709" s="18" t="s">
        <v>162</v>
      </c>
      <c r="BD709" s="35" t="s">
        <v>163</v>
      </c>
      <c r="BE709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Mstf</dc:creator>
  <cp:lastModifiedBy>Mstf</cp:lastModifiedBy>
  <dcterms:created xsi:type="dcterms:W3CDTF">2015-06-05T18:17:20Z</dcterms:created>
  <dcterms:modified xsi:type="dcterms:W3CDTF">2023-10-19T16:16:58Z</dcterms:modified>
</cp:coreProperties>
</file>