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GS" sheetId="1" r:id="rId4"/>
    <sheet state="visible" name="GWAS traits" sheetId="2" r:id="rId5"/>
    <sheet state="visible" name="WGS clone removal" sheetId="3" r:id="rId6"/>
    <sheet state="visible" name="WGS clone threshold" sheetId="5" r:id="rId7"/>
    <sheet state="visible" name="2bRAD" sheetId="6" r:id="rId8"/>
    <sheet state="visible" name="genotype metadata" sheetId="7" r:id="rId9"/>
  </sheets>
  <definedNames>
    <definedName hidden="1" localSheetId="2" name="_xlnm._FilterDatabase">'WGS clone removal'!$A$1:$E$154</definedName>
    <definedName hidden="1" localSheetId="0" name="Z_35181B25_86A0_4F26_A417_7E5F1D8B288E_.wvu.FilterData">WGS!$A$1:$Z$1000</definedName>
  </definedNames>
  <calcPr/>
  <customWorkbookViews>
    <customWorkbookView activeSheetId="0" maximized="1" windowHeight="0" windowWidth="0" guid="{35181B25-86A0-4F26-A417-7E5F1D8B288E}" name="Filter 1"/>
  </customWorkbookViews>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C100">
      <text>
        <t xml:space="preserve">@michael.studivan@noaa.gov So OF373 (s099) and S373 (s113) should theoretically be the same genotype...
	-Sara Williams
Reran the genotype assignment with a more accurate threshold, but these two samples are showing as 14% dissimilar (clonal cutoff was ~1.4%)
	-Michael Studivan - NOAA Affiliate</t>
      </text>
    </comment>
    <comment authorId="0" ref="C145">
      <text>
        <t xml:space="preserve">@michael.studivan@noaa.gov, I don't have an OF674 or any -674 genotype in the list of samples that we sent you... it's not in the 'Samples for Michael' spreadsheet or the 'Genotype Information Updated 07Apr2023' sheet in the 'Combined Genotype List' spreadsheet... could this be a typo?
	-Sara Williams
@benjamindouglasyoung1993@gmail.com I tried to track it down, but couldn't figure out where the typo happened. It corresponds to mb43 (microbiome), but that's as far as I got
	-Michael Studivan - NOAA Affiliate
...Maybe Helpful: OF655, S564, OF685, &amp; OF626 are similar-ish numbers that don't have wgs data
	-Sara Williams
@benjamindouglasyoung1993@gmail.com These 4
	-Michael Studivan - NOAA Affiliate</t>
      </text>
    </comment>
  </commentList>
</comments>
</file>

<file path=xl/sharedStrings.xml><?xml version="1.0" encoding="utf-8"?>
<sst xmlns="http://schemas.openxmlformats.org/spreadsheetml/2006/main" count="2523" uniqueCount="714">
  <si>
    <t>Sample ID</t>
  </si>
  <si>
    <t>Sequencing</t>
  </si>
  <si>
    <t>Putative Genotype ID</t>
  </si>
  <si>
    <t>Genotype Replicate</t>
  </si>
  <si>
    <t>Technical Replicate</t>
  </si>
  <si>
    <t>Multi-Locus Genotype ID</t>
  </si>
  <si>
    <t>MLG Notes</t>
  </si>
  <si>
    <t>Raw Reads</t>
  </si>
  <si>
    <t>Aligned</t>
  </si>
  <si>
    <t>Alignment Rate</t>
  </si>
  <si>
    <t>Missing Loci</t>
  </si>
  <si>
    <t>Remove</t>
  </si>
  <si>
    <t>Source</t>
  </si>
  <si>
    <t>Hybrid</t>
  </si>
  <si>
    <t>Latitude</t>
  </si>
  <si>
    <t>Longitude</t>
  </si>
  <si>
    <t>Year</t>
  </si>
  <si>
    <t>Partner</t>
  </si>
  <si>
    <t>Symbiodinium</t>
  </si>
  <si>
    <t>Breviolum</t>
  </si>
  <si>
    <t>Cladocopium</t>
  </si>
  <si>
    <t>Durusdinium</t>
  </si>
  <si>
    <t>s001</t>
  </si>
  <si>
    <t>wgs</t>
  </si>
  <si>
    <t>15-353</t>
  </si>
  <si>
    <t>no</t>
  </si>
  <si>
    <t>s002</t>
  </si>
  <si>
    <t>OF100</t>
  </si>
  <si>
    <t>s003</t>
  </si>
  <si>
    <t>GB17</t>
  </si>
  <si>
    <t>s004</t>
  </si>
  <si>
    <t>F32</t>
  </si>
  <si>
    <t>s005</t>
  </si>
  <si>
    <t>GB1</t>
  </si>
  <si>
    <t>GB1_wgs_1</t>
  </si>
  <si>
    <t>yes</t>
  </si>
  <si>
    <t>x</t>
  </si>
  <si>
    <t>s006</t>
  </si>
  <si>
    <t>GB16</t>
  </si>
  <si>
    <t>s007</t>
  </si>
  <si>
    <t>GB9</t>
  </si>
  <si>
    <t>s008</t>
  </si>
  <si>
    <t>M2-AE23</t>
  </si>
  <si>
    <t>s009</t>
  </si>
  <si>
    <t>OF689</t>
  </si>
  <si>
    <t>s010</t>
  </si>
  <si>
    <t>OF75</t>
  </si>
  <si>
    <t>s011</t>
  </si>
  <si>
    <t>M8</t>
  </si>
  <si>
    <t>s012</t>
  </si>
  <si>
    <t>GB19</t>
  </si>
  <si>
    <t>s013</t>
  </si>
  <si>
    <t>M6</t>
  </si>
  <si>
    <t>s014</t>
  </si>
  <si>
    <t>GB30</t>
  </si>
  <si>
    <t>s015</t>
  </si>
  <si>
    <t>S509</t>
  </si>
  <si>
    <t>s016</t>
  </si>
  <si>
    <t>OF656</t>
  </si>
  <si>
    <t>s017</t>
  </si>
  <si>
    <t>OF758</t>
  </si>
  <si>
    <t>s018</t>
  </si>
  <si>
    <t>OF1</t>
  </si>
  <si>
    <t>s019</t>
  </si>
  <si>
    <t>S31</t>
  </si>
  <si>
    <t>s020</t>
  </si>
  <si>
    <t>15-71</t>
  </si>
  <si>
    <t>s021</t>
  </si>
  <si>
    <t>OF232</t>
  </si>
  <si>
    <t>s022</t>
  </si>
  <si>
    <t>OF434</t>
  </si>
  <si>
    <t>s023</t>
  </si>
  <si>
    <t>OF22</t>
  </si>
  <si>
    <t>s024</t>
  </si>
  <si>
    <t>15-350</t>
  </si>
  <si>
    <t>s025</t>
  </si>
  <si>
    <t>OF701</t>
  </si>
  <si>
    <t>s026</t>
  </si>
  <si>
    <t>OF684</t>
  </si>
  <si>
    <t>s027</t>
  </si>
  <si>
    <t>OF5</t>
  </si>
  <si>
    <t>s028</t>
  </si>
  <si>
    <t>OF793</t>
  </si>
  <si>
    <t>s029</t>
  </si>
  <si>
    <t>15-358</t>
  </si>
  <si>
    <t>s030</t>
  </si>
  <si>
    <t>OF592</t>
  </si>
  <si>
    <t>OF687</t>
  </si>
  <si>
    <t>s031</t>
  </si>
  <si>
    <t>15-431</t>
  </si>
  <si>
    <t>s032</t>
  </si>
  <si>
    <t>OF566</t>
  </si>
  <si>
    <t>OF662</t>
  </si>
  <si>
    <t>s033</t>
  </si>
  <si>
    <t>OF569</t>
  </si>
  <si>
    <t>OF677</t>
  </si>
  <si>
    <t>s034</t>
  </si>
  <si>
    <t>OF32</t>
  </si>
  <si>
    <t>s035</t>
  </si>
  <si>
    <t>OF745</t>
  </si>
  <si>
    <t>s036</t>
  </si>
  <si>
    <t>GB29</t>
  </si>
  <si>
    <t>s037</t>
  </si>
  <si>
    <t>OF680</t>
  </si>
  <si>
    <t>s038</t>
  </si>
  <si>
    <t>OF705</t>
  </si>
  <si>
    <t>s039</t>
  </si>
  <si>
    <t>GB6</t>
  </si>
  <si>
    <t>s040</t>
  </si>
  <si>
    <t>OF125</t>
  </si>
  <si>
    <t>s041</t>
  </si>
  <si>
    <t>AE5</t>
  </si>
  <si>
    <t>s042</t>
  </si>
  <si>
    <t>GB8</t>
  </si>
  <si>
    <t>s043</t>
  </si>
  <si>
    <t>GB24</t>
  </si>
  <si>
    <t>s044</t>
  </si>
  <si>
    <t>GB7</t>
  </si>
  <si>
    <t>s045</t>
  </si>
  <si>
    <t>OF464</t>
  </si>
  <si>
    <t>s046</t>
  </si>
  <si>
    <t>OF700</t>
  </si>
  <si>
    <t>s047</t>
  </si>
  <si>
    <t>UK 36</t>
  </si>
  <si>
    <t>s048</t>
  </si>
  <si>
    <t>OF263</t>
  </si>
  <si>
    <t>s049</t>
  </si>
  <si>
    <t>OF416</t>
  </si>
  <si>
    <t>s050</t>
  </si>
  <si>
    <t>OF126</t>
  </si>
  <si>
    <t>s051</t>
  </si>
  <si>
    <t>OF649</t>
  </si>
  <si>
    <t>s052</t>
  </si>
  <si>
    <t>s053</t>
  </si>
  <si>
    <t>OF2</t>
  </si>
  <si>
    <t>s054</t>
  </si>
  <si>
    <t>1-OF-4</t>
  </si>
  <si>
    <t>s055</t>
  </si>
  <si>
    <t>OF608</t>
  </si>
  <si>
    <t>OF693</t>
  </si>
  <si>
    <t>s056</t>
  </si>
  <si>
    <t>OF354</t>
  </si>
  <si>
    <t>s057</t>
  </si>
  <si>
    <t>OF76</t>
  </si>
  <si>
    <t>OF76_wgs_1</t>
  </si>
  <si>
    <t>s058</t>
  </si>
  <si>
    <t>OF3</t>
  </si>
  <si>
    <t>s059</t>
  </si>
  <si>
    <t>F7</t>
  </si>
  <si>
    <t>s060</t>
  </si>
  <si>
    <t>S335</t>
  </si>
  <si>
    <t>s061</t>
  </si>
  <si>
    <t>OF483</t>
  </si>
  <si>
    <t>s062</t>
  </si>
  <si>
    <t>GB3</t>
  </si>
  <si>
    <t>s063</t>
  </si>
  <si>
    <t>OF46</t>
  </si>
  <si>
    <t>s064</t>
  </si>
  <si>
    <t>GB27</t>
  </si>
  <si>
    <t>s065</t>
  </si>
  <si>
    <t>M35</t>
  </si>
  <si>
    <t>s066</t>
  </si>
  <si>
    <t>M14</t>
  </si>
  <si>
    <t>s067</t>
  </si>
  <si>
    <t>OF97</t>
  </si>
  <si>
    <t>s068</t>
  </si>
  <si>
    <t>M36</t>
  </si>
  <si>
    <t>s069</t>
  </si>
  <si>
    <t>M16</t>
  </si>
  <si>
    <t>s070</t>
  </si>
  <si>
    <t>M3</t>
  </si>
  <si>
    <t>s071</t>
  </si>
  <si>
    <t>M17</t>
  </si>
  <si>
    <t>s072</t>
  </si>
  <si>
    <t>M21</t>
  </si>
  <si>
    <t>s073</t>
  </si>
  <si>
    <t>M32</t>
  </si>
  <si>
    <t>s074</t>
  </si>
  <si>
    <t>M26</t>
  </si>
  <si>
    <t>s075</t>
  </si>
  <si>
    <t>M28</t>
  </si>
  <si>
    <t>s076</t>
  </si>
  <si>
    <t>OF101</t>
  </si>
  <si>
    <t>s077</t>
  </si>
  <si>
    <t>S378</t>
  </si>
  <si>
    <t>s078</t>
  </si>
  <si>
    <t>GB2</t>
  </si>
  <si>
    <t>s079</t>
  </si>
  <si>
    <t>GB31</t>
  </si>
  <si>
    <t>s080</t>
  </si>
  <si>
    <t>F-1-A</t>
  </si>
  <si>
    <t>s081</t>
  </si>
  <si>
    <t>OF23</t>
  </si>
  <si>
    <t>s082</t>
  </si>
  <si>
    <t>GB12</t>
  </si>
  <si>
    <t>s083</t>
  </si>
  <si>
    <t>AE10</t>
  </si>
  <si>
    <t>s084</t>
  </si>
  <si>
    <t>OF56</t>
  </si>
  <si>
    <t>OF657</t>
  </si>
  <si>
    <t>s085</t>
  </si>
  <si>
    <t>15-349</t>
  </si>
  <si>
    <t>s086</t>
  </si>
  <si>
    <t>OF635</t>
  </si>
  <si>
    <t>s087</t>
  </si>
  <si>
    <t>GB13</t>
  </si>
  <si>
    <t>KWN</t>
  </si>
  <si>
    <t>N</t>
  </si>
  <si>
    <t>2010-2017</t>
  </si>
  <si>
    <t>Mote</t>
  </si>
  <si>
    <t>s088</t>
  </si>
  <si>
    <t>F12</t>
  </si>
  <si>
    <t>s089</t>
  </si>
  <si>
    <t>OF554</t>
  </si>
  <si>
    <t>OF654</t>
  </si>
  <si>
    <t>s090</t>
  </si>
  <si>
    <t>GB21</t>
  </si>
  <si>
    <t>s091</t>
  </si>
  <si>
    <t>GB14</t>
  </si>
  <si>
    <t>GB14_wgs_1</t>
  </si>
  <si>
    <t>s092</t>
  </si>
  <si>
    <t>OF457</t>
  </si>
  <si>
    <t>s093</t>
  </si>
  <si>
    <t>GB26</t>
  </si>
  <si>
    <t>s094</t>
  </si>
  <si>
    <t>OF200</t>
  </si>
  <si>
    <t>s095</t>
  </si>
  <si>
    <t>OF509</t>
  </si>
  <si>
    <t>s096</t>
  </si>
  <si>
    <t>OF453</t>
  </si>
  <si>
    <t>s097</t>
  </si>
  <si>
    <t>15-155</t>
  </si>
  <si>
    <t>s098</t>
  </si>
  <si>
    <t>s099</t>
  </si>
  <si>
    <t>OF373</t>
  </si>
  <si>
    <t>s100</t>
  </si>
  <si>
    <t>15-111</t>
  </si>
  <si>
    <t>s101</t>
  </si>
  <si>
    <t>OF602</t>
  </si>
  <si>
    <t>s102</t>
  </si>
  <si>
    <t>OF679</t>
  </si>
  <si>
    <t>s103</t>
  </si>
  <si>
    <t>OF696</t>
  </si>
  <si>
    <t>s104</t>
  </si>
  <si>
    <t>OF628</t>
  </si>
  <si>
    <t>s105</t>
  </si>
  <si>
    <t>GB28</t>
  </si>
  <si>
    <t>s106</t>
  </si>
  <si>
    <t>GB25</t>
  </si>
  <si>
    <t>s107</t>
  </si>
  <si>
    <t>GB23</t>
  </si>
  <si>
    <t>s108</t>
  </si>
  <si>
    <t>GB15</t>
  </si>
  <si>
    <t>s109</t>
  </si>
  <si>
    <t>M27</t>
  </si>
  <si>
    <t>s110</t>
  </si>
  <si>
    <t>M18</t>
  </si>
  <si>
    <t>s111</t>
  </si>
  <si>
    <t>M29</t>
  </si>
  <si>
    <t>s112</t>
  </si>
  <si>
    <t>S503</t>
  </si>
  <si>
    <t>s113</t>
  </si>
  <si>
    <t>S373</t>
  </si>
  <si>
    <t>s114</t>
  </si>
  <si>
    <t>S575</t>
  </si>
  <si>
    <t>s115</t>
  </si>
  <si>
    <t>AE3</t>
  </si>
  <si>
    <t>s116</t>
  </si>
  <si>
    <t>M13</t>
  </si>
  <si>
    <t>s117</t>
  </si>
  <si>
    <t>M20</t>
  </si>
  <si>
    <t>s118</t>
  </si>
  <si>
    <t>OF96</t>
  </si>
  <si>
    <t>s119</t>
  </si>
  <si>
    <t>S439</t>
  </si>
  <si>
    <t>s120</t>
  </si>
  <si>
    <t>UK25</t>
  </si>
  <si>
    <t>s121</t>
  </si>
  <si>
    <t>OF11</t>
  </si>
  <si>
    <t>s122</t>
  </si>
  <si>
    <t>s123</t>
  </si>
  <si>
    <t>M4</t>
  </si>
  <si>
    <t>s124</t>
  </si>
  <si>
    <t>1-OF-2</t>
  </si>
  <si>
    <t>s125</t>
  </si>
  <si>
    <t>OF443</t>
  </si>
  <si>
    <t>s126</t>
  </si>
  <si>
    <t>OF98</t>
  </si>
  <si>
    <t>s127</t>
  </si>
  <si>
    <t>GB4</t>
  </si>
  <si>
    <t>s128</t>
  </si>
  <si>
    <t>M22</t>
  </si>
  <si>
    <t>s129</t>
  </si>
  <si>
    <t>OF682</t>
  </si>
  <si>
    <t>s130</t>
  </si>
  <si>
    <t>GB20</t>
  </si>
  <si>
    <t>s131</t>
  </si>
  <si>
    <t>OF683</t>
  </si>
  <si>
    <t>s132</t>
  </si>
  <si>
    <t>OF201</t>
  </si>
  <si>
    <t>s133</t>
  </si>
  <si>
    <t>M2</t>
  </si>
  <si>
    <t>s134</t>
  </si>
  <si>
    <t>OF99</t>
  </si>
  <si>
    <t>s135</t>
  </si>
  <si>
    <t>GB10</t>
  </si>
  <si>
    <t>s136</t>
  </si>
  <si>
    <t>GB5</t>
  </si>
  <si>
    <t>s137</t>
  </si>
  <si>
    <t>OF57</t>
  </si>
  <si>
    <t>s138</t>
  </si>
  <si>
    <t>OF512</t>
  </si>
  <si>
    <t>s139</t>
  </si>
  <si>
    <t>M31</t>
  </si>
  <si>
    <t>s140</t>
  </si>
  <si>
    <t>OF21</t>
  </si>
  <si>
    <t>s141</t>
  </si>
  <si>
    <t>OF132</t>
  </si>
  <si>
    <t>s142</t>
  </si>
  <si>
    <t>OF393</t>
  </si>
  <si>
    <t>OF393_wgs_1</t>
  </si>
  <si>
    <t>s143</t>
  </si>
  <si>
    <t>OF759</t>
  </si>
  <si>
    <t>s144</t>
  </si>
  <si>
    <t>OF674</t>
  </si>
  <si>
    <t>s145</t>
  </si>
  <si>
    <t>s146</t>
  </si>
  <si>
    <t>OF423</t>
  </si>
  <si>
    <t>s147</t>
  </si>
  <si>
    <t>OF559</t>
  </si>
  <si>
    <t>s148</t>
  </si>
  <si>
    <t>15-10</t>
  </si>
  <si>
    <t>s149</t>
  </si>
  <si>
    <t>OF202</t>
  </si>
  <si>
    <t>s150</t>
  </si>
  <si>
    <t>OF211</t>
  </si>
  <si>
    <t>s151</t>
  </si>
  <si>
    <t>OF58</t>
  </si>
  <si>
    <t>s152</t>
  </si>
  <si>
    <t>OF61</t>
  </si>
  <si>
    <t>s153</t>
  </si>
  <si>
    <t>s154</t>
  </si>
  <si>
    <t>s155</t>
  </si>
  <si>
    <t>OF8</t>
  </si>
  <si>
    <t>s156</t>
  </si>
  <si>
    <t>OF733</t>
  </si>
  <si>
    <t>s157</t>
  </si>
  <si>
    <t>GB18</t>
  </si>
  <si>
    <t>s158</t>
  </si>
  <si>
    <t>S59</t>
  </si>
  <si>
    <t>s159</t>
  </si>
  <si>
    <t>S630</t>
  </si>
  <si>
    <t>s160</t>
  </si>
  <si>
    <t>OF76_wgs_2</t>
  </si>
  <si>
    <t>originally 160</t>
  </si>
  <si>
    <t>s161</t>
  </si>
  <si>
    <t>M11</t>
  </si>
  <si>
    <t>s162</t>
  </si>
  <si>
    <t>M7</t>
  </si>
  <si>
    <t>s163</t>
  </si>
  <si>
    <t>M23</t>
  </si>
  <si>
    <t>s164</t>
  </si>
  <si>
    <t>M24</t>
  </si>
  <si>
    <t>s165</t>
  </si>
  <si>
    <t>M5</t>
  </si>
  <si>
    <t>s166</t>
  </si>
  <si>
    <t>M12</t>
  </si>
  <si>
    <t>M12_wgs_1</t>
  </si>
  <si>
    <t>s167</t>
  </si>
  <si>
    <t>GB22</t>
  </si>
  <si>
    <t>s168</t>
  </si>
  <si>
    <t>M34</t>
  </si>
  <si>
    <t>s169</t>
  </si>
  <si>
    <t>S227</t>
  </si>
  <si>
    <t>s170</t>
  </si>
  <si>
    <t>S483</t>
  </si>
  <si>
    <t>s171</t>
  </si>
  <si>
    <t>OF755</t>
  </si>
  <si>
    <t>s172</t>
  </si>
  <si>
    <t>M33</t>
  </si>
  <si>
    <t>M33_wgs_1</t>
  </si>
  <si>
    <t>s173</t>
  </si>
  <si>
    <t>M10</t>
  </si>
  <si>
    <t>s174</t>
  </si>
  <si>
    <t>M19</t>
  </si>
  <si>
    <t>s175</t>
  </si>
  <si>
    <t>M30</t>
  </si>
  <si>
    <t>s176</t>
  </si>
  <si>
    <t>GB14_wgs_2</t>
  </si>
  <si>
    <t>originally 176</t>
  </si>
  <si>
    <t>s177</t>
  </si>
  <si>
    <t>GB1_wgs_2</t>
  </si>
  <si>
    <t>s178</t>
  </si>
  <si>
    <t>M12_wgs_2</t>
  </si>
  <si>
    <t>s179</t>
  </si>
  <si>
    <t>OF393_wgs_2</t>
  </si>
  <si>
    <t>originally 179</t>
  </si>
  <si>
    <t>s180</t>
  </si>
  <si>
    <t>M33_wgs_2</t>
  </si>
  <si>
    <t>putative genos</t>
  </si>
  <si>
    <t>multi-locus genos</t>
  </si>
  <si>
    <t>COUNTA of Sample ID</t>
  </si>
  <si>
    <t>MAX of Alignment Rate</t>
  </si>
  <si>
    <t>MIN of Missing Loci</t>
  </si>
  <si>
    <t>Grand Total</t>
  </si>
  <si>
    <t>dissim</t>
  </si>
  <si>
    <t>disregard</t>
  </si>
  <si>
    <t>threshold</t>
  </si>
  <si>
    <t>Mote.Restoration.name</t>
  </si>
  <si>
    <t>Putative.Genotype.ID</t>
  </si>
  <si>
    <t>Genotype.name</t>
  </si>
  <si>
    <t>Other.names</t>
  </si>
  <si>
    <t>OFAV.Old.Name</t>
  </si>
  <si>
    <t>Mote.Known.Clones</t>
  </si>
  <si>
    <t>Type</t>
  </si>
  <si>
    <t>Collection.Latitude</t>
  </si>
  <si>
    <t>Collection.Longitude</t>
  </si>
  <si>
    <t>Source.Year..Year.of.initial.collection</t>
  </si>
  <si>
    <t>Partner.Source</t>
  </si>
  <si>
    <t>NONE</t>
  </si>
  <si>
    <t>COO</t>
  </si>
  <si>
    <t>Jaap</t>
  </si>
  <si>
    <t>Y</t>
  </si>
  <si>
    <t>12.15.2020</t>
  </si>
  <si>
    <t>X11</t>
  </si>
  <si>
    <t>OF12</t>
  </si>
  <si>
    <t>F1</t>
  </si>
  <si>
    <t>OF27</t>
  </si>
  <si>
    <t>OF12, F12</t>
  </si>
  <si>
    <t>F125</t>
  </si>
  <si>
    <t>F126</t>
  </si>
  <si>
    <t>F132</t>
  </si>
  <si>
    <t>OF15</t>
  </si>
  <si>
    <t>F15</t>
  </si>
  <si>
    <t>F1A</t>
  </si>
  <si>
    <t>F-1-A,1-OF-2</t>
  </si>
  <si>
    <t>OF 2, 1OF2</t>
  </si>
  <si>
    <t>M115</t>
  </si>
  <si>
    <t>SR</t>
  </si>
  <si>
    <t>H</t>
  </si>
  <si>
    <t>2015 batch</t>
  </si>
  <si>
    <t>Margaret Miller</t>
  </si>
  <si>
    <t>S384</t>
  </si>
  <si>
    <t>OF173, OF467</t>
  </si>
  <si>
    <t>S652, 15-652</t>
  </si>
  <si>
    <t>S652</t>
  </si>
  <si>
    <t>OF209</t>
  </si>
  <si>
    <t>15-675B</t>
  </si>
  <si>
    <t>F21</t>
  </si>
  <si>
    <t>15-211,S211</t>
  </si>
  <si>
    <t>15-211</t>
  </si>
  <si>
    <t>F22</t>
  </si>
  <si>
    <t>OF227</t>
  </si>
  <si>
    <t>OF227,15-227</t>
  </si>
  <si>
    <t>S227,15-227</t>
  </si>
  <si>
    <t>F23</t>
  </si>
  <si>
    <t>S771,15-232</t>
  </si>
  <si>
    <t>S771</t>
  </si>
  <si>
    <t>OF251</t>
  </si>
  <si>
    <t>OF259</t>
  </si>
  <si>
    <t>15-263, S263</t>
  </si>
  <si>
    <t>15-263</t>
  </si>
  <si>
    <t>F27</t>
  </si>
  <si>
    <t>OF276</t>
  </si>
  <si>
    <t>15-276</t>
  </si>
  <si>
    <t>OF286</t>
  </si>
  <si>
    <t>15-286</t>
  </si>
  <si>
    <t>F3A</t>
  </si>
  <si>
    <t>F3A,1OF3</t>
  </si>
  <si>
    <t>OF304</t>
  </si>
  <si>
    <t>OF304, S155</t>
  </si>
  <si>
    <t>OF326</t>
  </si>
  <si>
    <t>S326,15-326</t>
  </si>
  <si>
    <t>OF331</t>
  </si>
  <si>
    <t>S331</t>
  </si>
  <si>
    <t>OF335</t>
  </si>
  <si>
    <t>OF335,15-335</t>
  </si>
  <si>
    <t>S335,15-335</t>
  </si>
  <si>
    <t>OF345</t>
  </si>
  <si>
    <t>S345</t>
  </si>
  <si>
    <t>OF349</t>
  </si>
  <si>
    <t>OF349, S349</t>
  </si>
  <si>
    <t>OF350</t>
  </si>
  <si>
    <t>OF350,S350</t>
  </si>
  <si>
    <t>OF353</t>
  </si>
  <si>
    <t>15-17, S17</t>
  </si>
  <si>
    <t>15-17</t>
  </si>
  <si>
    <t>OF357</t>
  </si>
  <si>
    <t>15-175,S175</t>
  </si>
  <si>
    <t>OF378</t>
  </si>
  <si>
    <t>OF694_4.2020</t>
  </si>
  <si>
    <t>S393</t>
  </si>
  <si>
    <t>OF670_4.2020; OF689</t>
  </si>
  <si>
    <t>15-416,S416</t>
  </si>
  <si>
    <t>15-416,F416</t>
  </si>
  <si>
    <t>OF419</t>
  </si>
  <si>
    <t>F419</t>
  </si>
  <si>
    <t>OF420</t>
  </si>
  <si>
    <t>S420,15-420</t>
  </si>
  <si>
    <t>15-423, S423</t>
  </si>
  <si>
    <t>15-423</t>
  </si>
  <si>
    <t>OF429</t>
  </si>
  <si>
    <t>S429</t>
  </si>
  <si>
    <t>OF431</t>
  </si>
  <si>
    <t>OF433</t>
  </si>
  <si>
    <t>15-20</t>
  </si>
  <si>
    <t>S423, S437, 15-434</t>
  </si>
  <si>
    <t>S437</t>
  </si>
  <si>
    <t>OF439</t>
  </si>
  <si>
    <t>OF441</t>
  </si>
  <si>
    <t>15-30</t>
  </si>
  <si>
    <t>S389</t>
  </si>
  <si>
    <t>OF445</t>
  </si>
  <si>
    <t>S445,15-445</t>
  </si>
  <si>
    <t>OF448</t>
  </si>
  <si>
    <t>S448,15-448</t>
  </si>
  <si>
    <t>15-45, S45</t>
  </si>
  <si>
    <t>15-45</t>
  </si>
  <si>
    <t>15-457</t>
  </si>
  <si>
    <t>F46</t>
  </si>
  <si>
    <t>S464,15-464</t>
  </si>
  <si>
    <t>S464</t>
  </si>
  <si>
    <t>OF471</t>
  </si>
  <si>
    <t>S49,15-49</t>
  </si>
  <si>
    <t>OF473</t>
  </si>
  <si>
    <t>15-51</t>
  </si>
  <si>
    <t>F5, 1-of-5</t>
  </si>
  <si>
    <t>F5</t>
  </si>
  <si>
    <t>OF611, OF660</t>
  </si>
  <si>
    <t>OF503</t>
  </si>
  <si>
    <t>OF509, S509</t>
  </si>
  <si>
    <t>S509,15-509</t>
  </si>
  <si>
    <t>S512</t>
  </si>
  <si>
    <t>OF523</t>
  </si>
  <si>
    <t>OF549</t>
  </si>
  <si>
    <t>15-84</t>
  </si>
  <si>
    <t>S554,15-554</t>
  </si>
  <si>
    <t>15-89, S89</t>
  </si>
  <si>
    <t>15-89</t>
  </si>
  <si>
    <t>OF671</t>
  </si>
  <si>
    <t>OF560</t>
  </si>
  <si>
    <t>15-90</t>
  </si>
  <si>
    <t>OF564</t>
  </si>
  <si>
    <t>S564</t>
  </si>
  <si>
    <t>OF564,15-564</t>
  </si>
  <si>
    <t>S564,15-564</t>
  </si>
  <si>
    <t>15-566,S566</t>
  </si>
  <si>
    <t>15-566</t>
  </si>
  <si>
    <t>15-11,S11</t>
  </si>
  <si>
    <t>15-11</t>
  </si>
  <si>
    <t>OF575</t>
  </si>
  <si>
    <t>OF581</t>
  </si>
  <si>
    <t>S581</t>
  </si>
  <si>
    <t>OF590</t>
  </si>
  <si>
    <t>15-201</t>
  </si>
  <si>
    <t>OF591</t>
  </si>
  <si>
    <t>15-591</t>
  </si>
  <si>
    <t>15-592,S592</t>
  </si>
  <si>
    <t>15-592</t>
  </si>
  <si>
    <t>15-602, S602</t>
  </si>
  <si>
    <t>15-602</t>
  </si>
  <si>
    <t>S608,15-608</t>
  </si>
  <si>
    <t>S608</t>
  </si>
  <si>
    <t>F61</t>
  </si>
  <si>
    <t>OF611</t>
  </si>
  <si>
    <t>S611,F611</t>
  </si>
  <si>
    <t>OF622</t>
  </si>
  <si>
    <t>OF622, 15-59</t>
  </si>
  <si>
    <t>S59,15-59</t>
  </si>
  <si>
    <t>OF626</t>
  </si>
  <si>
    <t>S60,15-60</t>
  </si>
  <si>
    <t>S437,15-437</t>
  </si>
  <si>
    <t>OF629</t>
  </si>
  <si>
    <t>S306, 15-306</t>
  </si>
  <si>
    <t>OF630</t>
  </si>
  <si>
    <t>OF630, 15-630</t>
  </si>
  <si>
    <t>S635,15-635</t>
  </si>
  <si>
    <t>S635,F635</t>
  </si>
  <si>
    <t>OF642</t>
  </si>
  <si>
    <t>S385</t>
  </si>
  <si>
    <t>M459</t>
  </si>
  <si>
    <t>NA</t>
  </si>
  <si>
    <t>OF653</t>
  </si>
  <si>
    <t>BP1</t>
  </si>
  <si>
    <t>BP2</t>
  </si>
  <si>
    <t>OF655</t>
  </si>
  <si>
    <t>BP3</t>
  </si>
  <si>
    <t>BP4</t>
  </si>
  <si>
    <t>BP5</t>
  </si>
  <si>
    <t>OF66</t>
  </si>
  <si>
    <t>S648</t>
  </si>
  <si>
    <t>OF668</t>
  </si>
  <si>
    <t>XOF668</t>
  </si>
  <si>
    <t>X-OF-668</t>
  </si>
  <si>
    <t>15-302</t>
  </si>
  <si>
    <t>OF669</t>
  </si>
  <si>
    <t>S432</t>
  </si>
  <si>
    <t>OF670</t>
  </si>
  <si>
    <t>XOF670</t>
  </si>
  <si>
    <t>X-OF-670</t>
  </si>
  <si>
    <t>S546</t>
  </si>
  <si>
    <t>OF393_10.2020</t>
  </si>
  <si>
    <t>15-287</t>
  </si>
  <si>
    <t>OF672</t>
  </si>
  <si>
    <t>XOF672</t>
  </si>
  <si>
    <t>X-OF-672</t>
  </si>
  <si>
    <t>15-386</t>
  </si>
  <si>
    <t>OF697</t>
  </si>
  <si>
    <t>OF675</t>
  </si>
  <si>
    <t>XOF675</t>
  </si>
  <si>
    <t>X-OF-675</t>
  </si>
  <si>
    <t>15-379</t>
  </si>
  <si>
    <t>OF676</t>
  </si>
  <si>
    <t>XOF676</t>
  </si>
  <si>
    <t>X-OF-676</t>
  </si>
  <si>
    <t>15-15</t>
  </si>
  <si>
    <t>15-26,S26</t>
  </si>
  <si>
    <t>15-26</t>
  </si>
  <si>
    <t>XOF677</t>
  </si>
  <si>
    <t>X-OF-677</t>
  </si>
  <si>
    <t>OF678</t>
  </si>
  <si>
    <t>XOF678</t>
  </si>
  <si>
    <t>X-OF-678</t>
  </si>
  <si>
    <t>15-39</t>
  </si>
  <si>
    <t>15-76</t>
  </si>
  <si>
    <t>15-120, S120</t>
  </si>
  <si>
    <t>15-120</t>
  </si>
  <si>
    <t>OF681</t>
  </si>
  <si>
    <t>15-184</t>
  </si>
  <si>
    <t>15-1</t>
  </si>
  <si>
    <t>15-442,S442</t>
  </si>
  <si>
    <t>15-165</t>
  </si>
  <si>
    <t>OF673</t>
  </si>
  <si>
    <t>15-181,S181</t>
  </si>
  <si>
    <t>15-181</t>
  </si>
  <si>
    <t>OF685</t>
  </si>
  <si>
    <t>15-229,S229</t>
  </si>
  <si>
    <t>15-229</t>
  </si>
  <si>
    <t>OF686</t>
  </si>
  <si>
    <t>XOF686</t>
  </si>
  <si>
    <t>X-OF-686</t>
  </si>
  <si>
    <t>15-170</t>
  </si>
  <si>
    <t>15-102</t>
  </si>
  <si>
    <t>OF688</t>
  </si>
  <si>
    <t>XOF688</t>
  </si>
  <si>
    <t>X-OF-688</t>
  </si>
  <si>
    <t>15-7</t>
  </si>
  <si>
    <t>XOF689</t>
  </si>
  <si>
    <t>X-OF-689</t>
  </si>
  <si>
    <t>S660</t>
  </si>
  <si>
    <t>OF393_4.2020</t>
  </si>
  <si>
    <t>OF690</t>
  </si>
  <si>
    <t>F412</t>
  </si>
  <si>
    <t>OF691</t>
  </si>
  <si>
    <t>XOF691</t>
  </si>
  <si>
    <t>X-OF-691</t>
  </si>
  <si>
    <t>15-595</t>
  </si>
  <si>
    <t>OF692</t>
  </si>
  <si>
    <t>15-209</t>
  </si>
  <si>
    <t>15-319</t>
  </si>
  <si>
    <t>OF694</t>
  </si>
  <si>
    <t>XOF694</t>
  </si>
  <si>
    <t>X-OF-694</t>
  </si>
  <si>
    <t>15-327</t>
  </si>
  <si>
    <t>OF695</t>
  </si>
  <si>
    <t>15-380</t>
  </si>
  <si>
    <t>15-425</t>
  </si>
  <si>
    <t>XOF697</t>
  </si>
  <si>
    <t>X-OF-697</t>
  </si>
  <si>
    <t>15-382</t>
  </si>
  <si>
    <t>OF698</t>
  </si>
  <si>
    <t>15-388</t>
  </si>
  <si>
    <t>OF7</t>
  </si>
  <si>
    <t>F5B</t>
  </si>
  <si>
    <t>15-93</t>
  </si>
  <si>
    <t>15-31,S31</t>
  </si>
  <si>
    <t>15-31</t>
  </si>
  <si>
    <t>OF702</t>
  </si>
  <si>
    <t>15-77</t>
  </si>
  <si>
    <t>OF704</t>
  </si>
  <si>
    <t>15-121</t>
  </si>
  <si>
    <t>15-315,S315</t>
  </si>
  <si>
    <t>15-315</t>
  </si>
  <si>
    <t>OF706</t>
  </si>
  <si>
    <t>15-360</t>
  </si>
  <si>
    <t>OF727</t>
  </si>
  <si>
    <t>15-318</t>
  </si>
  <si>
    <t>OF729</t>
  </si>
  <si>
    <t>15-253</t>
  </si>
  <si>
    <t>15-264,S264</t>
  </si>
  <si>
    <t>15-264</t>
  </si>
  <si>
    <t>15-199,S199</t>
  </si>
  <si>
    <t>15-199</t>
  </si>
  <si>
    <t>OF747</t>
  </si>
  <si>
    <t>15-161</t>
  </si>
  <si>
    <t>S161, OF161</t>
  </si>
  <si>
    <t>OF748</t>
  </si>
  <si>
    <t>OF748,15-31</t>
  </si>
  <si>
    <t>F75</t>
  </si>
  <si>
    <t>15-292,S292</t>
  </si>
  <si>
    <t>15-292</t>
  </si>
  <si>
    <t>15-338,S338</t>
  </si>
  <si>
    <t>15-338</t>
  </si>
  <si>
    <t>15-376,S376</t>
  </si>
  <si>
    <t>15-376</t>
  </si>
  <si>
    <t>F76</t>
  </si>
  <si>
    <t>F8</t>
  </si>
  <si>
    <t>Birthday</t>
  </si>
  <si>
    <t>12.14.2020</t>
  </si>
  <si>
    <t>Wonderland2</t>
  </si>
  <si>
    <t>OF4</t>
  </si>
  <si>
    <t>1OF4</t>
  </si>
  <si>
    <t>IOF4</t>
  </si>
  <si>
    <t>F4A,F4B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</si>
</sst>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sz val="11.0"/>
      <color rgb="FF000000"/>
      <name val="Arial"/>
      <scheme val="minor"/>
    </font>
    <font>
      <b/>
      <sz val="11.0"/>
      <color theme="1"/>
      <name val="Arial"/>
      <scheme val="minor"/>
    </font>
    <font>
      <sz val="11.0"/>
      <color theme="1"/>
      <name val="Arial"/>
      <scheme val="minor"/>
    </font>
    <font>
      <sz val="11.0"/>
      <color rgb="FF000000"/>
      <name val="Arial"/>
      <scheme val="minor"/>
    </font>
    <font>
      <sz val="12.0"/>
      <color theme="1"/>
      <name val="Calibri"/>
    </font>
    <font>
      <b/>
      <color theme="1"/>
      <name val="Arial"/>
      <scheme val="minor"/>
    </font>
    <font>
      <color theme="1"/>
      <name val="Arial"/>
      <scheme val="minor"/>
    </font>
    <font>
      <sz val="9.0"/>
      <color rgb="FF000000"/>
      <name val="&quot;Google Sans Mono&quot;"/>
    </font>
    <font>
      <sz val="11.0"/>
      <color theme="1"/>
      <name val="Calibri"/>
    </font>
  </fonts>
  <fills count="9">
    <fill>
      <patternFill patternType="none"/>
    </fill>
    <fill>
      <patternFill patternType="lightGray"/>
    </fill>
    <fill>
      <patternFill patternType="solid">
        <fgColor rgb="FFEA9999"/>
        <bgColor rgb="FFEA9999"/>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readingOrder="0" shrinkToFit="0" vertical="bottom" wrapText="1"/>
    </xf>
    <xf borderId="1" fillId="0" fontId="2" numFmtId="9" xfId="0" applyAlignment="1" applyBorder="1" applyFont="1" applyNumberFormat="1">
      <alignment shrinkToFit="0" vertical="bottom"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wrapText="1"/>
    </xf>
    <xf borderId="1" fillId="2" fontId="4" numFmtId="0" xfId="0" applyAlignment="1" applyBorder="1" applyFill="1" applyFont="1">
      <alignmen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0" fontId="3" numFmtId="164" xfId="0" applyBorder="1" applyFont="1" applyNumberFormat="1"/>
    <xf borderId="1" fillId="0" fontId="3" numFmtId="0" xfId="0" applyAlignment="1" applyBorder="1" applyFont="1">
      <alignment readingOrder="0"/>
    </xf>
    <xf borderId="1" fillId="0" fontId="3" numFmtId="0" xfId="0" applyBorder="1" applyFont="1"/>
    <xf borderId="1" fillId="3" fontId="4" numFmtId="0" xfId="0" applyAlignment="1" applyBorder="1" applyFill="1" applyFont="1">
      <alignment readingOrder="0" shrinkToFit="0" vertical="bottom" wrapText="0"/>
    </xf>
    <xf borderId="1" fillId="4" fontId="4" numFmtId="0" xfId="0" applyAlignment="1" applyBorder="1" applyFill="1" applyFont="1">
      <alignment readingOrder="0" shrinkToFit="0" vertical="bottom" wrapText="0"/>
    </xf>
    <xf borderId="0" fillId="0" fontId="5" numFmtId="9" xfId="0" applyAlignment="1" applyFont="1" applyNumberFormat="1">
      <alignment vertical="bottom"/>
    </xf>
    <xf borderId="0" fillId="0" fontId="6" numFmtId="0" xfId="0" applyAlignment="1" applyFont="1">
      <alignment readingOrder="0"/>
    </xf>
    <xf borderId="0" fillId="0" fontId="6" numFmtId="0" xfId="0" applyFont="1"/>
    <xf borderId="0" fillId="0" fontId="7" numFmtId="164" xfId="0" applyFont="1" applyNumberFormat="1"/>
    <xf borderId="0" fillId="0" fontId="7" numFmtId="0" xfId="0" applyFont="1"/>
    <xf borderId="0" fillId="5" fontId="8" numFmtId="0" xfId="0" applyFill="1" applyFont="1"/>
    <xf borderId="0" fillId="0" fontId="7" numFmtId="0" xfId="0" applyAlignment="1" applyFont="1">
      <alignment readingOrder="0"/>
    </xf>
    <xf borderId="0" fillId="6" fontId="7" numFmtId="0" xfId="0" applyAlignment="1" applyFill="1" applyFont="1">
      <alignment readingOrder="0"/>
    </xf>
    <xf borderId="0" fillId="7" fontId="7" numFmtId="0" xfId="0" applyAlignment="1" applyFill="1" applyFont="1">
      <alignment readingOrder="0"/>
    </xf>
    <xf borderId="0" fillId="8" fontId="7" numFmtId="0" xfId="0" applyAlignment="1" applyFill="1" applyFont="1">
      <alignment readingOrder="0"/>
    </xf>
    <xf borderId="0" fillId="0" fontId="9" numFmtId="0" xfId="0" applyAlignment="1" applyFont="1">
      <alignment vertical="bottom"/>
    </xf>
    <xf borderId="0" fillId="0" fontId="9" numFmtId="0" xfId="0" applyAlignment="1" applyFont="1">
      <alignment horizontal="right" vertical="bottom"/>
    </xf>
    <xf borderId="0" fillId="0" fontId="9"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81" sheet="WGS"/>
  </cacheSource>
  <cacheFields>
    <cacheField name="Sample ID" numFmtId="0">
      <sharedItems>
        <s v="s001"/>
        <s v="s002"/>
        <s v="s003"/>
        <s v="s004"/>
        <s v="s005"/>
        <s v="s006"/>
        <s v="s007"/>
        <s v="s008"/>
        <s v="s009"/>
        <s v="s010"/>
        <s v="s011"/>
        <s v="s012"/>
        <s v="s013"/>
        <s v="s014"/>
        <s v="s015"/>
        <s v="s016"/>
        <s v="s017"/>
        <s v="s018"/>
        <s v="s019"/>
        <s v="s020"/>
        <s v="s021"/>
        <s v="s022"/>
        <s v="s023"/>
        <s v="s024"/>
        <s v="s025"/>
        <s v="s026"/>
        <s v="s027"/>
        <s v="s028"/>
        <s v="s029"/>
        <s v="s030"/>
        <s v="s031"/>
        <s v="s032"/>
        <s v="s033"/>
        <s v="s034"/>
        <s v="s035"/>
        <s v="s036"/>
        <s v="s037"/>
        <s v="s038"/>
        <s v="s039"/>
        <s v="s040"/>
        <s v="s041"/>
        <s v="s042"/>
        <s v="s043"/>
        <s v="s044"/>
        <s v="s045"/>
        <s v="s046"/>
        <s v="s047"/>
        <s v="s048"/>
        <s v="s049"/>
        <s v="s050"/>
        <s v="s051"/>
        <s v="s052"/>
        <s v="s053"/>
        <s v="s054"/>
        <s v="s055"/>
        <s v="s056"/>
        <s v="s057"/>
        <s v="s058"/>
        <s v="s059"/>
        <s v="s060"/>
        <s v="s061"/>
        <s v="s062"/>
        <s v="s063"/>
        <s v="s064"/>
        <s v="s065"/>
        <s v="s066"/>
        <s v="s067"/>
        <s v="s068"/>
        <s v="s069"/>
        <s v="s070"/>
        <s v="s071"/>
        <s v="s072"/>
        <s v="s073"/>
        <s v="s074"/>
        <s v="s075"/>
        <s v="s076"/>
        <s v="s077"/>
        <s v="s078"/>
        <s v="s079"/>
        <s v="s080"/>
        <s v="s081"/>
        <s v="s082"/>
        <s v="s083"/>
        <s v="s084"/>
        <s v="s085"/>
        <s v="s086"/>
        <s v="s087"/>
        <s v="s088"/>
        <s v="s089"/>
        <s v="s090"/>
        <s v="s091"/>
        <s v="s092"/>
        <s v="s093"/>
        <s v="s094"/>
        <s v="s095"/>
        <s v="s096"/>
        <s v="s097"/>
        <s v="s098"/>
        <s v="s099"/>
        <s v="s100"/>
        <s v="s101"/>
        <s v="s102"/>
        <s v="s103"/>
        <s v="s104"/>
        <s v="s105"/>
        <s v="s106"/>
        <s v="s107"/>
        <s v="s108"/>
        <s v="s109"/>
        <s v="s110"/>
        <s v="s111"/>
        <s v="s112"/>
        <s v="s113"/>
        <s v="s114"/>
        <s v="s115"/>
        <s v="s116"/>
        <s v="s117"/>
        <s v="s118"/>
        <s v="s119"/>
        <s v="s120"/>
        <s v="s121"/>
        <s v="s122"/>
        <s v="s123"/>
        <s v="s124"/>
        <s v="s125"/>
        <s v="s126"/>
        <s v="s127"/>
        <s v="s128"/>
        <s v="s129"/>
        <s v="s130"/>
        <s v="s131"/>
        <s v="s132"/>
        <s v="s133"/>
        <s v="s134"/>
        <s v="s135"/>
        <s v="s136"/>
        <s v="s137"/>
        <s v="s138"/>
        <s v="s139"/>
        <s v="s140"/>
        <s v="s141"/>
        <s v="s142"/>
        <s v="s143"/>
        <s v="s144"/>
        <s v="s145"/>
        <s v="s146"/>
        <s v="s147"/>
        <s v="s148"/>
        <s v="s149"/>
        <s v="s150"/>
        <s v="s151"/>
        <s v="s152"/>
        <s v="s153"/>
        <s v="s154"/>
        <s v="s155"/>
        <s v="s156"/>
        <s v="s157"/>
        <s v="s158"/>
        <s v="s159"/>
        <s v="s160"/>
        <s v="s161"/>
        <s v="s162"/>
        <s v="s163"/>
        <s v="s164"/>
        <s v="s165"/>
        <s v="s166"/>
        <s v="s167"/>
        <s v="s168"/>
        <s v="s169"/>
        <s v="s170"/>
        <s v="s171"/>
        <s v="s172"/>
        <s v="s173"/>
        <s v="s174"/>
        <s v="s175"/>
        <s v="s176"/>
        <s v="s177"/>
        <s v="s178"/>
        <s v="s179"/>
        <s v="s180"/>
      </sharedItems>
    </cacheField>
    <cacheField name="Sequencing" numFmtId="0">
      <sharedItems>
        <s v="wgs"/>
      </sharedItems>
    </cacheField>
    <cacheField name="Putative Genotype ID" numFmtId="0">
      <sharedItems>
        <s v="15-353"/>
        <s v="OF100"/>
        <s v="GB17"/>
        <s v="F32"/>
        <s v="GB1"/>
        <s v="GB16"/>
        <s v="GB9"/>
        <s v="M2-AE23"/>
        <s v="OF689"/>
        <s v="OF75"/>
        <s v="M8"/>
        <s v="GB19"/>
        <s v="M6"/>
        <s v="GB30"/>
        <s v="S509"/>
        <s v="OF656"/>
        <s v="OF758"/>
        <s v="OF1"/>
        <s v="S31"/>
        <s v="15-71"/>
        <s v="OF232"/>
        <s v="OF434"/>
        <s v="OF22"/>
        <s v="15-350"/>
        <s v="OF701"/>
        <s v="OF684"/>
        <s v="OF5"/>
        <s v="OF793"/>
        <s v="15-358"/>
        <s v="OF592"/>
        <s v="15-431"/>
        <s v="OF566"/>
        <s v="OF569"/>
        <s v="OF32"/>
        <s v="OF745"/>
        <s v="GB29"/>
        <s v="OF680"/>
        <s v="OF705"/>
        <s v="GB6"/>
        <s v="OF125"/>
        <s v="AE5"/>
        <s v="GB8"/>
        <s v="GB24"/>
        <s v="GB7"/>
        <s v="OF464"/>
        <s v="OF700"/>
        <s v="UK 36"/>
        <s v="OF263"/>
        <s v="OF416"/>
        <s v="OF126"/>
        <s v="OF649"/>
        <s v="OF687"/>
        <s v="OF2"/>
        <s v="1-OF-4"/>
        <s v="OF608"/>
        <s v="OF354"/>
        <s v="OF76"/>
        <s v="OF3"/>
        <s v="F7"/>
        <s v="S335"/>
        <s v="OF483"/>
        <s v="GB3"/>
        <s v="OF46"/>
        <s v="GB27"/>
        <s v="M35"/>
        <s v="M14"/>
        <s v="OF97"/>
        <s v="M36"/>
        <s v="M16"/>
        <s v="M3"/>
        <s v="M17"/>
        <s v="M21"/>
        <s v="M32"/>
        <s v="M26"/>
        <s v="M28"/>
        <s v="OF101"/>
        <s v="S378"/>
        <s v="GB2"/>
        <s v="GB31"/>
        <s v="F-1-A"/>
        <s v="OF23"/>
        <s v="GB12"/>
        <s v="AE10"/>
        <s v="OF56"/>
        <s v="15-349"/>
        <s v="OF635"/>
        <s v="GB13"/>
        <s v="F12"/>
        <s v="OF554"/>
        <s v="GB21"/>
        <s v="GB14"/>
        <s v="OF457"/>
        <s v="GB26"/>
        <s v="OF200"/>
        <s v="OF509"/>
        <s v="OF453"/>
        <s v="15-155"/>
        <s v="OF677"/>
        <s v="OF373"/>
        <s v="15-111"/>
        <s v="OF602"/>
        <s v="OF679"/>
        <s v="OF696"/>
        <s v="OF628"/>
        <s v="GB28"/>
        <s v="GB25"/>
        <s v="GB23"/>
        <s v="GB15"/>
        <s v="M27"/>
        <s v="M18"/>
        <s v="M29"/>
        <s v="S503"/>
        <s v="S373"/>
        <s v="S575"/>
        <s v="AE3"/>
        <s v="M13"/>
        <s v="M20"/>
        <s v="OF96"/>
        <s v="S439"/>
        <s v="UK25"/>
        <s v="OF11"/>
        <s v="OF662"/>
        <s v="M4"/>
        <s v="1-OF-2"/>
        <s v="OF443"/>
        <s v="OF98"/>
        <s v="GB4"/>
        <s v="M22"/>
        <s v="OF682"/>
        <s v="GB20"/>
        <s v="OF683"/>
        <s v="OF201"/>
        <s v="M2"/>
        <s v="OF99"/>
        <s v="GB10"/>
        <s v="GB5"/>
        <s v="OF57"/>
        <s v="OF512"/>
        <s v="M31"/>
        <s v="OF21"/>
        <s v="OF132"/>
        <s v="OF393"/>
        <s v="OF759"/>
        <s v="OF674"/>
        <s v="OF693"/>
        <s v="OF423"/>
        <s v="OF559"/>
        <s v="15-10"/>
        <s v="OF202"/>
        <s v="OF211"/>
        <s v="OF58"/>
        <s v="OF61"/>
        <s v="OF654"/>
        <s v="OF657"/>
        <s v="OF8"/>
        <s v="OF733"/>
        <s v="GB18"/>
        <s v="S59"/>
        <s v="S630"/>
        <s v="M11"/>
        <s v="M7"/>
        <s v="M23"/>
        <s v="M24"/>
        <s v="M5"/>
        <s v="M12"/>
        <s v="GB22"/>
        <s v="M34"/>
        <s v="S227"/>
        <s v="S483"/>
        <s v="OF755"/>
        <s v="M33"/>
        <s v="M10"/>
        <s v="M19"/>
        <s v="M30"/>
      </sharedItems>
    </cacheField>
    <cacheField name="Genotype Replicate" numFmtId="0">
      <sharedItems>
        <s v="15-353"/>
        <s v="OF100"/>
        <s v="GB17"/>
        <s v="F32"/>
        <s v="GB1_wgs_1"/>
        <s v="GB16"/>
        <s v="GB9"/>
        <s v="M2-AE23"/>
        <s v="OF689"/>
        <s v="OF75"/>
        <s v="M8"/>
        <s v="GB19"/>
        <s v="M6"/>
        <s v="GB30"/>
        <s v="S509"/>
        <s v="OF656"/>
        <s v="OF758"/>
        <s v="OF1"/>
        <s v="S31"/>
        <s v="15-71"/>
        <s v="OF232"/>
        <s v="OF434"/>
        <s v="OF22"/>
        <s v="15-350"/>
        <s v="OF701"/>
        <s v="OF684"/>
        <s v="OF5"/>
        <s v="OF793"/>
        <s v="15-358"/>
        <s v="OF687"/>
        <s v="15-431"/>
        <s v="OF662"/>
        <s v="OF677"/>
        <s v="OF32"/>
        <s v="OF745"/>
        <s v="GB29"/>
        <s v="OF680"/>
        <s v="OF705"/>
        <s v="GB6"/>
        <s v="OF125"/>
        <s v="AE5"/>
        <s v="GB8"/>
        <s v="GB24"/>
        <s v="GB7"/>
        <s v="OF464"/>
        <s v="OF700"/>
        <s v="UK 36"/>
        <s v="OF263"/>
        <s v="OF416"/>
        <s v="OF126"/>
        <s v="OF649"/>
        <s v="OF2"/>
        <s v="1-OF-4"/>
        <s v="OF693"/>
        <s v="OF354"/>
        <s v="OF76_wgs_1"/>
        <s v="OF3"/>
        <s v="F7"/>
        <s v="S335"/>
        <s v="OF483"/>
        <s v="GB3"/>
        <s v="OF46"/>
        <s v="GB27"/>
        <s v="M35"/>
        <s v="M14"/>
        <s v="OF97"/>
        <s v="M36"/>
        <s v="M16"/>
        <s v="M3"/>
        <s v="M17"/>
        <s v="M21"/>
        <s v="M32"/>
        <s v="M26"/>
        <s v="M28"/>
        <s v="OF101"/>
        <s v="S378"/>
        <s v="GB2"/>
        <s v="GB31"/>
        <s v="F-1-A"/>
        <s v="OF23"/>
        <s v="GB12"/>
        <s v="AE10"/>
        <s v="OF657"/>
        <s v="15-349"/>
        <s v="OF635"/>
        <s v="GB13"/>
        <s v="F12"/>
        <s v="OF654"/>
        <s v="GB21"/>
        <s v="GB14_wgs_1"/>
        <s v="OF457"/>
        <s v="GB26"/>
        <s v="OF200"/>
        <s v="OF509"/>
        <s v="OF453"/>
        <s v="15-155"/>
        <s v="OF373"/>
        <s v="15-111"/>
        <s v="OF679"/>
        <s v="OF696"/>
        <s v="OF628"/>
        <s v="GB28"/>
        <s v="GB25"/>
        <s v="GB23"/>
        <s v="GB15"/>
        <s v="M27"/>
        <s v="M18"/>
        <s v="M29"/>
        <s v="S503"/>
        <s v="S373"/>
        <s v="S575"/>
        <s v="AE3"/>
        <s v="M13"/>
        <s v="M20"/>
        <s v="OF96"/>
        <s v="S439"/>
        <s v="UK25"/>
        <s v="OF11"/>
        <s v="M4"/>
        <s v="1-OF-2"/>
        <s v="OF443"/>
        <s v="OF98"/>
        <s v="GB4"/>
        <s v="M22"/>
        <s v="OF682"/>
        <s v="GB20"/>
        <s v="OF683"/>
        <s v="OF201"/>
        <s v="M2"/>
        <s v="OF99"/>
        <s v="GB10"/>
        <s v="GB5"/>
        <s v="OF512"/>
        <s v="M31"/>
        <s v="OF21"/>
        <s v="OF132"/>
        <s v="OF393_wgs_1"/>
        <s v="OF759"/>
        <s v="OF674"/>
        <s v="OF423"/>
        <s v="15-10"/>
        <s v="OF202"/>
        <s v="OF211"/>
        <s v="OF8"/>
        <s v="OF733"/>
        <s v="GB18"/>
        <s v="S59"/>
        <s v="S630"/>
        <s v="OF76_wgs_2"/>
        <s v="M11"/>
        <s v="M7"/>
        <s v="M23"/>
        <s v="M24"/>
        <s v="M5"/>
        <s v="M12_wgs_1"/>
        <s v="GB22"/>
        <s v="M34"/>
        <s v="S227"/>
        <s v="S483"/>
        <s v="OF755"/>
        <s v="M33_wgs_1"/>
        <s v="M10"/>
        <s v="M19"/>
        <s v="M30"/>
        <s v="GB14_wgs_2"/>
        <s v="GB1_wgs_2"/>
        <s v="M12_wgs_2"/>
        <s v="OF393_wgs_2"/>
        <s v="M33_wgs_2"/>
      </sharedItems>
    </cacheField>
    <cacheField name="Technical Replicate" numFmtId="0">
      <sharedItems>
        <s v="no"/>
        <s v="yes"/>
      </sharedItems>
    </cacheField>
    <cacheField name="Multi-Locus Genotype ID" numFmtId="0">
      <sharedItems containsSemiMixedTypes="0" containsString="0" containsNumber="1" containsInteger="1">
        <n v="1.0"/>
        <n v="2.0"/>
        <n v="3.0"/>
        <n v="4.0"/>
        <n v="154.0"/>
        <n v="6.0"/>
        <n v="7.0"/>
        <n v="8.0"/>
        <n v="9.0"/>
        <n v="10.0"/>
        <n v="11.0"/>
        <n v="12.0"/>
        <n v="13.0"/>
        <n v="14.0"/>
        <n v="15.0"/>
        <n v="17.0"/>
        <n v="18.0"/>
        <n v="19.0"/>
        <n v="20.0"/>
        <n v="21.0"/>
        <n v="22.0"/>
        <n v="23.0"/>
        <n v="24.0"/>
        <n v="25.0"/>
        <n v="26.0"/>
        <n v="27.0"/>
        <n v="28.0"/>
        <n v="29.0"/>
        <n v="30.0"/>
        <n v="31.0"/>
        <n v="32.0"/>
        <n v="33.0"/>
        <n v="34.0"/>
        <n v="35.0"/>
        <n v="36.0"/>
        <n v="37.0"/>
        <n v="38.0"/>
        <n v="39.0"/>
        <n v="130.0"/>
        <n v="42.0"/>
        <n v="43.0"/>
        <n v="45.0"/>
        <n v="46.0"/>
        <n v="47.0"/>
        <n v="48.0"/>
        <n v="49.0"/>
        <n v="50.0"/>
        <n v="51.0"/>
        <n v="52.0"/>
        <n v="53.0"/>
        <n v="54.0"/>
        <n v="72.0"/>
        <n v="56.0"/>
        <n v="57.0"/>
        <n v="58.0"/>
        <n v="59.0"/>
        <n v="60.0"/>
        <n v="61.0"/>
        <n v="62.0"/>
        <n v="63.0"/>
        <n v="64.0"/>
        <n v="66.0"/>
        <n v="67.0"/>
        <n v="68.0"/>
        <n v="69.0"/>
        <n v="70.0"/>
        <n v="71.0"/>
        <n v="73.0"/>
        <n v="74.0"/>
        <n v="76.0"/>
        <n v="77.0"/>
        <n v="135.0"/>
        <n v="79.0"/>
        <n v="80.0"/>
        <n v="83.0"/>
        <n v="84.0"/>
        <n v="85.0"/>
        <n v="86.0"/>
        <n v="137.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1.0"/>
        <n v="132.0"/>
        <n v="133.0"/>
        <n v="134.0"/>
        <n v="136.0"/>
        <n v="138.0"/>
        <n v="139.0"/>
        <n v="142.0"/>
        <n v="143.0"/>
        <n v="144.0"/>
        <n v="145.0"/>
        <n v="146.0"/>
        <n v="147.0"/>
        <n v="148.0"/>
        <n v="149.0"/>
        <n v="150.0"/>
        <n v="151.0"/>
        <n v="152.0"/>
        <n v="153.0"/>
        <n v="155.0"/>
        <n v="156.0"/>
        <n v="158.0"/>
        <n v="159.0"/>
        <n v="164.0"/>
        <n v="167.0"/>
        <n v="168.0"/>
        <n v="169.0"/>
        <n v="170.0"/>
        <n v="171.0"/>
        <n v="173.0"/>
        <n v="174.0"/>
        <n v="175.0"/>
      </sharedItems>
    </cacheField>
    <cacheField name="MLG Notes" numFmtId="0">
      <sharedItems containsBlank="1">
        <m/>
        <s v="originally 160"/>
        <s v="originally 176"/>
        <s v="originally 179"/>
      </sharedItems>
    </cacheField>
    <cacheField name="Raw Reads" numFmtId="0">
      <sharedItems containsSemiMixedTypes="0" containsString="0" containsNumber="1" containsInteger="1">
        <n v="2.4550282E7"/>
        <n v="2.4537896E7"/>
        <n v="2.4643689E7"/>
        <n v="2.5500611E7"/>
        <n v="2.6525495E7"/>
        <n v="1.9762388E7"/>
        <n v="2.5562224E7"/>
        <n v="2.4134469E7"/>
        <n v="2.4739035E7"/>
        <n v="2.4511839E7"/>
        <n v="2.4772288E7"/>
        <n v="2.4199784E7"/>
        <n v="2.4226277E7"/>
        <n v="2.4709523E7"/>
        <n v="2.5581201E7"/>
        <n v="2.6026614E7"/>
        <n v="2.4782166E7"/>
        <n v="2.4500744E7"/>
        <n v="2.4386411E7"/>
        <n v="2.5065122E7"/>
        <n v="2.6907837E7"/>
        <n v="2.5174675E7"/>
        <n v="2.5116195E7"/>
        <n v="2.6028876E7"/>
        <n v="2.6749521E7"/>
        <n v="2.4362732E7"/>
        <n v="2.5120802E7"/>
        <n v="1.9399521E7"/>
        <n v="2.2797232E7"/>
        <n v="2.1133994E7"/>
        <n v="1.9761108E7"/>
        <n v="2.7111915E7"/>
        <n v="2.5479325E7"/>
        <n v="2.2655636E7"/>
        <n v="1.9603998E7"/>
        <n v="2.5675607E7"/>
        <n v="2.4785352E7"/>
        <n v="2.4842654E7"/>
        <n v="2.4702523E7"/>
        <n v="2.6281851E7"/>
        <n v="2.871338E7"/>
        <n v="2.7212395E7"/>
        <n v="2.5857916E7"/>
        <n v="2.8457391E7"/>
        <n v="2.7815296E7"/>
        <n v="2.0448667E7"/>
        <n v="2.232935E7"/>
        <n v="1.9510706E7"/>
        <n v="2.6113998E7"/>
        <n v="2.4525263E7"/>
        <n v="2.6254692E7"/>
        <n v="2.4342148E7"/>
        <n v="2.4793932E7"/>
        <n v="1.9635726E7"/>
        <n v="2.5979695E7"/>
        <n v="2.4515031E7"/>
        <n v="2.4553096E7"/>
        <n v="2.5653466E7"/>
        <n v="2.5889437E7"/>
        <n v="2.4545365E7"/>
        <n v="2.673768E7"/>
        <n v="2.658343E7"/>
        <n v="2.469772E7"/>
        <n v="2.6633402E7"/>
        <n v="2.6711084E7"/>
        <n v="2.5770536E7"/>
        <n v="2.6569985E7"/>
        <n v="2.5762604E7"/>
        <n v="2.8821577E7"/>
        <n v="1.9188777E7"/>
        <n v="1.9413289E7"/>
        <n v="2.8038049E7"/>
        <n v="2.06736E7"/>
        <n v="2.4434674E7"/>
        <n v="2.7362488E7"/>
        <n v="2.6672251E7"/>
        <n v="2.5881213E7"/>
        <n v="2.6171115E7"/>
        <n v="2.7696744E7"/>
        <n v="2.505958E7"/>
        <n v="2.5868102E7"/>
        <n v="2.759599E7"/>
        <n v="1.9691251E7"/>
        <n v="2.6256106E7"/>
        <n v="2.602469E7"/>
        <n v="2.891508E7"/>
        <n v="2.7072411E7"/>
        <n v="2.6739426E7"/>
        <n v="1.9159488E7"/>
        <n v="2.7282941E7"/>
        <n v="2.643978E7"/>
        <n v="1.9458483E7"/>
        <n v="2.0796685E7"/>
        <n v="2.8902594E7"/>
        <n v="2.5823278E7"/>
        <n v="2.6631561E7"/>
        <n v="2.5318967E7"/>
        <n v="2.0693463E7"/>
        <n v="2.5819395E7"/>
        <n v="2.6366235E7"/>
        <n v="2.891715E7"/>
        <n v="2.45295E7"/>
        <n v="2.5632545E7"/>
        <n v="2.5204447E7"/>
        <n v="1.9727788E7"/>
        <n v="2.8068398E7"/>
        <n v="2.6637253E7"/>
        <n v="2.4339542E7"/>
        <n v="2.439269E7"/>
        <n v="2.581683E7"/>
        <n v="2.5356359E7"/>
        <n v="2.4828284E7"/>
        <n v="2.5668465E7"/>
        <n v="2.06409E7"/>
        <n v="1.9443213E7"/>
        <n v="2.7154103E7"/>
        <n v="2.5832058E7"/>
        <n v="2.0452743E7"/>
        <n v="2.8483641E7"/>
        <n v="2.4286852E7"/>
        <n v="2.0445574E7"/>
        <n v="1.9402705E7"/>
        <n v="2.6526136E7"/>
        <n v="2.5906864E7"/>
        <n v="2.6405304E7"/>
        <n v="2.5585938E7"/>
        <n v="2.8197318E7"/>
        <n v="2.5078494E7"/>
        <n v="2.0703876E7"/>
        <n v="2.9462961E7"/>
        <n v="2.6133925E7"/>
        <n v="2.63513E7"/>
        <n v="2.5292126E7"/>
        <n v="2.809276E7"/>
        <n v="2.6877988E7"/>
        <n v="2.067222E7"/>
        <n v="2.7469444E7"/>
        <n v="2.0487376E7"/>
        <n v="2.4811872E7"/>
        <n v="2.8071666E7"/>
        <n v="2.6699385E7"/>
        <n v="2.7735707E7"/>
        <n v="2.5584813E7"/>
        <n v="2.5164474E7"/>
        <n v="1.9491793E7"/>
        <n v="2.4231096E7"/>
        <n v="2.4888321E7"/>
        <n v="2.4301969E7"/>
        <n v="1.9531786E7"/>
        <n v="2.41664E7"/>
        <n v="2.4804399E7"/>
        <n v="2.6107356E7"/>
        <n v="2.6096616E7"/>
        <n v="2.5706349E7"/>
        <n v="2.6672094E7"/>
        <n v="2.7499805E7"/>
        <n v="4.6974509E7"/>
        <n v="6.8177364E7"/>
        <n v="4.4228032E7"/>
        <n v="5.1002107E7"/>
        <n v="4.8017234E7"/>
        <n v="3.7172221E7"/>
        <n v="4.064669E7"/>
        <n v="2.48582E7"/>
        <n v="4.3473566E7"/>
        <n v="3.0306683E7"/>
        <n v="2.5544339E7"/>
        <n v="2.6624121E7"/>
        <n v="2.5143867E7"/>
        <n v="1.9766E7"/>
        <n v="2.4959901E7"/>
        <n v="2.7720841E7"/>
        <n v="2.7026091E7"/>
        <n v="2.5776799E7"/>
        <n v="2.9501898E7"/>
        <n v="2.5704248E7"/>
        <n v="2.6660874E7"/>
        <n v="2.7689412E7"/>
        <n v="2.5686301E7"/>
        <n v="2.6435927E7"/>
      </sharedItems>
    </cacheField>
    <cacheField name="Aligned" numFmtId="0">
      <sharedItems containsSemiMixedTypes="0" containsString="0" containsNumber="1" containsInteger="1">
        <n v="1.8807292E7"/>
        <n v="2.0001933E7"/>
        <n v="1.9776283E7"/>
        <n v="1.6428819E7"/>
        <n v="2.0696913E7"/>
        <n v="1.5272964E7"/>
        <n v="2.0663438E7"/>
        <n v="1.7458921E7"/>
        <n v="8489282.0"/>
        <n v="1.9025706E7"/>
        <n v="1.8890251E7"/>
        <n v="1.7566038E7"/>
        <n v="1.8014174E7"/>
        <n v="1.4161228E7"/>
        <n v="1.1433624E7"/>
        <n v="2.1552521E7"/>
        <n v="1.685472E7"/>
        <n v="1.8511451E7"/>
        <n v="8314031.0"/>
        <n v="7353428.0"/>
        <n v="1.6798946E7"/>
        <n v="1.5974479E7"/>
        <n v="7892961.0"/>
        <n v="1.9006396E7"/>
        <n v="1.6594225E7"/>
        <n v="9492579.0"/>
        <n v="1.8918386E7"/>
        <n v="1.0719912E7"/>
        <n v="6359796.0"/>
        <n v="1.176812E7"/>
        <n v="1.1309894E7"/>
        <n v="2.0273728E7"/>
        <n v="1.7666515E7"/>
        <n v="1.134913E7"/>
        <n v="1.2427078E7"/>
        <n v="1.9162797E7"/>
        <n v="1.5597711E7"/>
        <n v="1.7849205E7"/>
        <n v="1.7582095E7"/>
        <n v="1.7142937E7"/>
        <n v="2.19578E7"/>
        <n v="1.37585E7"/>
        <n v="6722310.0"/>
        <n v="2.1677067E7"/>
        <n v="2630529.0"/>
        <n v="1.6314006E7"/>
        <n v="1.4715424E7"/>
        <n v="1.5084478E7"/>
        <n v="1.7324087E7"/>
        <n v="5101247.0"/>
        <n v="1.0245328E7"/>
        <n v="9346901.0"/>
        <n v="1.4023303E7"/>
        <n v="1.5215833E7"/>
        <n v="1.8551359E7"/>
        <n v="1.6290786E7"/>
        <n v="1.5105837E7"/>
        <n v="4302407.0"/>
        <n v="5480508.0"/>
        <n v="8856509.0"/>
        <n v="1.7525835E7"/>
        <n v="2.1692712E7"/>
        <n v="6701417.0"/>
        <n v="8652428.0"/>
        <n v="2.1794551E7"/>
        <n v="1.8935065E7"/>
        <n v="2.0667225E7"/>
        <n v="1.7587728E7"/>
        <n v="2.3813942E7"/>
        <n v="1.3754696E7"/>
        <n v="1.3969505E7"/>
        <n v="1.9404666E7"/>
        <n v="1.44448E7"/>
        <n v="1.3196358E7"/>
        <n v="2.0801165E7"/>
        <n v="2.0813581E7"/>
        <n v="1.0370725E7"/>
        <n v="1.9771017E7"/>
        <n v="1.7733655E7"/>
        <n v="1.9749602E7"/>
        <n v="2.0869479E7"/>
        <n v="2.0785444E7"/>
        <n v="9116994.0"/>
        <n v="1.0148188E7"/>
        <n v="1.0563977E7"/>
        <n v="1.847024E7"/>
        <n v="2.1531889E7"/>
        <n v="2.1190829E7"/>
        <n v="1.0886349E7"/>
        <n v="1.2685388E7"/>
        <n v="7099480.0"/>
        <n v="1.0014233E7"/>
        <n v="1.0838362E7"/>
        <n v="1.919698E7"/>
        <n v="1.1449484E7"/>
        <n v="2.0819534E7"/>
        <n v="1.1690937E7"/>
        <n v="1.5679687E7"/>
        <n v="1.7209955E7"/>
        <n v="2.0565702E7"/>
        <n v="2.3422132E7"/>
        <n v="1.9812354E7"/>
        <n v="2.0646747E7"/>
        <n v="1.8814825E7"/>
        <n v="6161000.0"/>
        <n v="1.7524695E7"/>
        <n v="1.700733E7"/>
        <n v="2.0105567E7"/>
        <n v="1.8371865E7"/>
        <n v="1.8432196E7"/>
        <n v="1.77262E7"/>
        <n v="1.9527176E7"/>
        <n v="1.8700996E7"/>
        <n v="1.6459032E7"/>
        <n v="1952512.0"/>
        <n v="1.7465277E7"/>
        <n v="1.9557914E7"/>
        <n v="1.664363E7"/>
        <n v="1.692174E7"/>
        <n v="1.7676975E7"/>
        <n v="1.4490859E7"/>
        <n v="1.4440472E7"/>
        <n v="1.7458858E7"/>
        <n v="1.907688E7"/>
        <n v="1.7930691E7"/>
        <n v="1.7390816E7"/>
        <n v="1.9168475E7"/>
        <n v="1.2631037E7"/>
        <n v="9417021.0"/>
        <n v="1.990735E7"/>
        <n v="1.848221E7"/>
        <n v="1.6540511E7"/>
        <n v="1.8692858E7"/>
        <n v="2.1454258E7"/>
        <n v="1.8653228E7"/>
        <n v="1.4864571E7"/>
        <n v="1.9595575E7"/>
        <n v="1.0026062E7"/>
        <n v="7059618.0"/>
        <n v="2.1319553E7"/>
        <n v="1.9958566E7"/>
        <n v="1.6734432E7"/>
        <n v="1.5771784E7"/>
        <n v="1.9620755E7"/>
        <n v="1.1592776E7"/>
        <n v="5274781.0"/>
        <n v="7981836.0"/>
        <n v="9718912.0"/>
        <n v="1.4989483E7"/>
        <n v="1.7330459E7"/>
        <n v="1.2805732E7"/>
        <n v="1.8596329E7"/>
        <n v="1.6427328E7"/>
        <n v="1.9424576E7"/>
        <n v="1.5993279E7"/>
        <n v="2.0871891E7"/>
        <n v="2.8444683E7"/>
        <n v="3.9183609E7"/>
        <n v="2.9508821E7"/>
        <n v="3.2359965E7"/>
        <n v="3.0716268E7"/>
        <n v="2.242386E7"/>
        <n v="2.2332555E7"/>
        <n v="1.6963107E7"/>
        <n v="2.471406E7"/>
        <n v="2.0536327E7"/>
        <n v="1.7173069E7"/>
        <n v="1.9107101E7"/>
        <n v="1.7675439E7"/>
        <n v="1.4158792E7"/>
        <n v="1.7971133E7"/>
        <n v="1.9812171E7"/>
        <n v="9984275.0"/>
        <n v="1.8589807E7"/>
        <n v="2.0318175E7"/>
        <n v="7324368.0"/>
        <n v="2.0733729E7"/>
        <n v="1.9591634E7"/>
        <n v="1.4642655E7"/>
        <n v="1.8949912E7"/>
      </sharedItems>
    </cacheField>
    <cacheField name="Alignment Rate" numFmtId="164">
      <sharedItems containsSemiMixedTypes="0" containsString="0" containsNumber="1">
        <n v="0.7660723408390991"/>
        <n v="0.8151445828933337"/>
        <n v="0.8024887426553711"/>
        <n v="0.6442519749820896"/>
        <n v="0.780264911173194"/>
        <n v="0.7728298827044586"/>
        <n v="0.808358380710536"/>
        <n v="0.7234019111835441"/>
        <n v="0.34315332024874856"/>
        <n v="0.7761843572813937"/>
        <n v="0.7625557639245919"/>
        <n v="0.7258758177345715"/>
        <n v="0.7435799565901108"/>
        <n v="0.5731081089667331"/>
        <n v="0.4469541519962257"/>
        <n v="0.8280954641276042"/>
        <n v="0.6801148858416977"/>
        <n v="0.7555464846292015"/>
        <n v="0.34092884762747583"/>
        <n v="0.29337291875140287"/>
        <n v="0.6243142471838223"/>
        <n v="0.634545589962929"/>
        <n v="0.3142578324463558"/>
        <n v="0.7302042546900603"/>
        <n v="0.6203559682433192"/>
        <n v="0.38963524287834383"/>
        <n v="0.7530964178611813"/>
        <n v="0.5525864272628175"/>
        <n v="0.27897228926739875"/>
        <n v="0.5568336964607825"/>
        <n v="0.572330964437824"/>
        <n v="0.7477792697417354"/>
        <n v="0.693366680632238"/>
        <n v="0.5009406930796381"/>
        <n v="0.633905288094806"/>
        <n v="0.7463425110066532"/>
        <n v="0.6293116595640844"/>
        <n v="0.7184902627553401"/>
        <n v="0.7117530059581363"/>
        <n v="0.6522728174663193"/>
        <n v="0.764723623620765"/>
        <n v="0.50559680616131"/>
        <n v="0.25997106650048674"/>
        <n v="0.7617376800283624"/>
        <n v="0.09457131069178627"/>
        <n v="0.7978029081308821"/>
        <n v="0.6590171232033176"/>
        <n v="0.773138501497588"/>
        <n v="0.6634023254501283"/>
        <n v="0.20799968587492823"/>
        <n v="0.390228458974114"/>
        <n v="0.3839801236932747"/>
        <n v="0.5655941542470956"/>
        <n v="0.774905547164388"/>
        <n v="0.7140714700461264"/>
        <n v="0.6645223495740226"/>
        <n v="0.6152314559434786"/>
        <n v="0.16771250325394627"/>
        <n v="0.21168896025046818"/>
        <n v="0.36082205336934287"/>
        <n v="0.6554732871363559"/>
        <n v="0.8160238163397274"/>
        <n v="0.27133747568601474"/>
        <n v="0.32487130258462665"/>
        <n v="0.815936597706031"/>
        <n v="0.7347563512066648"/>
        <n v="0.7778410488376264"/>
        <n v="0.6826844056602352"/>
        <n v="0.8262539555000755"/>
        <n v="0.7168094141695429"/>
        <n v="0.7195846618262367"/>
        <n v="0.6920833186360434"/>
        <n v="0.6987075303769058"/>
        <n v="0.5400668738203751"/>
        <n v="0.7602073685697003"/>
        <n v="0.7803458733198034"/>
        <n v="0.4007047505849127"/>
        <n v="0.7554518407030041"/>
        <n v="0.6402794133490926"/>
        <n v="0.7881058660999107"/>
        <n v="0.8067649880149692"/>
        <n v="0.7532052301801819"/>
        <n v="0.4629971960643841"/>
        <n v="0.3865077327155824"/>
        <n v="0.40592133854428236"/>
        <n v="0.6387753379897272"/>
        <n v="0.7953443452081161"/>
        <n v="0.7924937880117546"/>
        <n v="0.5681962378117829"/>
        <n v="0.46495676547480713"/>
        <n v="0.2685150935446513"/>
        <n v="0.5146461314584493"/>
        <n v="0.5211581557349164"/>
        <n v="0.6641957465824694"/>
        <n v="0.4433784122991667"/>
        <n v="0.7817616849421631"/>
        <n v="0.4617462078922888"/>
        <n v="0.7577120852126104"/>
        <n v="0.6665514432077126"/>
        <n v="0.7800014677863563"/>
        <n v="0.8099737353093234"/>
        <n v="0.8076949795144622"/>
        <n v="0.8054895446394418"/>
        <n v="0.746488308194185"/>
        <n v="0.3123005985263021"/>
        <n v="0.6243567944276691"/>
        <n v="0.6384791254563674"/>
        <n v="0.826045412029528"/>
        <n v="0.7531709294874817"/>
        <n v="0.7139604668737409"/>
        <n v="0.6990830189776064"/>
        <n v="0.7864891508410328"/>
        <n v="0.7285591873140836"/>
        <n v="0.7973989506271529"/>
        <n v="0.10042126267916728"/>
        <n v="0.6431910860763841"/>
        <n v="0.7571179191375306"/>
        <n v="0.8137602863342096"/>
        <n v="0.5940862686761148"/>
        <n v="0.7278413439502164"/>
        <n v="0.7087528577089595"/>
        <n v="0.7442504537382804"/>
        <n v="0.6581756950955843"/>
        <n v="0.736363922704037"/>
        <n v="0.6790564123026192"/>
        <n v="0.6797021082439894"/>
        <n v="0.6797978091391529"/>
        <n v="0.5036601081388699"/>
        <n v="0.4548433829491637"/>
        <n v="0.6756737722321935"/>
        <n v="0.707211411986527"/>
        <n v="0.627692409862132"/>
        <n v="0.7390781621125879"/>
        <n v="0.7636934925582249"/>
        <n v="0.6939964405073773"/>
        <n v="0.7190602170449037"/>
        <n v="0.7133589962723672"/>
        <n v="0.4893775562082719"/>
        <n v="0.28452581086989326"/>
        <n v="0.7594687468852045"/>
        <n v="0.7475290535718332"/>
        <n v="0.603353359624112"/>
        <n v="0.61645101724996"/>
        <n v="0.7797005810651954"/>
        <n v="0.5947516475267308"/>
        <n v="0.2176864389460551"/>
        <n v="0.3207060853964396"/>
        <n v="0.3999228210685315"/>
        <n v="0.7674404685777327"/>
        <n v="0.7171303545418433"/>
        <n v="0.5162685860681405"/>
        <n v="0.7123022722025164"/>
        <n v="0.6294811557176608"/>
        <n v="0.755633404027931"/>
        <n v="0.5996259236338924"/>
        <n v="0.7589832364265856"/>
        <n v="0.6055344399661527"/>
        <n v="0.5747304779926663"/>
        <n v="0.667197242689885"/>
        <n v="0.6344829047945019"/>
        <n v="0.6396925737121801"/>
        <n v="0.6032424051282811"/>
        <n v="0.5494310852864034"/>
        <n v="0.6823948234385434"/>
        <n v="0.5684847661220154"/>
        <n v="0.6776171117109715"/>
        <n v="0.6722847281348717"/>
        <n v="0.7176612891745797"/>
        <n v="0.7029721800548818"/>
        <n v="0.7163205504401498"/>
        <n v="0.7200001714750391"/>
        <n v="0.7147031000971436"/>
        <n v="0.36943096950276677"/>
        <n v="0.7211836892548218"/>
        <n v="0.6887073841825363"/>
        <n v="0.28494776427616164"/>
        <n v="0.7776837698569071"/>
        <n v="0.7075496583314951"/>
        <n v="0.5700569731702513"/>
        <n v="0.7168241915632465"/>
      </sharedItems>
    </cacheField>
    <cacheField name="Missing Loci" numFmtId="0">
      <sharedItems containsSemiMixedTypes="0" containsString="0" containsNumber="1" containsInteger="1">
        <n v="12519.0"/>
        <n v="790.0"/>
        <n v="828.0"/>
        <n v="1011.0"/>
        <n v="647.0"/>
        <n v="977.0"/>
        <n v="782.0"/>
        <n v="939.0"/>
        <n v="3465.0"/>
        <n v="706.0"/>
        <n v="880.0"/>
        <n v="1000.0"/>
        <n v="791.0"/>
        <n v="1302.0"/>
        <n v="2206.0"/>
        <n v="540.0"/>
        <n v="883.0"/>
        <n v="685.0"/>
        <n v="3333.0"/>
        <n v="3877.0"/>
        <n v="879.0"/>
        <n v="1028.0"/>
        <n v="3467.0"/>
        <n v="724.0"/>
        <n v="962.0"/>
        <n v="3875.0"/>
        <n v="971.0"/>
        <n v="3154.0"/>
        <n v="4791.0"/>
        <n v="2288.0"/>
        <n v="2649.0"/>
        <n v="808.0"/>
        <n v="992.0"/>
        <n v="2521.0"/>
        <n v="1918.0"/>
        <n v="735.0"/>
        <n v="739.0"/>
        <n v="1039.0"/>
        <n v="641.0"/>
        <n v="600.0"/>
        <n v="1289.0"/>
        <n v="3865.0"/>
        <n v="497.0"/>
        <n v="5052.0"/>
        <n v="1198.0"/>
        <n v="1333.0"/>
        <n v="1337.0"/>
        <n v="1093.0"/>
        <n v="5579.0"/>
        <n v="2648.0"/>
        <n v="3073.0"/>
        <n v="7901.0"/>
        <n v="1365.0"/>
        <n v="906.0"/>
        <n v="956.0"/>
        <n v="1817.0"/>
        <n v="5650.0"/>
        <n v="5182.0"/>
        <n v="3324.0"/>
        <n v="897.0"/>
        <n v="757.0"/>
        <n v="4436.0"/>
        <n v="3298.0"/>
        <n v="508.0"/>
        <n v="797.0"/>
        <n v="765.0"/>
        <n v="873.0"/>
        <n v="584.0"/>
        <n v="1940.0"/>
        <n v="1376.0"/>
        <n v="787.0"/>
        <n v="1268.0"/>
        <n v="2531.0"/>
        <n v="611.0"/>
        <n v="756.0"/>
        <n v="2021.0"/>
        <n v="737.0"/>
        <n v="865.0"/>
        <n v="592.0"/>
        <n v="580.0"/>
        <n v="35110.0"/>
        <n v="2398.0"/>
        <n v="2241.0"/>
        <n v="839.0"/>
        <n v="729.0"/>
        <n v="2393.0"/>
        <n v="1729.0"/>
        <n v="4041.0"/>
        <n v="2587.0"/>
        <n v="2374.0"/>
        <n v="789.0"/>
        <n v="2299.0"/>
        <n v="1942.0"/>
        <n v="1186.0"/>
        <n v="20121.0"/>
        <n v="792.0"/>
        <n v="572.0"/>
        <n v="692.0"/>
        <n v="748.0"/>
        <n v="733.0"/>
        <n v="4546.0"/>
        <n v="819.0"/>
        <n v="1001.0"/>
        <n v="824.0"/>
        <n v="715.0"/>
        <n v="825.0"/>
        <n v="815.0"/>
        <n v="656.0"/>
        <n v="868.0"/>
        <n v="3927.0"/>
        <n v="912.0"/>
        <n v="705.0"/>
        <n v="1187.0"/>
        <n v="805.0"/>
        <n v="852.0"/>
        <n v="1286.0"/>
        <n v="1328.0"/>
        <n v="1019.0"/>
        <n v="916.0"/>
        <n v="937.0"/>
        <n v="803.0"/>
        <n v="13311.0"/>
        <n v="12644.0"/>
        <n v="886.0"/>
        <n v="743.0"/>
        <n v="927.0"/>
        <n v="1193.0"/>
        <n v="845.0"/>
        <n v="2590.0"/>
        <n v="3965.0"/>
        <n v="568.0"/>
        <n v="1012.0"/>
        <n v="1112.0"/>
        <n v="810.0"/>
        <n v="2708.0"/>
        <n v="5194.0"/>
        <n v="12889.0"/>
        <n v="2853.0"/>
        <n v="2319.0"/>
        <n v="7699.0"/>
        <n v="836.0"/>
        <n v="1343.0"/>
        <n v="730.0"/>
        <n v="1047.0"/>
        <n v="718.0"/>
        <n v="629.0"/>
        <n v="513.0"/>
        <n v="503.0"/>
        <n v="581.0"/>
        <n v="477.0"/>
        <n v="578.0"/>
        <n v="934.0"/>
        <n v="650.0"/>
        <n v="559.0"/>
        <n v="945.0"/>
        <n v="747.0"/>
        <n v="862.0"/>
        <n v="1576.0"/>
        <n v="749.0"/>
        <n v="13880.0"/>
        <n v="921.0"/>
        <n v="3900.0"/>
        <n v="576.0"/>
        <n v="652.0"/>
        <n v="1299.0"/>
        <n v="758.0"/>
      </sharedItems>
    </cacheField>
    <cacheField name="Remove" numFmtId="0">
      <sharedItems containsBlank="1">
        <m/>
        <s v="x"/>
      </sharedItems>
    </cacheField>
    <cacheField name="Source" numFmtId="0">
      <sharedItems containsBlank="1">
        <s v="H"/>
        <s v="Jaap"/>
        <e v="#N/A"/>
        <s v="KWN"/>
        <m/>
        <s v="Wonderland2"/>
        <s v="Birthday"/>
      </sharedItems>
    </cacheField>
    <cacheField name="Hybrid" numFmtId="0">
      <sharedItems>
        <s v="N"/>
        <s v="Y"/>
        <e v="#N/A"/>
      </sharedItems>
    </cacheField>
    <cacheField name="Latitude">
      <sharedItems containsBlank="1" containsMixedTypes="1" containsNumber="1">
        <n v="25.139367"/>
        <n v="24.58721"/>
        <e v="#N/A"/>
        <n v="24.55107"/>
        <m/>
        <n v="24.55994"/>
        <n v="24.57888"/>
      </sharedItems>
    </cacheField>
    <cacheField name="Longitude">
      <sharedItems containsMixedTypes="1" containsNumber="1">
        <n v="-80.294017"/>
        <n v="-81.5783"/>
        <e v="#N/A"/>
        <n v="-81.80805"/>
        <s v="NA"/>
        <n v="-81.50162"/>
        <n v="-81.49728"/>
      </sharedItems>
    </cacheField>
    <cacheField name="Year">
      <sharedItems containsBlank="1" containsMixedTypes="1" containsNumber="1" containsInteger="1">
        <s v="2015 batch"/>
        <s v="12.15.2020"/>
        <e v="#N/A"/>
        <s v="2010-2017"/>
        <m/>
        <n v="2015.0"/>
        <s v="12.14.2020"/>
      </sharedItems>
    </cacheField>
    <cacheField name="Partner" numFmtId="0">
      <sharedItems containsBlank="1">
        <s v="Margaret Miller"/>
        <s v="Mote"/>
        <e v="#N/A"/>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WGS clone removal" cacheId="0" dataCaption="" compact="0" compactData="0">
  <location ref="A1:D154" firstHeaderRow="0" firstDataRow="2" firstDataCol="0"/>
  <pivotFields>
    <pivotField name="Sample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equencing" compact="0" outline="0" multipleItemSelectionAllowed="1" showAll="0">
      <items>
        <item x="0"/>
        <item t="default"/>
      </items>
    </pivotField>
    <pivotField name="Putative Genotyp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Genotype Replic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Technical Replicate" compact="0" outline="0" multipleItemSelectionAllowed="1" showAll="0">
      <items>
        <item x="0"/>
        <item x="1"/>
        <item t="default"/>
      </items>
    </pivotField>
    <pivotField name="Multi-Locus Genotype ID" axis="axisRow" compact="0" outline="0" multipleItemSelectionAllowed="1" showAll="0" sortType="ascending">
      <items>
        <item x="0"/>
        <item x="1"/>
        <item x="2"/>
        <item x="3"/>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2"/>
        <item x="53"/>
        <item x="54"/>
        <item x="55"/>
        <item x="56"/>
        <item x="57"/>
        <item x="58"/>
        <item x="59"/>
        <item x="60"/>
        <item x="61"/>
        <item x="62"/>
        <item x="63"/>
        <item x="64"/>
        <item x="65"/>
        <item x="66"/>
        <item x="51"/>
        <item x="67"/>
        <item x="68"/>
        <item x="69"/>
        <item x="70"/>
        <item x="72"/>
        <item x="73"/>
        <item x="74"/>
        <item x="75"/>
        <item x="76"/>
        <item x="77"/>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38"/>
        <item x="120"/>
        <item x="121"/>
        <item x="122"/>
        <item x="123"/>
        <item x="71"/>
        <item x="124"/>
        <item x="78"/>
        <item x="125"/>
        <item x="126"/>
        <item x="127"/>
        <item x="128"/>
        <item x="129"/>
        <item x="130"/>
        <item x="131"/>
        <item x="132"/>
        <item x="133"/>
        <item x="134"/>
        <item x="135"/>
        <item x="136"/>
        <item x="137"/>
        <item x="138"/>
        <item x="4"/>
        <item x="139"/>
        <item x="140"/>
        <item x="141"/>
        <item x="142"/>
        <item x="143"/>
        <item x="144"/>
        <item x="145"/>
        <item x="146"/>
        <item x="147"/>
        <item x="148"/>
        <item x="149"/>
        <item x="150"/>
        <item x="151"/>
        <item t="default"/>
      </items>
    </pivotField>
    <pivotField name="MLG Notes" compact="0" outline="0" multipleItemSelectionAllowed="1" showAll="0">
      <items>
        <item x="0"/>
        <item x="1"/>
        <item x="2"/>
        <item x="3"/>
        <item t="default"/>
      </items>
    </pivotField>
    <pivotField name="Raw Rea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Alig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Alignment Ra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Missing Loc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Remove" compact="0" outline="0" multipleItemSelectionAllowed="1" showAll="0">
      <items>
        <item x="0"/>
        <item x="1"/>
        <item t="default"/>
      </items>
    </pivotField>
    <pivotField name="Source" compact="0" outline="0" multipleItemSelectionAllowed="1" showAll="0">
      <items>
        <item x="0"/>
        <item x="1"/>
        <item x="2"/>
        <item x="3"/>
        <item x="4"/>
        <item x="5"/>
        <item x="6"/>
        <item t="default"/>
      </items>
    </pivotField>
    <pivotField name="Hybrid" compact="0" outline="0" multipleItemSelectionAllowed="1" showAll="0">
      <items>
        <item x="0"/>
        <item x="1"/>
        <item x="2"/>
        <item t="default"/>
      </items>
    </pivotField>
    <pivotField name="Latitude" compact="0" outline="0" multipleItemSelectionAllowed="1" showAll="0">
      <items>
        <item x="0"/>
        <item x="1"/>
        <item x="2"/>
        <item x="3"/>
        <item x="4"/>
        <item x="5"/>
        <item x="6"/>
        <item t="default"/>
      </items>
    </pivotField>
    <pivotField name="Longitude" compact="0" outline="0" multipleItemSelectionAllowed="1" showAll="0">
      <items>
        <item x="0"/>
        <item x="1"/>
        <item x="2"/>
        <item x="3"/>
        <item x="4"/>
        <item x="5"/>
        <item x="6"/>
        <item t="default"/>
      </items>
    </pivotField>
    <pivotField name="Year" compact="0" outline="0" multipleItemSelectionAllowed="1" showAll="0">
      <items>
        <item x="0"/>
        <item x="1"/>
        <item x="2"/>
        <item x="3"/>
        <item x="4"/>
        <item x="5"/>
        <item x="6"/>
        <item t="default"/>
      </items>
    </pivotField>
    <pivotField name="Partner" compact="0" outline="0" multipleItemSelectionAllowed="1" showAll="0">
      <items>
        <item x="0"/>
        <item x="1"/>
        <item x="2"/>
        <item x="3"/>
        <item t="default"/>
      </items>
    </pivotField>
  </pivotFields>
  <rowFields>
    <field x="5"/>
  </rowFields>
  <colFields>
    <field x="-2"/>
  </colFields>
  <dataFields>
    <dataField name="COUNTA of Sample ID" fld="0" subtotal="count" baseField="0"/>
    <dataField name="MAX of Alignment Rate" fld="9" subtotal="max" baseField="0"/>
    <dataField name="MIN of Missing Loci" fld="10" subtotal="min"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1.38"/>
    <col customWidth="1" min="3" max="3" width="12.75"/>
    <col customWidth="1" min="4" max="4" width="12.88"/>
    <col customWidth="1" min="5" max="5" width="9.38"/>
    <col customWidth="1" min="6" max="6" width="15.25"/>
    <col customWidth="1" min="7" max="7" width="11.75"/>
    <col customWidth="1" min="8" max="10" width="9.13"/>
    <col customWidth="1" min="11" max="11" width="7.25"/>
    <col customWidth="1" min="12" max="12" width="7.5"/>
    <col customWidth="1" min="13" max="13" width="10.88"/>
    <col customWidth="1" min="14" max="14" width="6.25"/>
    <col customWidth="1" min="15" max="15" width="8.88"/>
    <col customWidth="1" min="16" max="17" width="9.38"/>
    <col customWidth="1" min="18" max="18" width="12.13"/>
    <col customWidth="1" min="19" max="19" width="13.63"/>
    <col customWidth="1" min="20" max="20" width="10.75"/>
    <col customWidth="1" min="21" max="21" width="12.63"/>
    <col customWidth="1" min="22" max="22" width="12.25"/>
  </cols>
  <sheetData>
    <row r="1">
      <c r="A1" s="1" t="s">
        <v>0</v>
      </c>
      <c r="B1" s="1" t="s">
        <v>1</v>
      </c>
      <c r="C1" s="1" t="s">
        <v>2</v>
      </c>
      <c r="D1" s="1" t="s">
        <v>3</v>
      </c>
      <c r="E1" s="1" t="s">
        <v>4</v>
      </c>
      <c r="F1" s="1" t="s">
        <v>5</v>
      </c>
      <c r="G1" s="2" t="s">
        <v>6</v>
      </c>
      <c r="H1" s="2" t="s">
        <v>7</v>
      </c>
      <c r="I1" s="3" t="s">
        <v>8</v>
      </c>
      <c r="J1" s="4" t="s">
        <v>9</v>
      </c>
      <c r="K1" s="5" t="s">
        <v>10</v>
      </c>
      <c r="L1" s="5" t="s">
        <v>11</v>
      </c>
      <c r="M1" s="4" t="s">
        <v>12</v>
      </c>
      <c r="N1" s="4" t="s">
        <v>13</v>
      </c>
      <c r="O1" s="5" t="s">
        <v>14</v>
      </c>
      <c r="P1" s="5" t="s">
        <v>15</v>
      </c>
      <c r="Q1" s="5" t="s">
        <v>16</v>
      </c>
      <c r="R1" s="5" t="s">
        <v>17</v>
      </c>
      <c r="S1" s="5" t="s">
        <v>18</v>
      </c>
      <c r="T1" s="5" t="s">
        <v>19</v>
      </c>
      <c r="U1" s="5" t="s">
        <v>20</v>
      </c>
      <c r="V1" s="5" t="s">
        <v>21</v>
      </c>
      <c r="W1" s="6"/>
      <c r="X1" s="6"/>
      <c r="Y1" s="6"/>
      <c r="Z1" s="7"/>
    </row>
    <row r="2">
      <c r="A2" s="8" t="s">
        <v>22</v>
      </c>
      <c r="B2" s="9" t="s">
        <v>23</v>
      </c>
      <c r="C2" s="9" t="s">
        <v>24</v>
      </c>
      <c r="D2" s="9" t="s">
        <v>24</v>
      </c>
      <c r="E2" s="9" t="s">
        <v>25</v>
      </c>
      <c r="F2" s="10">
        <v>1.0</v>
      </c>
      <c r="G2" s="10"/>
      <c r="H2" s="10">
        <v>2.4550282E7</v>
      </c>
      <c r="I2" s="10">
        <v>1.8807292E7</v>
      </c>
      <c r="J2" s="11">
        <v>0.7660723408390991</v>
      </c>
      <c r="K2" s="12">
        <v>12519.0</v>
      </c>
      <c r="L2" s="13"/>
      <c r="M2" s="13" t="str">
        <f>VLOOKUP($C2,'genotype metadata'!$C$2:$M$156,6,FALSE)</f>
        <v>H</v>
      </c>
      <c r="N2" s="13" t="str">
        <f>VLOOKUP($C2,'genotype metadata'!$C$2:$M$156,7,FALSE)</f>
        <v>N</v>
      </c>
      <c r="O2" s="13">
        <f>VLOOKUP($C2,'genotype metadata'!$C$2:$M$156,8,FALSE)</f>
        <v>25.139367</v>
      </c>
      <c r="P2" s="13">
        <f>VLOOKUP($C2,'genotype metadata'!$C$2:$M$156,9,FALSE)</f>
        <v>-80.294017</v>
      </c>
      <c r="Q2" s="13" t="str">
        <f>VLOOKUP($C2,'genotype metadata'!$C$2:$M$156,10,FALSE)</f>
        <v>2015 batch</v>
      </c>
      <c r="R2" s="13" t="str">
        <f>VLOOKUP($C2,'genotype metadata'!$C$2:$M$156,11,FALSE)</f>
        <v>Margaret Miller</v>
      </c>
      <c r="S2" s="12">
        <v>0.170537037</v>
      </c>
      <c r="T2" s="12">
        <v>0.03798151</v>
      </c>
      <c r="U2" s="12">
        <v>0.245917823</v>
      </c>
      <c r="V2" s="12">
        <v>0.54556363</v>
      </c>
    </row>
    <row r="3">
      <c r="A3" s="9" t="s">
        <v>26</v>
      </c>
      <c r="B3" s="9" t="s">
        <v>23</v>
      </c>
      <c r="C3" s="9" t="s">
        <v>27</v>
      </c>
      <c r="D3" s="9" t="s">
        <v>27</v>
      </c>
      <c r="E3" s="9" t="s">
        <v>25</v>
      </c>
      <c r="F3" s="10">
        <v>2.0</v>
      </c>
      <c r="G3" s="10"/>
      <c r="H3" s="10">
        <v>2.4537896E7</v>
      </c>
      <c r="I3" s="10">
        <v>2.0001933E7</v>
      </c>
      <c r="J3" s="11">
        <v>0.8151445828933337</v>
      </c>
      <c r="K3" s="12">
        <v>790.0</v>
      </c>
      <c r="L3" s="13"/>
      <c r="M3" s="13" t="str">
        <f>VLOOKUP($C3,'genotype metadata'!$C$2:$M$156,6,FALSE)</f>
        <v>Jaap</v>
      </c>
      <c r="N3" s="13" t="str">
        <f>VLOOKUP($C3,'genotype metadata'!$C$2:$M$156,7,FALSE)</f>
        <v>Y</v>
      </c>
      <c r="O3" s="13">
        <f>VLOOKUP($C3,'genotype metadata'!$C$2:$M$156,8,FALSE)</f>
        <v>24.58721</v>
      </c>
      <c r="P3" s="13">
        <f>VLOOKUP($C3,'genotype metadata'!$C$2:$M$156,9,FALSE)</f>
        <v>-81.5783</v>
      </c>
      <c r="Q3" s="13" t="str">
        <f>VLOOKUP($C3,'genotype metadata'!$C$2:$M$156,10,FALSE)</f>
        <v>12.15.2020</v>
      </c>
      <c r="R3" s="13" t="str">
        <f>VLOOKUP($C3,'genotype metadata'!$C$2:$M$156,11,FALSE)</f>
        <v>Mote</v>
      </c>
      <c r="S3" s="12">
        <v>0.083659589</v>
      </c>
      <c r="T3" s="12">
        <v>0.753268747</v>
      </c>
      <c r="U3" s="12">
        <v>0.037922551</v>
      </c>
      <c r="V3" s="12">
        <v>0.125149113</v>
      </c>
    </row>
    <row r="4">
      <c r="A4" s="9" t="s">
        <v>28</v>
      </c>
      <c r="B4" s="9" t="s">
        <v>23</v>
      </c>
      <c r="C4" s="9" t="s">
        <v>29</v>
      </c>
      <c r="D4" s="9" t="s">
        <v>29</v>
      </c>
      <c r="E4" s="9" t="s">
        <v>25</v>
      </c>
      <c r="F4" s="10">
        <v>3.0</v>
      </c>
      <c r="G4" s="10"/>
      <c r="H4" s="10">
        <v>2.4643689E7</v>
      </c>
      <c r="I4" s="10">
        <v>1.9776283E7</v>
      </c>
      <c r="J4" s="11">
        <v>0.8024887426553711</v>
      </c>
      <c r="K4" s="12">
        <v>828.0</v>
      </c>
      <c r="L4" s="13"/>
      <c r="M4" s="13" t="str">
        <f>VLOOKUP($C4,'genotype metadata'!$C$2:$M$156,6,FALSE)</f>
        <v>#N/A</v>
      </c>
      <c r="N4" s="13" t="str">
        <f>VLOOKUP($C4,'genotype metadata'!$C$2:$M$156,7,FALSE)</f>
        <v>#N/A</v>
      </c>
      <c r="O4" s="13" t="str">
        <f>VLOOKUP($C4,'genotype metadata'!$C$2:$M$156,8,FALSE)</f>
        <v>#N/A</v>
      </c>
      <c r="P4" s="13" t="str">
        <f>VLOOKUP($C4,'genotype metadata'!$C$2:$M$156,9,FALSE)</f>
        <v>#N/A</v>
      </c>
      <c r="Q4" s="13" t="str">
        <f>VLOOKUP($C4,'genotype metadata'!$C$2:$M$156,10,FALSE)</f>
        <v>#N/A</v>
      </c>
      <c r="R4" s="13" t="str">
        <f>VLOOKUP($C4,'genotype metadata'!$C$2:$M$156,11,FALSE)</f>
        <v>#N/A</v>
      </c>
      <c r="S4" s="12">
        <v>0.091165131</v>
      </c>
      <c r="T4" s="12">
        <v>0.013287286</v>
      </c>
      <c r="U4" s="12">
        <v>0.090343421</v>
      </c>
      <c r="V4" s="12">
        <v>0.805204162</v>
      </c>
    </row>
    <row r="5">
      <c r="A5" s="9" t="s">
        <v>30</v>
      </c>
      <c r="B5" s="9" t="s">
        <v>23</v>
      </c>
      <c r="C5" s="9" t="s">
        <v>31</v>
      </c>
      <c r="D5" s="9" t="s">
        <v>31</v>
      </c>
      <c r="E5" s="9" t="s">
        <v>25</v>
      </c>
      <c r="F5" s="10">
        <v>4.0</v>
      </c>
      <c r="G5" s="10"/>
      <c r="H5" s="10">
        <v>2.5500611E7</v>
      </c>
      <c r="I5" s="10">
        <v>1.6428819E7</v>
      </c>
      <c r="J5" s="11">
        <v>0.6442519749820896</v>
      </c>
      <c r="K5" s="12">
        <v>1011.0</v>
      </c>
      <c r="L5" s="13"/>
      <c r="M5" s="13" t="str">
        <f>VLOOKUP($C5,'genotype metadata'!$C$2:$M$156,6,FALSE)</f>
        <v>KWN</v>
      </c>
      <c r="N5" s="13" t="str">
        <f>VLOOKUP($C5,'genotype metadata'!$C$2:$M$156,7,FALSE)</f>
        <v>N</v>
      </c>
      <c r="O5" s="13">
        <f>VLOOKUP($C5,'genotype metadata'!$C$2:$M$156,8,FALSE)</f>
        <v>24.55107</v>
      </c>
      <c r="P5" s="13">
        <f>VLOOKUP($C5,'genotype metadata'!$C$2:$M$156,9,FALSE)</f>
        <v>-81.80805</v>
      </c>
      <c r="Q5" s="13" t="str">
        <f>VLOOKUP($C5,'genotype metadata'!$C$2:$M$156,10,FALSE)</f>
        <v>2010-2017</v>
      </c>
      <c r="R5" s="13" t="str">
        <f>VLOOKUP($C5,'genotype metadata'!$C$2:$M$156,11,FALSE)</f>
        <v>Mote</v>
      </c>
      <c r="S5" s="12">
        <v>0.043209676</v>
      </c>
      <c r="T5" s="12">
        <v>0.006036646</v>
      </c>
      <c r="U5" s="12">
        <v>0.026892319</v>
      </c>
      <c r="V5" s="12">
        <v>0.923861359</v>
      </c>
    </row>
    <row r="6">
      <c r="A6" s="9" t="s">
        <v>32</v>
      </c>
      <c r="B6" s="9" t="s">
        <v>23</v>
      </c>
      <c r="C6" s="9" t="s">
        <v>33</v>
      </c>
      <c r="D6" s="9" t="s">
        <v>34</v>
      </c>
      <c r="E6" s="9" t="s">
        <v>35</v>
      </c>
      <c r="F6" s="10">
        <v>154.0</v>
      </c>
      <c r="G6" s="10"/>
      <c r="H6" s="10">
        <v>2.6525495E7</v>
      </c>
      <c r="I6" s="10">
        <v>2.0696913E7</v>
      </c>
      <c r="J6" s="11">
        <v>0.780264911173194</v>
      </c>
      <c r="K6" s="12">
        <v>647.0</v>
      </c>
      <c r="L6" s="12" t="s">
        <v>36</v>
      </c>
      <c r="M6" s="13" t="str">
        <f>VLOOKUP($C6,'genotype metadata'!$C$2:$M$156,6,FALSE)</f>
        <v>#N/A</v>
      </c>
      <c r="N6" s="13" t="str">
        <f>VLOOKUP($C6,'genotype metadata'!$C$2:$M$156,7,FALSE)</f>
        <v>#N/A</v>
      </c>
      <c r="O6" s="13" t="str">
        <f>VLOOKUP($C6,'genotype metadata'!$C$2:$M$156,8,FALSE)</f>
        <v>#N/A</v>
      </c>
      <c r="P6" s="13" t="str">
        <f>VLOOKUP($C6,'genotype metadata'!$C$2:$M$156,9,FALSE)</f>
        <v>#N/A</v>
      </c>
      <c r="Q6" s="13" t="str">
        <f>VLOOKUP($C6,'genotype metadata'!$C$2:$M$156,10,FALSE)</f>
        <v>#N/A</v>
      </c>
      <c r="R6" s="13" t="str">
        <f>VLOOKUP($C6,'genotype metadata'!$C$2:$M$156,11,FALSE)</f>
        <v>#N/A</v>
      </c>
      <c r="S6" s="12">
        <v>0.085372003</v>
      </c>
      <c r="T6" s="12">
        <v>0.012947885</v>
      </c>
      <c r="U6" s="12">
        <v>0.088244815</v>
      </c>
      <c r="V6" s="12">
        <v>0.813435298</v>
      </c>
    </row>
    <row r="7">
      <c r="A7" s="9" t="s">
        <v>37</v>
      </c>
      <c r="B7" s="9" t="s">
        <v>23</v>
      </c>
      <c r="C7" s="9" t="s">
        <v>38</v>
      </c>
      <c r="D7" s="9" t="s">
        <v>38</v>
      </c>
      <c r="E7" s="9" t="s">
        <v>25</v>
      </c>
      <c r="F7" s="10">
        <v>6.0</v>
      </c>
      <c r="G7" s="10"/>
      <c r="H7" s="10">
        <v>1.9762388E7</v>
      </c>
      <c r="I7" s="10">
        <v>1.5272964E7</v>
      </c>
      <c r="J7" s="11">
        <v>0.7728298827044586</v>
      </c>
      <c r="K7" s="12">
        <v>977.0</v>
      </c>
      <c r="L7" s="13"/>
      <c r="M7" s="13" t="str">
        <f>VLOOKUP($C7,'genotype metadata'!$C$2:$M$156,6,FALSE)</f>
        <v>#N/A</v>
      </c>
      <c r="N7" s="13" t="str">
        <f>VLOOKUP($C7,'genotype metadata'!$C$2:$M$156,7,FALSE)</f>
        <v>#N/A</v>
      </c>
      <c r="O7" s="13" t="str">
        <f>VLOOKUP($C7,'genotype metadata'!$C$2:$M$156,8,FALSE)</f>
        <v>#N/A</v>
      </c>
      <c r="P7" s="13" t="str">
        <f>VLOOKUP($C7,'genotype metadata'!$C$2:$M$156,9,FALSE)</f>
        <v>#N/A</v>
      </c>
      <c r="Q7" s="13" t="str">
        <f>VLOOKUP($C7,'genotype metadata'!$C$2:$M$156,10,FALSE)</f>
        <v>#N/A</v>
      </c>
      <c r="R7" s="13" t="str">
        <f>VLOOKUP($C7,'genotype metadata'!$C$2:$M$156,11,FALSE)</f>
        <v>#N/A</v>
      </c>
      <c r="S7" s="12">
        <v>0.05760479</v>
      </c>
      <c r="T7" s="12">
        <v>0.00979357</v>
      </c>
      <c r="U7" s="12">
        <v>0.051062674</v>
      </c>
      <c r="V7" s="12">
        <v>0.881538966</v>
      </c>
    </row>
    <row r="8">
      <c r="A8" s="9" t="s">
        <v>39</v>
      </c>
      <c r="B8" s="9" t="s">
        <v>23</v>
      </c>
      <c r="C8" s="9" t="s">
        <v>40</v>
      </c>
      <c r="D8" s="9" t="s">
        <v>40</v>
      </c>
      <c r="E8" s="9" t="s">
        <v>25</v>
      </c>
      <c r="F8" s="10">
        <v>7.0</v>
      </c>
      <c r="G8" s="10"/>
      <c r="H8" s="10">
        <v>2.5562224E7</v>
      </c>
      <c r="I8" s="10">
        <v>2.0663438E7</v>
      </c>
      <c r="J8" s="11">
        <v>0.808358380710536</v>
      </c>
      <c r="K8" s="12">
        <v>782.0</v>
      </c>
      <c r="L8" s="13"/>
      <c r="M8" s="13" t="str">
        <f>VLOOKUP($C8,'genotype metadata'!$C$2:$M$156,6,FALSE)</f>
        <v>#N/A</v>
      </c>
      <c r="N8" s="13" t="str">
        <f>VLOOKUP($C8,'genotype metadata'!$C$2:$M$156,7,FALSE)</f>
        <v>#N/A</v>
      </c>
      <c r="O8" s="13" t="str">
        <f>VLOOKUP($C8,'genotype metadata'!$C$2:$M$156,8,FALSE)</f>
        <v>#N/A</v>
      </c>
      <c r="P8" s="13" t="str">
        <f>VLOOKUP($C8,'genotype metadata'!$C$2:$M$156,9,FALSE)</f>
        <v>#N/A</v>
      </c>
      <c r="Q8" s="13" t="str">
        <f>VLOOKUP($C8,'genotype metadata'!$C$2:$M$156,10,FALSE)</f>
        <v>#N/A</v>
      </c>
      <c r="R8" s="13" t="str">
        <f>VLOOKUP($C8,'genotype metadata'!$C$2:$M$156,11,FALSE)</f>
        <v>#N/A</v>
      </c>
      <c r="S8" s="12">
        <v>0.061493698</v>
      </c>
      <c r="T8" s="12">
        <v>0.010195884</v>
      </c>
      <c r="U8" s="12">
        <v>0.0498675</v>
      </c>
      <c r="V8" s="12">
        <v>0.878442917</v>
      </c>
    </row>
    <row r="9">
      <c r="A9" s="9" t="s">
        <v>41</v>
      </c>
      <c r="B9" s="9" t="s">
        <v>23</v>
      </c>
      <c r="C9" s="9" t="s">
        <v>42</v>
      </c>
      <c r="D9" s="9" t="s">
        <v>42</v>
      </c>
      <c r="E9" s="9" t="s">
        <v>25</v>
      </c>
      <c r="F9" s="10">
        <v>8.0</v>
      </c>
      <c r="G9" s="10"/>
      <c r="H9" s="10">
        <v>2.4134469E7</v>
      </c>
      <c r="I9" s="10">
        <v>1.7458921E7</v>
      </c>
      <c r="J9" s="11">
        <v>0.7234019111835441</v>
      </c>
      <c r="K9" s="12">
        <v>939.0</v>
      </c>
      <c r="L9" s="13"/>
      <c r="M9" s="13" t="str">
        <f>VLOOKUP($C9,'genotype metadata'!$C$2:$M$156,6,FALSE)</f>
        <v>#N/A</v>
      </c>
      <c r="N9" s="13" t="str">
        <f>VLOOKUP($C9,'genotype metadata'!$C$2:$M$156,7,FALSE)</f>
        <v>#N/A</v>
      </c>
      <c r="O9" s="13" t="str">
        <f>VLOOKUP($C9,'genotype metadata'!$C$2:$M$156,8,FALSE)</f>
        <v>#N/A</v>
      </c>
      <c r="P9" s="13" t="str">
        <f>VLOOKUP($C9,'genotype metadata'!$C$2:$M$156,9,FALSE)</f>
        <v>#N/A</v>
      </c>
      <c r="Q9" s="13" t="str">
        <f>VLOOKUP($C9,'genotype metadata'!$C$2:$M$156,10,FALSE)</f>
        <v>#N/A</v>
      </c>
      <c r="R9" s="13" t="str">
        <f>VLOOKUP($C9,'genotype metadata'!$C$2:$M$156,11,FALSE)</f>
        <v>#N/A</v>
      </c>
      <c r="S9" s="12">
        <v>0.051720704</v>
      </c>
      <c r="T9" s="12">
        <v>0.009187974</v>
      </c>
      <c r="U9" s="12">
        <v>0.056189996</v>
      </c>
      <c r="V9" s="12">
        <v>0.882901326</v>
      </c>
    </row>
    <row r="10">
      <c r="A10" s="9" t="s">
        <v>43</v>
      </c>
      <c r="B10" s="9" t="s">
        <v>23</v>
      </c>
      <c r="C10" s="9" t="s">
        <v>44</v>
      </c>
      <c r="D10" s="9" t="s">
        <v>44</v>
      </c>
      <c r="E10" s="9" t="s">
        <v>25</v>
      </c>
      <c r="F10" s="10">
        <v>9.0</v>
      </c>
      <c r="G10" s="10"/>
      <c r="H10" s="10">
        <v>2.4739035E7</v>
      </c>
      <c r="I10" s="10">
        <v>8489282.0</v>
      </c>
      <c r="J10" s="11">
        <v>0.34315332024874856</v>
      </c>
      <c r="K10" s="12">
        <v>3465.0</v>
      </c>
      <c r="L10" s="13"/>
      <c r="M10" s="13" t="str">
        <f>VLOOKUP($C10,'genotype metadata'!$C$2:$M$156,6,FALSE)</f>
        <v>#N/A</v>
      </c>
      <c r="N10" s="13" t="str">
        <f>VLOOKUP($C10,'genotype metadata'!$C$2:$M$156,7,FALSE)</f>
        <v>#N/A</v>
      </c>
      <c r="O10" s="13" t="str">
        <f>VLOOKUP($C10,'genotype metadata'!$C$2:$M$156,8,FALSE)</f>
        <v>#N/A</v>
      </c>
      <c r="P10" s="13" t="str">
        <f>VLOOKUP($C10,'genotype metadata'!$C$2:$M$156,9,FALSE)</f>
        <v>#N/A</v>
      </c>
      <c r="Q10" s="13" t="str">
        <f>VLOOKUP($C10,'genotype metadata'!$C$2:$M$156,10,FALSE)</f>
        <v>#N/A</v>
      </c>
      <c r="R10" s="13" t="str">
        <f>VLOOKUP($C10,'genotype metadata'!$C$2:$M$156,11,FALSE)</f>
        <v>#N/A</v>
      </c>
      <c r="S10" s="12">
        <v>0.125513244</v>
      </c>
      <c r="T10" s="12">
        <v>0.014024636</v>
      </c>
      <c r="U10" s="12">
        <v>0.111939457</v>
      </c>
      <c r="V10" s="12">
        <v>0.748522663</v>
      </c>
    </row>
    <row r="11">
      <c r="A11" s="9" t="s">
        <v>45</v>
      </c>
      <c r="B11" s="9" t="s">
        <v>23</v>
      </c>
      <c r="C11" s="9" t="s">
        <v>46</v>
      </c>
      <c r="D11" s="9" t="s">
        <v>46</v>
      </c>
      <c r="E11" s="9" t="s">
        <v>25</v>
      </c>
      <c r="F11" s="10">
        <v>10.0</v>
      </c>
      <c r="G11" s="10"/>
      <c r="H11" s="10">
        <v>2.4511839E7</v>
      </c>
      <c r="I11" s="10">
        <v>1.9025706E7</v>
      </c>
      <c r="J11" s="11">
        <v>0.7761843572813937</v>
      </c>
      <c r="K11" s="12">
        <v>706.0</v>
      </c>
      <c r="L11" s="13"/>
      <c r="M11" s="13" t="str">
        <f>VLOOKUP($C11,'genotype metadata'!$C$2:$M$156,6,FALSE)</f>
        <v>KWN</v>
      </c>
      <c r="N11" s="13" t="str">
        <f>VLOOKUP($C11,'genotype metadata'!$C$2:$M$156,7,FALSE)</f>
        <v>N</v>
      </c>
      <c r="O11" s="13">
        <f>VLOOKUP($C11,'genotype metadata'!$C$2:$M$156,8,FALSE)</f>
        <v>24.55107</v>
      </c>
      <c r="P11" s="13">
        <f>VLOOKUP($C11,'genotype metadata'!$C$2:$M$156,9,FALSE)</f>
        <v>-81.80805</v>
      </c>
      <c r="Q11" s="13" t="str">
        <f>VLOOKUP($C11,'genotype metadata'!$C$2:$M$156,10,FALSE)</f>
        <v>2010-2017</v>
      </c>
      <c r="R11" s="13" t="str">
        <f>VLOOKUP($C11,'genotype metadata'!$C$2:$M$156,11,FALSE)</f>
        <v>Mote</v>
      </c>
      <c r="S11" s="12">
        <v>0.059547545</v>
      </c>
      <c r="T11" s="12">
        <v>0.01520419</v>
      </c>
      <c r="U11" s="12">
        <v>0.055406401</v>
      </c>
      <c r="V11" s="12">
        <v>0.869841864</v>
      </c>
    </row>
    <row r="12">
      <c r="A12" s="9" t="s">
        <v>47</v>
      </c>
      <c r="B12" s="9" t="s">
        <v>23</v>
      </c>
      <c r="C12" s="9" t="s">
        <v>48</v>
      </c>
      <c r="D12" s="9" t="s">
        <v>48</v>
      </c>
      <c r="E12" s="9" t="s">
        <v>25</v>
      </c>
      <c r="F12" s="10">
        <v>11.0</v>
      </c>
      <c r="G12" s="10"/>
      <c r="H12" s="10">
        <v>2.4772288E7</v>
      </c>
      <c r="I12" s="10">
        <v>1.8890251E7</v>
      </c>
      <c r="J12" s="11">
        <v>0.7625557639245919</v>
      </c>
      <c r="K12" s="12">
        <v>880.0</v>
      </c>
      <c r="L12" s="13"/>
      <c r="M12" s="13" t="str">
        <f>VLOOKUP($C12,'genotype metadata'!$C$2:$M$156,6,FALSE)</f>
        <v>#N/A</v>
      </c>
      <c r="N12" s="13" t="str">
        <f>VLOOKUP($C12,'genotype metadata'!$C$2:$M$156,7,FALSE)</f>
        <v>#N/A</v>
      </c>
      <c r="O12" s="13" t="str">
        <f>VLOOKUP($C12,'genotype metadata'!$C$2:$M$156,8,FALSE)</f>
        <v>#N/A</v>
      </c>
      <c r="P12" s="13" t="str">
        <f>VLOOKUP($C12,'genotype metadata'!$C$2:$M$156,9,FALSE)</f>
        <v>#N/A</v>
      </c>
      <c r="Q12" s="13" t="str">
        <f>VLOOKUP($C12,'genotype metadata'!$C$2:$M$156,10,FALSE)</f>
        <v>#N/A</v>
      </c>
      <c r="R12" s="13" t="str">
        <f>VLOOKUP($C12,'genotype metadata'!$C$2:$M$156,11,FALSE)</f>
        <v>#N/A</v>
      </c>
      <c r="S12" s="12">
        <v>0.029650816</v>
      </c>
      <c r="T12" s="12">
        <v>0.005086438</v>
      </c>
      <c r="U12" s="12">
        <v>0.029994158</v>
      </c>
      <c r="V12" s="12">
        <v>0.935268588</v>
      </c>
    </row>
    <row r="13">
      <c r="A13" s="9" t="s">
        <v>49</v>
      </c>
      <c r="B13" s="9" t="s">
        <v>23</v>
      </c>
      <c r="C13" s="9" t="s">
        <v>50</v>
      </c>
      <c r="D13" s="9" t="s">
        <v>50</v>
      </c>
      <c r="E13" s="9" t="s">
        <v>25</v>
      </c>
      <c r="F13" s="10">
        <v>12.0</v>
      </c>
      <c r="G13" s="10"/>
      <c r="H13" s="10">
        <v>2.4199784E7</v>
      </c>
      <c r="I13" s="10">
        <v>1.7566038E7</v>
      </c>
      <c r="J13" s="11">
        <v>0.7258758177345715</v>
      </c>
      <c r="K13" s="12">
        <v>1000.0</v>
      </c>
      <c r="L13" s="12" t="s">
        <v>36</v>
      </c>
      <c r="M13" s="13" t="str">
        <f>VLOOKUP($C13,'genotype metadata'!$C$2:$M$156,6,FALSE)</f>
        <v>#N/A</v>
      </c>
      <c r="N13" s="13" t="str">
        <f>VLOOKUP($C13,'genotype metadata'!$C$2:$M$156,7,FALSE)</f>
        <v>#N/A</v>
      </c>
      <c r="O13" s="13" t="str">
        <f>VLOOKUP($C13,'genotype metadata'!$C$2:$M$156,8,FALSE)</f>
        <v>#N/A</v>
      </c>
      <c r="P13" s="13" t="str">
        <f>VLOOKUP($C13,'genotype metadata'!$C$2:$M$156,9,FALSE)</f>
        <v>#N/A</v>
      </c>
      <c r="Q13" s="13" t="str">
        <f>VLOOKUP($C13,'genotype metadata'!$C$2:$M$156,10,FALSE)</f>
        <v>#N/A</v>
      </c>
      <c r="R13" s="13" t="str">
        <f>VLOOKUP($C13,'genotype metadata'!$C$2:$M$156,11,FALSE)</f>
        <v>#N/A</v>
      </c>
      <c r="S13" s="12">
        <v>0.033628039</v>
      </c>
      <c r="T13" s="12">
        <v>0.005844887</v>
      </c>
      <c r="U13" s="12">
        <v>0.027911627</v>
      </c>
      <c r="V13" s="12">
        <v>0.932615447</v>
      </c>
    </row>
    <row r="14">
      <c r="A14" s="9" t="s">
        <v>51</v>
      </c>
      <c r="B14" s="9" t="s">
        <v>23</v>
      </c>
      <c r="C14" s="9" t="s">
        <v>52</v>
      </c>
      <c r="D14" s="9" t="s">
        <v>52</v>
      </c>
      <c r="E14" s="9" t="s">
        <v>25</v>
      </c>
      <c r="F14" s="10">
        <v>13.0</v>
      </c>
      <c r="G14" s="10"/>
      <c r="H14" s="10">
        <v>2.4226277E7</v>
      </c>
      <c r="I14" s="10">
        <v>1.8014174E7</v>
      </c>
      <c r="J14" s="11">
        <v>0.7435799565901108</v>
      </c>
      <c r="K14" s="12">
        <v>791.0</v>
      </c>
      <c r="L14" s="13"/>
      <c r="M14" s="13" t="str">
        <f>VLOOKUP($C14,'genotype metadata'!$C$2:$M$156,6,FALSE)</f>
        <v>#N/A</v>
      </c>
      <c r="N14" s="13" t="str">
        <f>VLOOKUP($C14,'genotype metadata'!$C$2:$M$156,7,FALSE)</f>
        <v>#N/A</v>
      </c>
      <c r="O14" s="13" t="str">
        <f>VLOOKUP($C14,'genotype metadata'!$C$2:$M$156,8,FALSE)</f>
        <v>#N/A</v>
      </c>
      <c r="P14" s="13" t="str">
        <f>VLOOKUP($C14,'genotype metadata'!$C$2:$M$156,9,FALSE)</f>
        <v>#N/A</v>
      </c>
      <c r="Q14" s="13" t="str">
        <f>VLOOKUP($C14,'genotype metadata'!$C$2:$M$156,10,FALSE)</f>
        <v>#N/A</v>
      </c>
      <c r="R14" s="13" t="str">
        <f>VLOOKUP($C14,'genotype metadata'!$C$2:$M$156,11,FALSE)</f>
        <v>#N/A</v>
      </c>
      <c r="S14" s="12">
        <v>0.103478284</v>
      </c>
      <c r="T14" s="12">
        <v>0.013739088</v>
      </c>
      <c r="U14" s="12">
        <v>0.106235343</v>
      </c>
      <c r="V14" s="12">
        <v>0.776547284</v>
      </c>
    </row>
    <row r="15">
      <c r="A15" s="9" t="s">
        <v>53</v>
      </c>
      <c r="B15" s="9" t="s">
        <v>23</v>
      </c>
      <c r="C15" s="9" t="s">
        <v>54</v>
      </c>
      <c r="D15" s="9" t="s">
        <v>54</v>
      </c>
      <c r="E15" s="9" t="s">
        <v>25</v>
      </c>
      <c r="F15" s="10">
        <v>14.0</v>
      </c>
      <c r="G15" s="10"/>
      <c r="H15" s="10">
        <v>2.4709523E7</v>
      </c>
      <c r="I15" s="10">
        <v>1.4161228E7</v>
      </c>
      <c r="J15" s="11">
        <v>0.5731081089667331</v>
      </c>
      <c r="K15" s="12">
        <v>1302.0</v>
      </c>
      <c r="L15" s="13"/>
      <c r="M15" s="13" t="str">
        <f>VLOOKUP($C15,'genotype metadata'!$C$2:$M$156,6,FALSE)</f>
        <v>#N/A</v>
      </c>
      <c r="N15" s="13" t="str">
        <f>VLOOKUP($C15,'genotype metadata'!$C$2:$M$156,7,FALSE)</f>
        <v>#N/A</v>
      </c>
      <c r="O15" s="13" t="str">
        <f>VLOOKUP($C15,'genotype metadata'!$C$2:$M$156,8,FALSE)</f>
        <v>#N/A</v>
      </c>
      <c r="P15" s="13" t="str">
        <f>VLOOKUP($C15,'genotype metadata'!$C$2:$M$156,9,FALSE)</f>
        <v>#N/A</v>
      </c>
      <c r="Q15" s="13" t="str">
        <f>VLOOKUP($C15,'genotype metadata'!$C$2:$M$156,10,FALSE)</f>
        <v>#N/A</v>
      </c>
      <c r="R15" s="13" t="str">
        <f>VLOOKUP($C15,'genotype metadata'!$C$2:$M$156,11,FALSE)</f>
        <v>#N/A</v>
      </c>
      <c r="S15" s="12">
        <v>0.031837722</v>
      </c>
      <c r="T15" s="12">
        <v>0.004794311</v>
      </c>
      <c r="U15" s="12">
        <v>0.026638299</v>
      </c>
      <c r="V15" s="12">
        <v>0.936729668</v>
      </c>
    </row>
    <row r="16">
      <c r="A16" s="9" t="s">
        <v>55</v>
      </c>
      <c r="B16" s="9" t="s">
        <v>23</v>
      </c>
      <c r="C16" s="9" t="s">
        <v>56</v>
      </c>
      <c r="D16" s="9" t="s">
        <v>56</v>
      </c>
      <c r="E16" s="9" t="s">
        <v>25</v>
      </c>
      <c r="F16" s="10">
        <v>15.0</v>
      </c>
      <c r="G16" s="10"/>
      <c r="H16" s="10">
        <v>2.5581201E7</v>
      </c>
      <c r="I16" s="10">
        <v>1.1433624E7</v>
      </c>
      <c r="J16" s="11">
        <v>0.4469541519962257</v>
      </c>
      <c r="K16" s="12">
        <v>2206.0</v>
      </c>
      <c r="L16" s="13"/>
      <c r="M16" s="13" t="str">
        <f>VLOOKUP($C16,'genotype metadata'!$C$2:$M$156,6,FALSE)</f>
        <v>#N/A</v>
      </c>
      <c r="N16" s="13" t="str">
        <f>VLOOKUP($C16,'genotype metadata'!$C$2:$M$156,7,FALSE)</f>
        <v>#N/A</v>
      </c>
      <c r="O16" s="13" t="str">
        <f>VLOOKUP($C16,'genotype metadata'!$C$2:$M$156,8,FALSE)</f>
        <v>#N/A</v>
      </c>
      <c r="P16" s="13" t="str">
        <f>VLOOKUP($C16,'genotype metadata'!$C$2:$M$156,9,FALSE)</f>
        <v>#N/A</v>
      </c>
      <c r="Q16" s="13" t="str">
        <f>VLOOKUP($C16,'genotype metadata'!$C$2:$M$156,10,FALSE)</f>
        <v>#N/A</v>
      </c>
      <c r="R16" s="13" t="str">
        <f>VLOOKUP($C16,'genotype metadata'!$C$2:$M$156,11,FALSE)</f>
        <v>#N/A</v>
      </c>
      <c r="S16" s="12">
        <v>0.062732688</v>
      </c>
      <c r="T16" s="12">
        <v>0.015014562</v>
      </c>
      <c r="U16" s="12">
        <v>0.110648746</v>
      </c>
      <c r="V16" s="12">
        <v>0.811604004</v>
      </c>
    </row>
    <row r="17">
      <c r="A17" s="9" t="s">
        <v>57</v>
      </c>
      <c r="B17" s="9" t="s">
        <v>23</v>
      </c>
      <c r="C17" s="9" t="s">
        <v>58</v>
      </c>
      <c r="D17" s="9" t="s">
        <v>58</v>
      </c>
      <c r="E17" s="9" t="s">
        <v>25</v>
      </c>
      <c r="F17" s="10">
        <v>154.0</v>
      </c>
      <c r="G17" s="10"/>
      <c r="H17" s="10">
        <v>2.6026614E7</v>
      </c>
      <c r="I17" s="10">
        <v>2.1552521E7</v>
      </c>
      <c r="J17" s="11">
        <v>0.8280954641276042</v>
      </c>
      <c r="K17" s="12">
        <v>540.0</v>
      </c>
      <c r="L17" s="12" t="s">
        <v>36</v>
      </c>
      <c r="M17" s="13" t="str">
        <f>VLOOKUP($C17,'genotype metadata'!$C$2:$M$156,6,FALSE)</f>
        <v/>
      </c>
      <c r="N17" s="13" t="str">
        <f>VLOOKUP($C17,'genotype metadata'!$C$2:$M$156,7,FALSE)</f>
        <v>N</v>
      </c>
      <c r="O17" s="13" t="str">
        <f>VLOOKUP($C17,'genotype metadata'!$C$2:$M$156,8,FALSE)</f>
        <v/>
      </c>
      <c r="P17" s="13" t="str">
        <f>VLOOKUP($C17,'genotype metadata'!$C$2:$M$156,9,FALSE)</f>
        <v>NA</v>
      </c>
      <c r="Q17" s="13" t="str">
        <f>VLOOKUP($C17,'genotype metadata'!$C$2:$M$156,10,FALSE)</f>
        <v/>
      </c>
      <c r="R17" s="13" t="str">
        <f>VLOOKUP($C17,'genotype metadata'!$C$2:$M$156,11,FALSE)</f>
        <v/>
      </c>
      <c r="S17" s="12">
        <v>0.061224281</v>
      </c>
      <c r="T17" s="12">
        <v>0.008525236</v>
      </c>
      <c r="U17" s="12">
        <v>0.044944555</v>
      </c>
      <c r="V17" s="12">
        <v>0.885305927</v>
      </c>
    </row>
    <row r="18">
      <c r="A18" s="9" t="s">
        <v>59</v>
      </c>
      <c r="B18" s="9" t="s">
        <v>23</v>
      </c>
      <c r="C18" s="9" t="s">
        <v>60</v>
      </c>
      <c r="D18" s="9" t="s">
        <v>60</v>
      </c>
      <c r="E18" s="9" t="s">
        <v>25</v>
      </c>
      <c r="F18" s="10">
        <v>17.0</v>
      </c>
      <c r="G18" s="10"/>
      <c r="H18" s="10">
        <v>2.4782166E7</v>
      </c>
      <c r="I18" s="10">
        <v>1.685472E7</v>
      </c>
      <c r="J18" s="11">
        <v>0.6801148858416977</v>
      </c>
      <c r="K18" s="12">
        <v>883.0</v>
      </c>
      <c r="L18" s="13"/>
      <c r="M18" s="13" t="str">
        <f>VLOOKUP($C18,'genotype metadata'!$C$2:$M$156,6,FALSE)</f>
        <v/>
      </c>
      <c r="N18" s="13" t="str">
        <f>VLOOKUP($C18,'genotype metadata'!$C$2:$M$156,7,FALSE)</f>
        <v>N</v>
      </c>
      <c r="O18" s="13" t="str">
        <f>VLOOKUP($C18,'genotype metadata'!$C$2:$M$156,8,FALSE)</f>
        <v/>
      </c>
      <c r="P18" s="13" t="str">
        <f>VLOOKUP($C18,'genotype metadata'!$C$2:$M$156,9,FALSE)</f>
        <v>NA</v>
      </c>
      <c r="Q18" s="13">
        <f>VLOOKUP($C18,'genotype metadata'!$C$2:$M$156,10,FALSE)</f>
        <v>2015</v>
      </c>
      <c r="R18" s="13" t="str">
        <f>VLOOKUP($C18,'genotype metadata'!$C$2:$M$156,11,FALSE)</f>
        <v/>
      </c>
      <c r="S18" s="12">
        <v>0.020163566</v>
      </c>
      <c r="T18" s="12">
        <v>0.003724409</v>
      </c>
      <c r="U18" s="12">
        <v>0.021722572</v>
      </c>
      <c r="V18" s="12">
        <v>0.954389452</v>
      </c>
    </row>
    <row r="19">
      <c r="A19" s="9" t="s">
        <v>61</v>
      </c>
      <c r="B19" s="9" t="s">
        <v>23</v>
      </c>
      <c r="C19" s="9" t="s">
        <v>62</v>
      </c>
      <c r="D19" s="9" t="s">
        <v>62</v>
      </c>
      <c r="E19" s="9" t="s">
        <v>25</v>
      </c>
      <c r="F19" s="10">
        <v>18.0</v>
      </c>
      <c r="G19" s="10"/>
      <c r="H19" s="10">
        <v>2.4500744E7</v>
      </c>
      <c r="I19" s="10">
        <v>1.8511451E7</v>
      </c>
      <c r="J19" s="11">
        <v>0.7555464846292015</v>
      </c>
      <c r="K19" s="12">
        <v>685.0</v>
      </c>
      <c r="L19" s="13"/>
      <c r="M19" s="13" t="str">
        <f>VLOOKUP($C19,'genotype metadata'!$C$2:$M$156,6,FALSE)</f>
        <v>KWN</v>
      </c>
      <c r="N19" s="13" t="str">
        <f>VLOOKUP($C19,'genotype metadata'!$C$2:$M$156,7,FALSE)</f>
        <v>N</v>
      </c>
      <c r="O19" s="13">
        <f>VLOOKUP($C19,'genotype metadata'!$C$2:$M$156,8,FALSE)</f>
        <v>24.55107</v>
      </c>
      <c r="P19" s="13">
        <f>VLOOKUP($C19,'genotype metadata'!$C$2:$M$156,9,FALSE)</f>
        <v>-81.80805</v>
      </c>
      <c r="Q19" s="13" t="str">
        <f>VLOOKUP($C19,'genotype metadata'!$C$2:$M$156,10,FALSE)</f>
        <v>2010-2017</v>
      </c>
      <c r="R19" s="13" t="str">
        <f>VLOOKUP($C19,'genotype metadata'!$C$2:$M$156,11,FALSE)</f>
        <v>Mote</v>
      </c>
      <c r="S19" s="12">
        <v>0.045339628</v>
      </c>
      <c r="T19" s="12">
        <v>0.00689331</v>
      </c>
      <c r="U19" s="12">
        <v>0.053052048</v>
      </c>
      <c r="V19" s="12">
        <v>0.894715014</v>
      </c>
    </row>
    <row r="20">
      <c r="A20" s="9" t="s">
        <v>63</v>
      </c>
      <c r="B20" s="9" t="s">
        <v>23</v>
      </c>
      <c r="C20" s="9" t="s">
        <v>64</v>
      </c>
      <c r="D20" s="9" t="s">
        <v>64</v>
      </c>
      <c r="E20" s="9" t="s">
        <v>25</v>
      </c>
      <c r="F20" s="10">
        <v>19.0</v>
      </c>
      <c r="G20" s="10"/>
      <c r="H20" s="10">
        <v>2.4386411E7</v>
      </c>
      <c r="I20" s="10">
        <v>8314031.0</v>
      </c>
      <c r="J20" s="11">
        <v>0.34092884762747583</v>
      </c>
      <c r="K20" s="12">
        <v>3333.0</v>
      </c>
      <c r="L20" s="13"/>
      <c r="M20" s="13" t="str">
        <f>VLOOKUP($C20,'genotype metadata'!$C$2:$M$156,6,FALSE)</f>
        <v/>
      </c>
      <c r="N20" s="13" t="str">
        <f>VLOOKUP($C20,'genotype metadata'!$C$2:$M$156,7,FALSE)</f>
        <v>N</v>
      </c>
      <c r="O20" s="13" t="str">
        <f>VLOOKUP($C20,'genotype metadata'!$C$2:$M$156,8,FALSE)</f>
        <v/>
      </c>
      <c r="P20" s="13" t="str">
        <f>VLOOKUP($C20,'genotype metadata'!$C$2:$M$156,9,FALSE)</f>
        <v>NA</v>
      </c>
      <c r="Q20" s="13">
        <f>VLOOKUP($C20,'genotype metadata'!$C$2:$M$156,10,FALSE)</f>
        <v>2015</v>
      </c>
      <c r="R20" s="13" t="str">
        <f>VLOOKUP($C20,'genotype metadata'!$C$2:$M$156,11,FALSE)</f>
        <v/>
      </c>
      <c r="S20" s="12">
        <v>0.030682511</v>
      </c>
      <c r="T20" s="12">
        <v>0.006562578</v>
      </c>
      <c r="U20" s="12">
        <v>0.062866275</v>
      </c>
      <c r="V20" s="12">
        <v>0.899888636</v>
      </c>
    </row>
    <row r="21">
      <c r="A21" s="9" t="s">
        <v>65</v>
      </c>
      <c r="B21" s="9" t="s">
        <v>23</v>
      </c>
      <c r="C21" s="9" t="s">
        <v>66</v>
      </c>
      <c r="D21" s="9" t="s">
        <v>66</v>
      </c>
      <c r="E21" s="9" t="s">
        <v>25</v>
      </c>
      <c r="F21" s="10">
        <v>20.0</v>
      </c>
      <c r="G21" s="10"/>
      <c r="H21" s="10">
        <v>2.5065122E7</v>
      </c>
      <c r="I21" s="10">
        <v>7353428.0</v>
      </c>
      <c r="J21" s="11">
        <v>0.29337291875140287</v>
      </c>
      <c r="K21" s="12">
        <v>3877.0</v>
      </c>
      <c r="L21" s="13"/>
      <c r="M21" s="13" t="str">
        <f>VLOOKUP($C21,'genotype metadata'!$C$2:$M$156,6,FALSE)</f>
        <v>#N/A</v>
      </c>
      <c r="N21" s="13" t="str">
        <f>VLOOKUP($C21,'genotype metadata'!$C$2:$M$156,7,FALSE)</f>
        <v>#N/A</v>
      </c>
      <c r="O21" s="13" t="str">
        <f>VLOOKUP($C21,'genotype metadata'!$C$2:$M$156,8,FALSE)</f>
        <v>#N/A</v>
      </c>
      <c r="P21" s="13" t="str">
        <f>VLOOKUP($C21,'genotype metadata'!$C$2:$M$156,9,FALSE)</f>
        <v>#N/A</v>
      </c>
      <c r="Q21" s="13" t="str">
        <f>VLOOKUP($C21,'genotype metadata'!$C$2:$M$156,10,FALSE)</f>
        <v>#N/A</v>
      </c>
      <c r="R21" s="13" t="str">
        <f>VLOOKUP($C21,'genotype metadata'!$C$2:$M$156,11,FALSE)</f>
        <v>#N/A</v>
      </c>
      <c r="S21" s="12">
        <v>0.149628685</v>
      </c>
      <c r="T21" s="12">
        <v>0.035203894</v>
      </c>
      <c r="U21" s="12">
        <v>0.399522941</v>
      </c>
      <c r="V21" s="12">
        <v>0.41564448</v>
      </c>
    </row>
    <row r="22">
      <c r="A22" s="9" t="s">
        <v>67</v>
      </c>
      <c r="B22" s="9" t="s">
        <v>23</v>
      </c>
      <c r="C22" s="9" t="s">
        <v>68</v>
      </c>
      <c r="D22" s="9" t="s">
        <v>68</v>
      </c>
      <c r="E22" s="9" t="s">
        <v>25</v>
      </c>
      <c r="F22" s="10">
        <v>21.0</v>
      </c>
      <c r="G22" s="10"/>
      <c r="H22" s="10">
        <v>2.6907837E7</v>
      </c>
      <c r="I22" s="10">
        <v>1.6798946E7</v>
      </c>
      <c r="J22" s="11">
        <v>0.6243142471838223</v>
      </c>
      <c r="K22" s="12">
        <v>879.0</v>
      </c>
      <c r="L22" s="13"/>
      <c r="M22" s="13" t="str">
        <f>VLOOKUP($C22,'genotype metadata'!$C$2:$M$156,6,FALSE)</f>
        <v>H</v>
      </c>
      <c r="N22" s="13" t="str">
        <f>VLOOKUP($C22,'genotype metadata'!$C$2:$M$156,7,FALSE)</f>
        <v>N</v>
      </c>
      <c r="O22" s="13">
        <f>VLOOKUP($C22,'genotype metadata'!$C$2:$M$156,8,FALSE)</f>
        <v>25.139367</v>
      </c>
      <c r="P22" s="13">
        <f>VLOOKUP($C22,'genotype metadata'!$C$2:$M$156,9,FALSE)</f>
        <v>-80.294017</v>
      </c>
      <c r="Q22" s="13" t="str">
        <f>VLOOKUP($C22,'genotype metadata'!$C$2:$M$156,10,FALSE)</f>
        <v>2015 batch</v>
      </c>
      <c r="R22" s="13" t="str">
        <f>VLOOKUP($C22,'genotype metadata'!$C$2:$M$156,11,FALSE)</f>
        <v>Margaret Miller</v>
      </c>
      <c r="S22" s="12">
        <v>0.062974014</v>
      </c>
      <c r="T22" s="12">
        <v>0.011219916</v>
      </c>
      <c r="U22" s="12">
        <v>0.110679688</v>
      </c>
      <c r="V22" s="12">
        <v>0.815126382</v>
      </c>
    </row>
    <row r="23">
      <c r="A23" s="9" t="s">
        <v>69</v>
      </c>
      <c r="B23" s="9" t="s">
        <v>23</v>
      </c>
      <c r="C23" s="9" t="s">
        <v>70</v>
      </c>
      <c r="D23" s="9" t="s">
        <v>70</v>
      </c>
      <c r="E23" s="9" t="s">
        <v>25</v>
      </c>
      <c r="F23" s="10">
        <v>22.0</v>
      </c>
      <c r="G23" s="10"/>
      <c r="H23" s="10">
        <v>2.5174675E7</v>
      </c>
      <c r="I23" s="10">
        <v>1.5974479E7</v>
      </c>
      <c r="J23" s="11">
        <v>0.634545589962929</v>
      </c>
      <c r="K23" s="12">
        <v>1028.0</v>
      </c>
      <c r="L23" s="13"/>
      <c r="M23" s="13" t="str">
        <f>VLOOKUP($C23,'genotype metadata'!$C$2:$M$156,6,FALSE)</f>
        <v>H</v>
      </c>
      <c r="N23" s="13" t="str">
        <f>VLOOKUP($C23,'genotype metadata'!$C$2:$M$156,7,FALSE)</f>
        <v>N</v>
      </c>
      <c r="O23" s="13">
        <f>VLOOKUP($C23,'genotype metadata'!$C$2:$M$156,8,FALSE)</f>
        <v>25.139367</v>
      </c>
      <c r="P23" s="13">
        <f>VLOOKUP($C23,'genotype metadata'!$C$2:$M$156,9,FALSE)</f>
        <v>-80.294017</v>
      </c>
      <c r="Q23" s="13" t="str">
        <f>VLOOKUP($C23,'genotype metadata'!$C$2:$M$156,10,FALSE)</f>
        <v>2015 batch</v>
      </c>
      <c r="R23" s="13" t="str">
        <f>VLOOKUP($C23,'genotype metadata'!$C$2:$M$156,11,FALSE)</f>
        <v>Margaret Miller</v>
      </c>
      <c r="S23" s="12">
        <v>0.078021985</v>
      </c>
      <c r="T23" s="12">
        <v>0.012957972</v>
      </c>
      <c r="U23" s="12">
        <v>0.069291952</v>
      </c>
      <c r="V23" s="12">
        <v>0.839728091</v>
      </c>
    </row>
    <row r="24">
      <c r="A24" s="9" t="s">
        <v>71</v>
      </c>
      <c r="B24" s="9" t="s">
        <v>23</v>
      </c>
      <c r="C24" s="9" t="s">
        <v>72</v>
      </c>
      <c r="D24" s="9" t="s">
        <v>72</v>
      </c>
      <c r="E24" s="9" t="s">
        <v>25</v>
      </c>
      <c r="F24" s="10">
        <v>23.0</v>
      </c>
      <c r="G24" s="10"/>
      <c r="H24" s="10">
        <v>2.5116195E7</v>
      </c>
      <c r="I24" s="10">
        <v>7892961.0</v>
      </c>
      <c r="J24" s="11">
        <v>0.3142578324463558</v>
      </c>
      <c r="K24" s="12">
        <v>3467.0</v>
      </c>
      <c r="L24" s="13"/>
      <c r="M24" s="13" t="str">
        <f>VLOOKUP($C24,'genotype metadata'!$C$2:$M$156,6,FALSE)</f>
        <v>KWN</v>
      </c>
      <c r="N24" s="13" t="str">
        <f>VLOOKUP($C24,'genotype metadata'!$C$2:$M$156,7,FALSE)</f>
        <v>N</v>
      </c>
      <c r="O24" s="13">
        <f>VLOOKUP($C24,'genotype metadata'!$C$2:$M$156,8,FALSE)</f>
        <v>24.55107</v>
      </c>
      <c r="P24" s="13">
        <f>VLOOKUP($C24,'genotype metadata'!$C$2:$M$156,9,FALSE)</f>
        <v>-81.80805</v>
      </c>
      <c r="Q24" s="13" t="str">
        <f>VLOOKUP($C24,'genotype metadata'!$C$2:$M$156,10,FALSE)</f>
        <v>2010-2017</v>
      </c>
      <c r="R24" s="13" t="str">
        <f>VLOOKUP($C24,'genotype metadata'!$C$2:$M$156,11,FALSE)</f>
        <v>Mote</v>
      </c>
      <c r="S24" s="12">
        <v>0.073612626</v>
      </c>
      <c r="T24" s="12">
        <v>0.012391119</v>
      </c>
      <c r="U24" s="12">
        <v>0.197870468</v>
      </c>
      <c r="V24" s="12">
        <v>0.716125787</v>
      </c>
    </row>
    <row r="25">
      <c r="A25" s="9" t="s">
        <v>73</v>
      </c>
      <c r="B25" s="9" t="s">
        <v>23</v>
      </c>
      <c r="C25" s="9" t="s">
        <v>74</v>
      </c>
      <c r="D25" s="9" t="s">
        <v>74</v>
      </c>
      <c r="E25" s="9" t="s">
        <v>25</v>
      </c>
      <c r="F25" s="10">
        <v>24.0</v>
      </c>
      <c r="G25" s="10"/>
      <c r="H25" s="10">
        <v>2.6028876E7</v>
      </c>
      <c r="I25" s="10">
        <v>1.9006396E7</v>
      </c>
      <c r="J25" s="11">
        <v>0.7302042546900603</v>
      </c>
      <c r="K25" s="12">
        <v>724.0</v>
      </c>
      <c r="L25" s="13"/>
      <c r="M25" s="13" t="str">
        <f>VLOOKUP($C25,'genotype metadata'!$C$2:$M$156,6,FALSE)</f>
        <v>H</v>
      </c>
      <c r="N25" s="13" t="str">
        <f>VLOOKUP($C25,'genotype metadata'!$C$2:$M$156,7,FALSE)</f>
        <v>N</v>
      </c>
      <c r="O25" s="13">
        <f>VLOOKUP($C25,'genotype metadata'!$C$2:$M$156,8,FALSE)</f>
        <v>25.139367</v>
      </c>
      <c r="P25" s="13">
        <f>VLOOKUP($C25,'genotype metadata'!$C$2:$M$156,9,FALSE)</f>
        <v>-80.294017</v>
      </c>
      <c r="Q25" s="13" t="str">
        <f>VLOOKUP($C25,'genotype metadata'!$C$2:$M$156,10,FALSE)</f>
        <v>2015 batch</v>
      </c>
      <c r="R25" s="13" t="str">
        <f>VLOOKUP($C25,'genotype metadata'!$C$2:$M$156,11,FALSE)</f>
        <v>Margaret Miller</v>
      </c>
      <c r="S25" s="12">
        <v>0.061268651</v>
      </c>
      <c r="T25" s="12">
        <v>0.010072908</v>
      </c>
      <c r="U25" s="12">
        <v>0.06366151</v>
      </c>
      <c r="V25" s="12">
        <v>0.864996932</v>
      </c>
    </row>
    <row r="26">
      <c r="A26" s="9" t="s">
        <v>75</v>
      </c>
      <c r="B26" s="9" t="s">
        <v>23</v>
      </c>
      <c r="C26" s="9" t="s">
        <v>76</v>
      </c>
      <c r="D26" s="9" t="s">
        <v>76</v>
      </c>
      <c r="E26" s="9" t="s">
        <v>25</v>
      </c>
      <c r="F26" s="10">
        <v>25.0</v>
      </c>
      <c r="G26" s="10"/>
      <c r="H26" s="10">
        <v>2.6749521E7</v>
      </c>
      <c r="I26" s="10">
        <v>1.6594225E7</v>
      </c>
      <c r="J26" s="11">
        <v>0.6203559682433192</v>
      </c>
      <c r="K26" s="12">
        <v>962.0</v>
      </c>
      <c r="L26" s="13"/>
      <c r="M26" s="13" t="str">
        <f>VLOOKUP($C26,'genotype metadata'!$C$2:$M$156,6,FALSE)</f>
        <v>H</v>
      </c>
      <c r="N26" s="13" t="str">
        <f>VLOOKUP($C26,'genotype metadata'!$C$2:$M$156,7,FALSE)</f>
        <v>Y</v>
      </c>
      <c r="O26" s="13">
        <f>VLOOKUP($C26,'genotype metadata'!$C$2:$M$156,8,FALSE)</f>
        <v>25.139367</v>
      </c>
      <c r="P26" s="13">
        <f>VLOOKUP($C26,'genotype metadata'!$C$2:$M$156,9,FALSE)</f>
        <v>-80.294017</v>
      </c>
      <c r="Q26" s="13">
        <f>VLOOKUP($C26,'genotype metadata'!$C$2:$M$156,10,FALSE)</f>
        <v>2015</v>
      </c>
      <c r="R26" s="13" t="str">
        <f>VLOOKUP($C26,'genotype metadata'!$C$2:$M$156,11,FALSE)</f>
        <v>Margaret Miller</v>
      </c>
      <c r="S26" s="12">
        <v>0.12054271</v>
      </c>
      <c r="T26" s="12">
        <v>0.069656287</v>
      </c>
      <c r="U26" s="12">
        <v>0.224270648</v>
      </c>
      <c r="V26" s="12">
        <v>0.585530356</v>
      </c>
    </row>
    <row r="27">
      <c r="A27" s="9" t="s">
        <v>77</v>
      </c>
      <c r="B27" s="9" t="s">
        <v>23</v>
      </c>
      <c r="C27" s="9" t="s">
        <v>78</v>
      </c>
      <c r="D27" s="9" t="s">
        <v>78</v>
      </c>
      <c r="E27" s="9" t="s">
        <v>25</v>
      </c>
      <c r="F27" s="10">
        <v>26.0</v>
      </c>
      <c r="G27" s="10"/>
      <c r="H27" s="10">
        <v>2.4362732E7</v>
      </c>
      <c r="I27" s="10">
        <v>9492579.0</v>
      </c>
      <c r="J27" s="11">
        <v>0.38963524287834383</v>
      </c>
      <c r="K27" s="12">
        <v>3875.0</v>
      </c>
      <c r="L27" s="13"/>
      <c r="M27" s="13" t="str">
        <f>VLOOKUP($C27,'genotype metadata'!$C$2:$M$156,6,FALSE)</f>
        <v>H</v>
      </c>
      <c r="N27" s="13" t="str">
        <f>VLOOKUP($C27,'genotype metadata'!$C$2:$M$156,7,FALSE)</f>
        <v>Y</v>
      </c>
      <c r="O27" s="13">
        <f>VLOOKUP($C27,'genotype metadata'!$C$2:$M$156,8,FALSE)</f>
        <v>25.139367</v>
      </c>
      <c r="P27" s="13">
        <f>VLOOKUP($C27,'genotype metadata'!$C$2:$M$156,9,FALSE)</f>
        <v>-80.294017</v>
      </c>
      <c r="Q27" s="13">
        <f>VLOOKUP($C27,'genotype metadata'!$C$2:$M$156,10,FALSE)</f>
        <v>2015</v>
      </c>
      <c r="R27" s="13" t="str">
        <f>VLOOKUP($C27,'genotype metadata'!$C$2:$M$156,11,FALSE)</f>
        <v>Margaret Miller</v>
      </c>
      <c r="S27" s="12">
        <v>0.16059293</v>
      </c>
      <c r="T27" s="12">
        <v>0.067186719</v>
      </c>
      <c r="U27" s="12">
        <v>0.348991067</v>
      </c>
      <c r="V27" s="12">
        <v>0.423229284</v>
      </c>
    </row>
    <row r="28">
      <c r="A28" s="9" t="s">
        <v>79</v>
      </c>
      <c r="B28" s="9" t="s">
        <v>23</v>
      </c>
      <c r="C28" s="9" t="s">
        <v>80</v>
      </c>
      <c r="D28" s="9" t="s">
        <v>80</v>
      </c>
      <c r="E28" s="9" t="s">
        <v>25</v>
      </c>
      <c r="F28" s="10">
        <v>27.0</v>
      </c>
      <c r="G28" s="10"/>
      <c r="H28" s="10">
        <v>2.5120802E7</v>
      </c>
      <c r="I28" s="10">
        <v>1.8918386E7</v>
      </c>
      <c r="J28" s="11">
        <v>0.7530964178611813</v>
      </c>
      <c r="K28" s="12">
        <v>971.0</v>
      </c>
      <c r="L28" s="13"/>
      <c r="M28" s="13" t="str">
        <f>VLOOKUP($C28,'genotype metadata'!$C$2:$M$156,6,FALSE)</f>
        <v>KWN</v>
      </c>
      <c r="N28" s="13" t="str">
        <f>VLOOKUP($C28,'genotype metadata'!$C$2:$M$156,7,FALSE)</f>
        <v>N</v>
      </c>
      <c r="O28" s="13">
        <f>VLOOKUP($C28,'genotype metadata'!$C$2:$M$156,8,FALSE)</f>
        <v>24.55107</v>
      </c>
      <c r="P28" s="13">
        <f>VLOOKUP($C28,'genotype metadata'!$C$2:$M$156,9,FALSE)</f>
        <v>-81.80805</v>
      </c>
      <c r="Q28" s="13" t="str">
        <f>VLOOKUP($C28,'genotype metadata'!$C$2:$M$156,10,FALSE)</f>
        <v>2010-2017</v>
      </c>
      <c r="R28" s="13" t="str">
        <f>VLOOKUP($C28,'genotype metadata'!$C$2:$M$156,11,FALSE)</f>
        <v>Mote</v>
      </c>
      <c r="S28" s="12">
        <v>0.016169976</v>
      </c>
      <c r="T28" s="12">
        <v>0.002562259</v>
      </c>
      <c r="U28" s="12">
        <v>0.01236356</v>
      </c>
      <c r="V28" s="12">
        <v>0.968904205</v>
      </c>
    </row>
    <row r="29">
      <c r="A29" s="9" t="s">
        <v>81</v>
      </c>
      <c r="B29" s="9" t="s">
        <v>23</v>
      </c>
      <c r="C29" s="9" t="s">
        <v>82</v>
      </c>
      <c r="D29" s="9" t="s">
        <v>82</v>
      </c>
      <c r="E29" s="9" t="s">
        <v>25</v>
      </c>
      <c r="F29" s="10">
        <v>28.0</v>
      </c>
      <c r="G29" s="10"/>
      <c r="H29" s="10">
        <v>1.9399521E7</v>
      </c>
      <c r="I29" s="10">
        <v>1.0719912E7</v>
      </c>
      <c r="J29" s="11">
        <v>0.5525864272628175</v>
      </c>
      <c r="K29" s="12">
        <v>3154.0</v>
      </c>
      <c r="L29" s="13"/>
      <c r="M29" s="13" t="str">
        <f>VLOOKUP($C29,'genotype metadata'!$C$2:$M$156,6,FALSE)</f>
        <v>#N/A</v>
      </c>
      <c r="N29" s="13" t="str">
        <f>VLOOKUP($C29,'genotype metadata'!$C$2:$M$156,7,FALSE)</f>
        <v>#N/A</v>
      </c>
      <c r="O29" s="13" t="str">
        <f>VLOOKUP($C29,'genotype metadata'!$C$2:$M$156,8,FALSE)</f>
        <v>#N/A</v>
      </c>
      <c r="P29" s="13" t="str">
        <f>VLOOKUP($C29,'genotype metadata'!$C$2:$M$156,9,FALSE)</f>
        <v>#N/A</v>
      </c>
      <c r="Q29" s="13" t="str">
        <f>VLOOKUP($C29,'genotype metadata'!$C$2:$M$156,10,FALSE)</f>
        <v>#N/A</v>
      </c>
      <c r="R29" s="13" t="str">
        <f>VLOOKUP($C29,'genotype metadata'!$C$2:$M$156,11,FALSE)</f>
        <v>#N/A</v>
      </c>
      <c r="S29" s="12">
        <v>0.12450524</v>
      </c>
      <c r="T29" s="12">
        <v>0.026583745</v>
      </c>
      <c r="U29" s="12">
        <v>0.167475031</v>
      </c>
      <c r="V29" s="12">
        <v>0.681435984</v>
      </c>
    </row>
    <row r="30">
      <c r="A30" s="9" t="s">
        <v>83</v>
      </c>
      <c r="B30" s="9" t="s">
        <v>23</v>
      </c>
      <c r="C30" s="9" t="s">
        <v>84</v>
      </c>
      <c r="D30" s="9" t="s">
        <v>84</v>
      </c>
      <c r="E30" s="9" t="s">
        <v>25</v>
      </c>
      <c r="F30" s="10">
        <v>29.0</v>
      </c>
      <c r="G30" s="10"/>
      <c r="H30" s="10">
        <v>2.2797232E7</v>
      </c>
      <c r="I30" s="10">
        <v>6359796.0</v>
      </c>
      <c r="J30" s="11">
        <v>0.27897228926739875</v>
      </c>
      <c r="K30" s="12">
        <v>4791.0</v>
      </c>
      <c r="L30" s="13"/>
      <c r="M30" s="13" t="str">
        <f>VLOOKUP($C30,'genotype metadata'!$C$2:$M$156,6,FALSE)</f>
        <v>H</v>
      </c>
      <c r="N30" s="13" t="str">
        <f>VLOOKUP($C30,'genotype metadata'!$C$2:$M$156,7,FALSE)</f>
        <v>N</v>
      </c>
      <c r="O30" s="13">
        <f>VLOOKUP($C30,'genotype metadata'!$C$2:$M$156,8,FALSE)</f>
        <v>25.139367</v>
      </c>
      <c r="P30" s="13">
        <f>VLOOKUP($C30,'genotype metadata'!$C$2:$M$156,9,FALSE)</f>
        <v>-80.294017</v>
      </c>
      <c r="Q30" s="13" t="str">
        <f>VLOOKUP($C30,'genotype metadata'!$C$2:$M$156,10,FALSE)</f>
        <v>2015 batch</v>
      </c>
      <c r="R30" s="13" t="str">
        <f>VLOOKUP($C30,'genotype metadata'!$C$2:$M$156,11,FALSE)</f>
        <v>Margaret Miller</v>
      </c>
      <c r="S30" s="12">
        <v>0.196378223</v>
      </c>
      <c r="T30" s="12">
        <v>0.048482596</v>
      </c>
      <c r="U30" s="12">
        <v>0.224137489</v>
      </c>
      <c r="V30" s="12">
        <v>0.531001692</v>
      </c>
    </row>
    <row r="31">
      <c r="A31" s="9" t="s">
        <v>85</v>
      </c>
      <c r="B31" s="9" t="s">
        <v>23</v>
      </c>
      <c r="C31" s="9" t="s">
        <v>86</v>
      </c>
      <c r="D31" s="9" t="s">
        <v>87</v>
      </c>
      <c r="E31" s="9" t="s">
        <v>25</v>
      </c>
      <c r="F31" s="10">
        <v>30.0</v>
      </c>
      <c r="G31" s="10"/>
      <c r="H31" s="10">
        <v>2.1133994E7</v>
      </c>
      <c r="I31" s="10">
        <v>1.176812E7</v>
      </c>
      <c r="J31" s="11">
        <v>0.5568336964607825</v>
      </c>
      <c r="K31" s="12">
        <v>2288.0</v>
      </c>
      <c r="L31" s="13"/>
      <c r="M31" s="13" t="str">
        <f>VLOOKUP($C31,'genotype metadata'!$C$2:$M$156,6,FALSE)</f>
        <v>H</v>
      </c>
      <c r="N31" s="13" t="str">
        <f>VLOOKUP($C31,'genotype metadata'!$C$2:$M$156,7,FALSE)</f>
        <v>N</v>
      </c>
      <c r="O31" s="13">
        <f>VLOOKUP($C31,'genotype metadata'!$C$2:$M$156,8,FALSE)</f>
        <v>25.139367</v>
      </c>
      <c r="P31" s="13">
        <f>VLOOKUP($C31,'genotype metadata'!$C$2:$M$156,9,FALSE)</f>
        <v>-80.294017</v>
      </c>
      <c r="Q31" s="13" t="str">
        <f>VLOOKUP($C31,'genotype metadata'!$C$2:$M$156,10,FALSE)</f>
        <v>2015 batch</v>
      </c>
      <c r="R31" s="13" t="str">
        <f>VLOOKUP($C31,'genotype metadata'!$C$2:$M$156,11,FALSE)</f>
        <v>Margaret Miller</v>
      </c>
      <c r="S31" s="12">
        <v>0.091203995</v>
      </c>
      <c r="T31" s="12">
        <v>0.024503021</v>
      </c>
      <c r="U31" s="12">
        <v>0.155953266</v>
      </c>
      <c r="V31" s="12">
        <v>0.728339718</v>
      </c>
    </row>
    <row r="32">
      <c r="A32" s="9" t="s">
        <v>88</v>
      </c>
      <c r="B32" s="9" t="s">
        <v>23</v>
      </c>
      <c r="C32" s="9" t="s">
        <v>89</v>
      </c>
      <c r="D32" s="9" t="s">
        <v>89</v>
      </c>
      <c r="E32" s="9" t="s">
        <v>25</v>
      </c>
      <c r="F32" s="10">
        <v>31.0</v>
      </c>
      <c r="G32" s="10"/>
      <c r="H32" s="10">
        <v>1.9761108E7</v>
      </c>
      <c r="I32" s="10">
        <v>1.1309894E7</v>
      </c>
      <c r="J32" s="11">
        <v>0.572330964437824</v>
      </c>
      <c r="K32" s="12">
        <v>2649.0</v>
      </c>
      <c r="L32" s="13"/>
      <c r="M32" s="13" t="str">
        <f>VLOOKUP($C32,'genotype metadata'!$C$2:$M$156,6,FALSE)</f>
        <v>#N/A</v>
      </c>
      <c r="N32" s="13" t="str">
        <f>VLOOKUP($C32,'genotype metadata'!$C$2:$M$156,7,FALSE)</f>
        <v>#N/A</v>
      </c>
      <c r="O32" s="13" t="str">
        <f>VLOOKUP($C32,'genotype metadata'!$C$2:$M$156,8,FALSE)</f>
        <v>#N/A</v>
      </c>
      <c r="P32" s="13" t="str">
        <f>VLOOKUP($C32,'genotype metadata'!$C$2:$M$156,9,FALSE)</f>
        <v>#N/A</v>
      </c>
      <c r="Q32" s="13" t="str">
        <f>VLOOKUP($C32,'genotype metadata'!$C$2:$M$156,10,FALSE)</f>
        <v>#N/A</v>
      </c>
      <c r="R32" s="13" t="str">
        <f>VLOOKUP($C32,'genotype metadata'!$C$2:$M$156,11,FALSE)</f>
        <v>#N/A</v>
      </c>
      <c r="S32" s="12">
        <v>0.118484624</v>
      </c>
      <c r="T32" s="12">
        <v>0.037697386</v>
      </c>
      <c r="U32" s="12">
        <v>0.172876834</v>
      </c>
      <c r="V32" s="12">
        <v>0.670941157</v>
      </c>
    </row>
    <row r="33">
      <c r="A33" s="9" t="s">
        <v>90</v>
      </c>
      <c r="B33" s="9" t="s">
        <v>23</v>
      </c>
      <c r="C33" s="9" t="s">
        <v>91</v>
      </c>
      <c r="D33" s="9" t="s">
        <v>92</v>
      </c>
      <c r="E33" s="9" t="s">
        <v>25</v>
      </c>
      <c r="F33" s="10">
        <v>32.0</v>
      </c>
      <c r="G33" s="10"/>
      <c r="H33" s="10">
        <v>2.7111915E7</v>
      </c>
      <c r="I33" s="10">
        <v>2.0273728E7</v>
      </c>
      <c r="J33" s="11">
        <v>0.7477792697417354</v>
      </c>
      <c r="K33" s="12">
        <v>808.0</v>
      </c>
      <c r="L33" s="13"/>
      <c r="M33" s="13" t="str">
        <f>VLOOKUP($C33,'genotype metadata'!$C$2:$M$156,6,FALSE)</f>
        <v>H</v>
      </c>
      <c r="N33" s="13" t="str">
        <f>VLOOKUP($C33,'genotype metadata'!$C$2:$M$156,7,FALSE)</f>
        <v>N</v>
      </c>
      <c r="O33" s="13">
        <f>VLOOKUP($C33,'genotype metadata'!$C$2:$M$156,8,FALSE)</f>
        <v>25.139367</v>
      </c>
      <c r="P33" s="13">
        <f>VLOOKUP($C33,'genotype metadata'!$C$2:$M$156,9,FALSE)</f>
        <v>-80.294017</v>
      </c>
      <c r="Q33" s="13" t="str">
        <f>VLOOKUP($C33,'genotype metadata'!$C$2:$M$156,10,FALSE)</f>
        <v>2015 batch</v>
      </c>
      <c r="R33" s="13" t="str">
        <f>VLOOKUP($C33,'genotype metadata'!$C$2:$M$156,11,FALSE)</f>
        <v>Margaret Miller</v>
      </c>
      <c r="S33" s="12">
        <v>0.10894416</v>
      </c>
      <c r="T33" s="12">
        <v>0.021354911</v>
      </c>
      <c r="U33" s="12">
        <v>0.143391747</v>
      </c>
      <c r="V33" s="12">
        <v>0.726309182</v>
      </c>
    </row>
    <row r="34">
      <c r="A34" s="9" t="s">
        <v>93</v>
      </c>
      <c r="B34" s="9" t="s">
        <v>23</v>
      </c>
      <c r="C34" s="9" t="s">
        <v>94</v>
      </c>
      <c r="D34" s="9" t="s">
        <v>95</v>
      </c>
      <c r="E34" s="9" t="s">
        <v>25</v>
      </c>
      <c r="F34" s="10">
        <v>33.0</v>
      </c>
      <c r="G34" s="10"/>
      <c r="H34" s="10">
        <v>2.5479325E7</v>
      </c>
      <c r="I34" s="10">
        <v>1.7666515E7</v>
      </c>
      <c r="J34" s="11">
        <v>0.693366680632238</v>
      </c>
      <c r="K34" s="12">
        <v>992.0</v>
      </c>
      <c r="L34" s="13"/>
      <c r="M34" s="13" t="str">
        <f>VLOOKUP($C34,'genotype metadata'!$C$2:$M$156,6,FALSE)</f>
        <v>H</v>
      </c>
      <c r="N34" s="13" t="str">
        <f>VLOOKUP($C34,'genotype metadata'!$C$2:$M$156,7,FALSE)</f>
        <v>N</v>
      </c>
      <c r="O34" s="13">
        <f>VLOOKUP($C34,'genotype metadata'!$C$2:$M$156,8,FALSE)</f>
        <v>25.139367</v>
      </c>
      <c r="P34" s="13">
        <f>VLOOKUP($C34,'genotype metadata'!$C$2:$M$156,9,FALSE)</f>
        <v>-80.294017</v>
      </c>
      <c r="Q34" s="13" t="str">
        <f>VLOOKUP($C34,'genotype metadata'!$C$2:$M$156,10,FALSE)</f>
        <v>2015 batch</v>
      </c>
      <c r="R34" s="13" t="str">
        <f>VLOOKUP($C34,'genotype metadata'!$C$2:$M$156,11,FALSE)</f>
        <v>Margaret Miller</v>
      </c>
      <c r="S34" s="12">
        <v>0.101461521</v>
      </c>
      <c r="T34" s="12">
        <v>0.022197706</v>
      </c>
      <c r="U34" s="12">
        <v>0.123980238</v>
      </c>
      <c r="V34" s="12">
        <v>0.752360536</v>
      </c>
    </row>
    <row r="35">
      <c r="A35" s="9" t="s">
        <v>96</v>
      </c>
      <c r="B35" s="9" t="s">
        <v>23</v>
      </c>
      <c r="C35" s="9" t="s">
        <v>97</v>
      </c>
      <c r="D35" s="9" t="s">
        <v>97</v>
      </c>
      <c r="E35" s="9" t="s">
        <v>25</v>
      </c>
      <c r="F35" s="10">
        <v>34.0</v>
      </c>
      <c r="G35" s="10"/>
      <c r="H35" s="10">
        <v>2.2655636E7</v>
      </c>
      <c r="I35" s="10">
        <v>1.134913E7</v>
      </c>
      <c r="J35" s="11">
        <v>0.5009406930796381</v>
      </c>
      <c r="K35" s="12">
        <v>2521.0</v>
      </c>
      <c r="L35" s="13"/>
      <c r="M35" s="13" t="str">
        <f>VLOOKUP($C35,'genotype metadata'!$C$2:$M$156,6,FALSE)</f>
        <v>#N/A</v>
      </c>
      <c r="N35" s="13" t="str">
        <f>VLOOKUP($C35,'genotype metadata'!$C$2:$M$156,7,FALSE)</f>
        <v>#N/A</v>
      </c>
      <c r="O35" s="13" t="str">
        <f>VLOOKUP($C35,'genotype metadata'!$C$2:$M$156,8,FALSE)</f>
        <v>#N/A</v>
      </c>
      <c r="P35" s="13" t="str">
        <f>VLOOKUP($C35,'genotype metadata'!$C$2:$M$156,9,FALSE)</f>
        <v>#N/A</v>
      </c>
      <c r="Q35" s="13" t="str">
        <f>VLOOKUP($C35,'genotype metadata'!$C$2:$M$156,10,FALSE)</f>
        <v>#N/A</v>
      </c>
      <c r="R35" s="13" t="str">
        <f>VLOOKUP($C35,'genotype metadata'!$C$2:$M$156,11,FALSE)</f>
        <v>#N/A</v>
      </c>
      <c r="S35" s="12">
        <v>0.061787856</v>
      </c>
      <c r="T35" s="12">
        <v>0.009034183</v>
      </c>
      <c r="U35" s="12">
        <v>0.109740667</v>
      </c>
      <c r="V35" s="12">
        <v>0.819437294</v>
      </c>
    </row>
    <row r="36">
      <c r="A36" s="9" t="s">
        <v>98</v>
      </c>
      <c r="B36" s="9" t="s">
        <v>23</v>
      </c>
      <c r="C36" s="9" t="s">
        <v>99</v>
      </c>
      <c r="D36" s="9" t="s">
        <v>99</v>
      </c>
      <c r="E36" s="9" t="s">
        <v>25</v>
      </c>
      <c r="F36" s="10">
        <v>35.0</v>
      </c>
      <c r="G36" s="10"/>
      <c r="H36" s="10">
        <v>1.9603998E7</v>
      </c>
      <c r="I36" s="10">
        <v>1.2427078E7</v>
      </c>
      <c r="J36" s="11">
        <v>0.633905288094806</v>
      </c>
      <c r="K36" s="12">
        <v>1918.0</v>
      </c>
      <c r="L36" s="13"/>
      <c r="M36" s="13" t="str">
        <f>VLOOKUP($C36,'genotype metadata'!$C$2:$M$156,6,FALSE)</f>
        <v/>
      </c>
      <c r="N36" s="13" t="str">
        <f>VLOOKUP($C36,'genotype metadata'!$C$2:$M$156,7,FALSE)</f>
        <v>N</v>
      </c>
      <c r="O36" s="13" t="str">
        <f>VLOOKUP($C36,'genotype metadata'!$C$2:$M$156,8,FALSE)</f>
        <v/>
      </c>
      <c r="P36" s="13" t="str">
        <f>VLOOKUP($C36,'genotype metadata'!$C$2:$M$156,9,FALSE)</f>
        <v>NA</v>
      </c>
      <c r="Q36" s="13">
        <f>VLOOKUP($C36,'genotype metadata'!$C$2:$M$156,10,FALSE)</f>
        <v>2015</v>
      </c>
      <c r="R36" s="13" t="str">
        <f>VLOOKUP($C36,'genotype metadata'!$C$2:$M$156,11,FALSE)</f>
        <v/>
      </c>
      <c r="S36" s="12">
        <v>0.08927161</v>
      </c>
      <c r="T36" s="12">
        <v>0.016578909</v>
      </c>
      <c r="U36" s="12">
        <v>0.123434986</v>
      </c>
      <c r="V36" s="12">
        <v>0.770714495</v>
      </c>
    </row>
    <row r="37">
      <c r="A37" s="9" t="s">
        <v>100</v>
      </c>
      <c r="B37" s="9" t="s">
        <v>23</v>
      </c>
      <c r="C37" s="9" t="s">
        <v>101</v>
      </c>
      <c r="D37" s="9" t="s">
        <v>101</v>
      </c>
      <c r="E37" s="9" t="s">
        <v>25</v>
      </c>
      <c r="F37" s="10">
        <v>36.0</v>
      </c>
      <c r="G37" s="10"/>
      <c r="H37" s="10">
        <v>2.5675607E7</v>
      </c>
      <c r="I37" s="10">
        <v>1.9162797E7</v>
      </c>
      <c r="J37" s="11">
        <v>0.7463425110066532</v>
      </c>
      <c r="K37" s="12">
        <v>735.0</v>
      </c>
      <c r="L37" s="13"/>
      <c r="M37" s="13" t="str">
        <f>VLOOKUP($C37,'genotype metadata'!$C$2:$M$156,6,FALSE)</f>
        <v>#N/A</v>
      </c>
      <c r="N37" s="13" t="str">
        <f>VLOOKUP($C37,'genotype metadata'!$C$2:$M$156,7,FALSE)</f>
        <v>#N/A</v>
      </c>
      <c r="O37" s="13" t="str">
        <f>VLOOKUP($C37,'genotype metadata'!$C$2:$M$156,8,FALSE)</f>
        <v>#N/A</v>
      </c>
      <c r="P37" s="13" t="str">
        <f>VLOOKUP($C37,'genotype metadata'!$C$2:$M$156,9,FALSE)</f>
        <v>#N/A</v>
      </c>
      <c r="Q37" s="13" t="str">
        <f>VLOOKUP($C37,'genotype metadata'!$C$2:$M$156,10,FALSE)</f>
        <v>#N/A</v>
      </c>
      <c r="R37" s="13" t="str">
        <f>VLOOKUP($C37,'genotype metadata'!$C$2:$M$156,11,FALSE)</f>
        <v>#N/A</v>
      </c>
      <c r="S37" s="12">
        <v>0.061604725</v>
      </c>
      <c r="T37" s="12">
        <v>0.009149487</v>
      </c>
      <c r="U37" s="12">
        <v>0.067631497</v>
      </c>
      <c r="V37" s="12">
        <v>0.861614291</v>
      </c>
    </row>
    <row r="38">
      <c r="A38" s="9" t="s">
        <v>102</v>
      </c>
      <c r="B38" s="9" t="s">
        <v>23</v>
      </c>
      <c r="C38" s="9" t="s">
        <v>103</v>
      </c>
      <c r="D38" s="9" t="s">
        <v>103</v>
      </c>
      <c r="E38" s="9" t="s">
        <v>25</v>
      </c>
      <c r="F38" s="10">
        <v>37.0</v>
      </c>
      <c r="G38" s="10"/>
      <c r="H38" s="10">
        <v>2.4785352E7</v>
      </c>
      <c r="I38" s="10">
        <v>1.5597711E7</v>
      </c>
      <c r="J38" s="11">
        <v>0.6293116595640844</v>
      </c>
      <c r="K38" s="12">
        <v>971.0</v>
      </c>
      <c r="L38" s="13"/>
      <c r="M38" s="13" t="str">
        <f>VLOOKUP($C38,'genotype metadata'!$C$2:$M$156,6,FALSE)</f>
        <v>H</v>
      </c>
      <c r="N38" s="13" t="str">
        <f>VLOOKUP($C38,'genotype metadata'!$C$2:$M$156,7,FALSE)</f>
        <v>Y</v>
      </c>
      <c r="O38" s="13">
        <f>VLOOKUP($C38,'genotype metadata'!$C$2:$M$156,8,FALSE)</f>
        <v>25.139367</v>
      </c>
      <c r="P38" s="13">
        <f>VLOOKUP($C38,'genotype metadata'!$C$2:$M$156,9,FALSE)</f>
        <v>-80.294017</v>
      </c>
      <c r="Q38" s="13">
        <f>VLOOKUP($C38,'genotype metadata'!$C$2:$M$156,10,FALSE)</f>
        <v>2015</v>
      </c>
      <c r="R38" s="13" t="str">
        <f>VLOOKUP($C38,'genotype metadata'!$C$2:$M$156,11,FALSE)</f>
        <v>Margaret Miller</v>
      </c>
      <c r="S38" s="12">
        <v>0.066793746</v>
      </c>
      <c r="T38" s="12">
        <v>0.009115556</v>
      </c>
      <c r="U38" s="12">
        <v>0.056834574</v>
      </c>
      <c r="V38" s="12">
        <v>0.867256124</v>
      </c>
    </row>
    <row r="39">
      <c r="A39" s="9" t="s">
        <v>104</v>
      </c>
      <c r="B39" s="9" t="s">
        <v>23</v>
      </c>
      <c r="C39" s="9" t="s">
        <v>105</v>
      </c>
      <c r="D39" s="9" t="s">
        <v>105</v>
      </c>
      <c r="E39" s="9" t="s">
        <v>25</v>
      </c>
      <c r="F39" s="10">
        <v>38.0</v>
      </c>
      <c r="G39" s="10"/>
      <c r="H39" s="10">
        <v>2.4842654E7</v>
      </c>
      <c r="I39" s="10">
        <v>1.7849205E7</v>
      </c>
      <c r="J39" s="11">
        <v>0.7184902627553401</v>
      </c>
      <c r="K39" s="12">
        <v>739.0</v>
      </c>
      <c r="L39" s="13"/>
      <c r="M39" s="13" t="str">
        <f>VLOOKUP($C39,'genotype metadata'!$C$2:$M$156,6,FALSE)</f>
        <v>H</v>
      </c>
      <c r="N39" s="13" t="str">
        <f>VLOOKUP($C39,'genotype metadata'!$C$2:$M$156,7,FALSE)</f>
        <v>Y</v>
      </c>
      <c r="O39" s="13">
        <f>VLOOKUP($C39,'genotype metadata'!$C$2:$M$156,8,FALSE)</f>
        <v>25.139367</v>
      </c>
      <c r="P39" s="13">
        <f>VLOOKUP($C39,'genotype metadata'!$C$2:$M$156,9,FALSE)</f>
        <v>-80.294017</v>
      </c>
      <c r="Q39" s="13">
        <f>VLOOKUP($C39,'genotype metadata'!$C$2:$M$156,10,FALSE)</f>
        <v>2015</v>
      </c>
      <c r="R39" s="13" t="str">
        <f>VLOOKUP($C39,'genotype metadata'!$C$2:$M$156,11,FALSE)</f>
        <v>Margaret Miller</v>
      </c>
      <c r="S39" s="12">
        <v>0.090178122</v>
      </c>
      <c r="T39" s="12">
        <v>0.015045319</v>
      </c>
      <c r="U39" s="12">
        <v>0.119275403</v>
      </c>
      <c r="V39" s="12">
        <v>0.775501155</v>
      </c>
    </row>
    <row r="40">
      <c r="A40" s="9" t="s">
        <v>106</v>
      </c>
      <c r="B40" s="9" t="s">
        <v>23</v>
      </c>
      <c r="C40" s="9" t="s">
        <v>107</v>
      </c>
      <c r="D40" s="9" t="s">
        <v>107</v>
      </c>
      <c r="E40" s="9" t="s">
        <v>25</v>
      </c>
      <c r="F40" s="10">
        <v>39.0</v>
      </c>
      <c r="G40" s="10"/>
      <c r="H40" s="10">
        <v>2.4702523E7</v>
      </c>
      <c r="I40" s="10">
        <v>1.7582095E7</v>
      </c>
      <c r="J40" s="11">
        <v>0.7117530059581363</v>
      </c>
      <c r="K40" s="12">
        <v>1039.0</v>
      </c>
      <c r="L40" s="13"/>
      <c r="M40" s="13" t="str">
        <f>VLOOKUP($C40,'genotype metadata'!$C$2:$M$156,6,FALSE)</f>
        <v>#N/A</v>
      </c>
      <c r="N40" s="13" t="str">
        <f>VLOOKUP($C40,'genotype metadata'!$C$2:$M$156,7,FALSE)</f>
        <v>#N/A</v>
      </c>
      <c r="O40" s="13" t="str">
        <f>VLOOKUP($C40,'genotype metadata'!$C$2:$M$156,8,FALSE)</f>
        <v>#N/A</v>
      </c>
      <c r="P40" s="13" t="str">
        <f>VLOOKUP($C40,'genotype metadata'!$C$2:$M$156,9,FALSE)</f>
        <v>#N/A</v>
      </c>
      <c r="Q40" s="13" t="str">
        <f>VLOOKUP($C40,'genotype metadata'!$C$2:$M$156,10,FALSE)</f>
        <v>#N/A</v>
      </c>
      <c r="R40" s="13" t="str">
        <f>VLOOKUP($C40,'genotype metadata'!$C$2:$M$156,11,FALSE)</f>
        <v>#N/A</v>
      </c>
      <c r="S40" s="12">
        <v>0.060215701</v>
      </c>
      <c r="T40" s="12">
        <v>0.011062334</v>
      </c>
      <c r="U40" s="12">
        <v>0.054170453</v>
      </c>
      <c r="V40" s="12">
        <v>0.874551513</v>
      </c>
    </row>
    <row r="41">
      <c r="A41" s="9" t="s">
        <v>108</v>
      </c>
      <c r="B41" s="9" t="s">
        <v>23</v>
      </c>
      <c r="C41" s="9" t="s">
        <v>109</v>
      </c>
      <c r="D41" s="9" t="s">
        <v>109</v>
      </c>
      <c r="E41" s="9" t="s">
        <v>25</v>
      </c>
      <c r="F41" s="10">
        <v>154.0</v>
      </c>
      <c r="G41" s="10"/>
      <c r="H41" s="10">
        <v>2.6281851E7</v>
      </c>
      <c r="I41" s="10">
        <v>1.7142937E7</v>
      </c>
      <c r="J41" s="11">
        <v>0.6522728174663193</v>
      </c>
      <c r="K41" s="12">
        <v>641.0</v>
      </c>
      <c r="L41" s="12" t="s">
        <v>36</v>
      </c>
      <c r="M41" s="13" t="str">
        <f>VLOOKUP($C41,'genotype metadata'!$C$2:$M$156,6,FALSE)</f>
        <v>KWN</v>
      </c>
      <c r="N41" s="13" t="str">
        <f>VLOOKUP($C41,'genotype metadata'!$C$2:$M$156,7,FALSE)</f>
        <v>N</v>
      </c>
      <c r="O41" s="13">
        <f>VLOOKUP($C41,'genotype metadata'!$C$2:$M$156,8,FALSE)</f>
        <v>24.55107</v>
      </c>
      <c r="P41" s="13">
        <f>VLOOKUP($C41,'genotype metadata'!$C$2:$M$156,9,FALSE)</f>
        <v>-81.80805</v>
      </c>
      <c r="Q41" s="13" t="str">
        <f>VLOOKUP($C41,'genotype metadata'!$C$2:$M$156,10,FALSE)</f>
        <v>2010-2017</v>
      </c>
      <c r="R41" s="13" t="str">
        <f>VLOOKUP($C41,'genotype metadata'!$C$2:$M$156,11,FALSE)</f>
        <v>Mote</v>
      </c>
      <c r="S41" s="12">
        <v>0.051718684</v>
      </c>
      <c r="T41" s="12">
        <v>0.008500829</v>
      </c>
      <c r="U41" s="12">
        <v>0.066924501</v>
      </c>
      <c r="V41" s="12">
        <v>0.872855985</v>
      </c>
    </row>
    <row r="42">
      <c r="A42" s="9" t="s">
        <v>110</v>
      </c>
      <c r="B42" s="9" t="s">
        <v>23</v>
      </c>
      <c r="C42" s="9" t="s">
        <v>111</v>
      </c>
      <c r="D42" s="9" t="s">
        <v>111</v>
      </c>
      <c r="E42" s="9" t="s">
        <v>25</v>
      </c>
      <c r="F42" s="10">
        <v>130.0</v>
      </c>
      <c r="G42" s="10"/>
      <c r="H42" s="10">
        <v>2.871338E7</v>
      </c>
      <c r="I42" s="10">
        <v>2.19578E7</v>
      </c>
      <c r="J42" s="11">
        <v>0.764723623620765</v>
      </c>
      <c r="K42" s="12">
        <v>600.0</v>
      </c>
      <c r="L42" s="13"/>
      <c r="M42" s="13" t="str">
        <f>VLOOKUP($C42,'genotype metadata'!$C$2:$M$156,6,FALSE)</f>
        <v>#N/A</v>
      </c>
      <c r="N42" s="13" t="str">
        <f>VLOOKUP($C42,'genotype metadata'!$C$2:$M$156,7,FALSE)</f>
        <v>#N/A</v>
      </c>
      <c r="O42" s="13" t="str">
        <f>VLOOKUP($C42,'genotype metadata'!$C$2:$M$156,8,FALSE)</f>
        <v>#N/A</v>
      </c>
      <c r="P42" s="13" t="str">
        <f>VLOOKUP($C42,'genotype metadata'!$C$2:$M$156,9,FALSE)</f>
        <v>#N/A</v>
      </c>
      <c r="Q42" s="13" t="str">
        <f>VLOOKUP($C42,'genotype metadata'!$C$2:$M$156,10,FALSE)</f>
        <v>#N/A</v>
      </c>
      <c r="R42" s="13" t="str">
        <f>VLOOKUP($C42,'genotype metadata'!$C$2:$M$156,11,FALSE)</f>
        <v>#N/A</v>
      </c>
      <c r="S42" s="12">
        <v>0.053808809</v>
      </c>
      <c r="T42" s="12">
        <v>0.008051243</v>
      </c>
      <c r="U42" s="12">
        <v>0.056326285</v>
      </c>
      <c r="V42" s="12">
        <v>0.881813664</v>
      </c>
    </row>
    <row r="43">
      <c r="A43" s="9" t="s">
        <v>112</v>
      </c>
      <c r="B43" s="9" t="s">
        <v>23</v>
      </c>
      <c r="C43" s="9" t="s">
        <v>113</v>
      </c>
      <c r="D43" s="9" t="s">
        <v>113</v>
      </c>
      <c r="E43" s="9" t="s">
        <v>25</v>
      </c>
      <c r="F43" s="10">
        <v>42.0</v>
      </c>
      <c r="G43" s="10"/>
      <c r="H43" s="10">
        <v>2.7212395E7</v>
      </c>
      <c r="I43" s="10">
        <v>1.37585E7</v>
      </c>
      <c r="J43" s="11">
        <v>0.50559680616131</v>
      </c>
      <c r="K43" s="12">
        <v>1289.0</v>
      </c>
      <c r="L43" s="13"/>
      <c r="M43" s="13" t="str">
        <f>VLOOKUP($C43,'genotype metadata'!$C$2:$M$156,6,FALSE)</f>
        <v>#N/A</v>
      </c>
      <c r="N43" s="13" t="str">
        <f>VLOOKUP($C43,'genotype metadata'!$C$2:$M$156,7,FALSE)</f>
        <v>#N/A</v>
      </c>
      <c r="O43" s="13" t="str">
        <f>VLOOKUP($C43,'genotype metadata'!$C$2:$M$156,8,FALSE)</f>
        <v>#N/A</v>
      </c>
      <c r="P43" s="13" t="str">
        <f>VLOOKUP($C43,'genotype metadata'!$C$2:$M$156,9,FALSE)</f>
        <v>#N/A</v>
      </c>
      <c r="Q43" s="13" t="str">
        <f>VLOOKUP($C43,'genotype metadata'!$C$2:$M$156,10,FALSE)</f>
        <v>#N/A</v>
      </c>
      <c r="R43" s="13" t="str">
        <f>VLOOKUP($C43,'genotype metadata'!$C$2:$M$156,11,FALSE)</f>
        <v>#N/A</v>
      </c>
      <c r="S43" s="12">
        <v>0.115544468</v>
      </c>
      <c r="T43" s="12">
        <v>0.014471293</v>
      </c>
      <c r="U43" s="12">
        <v>0.100355382</v>
      </c>
      <c r="V43" s="12">
        <v>0.769628856</v>
      </c>
    </row>
    <row r="44">
      <c r="A44" s="9" t="s">
        <v>114</v>
      </c>
      <c r="B44" s="9" t="s">
        <v>23</v>
      </c>
      <c r="C44" s="9" t="s">
        <v>115</v>
      </c>
      <c r="D44" s="9" t="s">
        <v>115</v>
      </c>
      <c r="E44" s="9" t="s">
        <v>25</v>
      </c>
      <c r="F44" s="10">
        <v>43.0</v>
      </c>
      <c r="G44" s="10"/>
      <c r="H44" s="10">
        <v>2.5857916E7</v>
      </c>
      <c r="I44" s="10">
        <v>6722310.0</v>
      </c>
      <c r="J44" s="11">
        <v>0.25997106650048674</v>
      </c>
      <c r="K44" s="12">
        <v>3865.0</v>
      </c>
      <c r="L44" s="13"/>
      <c r="M44" s="13" t="str">
        <f>VLOOKUP($C44,'genotype metadata'!$C$2:$M$156,6,FALSE)</f>
        <v>#N/A</v>
      </c>
      <c r="N44" s="13" t="str">
        <f>VLOOKUP($C44,'genotype metadata'!$C$2:$M$156,7,FALSE)</f>
        <v>#N/A</v>
      </c>
      <c r="O44" s="13" t="str">
        <f>VLOOKUP($C44,'genotype metadata'!$C$2:$M$156,8,FALSE)</f>
        <v>#N/A</v>
      </c>
      <c r="P44" s="13" t="str">
        <f>VLOOKUP($C44,'genotype metadata'!$C$2:$M$156,9,FALSE)</f>
        <v>#N/A</v>
      </c>
      <c r="Q44" s="13" t="str">
        <f>VLOOKUP($C44,'genotype metadata'!$C$2:$M$156,10,FALSE)</f>
        <v>#N/A</v>
      </c>
      <c r="R44" s="13" t="str">
        <f>VLOOKUP($C44,'genotype metadata'!$C$2:$M$156,11,FALSE)</f>
        <v>#N/A</v>
      </c>
      <c r="S44" s="12">
        <v>0.090373856</v>
      </c>
      <c r="T44" s="12">
        <v>0.011688424</v>
      </c>
      <c r="U44" s="12">
        <v>0.048862601</v>
      </c>
      <c r="V44" s="12">
        <v>0.849075118</v>
      </c>
    </row>
    <row r="45">
      <c r="A45" s="9" t="s">
        <v>116</v>
      </c>
      <c r="B45" s="9" t="s">
        <v>23</v>
      </c>
      <c r="C45" s="9" t="s">
        <v>117</v>
      </c>
      <c r="D45" s="9" t="s">
        <v>117</v>
      </c>
      <c r="E45" s="9" t="s">
        <v>25</v>
      </c>
      <c r="F45" s="10">
        <v>154.0</v>
      </c>
      <c r="G45" s="10"/>
      <c r="H45" s="10">
        <v>2.8457391E7</v>
      </c>
      <c r="I45" s="10">
        <v>2.1677067E7</v>
      </c>
      <c r="J45" s="11">
        <v>0.7617376800283624</v>
      </c>
      <c r="K45" s="12">
        <v>497.0</v>
      </c>
      <c r="L45" s="12" t="s">
        <v>36</v>
      </c>
      <c r="M45" s="13" t="str">
        <f>VLOOKUP($C45,'genotype metadata'!$C$2:$M$156,6,FALSE)</f>
        <v>#N/A</v>
      </c>
      <c r="N45" s="13" t="str">
        <f>VLOOKUP($C45,'genotype metadata'!$C$2:$M$156,7,FALSE)</f>
        <v>#N/A</v>
      </c>
      <c r="O45" s="13" t="str">
        <f>VLOOKUP($C45,'genotype metadata'!$C$2:$M$156,8,FALSE)</f>
        <v>#N/A</v>
      </c>
      <c r="P45" s="13" t="str">
        <f>VLOOKUP($C45,'genotype metadata'!$C$2:$M$156,9,FALSE)</f>
        <v>#N/A</v>
      </c>
      <c r="Q45" s="13" t="str">
        <f>VLOOKUP($C45,'genotype metadata'!$C$2:$M$156,10,FALSE)</f>
        <v>#N/A</v>
      </c>
      <c r="R45" s="13" t="str">
        <f>VLOOKUP($C45,'genotype metadata'!$C$2:$M$156,11,FALSE)</f>
        <v>#N/A</v>
      </c>
      <c r="S45" s="12">
        <v>0.090286764</v>
      </c>
      <c r="T45" s="12">
        <v>0.011931182</v>
      </c>
      <c r="U45" s="12">
        <v>0.072904584</v>
      </c>
      <c r="V45" s="12">
        <v>0.82487747</v>
      </c>
    </row>
    <row r="46">
      <c r="A46" s="8" t="s">
        <v>118</v>
      </c>
      <c r="B46" s="9" t="s">
        <v>23</v>
      </c>
      <c r="C46" s="9" t="s">
        <v>119</v>
      </c>
      <c r="D46" s="9" t="s">
        <v>119</v>
      </c>
      <c r="E46" s="9" t="s">
        <v>25</v>
      </c>
      <c r="F46" s="10">
        <v>45.0</v>
      </c>
      <c r="G46" s="10"/>
      <c r="H46" s="10">
        <v>2.7815296E7</v>
      </c>
      <c r="I46" s="10">
        <v>2630529.0</v>
      </c>
      <c r="J46" s="11">
        <v>0.09457131069178627</v>
      </c>
      <c r="K46" s="12">
        <v>5052.0</v>
      </c>
      <c r="L46" s="13"/>
      <c r="M46" s="13" t="str">
        <f>VLOOKUP($C46,'genotype metadata'!$C$2:$M$156,6,FALSE)</f>
        <v>H</v>
      </c>
      <c r="N46" s="13" t="str">
        <f>VLOOKUP($C46,'genotype metadata'!$C$2:$M$156,7,FALSE)</f>
        <v>N</v>
      </c>
      <c r="O46" s="13">
        <f>VLOOKUP($C46,'genotype metadata'!$C$2:$M$156,8,FALSE)</f>
        <v>25.139367</v>
      </c>
      <c r="P46" s="13">
        <f>VLOOKUP($C46,'genotype metadata'!$C$2:$M$156,9,FALSE)</f>
        <v>-80.294017</v>
      </c>
      <c r="Q46" s="13" t="str">
        <f>VLOOKUP($C46,'genotype metadata'!$C$2:$M$156,10,FALSE)</f>
        <v>2015 batch</v>
      </c>
      <c r="R46" s="13" t="str">
        <f>VLOOKUP($C46,'genotype metadata'!$C$2:$M$156,11,FALSE)</f>
        <v>Margaret Miller</v>
      </c>
      <c r="S46" s="12">
        <v>0.104575114</v>
      </c>
      <c r="T46" s="12">
        <v>0.015595939</v>
      </c>
      <c r="U46" s="12">
        <v>0.318321798</v>
      </c>
      <c r="V46" s="12">
        <v>0.56150715</v>
      </c>
    </row>
    <row r="47">
      <c r="A47" s="9" t="s">
        <v>120</v>
      </c>
      <c r="B47" s="9" t="s">
        <v>23</v>
      </c>
      <c r="C47" s="9" t="s">
        <v>121</v>
      </c>
      <c r="D47" s="9" t="s">
        <v>121</v>
      </c>
      <c r="E47" s="9" t="s">
        <v>25</v>
      </c>
      <c r="F47" s="10">
        <v>46.0</v>
      </c>
      <c r="G47" s="10"/>
      <c r="H47" s="10">
        <v>2.0448667E7</v>
      </c>
      <c r="I47" s="10">
        <v>1.6314006E7</v>
      </c>
      <c r="J47" s="11">
        <v>0.7978029081308821</v>
      </c>
      <c r="K47" s="12">
        <v>1198.0</v>
      </c>
      <c r="L47" s="13"/>
      <c r="M47" s="13" t="str">
        <f>VLOOKUP($C47,'genotype metadata'!$C$2:$M$156,6,FALSE)</f>
        <v>H</v>
      </c>
      <c r="N47" s="13" t="str">
        <f>VLOOKUP($C47,'genotype metadata'!$C$2:$M$156,7,FALSE)</f>
        <v>Y</v>
      </c>
      <c r="O47" s="13">
        <f>VLOOKUP($C47,'genotype metadata'!$C$2:$M$156,8,FALSE)</f>
        <v>25.139367</v>
      </c>
      <c r="P47" s="13">
        <f>VLOOKUP($C47,'genotype metadata'!$C$2:$M$156,9,FALSE)</f>
        <v>-80.294017</v>
      </c>
      <c r="Q47" s="13">
        <f>VLOOKUP($C47,'genotype metadata'!$C$2:$M$156,10,FALSE)</f>
        <v>2015</v>
      </c>
      <c r="R47" s="13" t="str">
        <f>VLOOKUP($C47,'genotype metadata'!$C$2:$M$156,11,FALSE)</f>
        <v>Margaret Miller</v>
      </c>
      <c r="S47" s="12">
        <v>0.08234219</v>
      </c>
      <c r="T47" s="12">
        <v>0.012897483</v>
      </c>
      <c r="U47" s="12">
        <v>0.088033371</v>
      </c>
      <c r="V47" s="12">
        <v>0.816726956</v>
      </c>
    </row>
    <row r="48">
      <c r="A48" s="9" t="s">
        <v>122</v>
      </c>
      <c r="B48" s="9" t="s">
        <v>23</v>
      </c>
      <c r="C48" s="9" t="s">
        <v>123</v>
      </c>
      <c r="D48" s="9" t="s">
        <v>123</v>
      </c>
      <c r="E48" s="9" t="s">
        <v>25</v>
      </c>
      <c r="F48" s="10">
        <v>47.0</v>
      </c>
      <c r="G48" s="10"/>
      <c r="H48" s="10">
        <v>2.232935E7</v>
      </c>
      <c r="I48" s="10">
        <v>1.4715424E7</v>
      </c>
      <c r="J48" s="11">
        <v>0.6590171232033176</v>
      </c>
      <c r="K48" s="12">
        <v>1333.0</v>
      </c>
      <c r="L48" s="13"/>
      <c r="M48" s="13" t="str">
        <f>VLOOKUP($C48,'genotype metadata'!$C$2:$M$156,6,FALSE)</f>
        <v>#N/A</v>
      </c>
      <c r="N48" s="13" t="str">
        <f>VLOOKUP($C48,'genotype metadata'!$C$2:$M$156,7,FALSE)</f>
        <v>#N/A</v>
      </c>
      <c r="O48" s="13" t="str">
        <f>VLOOKUP($C48,'genotype metadata'!$C$2:$M$156,8,FALSE)</f>
        <v>#N/A</v>
      </c>
      <c r="P48" s="13" t="str">
        <f>VLOOKUP($C48,'genotype metadata'!$C$2:$M$156,9,FALSE)</f>
        <v>#N/A</v>
      </c>
      <c r="Q48" s="13" t="str">
        <f>VLOOKUP($C48,'genotype metadata'!$C$2:$M$156,10,FALSE)</f>
        <v>#N/A</v>
      </c>
      <c r="R48" s="13" t="str">
        <f>VLOOKUP($C48,'genotype metadata'!$C$2:$M$156,11,FALSE)</f>
        <v>#N/A</v>
      </c>
      <c r="S48" s="12">
        <v>0.146850691</v>
      </c>
      <c r="T48" s="12">
        <v>0.577795152</v>
      </c>
      <c r="U48" s="12">
        <v>0.198824558</v>
      </c>
      <c r="V48" s="12">
        <v>0.076529598</v>
      </c>
    </row>
    <row r="49">
      <c r="A49" s="9" t="s">
        <v>124</v>
      </c>
      <c r="B49" s="9" t="s">
        <v>23</v>
      </c>
      <c r="C49" s="9" t="s">
        <v>125</v>
      </c>
      <c r="D49" s="9" t="s">
        <v>125</v>
      </c>
      <c r="E49" s="9" t="s">
        <v>25</v>
      </c>
      <c r="F49" s="10">
        <v>48.0</v>
      </c>
      <c r="G49" s="10"/>
      <c r="H49" s="10">
        <v>1.9510706E7</v>
      </c>
      <c r="I49" s="10">
        <v>1.5084478E7</v>
      </c>
      <c r="J49" s="11">
        <v>0.773138501497588</v>
      </c>
      <c r="K49" s="12">
        <v>1337.0</v>
      </c>
      <c r="L49" s="13"/>
      <c r="M49" s="13" t="str">
        <f>VLOOKUP($C49,'genotype metadata'!$C$2:$M$156,6,FALSE)</f>
        <v>H</v>
      </c>
      <c r="N49" s="13" t="str">
        <f>VLOOKUP($C49,'genotype metadata'!$C$2:$M$156,7,FALSE)</f>
        <v>N</v>
      </c>
      <c r="O49" s="13">
        <f>VLOOKUP($C49,'genotype metadata'!$C$2:$M$156,8,FALSE)</f>
        <v>25.139367</v>
      </c>
      <c r="P49" s="13">
        <f>VLOOKUP($C49,'genotype metadata'!$C$2:$M$156,9,FALSE)</f>
        <v>-80.294017</v>
      </c>
      <c r="Q49" s="13" t="str">
        <f>VLOOKUP($C49,'genotype metadata'!$C$2:$M$156,10,FALSE)</f>
        <v>2015 batch</v>
      </c>
      <c r="R49" s="13" t="str">
        <f>VLOOKUP($C49,'genotype metadata'!$C$2:$M$156,11,FALSE)</f>
        <v>Margaret Miller</v>
      </c>
      <c r="S49" s="12">
        <v>0.055882938</v>
      </c>
      <c r="T49" s="12">
        <v>0.009541885</v>
      </c>
      <c r="U49" s="12">
        <v>0.06010745</v>
      </c>
      <c r="V49" s="12">
        <v>0.874467727</v>
      </c>
    </row>
    <row r="50">
      <c r="A50" s="9" t="s">
        <v>126</v>
      </c>
      <c r="B50" s="9" t="s">
        <v>23</v>
      </c>
      <c r="C50" s="9" t="s">
        <v>127</v>
      </c>
      <c r="D50" s="9" t="s">
        <v>127</v>
      </c>
      <c r="E50" s="9" t="s">
        <v>25</v>
      </c>
      <c r="F50" s="10">
        <v>49.0</v>
      </c>
      <c r="G50" s="10"/>
      <c r="H50" s="10">
        <v>2.6113998E7</v>
      </c>
      <c r="I50" s="10">
        <v>1.7324087E7</v>
      </c>
      <c r="J50" s="11">
        <v>0.6634023254501283</v>
      </c>
      <c r="K50" s="12">
        <v>1093.0</v>
      </c>
      <c r="L50" s="13"/>
      <c r="M50" s="13" t="str">
        <f>VLOOKUP($C50,'genotype metadata'!$C$2:$M$156,6,FALSE)</f>
        <v>H</v>
      </c>
      <c r="N50" s="13" t="str">
        <f>VLOOKUP($C50,'genotype metadata'!$C$2:$M$156,7,FALSE)</f>
        <v>N</v>
      </c>
      <c r="O50" s="13">
        <f>VLOOKUP($C50,'genotype metadata'!$C$2:$M$156,8,FALSE)</f>
        <v>25.139367</v>
      </c>
      <c r="P50" s="13">
        <f>VLOOKUP($C50,'genotype metadata'!$C$2:$M$156,9,FALSE)</f>
        <v>-80.294017</v>
      </c>
      <c r="Q50" s="13" t="str">
        <f>VLOOKUP($C50,'genotype metadata'!$C$2:$M$156,10,FALSE)</f>
        <v>2015 batch</v>
      </c>
      <c r="R50" s="13" t="str">
        <f>VLOOKUP($C50,'genotype metadata'!$C$2:$M$156,11,FALSE)</f>
        <v>Margaret Miller</v>
      </c>
      <c r="S50" s="12">
        <v>0.111532899</v>
      </c>
      <c r="T50" s="12">
        <v>0.026838501</v>
      </c>
      <c r="U50" s="12">
        <v>0.158994726</v>
      </c>
      <c r="V50" s="12">
        <v>0.702633874</v>
      </c>
    </row>
    <row r="51">
      <c r="A51" s="9" t="s">
        <v>128</v>
      </c>
      <c r="B51" s="9" t="s">
        <v>23</v>
      </c>
      <c r="C51" s="9" t="s">
        <v>129</v>
      </c>
      <c r="D51" s="9" t="s">
        <v>129</v>
      </c>
      <c r="E51" s="9" t="s">
        <v>25</v>
      </c>
      <c r="F51" s="10">
        <v>50.0</v>
      </c>
      <c r="G51" s="10"/>
      <c r="H51" s="10">
        <v>2.4525263E7</v>
      </c>
      <c r="I51" s="10">
        <v>5101247.0</v>
      </c>
      <c r="J51" s="11">
        <v>0.20799968587492823</v>
      </c>
      <c r="K51" s="12">
        <v>5579.0</v>
      </c>
      <c r="L51" s="13"/>
      <c r="M51" s="13" t="str">
        <f>VLOOKUP($C51,'genotype metadata'!$C$2:$M$156,6,FALSE)</f>
        <v>KWN</v>
      </c>
      <c r="N51" s="13" t="str">
        <f>VLOOKUP($C51,'genotype metadata'!$C$2:$M$156,7,FALSE)</f>
        <v>N</v>
      </c>
      <c r="O51" s="13">
        <f>VLOOKUP($C51,'genotype metadata'!$C$2:$M$156,8,FALSE)</f>
        <v>24.55107</v>
      </c>
      <c r="P51" s="13">
        <f>VLOOKUP($C51,'genotype metadata'!$C$2:$M$156,9,FALSE)</f>
        <v>-81.80805</v>
      </c>
      <c r="Q51" s="13" t="str">
        <f>VLOOKUP($C51,'genotype metadata'!$C$2:$M$156,10,FALSE)</f>
        <v>2010-2017</v>
      </c>
      <c r="R51" s="13" t="str">
        <f>VLOOKUP($C51,'genotype metadata'!$C$2:$M$156,11,FALSE)</f>
        <v>Mote</v>
      </c>
      <c r="S51" s="12">
        <v>0.14752555</v>
      </c>
      <c r="T51" s="12">
        <v>0.057789968</v>
      </c>
      <c r="U51" s="12">
        <v>0.241090261</v>
      </c>
      <c r="V51" s="12">
        <v>0.553594221</v>
      </c>
    </row>
    <row r="52">
      <c r="A52" s="9" t="s">
        <v>130</v>
      </c>
      <c r="B52" s="9" t="s">
        <v>23</v>
      </c>
      <c r="C52" s="9" t="s">
        <v>131</v>
      </c>
      <c r="D52" s="9" t="s">
        <v>131</v>
      </c>
      <c r="E52" s="9" t="s">
        <v>25</v>
      </c>
      <c r="F52" s="10">
        <v>51.0</v>
      </c>
      <c r="G52" s="10"/>
      <c r="H52" s="10">
        <v>2.6254692E7</v>
      </c>
      <c r="I52" s="10">
        <v>1.0245328E7</v>
      </c>
      <c r="J52" s="11">
        <v>0.390228458974114</v>
      </c>
      <c r="K52" s="12">
        <v>2648.0</v>
      </c>
      <c r="L52" s="13"/>
      <c r="M52" s="13" t="str">
        <f>VLOOKUP($C52,'genotype metadata'!$C$2:$M$156,6,FALSE)</f>
        <v/>
      </c>
      <c r="N52" s="13" t="str">
        <f>VLOOKUP($C52,'genotype metadata'!$C$2:$M$156,7,FALSE)</f>
        <v>N</v>
      </c>
      <c r="O52" s="13" t="str">
        <f>VLOOKUP($C52,'genotype metadata'!$C$2:$M$156,8,FALSE)</f>
        <v/>
      </c>
      <c r="P52" s="13" t="str">
        <f>VLOOKUP($C52,'genotype metadata'!$C$2:$M$156,9,FALSE)</f>
        <v>NA</v>
      </c>
      <c r="Q52" s="13" t="str">
        <f>VLOOKUP($C52,'genotype metadata'!$C$2:$M$156,10,FALSE)</f>
        <v/>
      </c>
      <c r="R52" s="13" t="str">
        <f>VLOOKUP($C52,'genotype metadata'!$C$2:$M$156,11,FALSE)</f>
        <v/>
      </c>
      <c r="S52" s="12">
        <v>0.16657595</v>
      </c>
      <c r="T52" s="12">
        <v>0.025368376</v>
      </c>
      <c r="U52" s="12">
        <v>0.135404922</v>
      </c>
      <c r="V52" s="12">
        <v>0.672650752</v>
      </c>
    </row>
    <row r="53">
      <c r="A53" s="9" t="s">
        <v>132</v>
      </c>
      <c r="B53" s="9" t="s">
        <v>23</v>
      </c>
      <c r="C53" s="9" t="s">
        <v>87</v>
      </c>
      <c r="D53" s="9" t="s">
        <v>87</v>
      </c>
      <c r="E53" s="9" t="s">
        <v>25</v>
      </c>
      <c r="F53" s="10">
        <v>52.0</v>
      </c>
      <c r="G53" s="10"/>
      <c r="H53" s="10">
        <v>2.4342148E7</v>
      </c>
      <c r="I53" s="10">
        <v>9346901.0</v>
      </c>
      <c r="J53" s="11">
        <v>0.3839801236932747</v>
      </c>
      <c r="K53" s="12">
        <v>3073.0</v>
      </c>
      <c r="L53" s="13"/>
      <c r="M53" s="13" t="str">
        <f>VLOOKUP($C53,'genotype metadata'!$C$2:$M$156,6,FALSE)</f>
        <v>H</v>
      </c>
      <c r="N53" s="13" t="str">
        <f>VLOOKUP($C53,'genotype metadata'!$C$2:$M$156,7,FALSE)</f>
        <v>Y</v>
      </c>
      <c r="O53" s="13">
        <f>VLOOKUP($C53,'genotype metadata'!$C$2:$M$156,8,FALSE)</f>
        <v>25.139367</v>
      </c>
      <c r="P53" s="13">
        <f>VLOOKUP($C53,'genotype metadata'!$C$2:$M$156,9,FALSE)</f>
        <v>-80.294017</v>
      </c>
      <c r="Q53" s="13">
        <f>VLOOKUP($C53,'genotype metadata'!$C$2:$M$156,10,FALSE)</f>
        <v>2015</v>
      </c>
      <c r="R53" s="13" t="str">
        <f>VLOOKUP($C53,'genotype metadata'!$C$2:$M$156,11,FALSE)</f>
        <v>Margaret Miller</v>
      </c>
      <c r="S53" s="12">
        <v>0.108304026</v>
      </c>
      <c r="T53" s="12">
        <v>0.02359877</v>
      </c>
      <c r="U53" s="12">
        <v>0.341358161</v>
      </c>
      <c r="V53" s="12">
        <v>0.526739043</v>
      </c>
    </row>
    <row r="54">
      <c r="A54" s="9" t="s">
        <v>133</v>
      </c>
      <c r="B54" s="9" t="s">
        <v>23</v>
      </c>
      <c r="C54" s="9" t="s">
        <v>134</v>
      </c>
      <c r="D54" s="9" t="s">
        <v>134</v>
      </c>
      <c r="E54" s="9" t="s">
        <v>25</v>
      </c>
      <c r="F54" s="10">
        <v>53.0</v>
      </c>
      <c r="G54" s="10"/>
      <c r="H54" s="10">
        <v>2.4793932E7</v>
      </c>
      <c r="I54" s="10">
        <v>1.4023303E7</v>
      </c>
      <c r="J54" s="11">
        <v>0.5655941542470956</v>
      </c>
      <c r="K54" s="12">
        <v>7901.0</v>
      </c>
      <c r="L54" s="13"/>
      <c r="M54" s="13" t="str">
        <f>VLOOKUP($C54,'genotype metadata'!$C$2:$M$156,6,FALSE)</f>
        <v>#N/A</v>
      </c>
      <c r="N54" s="13" t="str">
        <f>VLOOKUP($C54,'genotype metadata'!$C$2:$M$156,7,FALSE)</f>
        <v>#N/A</v>
      </c>
      <c r="O54" s="13" t="str">
        <f>VLOOKUP($C54,'genotype metadata'!$C$2:$M$156,8,FALSE)</f>
        <v>#N/A</v>
      </c>
      <c r="P54" s="13" t="str">
        <f>VLOOKUP($C54,'genotype metadata'!$C$2:$M$156,9,FALSE)</f>
        <v>#N/A</v>
      </c>
      <c r="Q54" s="13" t="str">
        <f>VLOOKUP($C54,'genotype metadata'!$C$2:$M$156,10,FALSE)</f>
        <v>#N/A</v>
      </c>
      <c r="R54" s="13" t="str">
        <f>VLOOKUP($C54,'genotype metadata'!$C$2:$M$156,11,FALSE)</f>
        <v>#N/A</v>
      </c>
      <c r="S54" s="12">
        <v>0.050468529</v>
      </c>
      <c r="T54" s="12">
        <v>0.016646463</v>
      </c>
      <c r="U54" s="12">
        <v>0.045530448</v>
      </c>
      <c r="V54" s="12">
        <v>0.88735456</v>
      </c>
    </row>
    <row r="55">
      <c r="A55" s="9" t="s">
        <v>135</v>
      </c>
      <c r="B55" s="9" t="s">
        <v>23</v>
      </c>
      <c r="C55" s="9" t="s">
        <v>136</v>
      </c>
      <c r="D55" s="9" t="s">
        <v>136</v>
      </c>
      <c r="E55" s="9" t="s">
        <v>25</v>
      </c>
      <c r="F55" s="10">
        <v>54.0</v>
      </c>
      <c r="G55" s="10"/>
      <c r="H55" s="10">
        <v>1.9635726E7</v>
      </c>
      <c r="I55" s="10">
        <v>1.5215833E7</v>
      </c>
      <c r="J55" s="11">
        <v>0.774905547164388</v>
      </c>
      <c r="K55" s="12">
        <v>1365.0</v>
      </c>
      <c r="L55" s="13"/>
      <c r="M55" s="13" t="str">
        <f>VLOOKUP($C55,'genotype metadata'!$C$2:$M$156,6,FALSE)</f>
        <v>KWN</v>
      </c>
      <c r="N55" s="13" t="str">
        <f>VLOOKUP($C55,'genotype metadata'!$C$2:$M$156,7,FALSE)</f>
        <v>N</v>
      </c>
      <c r="O55" s="13">
        <f>VLOOKUP($C55,'genotype metadata'!$C$2:$M$156,8,FALSE)</f>
        <v>24.55107</v>
      </c>
      <c r="P55" s="13">
        <f>VLOOKUP($C55,'genotype metadata'!$C$2:$M$156,9,FALSE)</f>
        <v>-81.80805</v>
      </c>
      <c r="Q55" s="13" t="str">
        <f>VLOOKUP($C55,'genotype metadata'!$C$2:$M$156,10,FALSE)</f>
        <v>2010-2017</v>
      </c>
      <c r="R55" s="13" t="str">
        <f>VLOOKUP($C55,'genotype metadata'!$C$2:$M$156,11,FALSE)</f>
        <v>Mote</v>
      </c>
      <c r="S55" s="12">
        <v>0.143181905</v>
      </c>
      <c r="T55" s="12">
        <v>0.029127542</v>
      </c>
      <c r="U55" s="12">
        <v>0.184071469</v>
      </c>
      <c r="V55" s="12">
        <v>0.643619084</v>
      </c>
    </row>
    <row r="56">
      <c r="A56" s="9" t="s">
        <v>137</v>
      </c>
      <c r="B56" s="9" t="s">
        <v>23</v>
      </c>
      <c r="C56" s="9" t="s">
        <v>138</v>
      </c>
      <c r="D56" s="9" t="s">
        <v>139</v>
      </c>
      <c r="E56" s="9" t="s">
        <v>25</v>
      </c>
      <c r="F56" s="10">
        <v>72.0</v>
      </c>
      <c r="G56" s="10"/>
      <c r="H56" s="10">
        <v>2.5979695E7</v>
      </c>
      <c r="I56" s="10">
        <v>1.8551359E7</v>
      </c>
      <c r="J56" s="11">
        <v>0.7140714700461264</v>
      </c>
      <c r="K56" s="12">
        <v>906.0</v>
      </c>
      <c r="L56" s="12" t="s">
        <v>36</v>
      </c>
      <c r="M56" s="13" t="str">
        <f>VLOOKUP($C56,'genotype metadata'!$C$2:$M$156,6,FALSE)</f>
        <v>H</v>
      </c>
      <c r="N56" s="13" t="str">
        <f>VLOOKUP($C56,'genotype metadata'!$C$2:$M$156,7,FALSE)</f>
        <v>N</v>
      </c>
      <c r="O56" s="13">
        <f>VLOOKUP($C56,'genotype metadata'!$C$2:$M$156,8,FALSE)</f>
        <v>25.139367</v>
      </c>
      <c r="P56" s="13">
        <f>VLOOKUP($C56,'genotype metadata'!$C$2:$M$156,9,FALSE)</f>
        <v>-80.294017</v>
      </c>
      <c r="Q56" s="13" t="str">
        <f>VLOOKUP($C56,'genotype metadata'!$C$2:$M$156,10,FALSE)</f>
        <v>2015 batch</v>
      </c>
      <c r="R56" s="13" t="str">
        <f>VLOOKUP($C56,'genotype metadata'!$C$2:$M$156,11,FALSE)</f>
        <v>Margaret Miller</v>
      </c>
      <c r="S56" s="12">
        <v>0.061245466</v>
      </c>
      <c r="T56" s="12">
        <v>0.012561959</v>
      </c>
      <c r="U56" s="12">
        <v>0.072538381</v>
      </c>
      <c r="V56" s="12">
        <v>0.853654193</v>
      </c>
    </row>
    <row r="57">
      <c r="A57" s="9" t="s">
        <v>140</v>
      </c>
      <c r="B57" s="9" t="s">
        <v>23</v>
      </c>
      <c r="C57" s="9" t="s">
        <v>141</v>
      </c>
      <c r="D57" s="9" t="s">
        <v>141</v>
      </c>
      <c r="E57" s="9" t="s">
        <v>25</v>
      </c>
      <c r="F57" s="10">
        <v>56.0</v>
      </c>
      <c r="G57" s="10"/>
      <c r="H57" s="10">
        <v>2.4515031E7</v>
      </c>
      <c r="I57" s="10">
        <v>1.6290786E7</v>
      </c>
      <c r="J57" s="11">
        <v>0.6645223495740226</v>
      </c>
      <c r="K57" s="12">
        <v>956.0</v>
      </c>
      <c r="L57" s="13"/>
      <c r="M57" s="13" t="str">
        <f>VLOOKUP($C57,'genotype metadata'!$C$2:$M$156,6,FALSE)</f>
        <v>H</v>
      </c>
      <c r="N57" s="13" t="str">
        <f>VLOOKUP($C57,'genotype metadata'!$C$2:$M$156,7,FALSE)</f>
        <v>N</v>
      </c>
      <c r="O57" s="13">
        <f>VLOOKUP($C57,'genotype metadata'!$C$2:$M$156,8,FALSE)</f>
        <v>25.139367</v>
      </c>
      <c r="P57" s="13">
        <f>VLOOKUP($C57,'genotype metadata'!$C$2:$M$156,9,FALSE)</f>
        <v>-80.294017</v>
      </c>
      <c r="Q57" s="13" t="str">
        <f>VLOOKUP($C57,'genotype metadata'!$C$2:$M$156,10,FALSE)</f>
        <v>2015 batch</v>
      </c>
      <c r="R57" s="13" t="str">
        <f>VLOOKUP($C57,'genotype metadata'!$C$2:$M$156,11,FALSE)</f>
        <v>Margaret Miller</v>
      </c>
      <c r="S57" s="12">
        <v>0.101570359</v>
      </c>
      <c r="T57" s="12">
        <v>0.020748704</v>
      </c>
      <c r="U57" s="12">
        <v>0.125985794</v>
      </c>
      <c r="V57" s="12">
        <v>0.751695143</v>
      </c>
    </row>
    <row r="58">
      <c r="A58" s="9" t="s">
        <v>142</v>
      </c>
      <c r="B58" s="9" t="s">
        <v>23</v>
      </c>
      <c r="C58" s="9" t="s">
        <v>143</v>
      </c>
      <c r="D58" s="9" t="s">
        <v>144</v>
      </c>
      <c r="E58" s="9" t="s">
        <v>35</v>
      </c>
      <c r="F58" s="10">
        <v>57.0</v>
      </c>
      <c r="G58" s="10"/>
      <c r="H58" s="10">
        <v>2.4553096E7</v>
      </c>
      <c r="I58" s="10">
        <v>1.5105837E7</v>
      </c>
      <c r="J58" s="11">
        <v>0.6152314559434786</v>
      </c>
      <c r="K58" s="12">
        <v>1817.0</v>
      </c>
      <c r="L58" s="12" t="s">
        <v>36</v>
      </c>
      <c r="M58" s="13" t="str">
        <f>VLOOKUP($C58,'genotype metadata'!$C$2:$M$156,6,FALSE)</f>
        <v>KWN</v>
      </c>
      <c r="N58" s="13" t="str">
        <f>VLOOKUP($C58,'genotype metadata'!$C$2:$M$156,7,FALSE)</f>
        <v>N</v>
      </c>
      <c r="O58" s="13">
        <f>VLOOKUP($C58,'genotype metadata'!$C$2:$M$156,8,FALSE)</f>
        <v>24.55107</v>
      </c>
      <c r="P58" s="13">
        <f>VLOOKUP($C58,'genotype metadata'!$C$2:$M$156,9,FALSE)</f>
        <v>-81.80805</v>
      </c>
      <c r="Q58" s="13" t="str">
        <f>VLOOKUP($C58,'genotype metadata'!$C$2:$M$156,10,FALSE)</f>
        <v>2010-2017</v>
      </c>
      <c r="R58" s="13" t="str">
        <f>VLOOKUP($C58,'genotype metadata'!$C$2:$M$156,11,FALSE)</f>
        <v>Mote</v>
      </c>
      <c r="S58" s="12">
        <v>0.113048559</v>
      </c>
      <c r="T58" s="12">
        <v>0.020638487</v>
      </c>
      <c r="U58" s="12">
        <v>0.135420773</v>
      </c>
      <c r="V58" s="12">
        <v>0.730892181</v>
      </c>
    </row>
    <row r="59">
      <c r="A59" s="9" t="s">
        <v>145</v>
      </c>
      <c r="B59" s="9" t="s">
        <v>23</v>
      </c>
      <c r="C59" s="9" t="s">
        <v>146</v>
      </c>
      <c r="D59" s="9" t="s">
        <v>146</v>
      </c>
      <c r="E59" s="9" t="s">
        <v>25</v>
      </c>
      <c r="F59" s="10">
        <v>58.0</v>
      </c>
      <c r="G59" s="10"/>
      <c r="H59" s="10">
        <v>2.5653466E7</v>
      </c>
      <c r="I59" s="10">
        <v>4302407.0</v>
      </c>
      <c r="J59" s="11">
        <v>0.16771250325394627</v>
      </c>
      <c r="K59" s="12">
        <v>5650.0</v>
      </c>
      <c r="L59" s="13"/>
      <c r="M59" s="13" t="str">
        <f>VLOOKUP($C59,'genotype metadata'!$C$2:$M$156,6,FALSE)</f>
        <v>KWN</v>
      </c>
      <c r="N59" s="13" t="str">
        <f>VLOOKUP($C59,'genotype metadata'!$C$2:$M$156,7,FALSE)</f>
        <v>N</v>
      </c>
      <c r="O59" s="13">
        <f>VLOOKUP($C59,'genotype metadata'!$C$2:$M$156,8,FALSE)</f>
        <v>24.55107</v>
      </c>
      <c r="P59" s="13">
        <f>VLOOKUP($C59,'genotype metadata'!$C$2:$M$156,9,FALSE)</f>
        <v>-81.80805</v>
      </c>
      <c r="Q59" s="13" t="str">
        <f>VLOOKUP($C59,'genotype metadata'!$C$2:$M$156,10,FALSE)</f>
        <v>2010-2017</v>
      </c>
      <c r="R59" s="13" t="str">
        <f>VLOOKUP($C59,'genotype metadata'!$C$2:$M$156,11,FALSE)</f>
        <v>Mote</v>
      </c>
      <c r="S59" s="12">
        <v>0.098576137</v>
      </c>
      <c r="T59" s="12">
        <v>0.01269757</v>
      </c>
      <c r="U59" s="12">
        <v>0.135600464</v>
      </c>
      <c r="V59" s="12">
        <v>0.75312583</v>
      </c>
    </row>
    <row r="60">
      <c r="A60" s="9" t="s">
        <v>147</v>
      </c>
      <c r="B60" s="9" t="s">
        <v>23</v>
      </c>
      <c r="C60" s="9" t="s">
        <v>148</v>
      </c>
      <c r="D60" s="9" t="s">
        <v>148</v>
      </c>
      <c r="E60" s="9" t="s">
        <v>25</v>
      </c>
      <c r="F60" s="10">
        <v>59.0</v>
      </c>
      <c r="G60" s="10"/>
      <c r="H60" s="10">
        <v>2.5889437E7</v>
      </c>
      <c r="I60" s="10">
        <v>5480508.0</v>
      </c>
      <c r="J60" s="11">
        <v>0.21168896025046818</v>
      </c>
      <c r="K60" s="12">
        <v>5182.0</v>
      </c>
      <c r="L60" s="13"/>
      <c r="M60" s="13" t="str">
        <f>VLOOKUP($C60,'genotype metadata'!$C$2:$M$156,6,FALSE)</f>
        <v>KWN</v>
      </c>
      <c r="N60" s="13" t="str">
        <f>VLOOKUP($C60,'genotype metadata'!$C$2:$M$156,7,FALSE)</f>
        <v>N</v>
      </c>
      <c r="O60" s="13">
        <f>VLOOKUP($C60,'genotype metadata'!$C$2:$M$156,8,FALSE)</f>
        <v>24.55107</v>
      </c>
      <c r="P60" s="13">
        <f>VLOOKUP($C60,'genotype metadata'!$C$2:$M$156,9,FALSE)</f>
        <v>-81.80805</v>
      </c>
      <c r="Q60" s="13" t="str">
        <f>VLOOKUP($C60,'genotype metadata'!$C$2:$M$156,10,FALSE)</f>
        <v>2010-2017</v>
      </c>
      <c r="R60" s="13" t="str">
        <f>VLOOKUP($C60,'genotype metadata'!$C$2:$M$156,11,FALSE)</f>
        <v>Mote</v>
      </c>
      <c r="S60" s="12">
        <v>0.065150318</v>
      </c>
      <c r="T60" s="12">
        <v>0.007481685</v>
      </c>
      <c r="U60" s="12">
        <v>0.078798979</v>
      </c>
      <c r="V60" s="12">
        <v>0.848569018</v>
      </c>
    </row>
    <row r="61">
      <c r="A61" s="9" t="s">
        <v>149</v>
      </c>
      <c r="B61" s="9" t="s">
        <v>23</v>
      </c>
      <c r="C61" s="9" t="s">
        <v>150</v>
      </c>
      <c r="D61" s="9" t="s">
        <v>150</v>
      </c>
      <c r="E61" s="9" t="s">
        <v>25</v>
      </c>
      <c r="F61" s="10">
        <v>60.0</v>
      </c>
      <c r="G61" s="10"/>
      <c r="H61" s="10">
        <v>2.4545365E7</v>
      </c>
      <c r="I61" s="10">
        <v>8856509.0</v>
      </c>
      <c r="J61" s="11">
        <v>0.36082205336934287</v>
      </c>
      <c r="K61" s="12">
        <v>3324.0</v>
      </c>
      <c r="L61" s="13"/>
      <c r="M61" s="13" t="str">
        <f>VLOOKUP($C61,'genotype metadata'!$C$2:$M$156,6,FALSE)</f>
        <v>H</v>
      </c>
      <c r="N61" s="13" t="str">
        <f>VLOOKUP($C61,'genotype metadata'!$C$2:$M$156,7,FALSE)</f>
        <v>N</v>
      </c>
      <c r="O61" s="13">
        <f>VLOOKUP($C61,'genotype metadata'!$C$2:$M$156,8,FALSE)</f>
        <v>25.139367</v>
      </c>
      <c r="P61" s="13">
        <f>VLOOKUP($C61,'genotype metadata'!$C$2:$M$156,9,FALSE)</f>
        <v>-80.294017</v>
      </c>
      <c r="Q61" s="13" t="str">
        <f>VLOOKUP($C61,'genotype metadata'!$C$2:$M$156,10,FALSE)</f>
        <v>2015 batch</v>
      </c>
      <c r="R61" s="13" t="str">
        <f>VLOOKUP($C61,'genotype metadata'!$C$2:$M$156,11,FALSE)</f>
        <v>Margaret Miller</v>
      </c>
      <c r="S61" s="12">
        <v>0.098649943</v>
      </c>
      <c r="T61" s="12">
        <v>0.019870511</v>
      </c>
      <c r="U61" s="12">
        <v>0.122248352</v>
      </c>
      <c r="V61" s="12">
        <v>0.759231194</v>
      </c>
    </row>
    <row r="62">
      <c r="A62" s="9" t="s">
        <v>151</v>
      </c>
      <c r="B62" s="9" t="s">
        <v>23</v>
      </c>
      <c r="C62" s="9" t="s">
        <v>152</v>
      </c>
      <c r="D62" s="9" t="s">
        <v>152</v>
      </c>
      <c r="E62" s="9" t="s">
        <v>25</v>
      </c>
      <c r="F62" s="10">
        <v>61.0</v>
      </c>
      <c r="G62" s="10"/>
      <c r="H62" s="10">
        <v>2.673768E7</v>
      </c>
      <c r="I62" s="10">
        <v>1.7525835E7</v>
      </c>
      <c r="J62" s="11">
        <v>0.6554732871363559</v>
      </c>
      <c r="K62" s="12">
        <v>897.0</v>
      </c>
      <c r="L62" s="13"/>
      <c r="M62" s="13" t="str">
        <f>VLOOKUP($C62,'genotype metadata'!$C$2:$M$156,6,FALSE)</f>
        <v>H</v>
      </c>
      <c r="N62" s="13" t="str">
        <f>VLOOKUP($C62,'genotype metadata'!$C$2:$M$156,7,FALSE)</f>
        <v>N</v>
      </c>
      <c r="O62" s="13">
        <f>VLOOKUP($C62,'genotype metadata'!$C$2:$M$156,8,FALSE)</f>
        <v>25.139367</v>
      </c>
      <c r="P62" s="13">
        <f>VLOOKUP($C62,'genotype metadata'!$C$2:$M$156,9,FALSE)</f>
        <v>-80.294017</v>
      </c>
      <c r="Q62" s="13" t="str">
        <f>VLOOKUP($C62,'genotype metadata'!$C$2:$M$156,10,FALSE)</f>
        <v>2015 batch</v>
      </c>
      <c r="R62" s="13" t="str">
        <f>VLOOKUP($C62,'genotype metadata'!$C$2:$M$156,11,FALSE)</f>
        <v>Margaret Miller</v>
      </c>
      <c r="S62" s="12">
        <v>0.046317747</v>
      </c>
      <c r="T62" s="12">
        <v>0.007528632</v>
      </c>
      <c r="U62" s="12">
        <v>0.051288805</v>
      </c>
      <c r="V62" s="12">
        <v>0.894864816</v>
      </c>
    </row>
    <row r="63">
      <c r="A63" s="9" t="s">
        <v>153</v>
      </c>
      <c r="B63" s="9" t="s">
        <v>23</v>
      </c>
      <c r="C63" s="9" t="s">
        <v>154</v>
      </c>
      <c r="D63" s="9" t="s">
        <v>154</v>
      </c>
      <c r="E63" s="9" t="s">
        <v>25</v>
      </c>
      <c r="F63" s="10">
        <v>62.0</v>
      </c>
      <c r="G63" s="10"/>
      <c r="H63" s="10">
        <v>2.658343E7</v>
      </c>
      <c r="I63" s="10">
        <v>2.1692712E7</v>
      </c>
      <c r="J63" s="11">
        <v>0.8160238163397274</v>
      </c>
      <c r="K63" s="12">
        <v>757.0</v>
      </c>
      <c r="L63" s="13"/>
      <c r="M63" s="13" t="str">
        <f>VLOOKUP($C63,'genotype metadata'!$C$2:$M$156,6,FALSE)</f>
        <v>#N/A</v>
      </c>
      <c r="N63" s="13" t="str">
        <f>VLOOKUP($C63,'genotype metadata'!$C$2:$M$156,7,FALSE)</f>
        <v>#N/A</v>
      </c>
      <c r="O63" s="13" t="str">
        <f>VLOOKUP($C63,'genotype metadata'!$C$2:$M$156,8,FALSE)</f>
        <v>#N/A</v>
      </c>
      <c r="P63" s="13" t="str">
        <f>VLOOKUP($C63,'genotype metadata'!$C$2:$M$156,9,FALSE)</f>
        <v>#N/A</v>
      </c>
      <c r="Q63" s="13" t="str">
        <f>VLOOKUP($C63,'genotype metadata'!$C$2:$M$156,10,FALSE)</f>
        <v>#N/A</v>
      </c>
      <c r="R63" s="13" t="str">
        <f>VLOOKUP($C63,'genotype metadata'!$C$2:$M$156,11,FALSE)</f>
        <v>#N/A</v>
      </c>
      <c r="S63" s="12">
        <v>0.090038212</v>
      </c>
      <c r="T63" s="12">
        <v>0.015634899</v>
      </c>
      <c r="U63" s="12">
        <v>0.095239842</v>
      </c>
      <c r="V63" s="12">
        <v>0.799087047</v>
      </c>
    </row>
    <row r="64">
      <c r="A64" s="9" t="s">
        <v>155</v>
      </c>
      <c r="B64" s="9" t="s">
        <v>23</v>
      </c>
      <c r="C64" s="9" t="s">
        <v>156</v>
      </c>
      <c r="D64" s="9" t="s">
        <v>156</v>
      </c>
      <c r="E64" s="9" t="s">
        <v>25</v>
      </c>
      <c r="F64" s="10">
        <v>63.0</v>
      </c>
      <c r="G64" s="10"/>
      <c r="H64" s="10">
        <v>2.469772E7</v>
      </c>
      <c r="I64" s="10">
        <v>6701417.0</v>
      </c>
      <c r="J64" s="11">
        <v>0.27133747568601474</v>
      </c>
      <c r="K64" s="12">
        <v>4436.0</v>
      </c>
      <c r="L64" s="13"/>
      <c r="M64" s="13" t="str">
        <f>VLOOKUP($C64,'genotype metadata'!$C$2:$M$156,6,FALSE)</f>
        <v>KWN</v>
      </c>
      <c r="N64" s="13" t="str">
        <f>VLOOKUP($C64,'genotype metadata'!$C$2:$M$156,7,FALSE)</f>
        <v>N</v>
      </c>
      <c r="O64" s="13">
        <f>VLOOKUP($C64,'genotype metadata'!$C$2:$M$156,8,FALSE)</f>
        <v>24.55107</v>
      </c>
      <c r="P64" s="13">
        <f>VLOOKUP($C64,'genotype metadata'!$C$2:$M$156,9,FALSE)</f>
        <v>-81.80805</v>
      </c>
      <c r="Q64" s="13" t="str">
        <f>VLOOKUP($C64,'genotype metadata'!$C$2:$M$156,10,FALSE)</f>
        <v>2010-2017</v>
      </c>
      <c r="R64" s="13" t="str">
        <f>VLOOKUP($C64,'genotype metadata'!$C$2:$M$156,11,FALSE)</f>
        <v>Mote</v>
      </c>
      <c r="S64" s="12">
        <v>0.077837603</v>
      </c>
      <c r="T64" s="12">
        <v>0.009253148</v>
      </c>
      <c r="U64" s="12">
        <v>0.053538862</v>
      </c>
      <c r="V64" s="12">
        <v>0.859370386</v>
      </c>
    </row>
    <row r="65">
      <c r="A65" s="9" t="s">
        <v>157</v>
      </c>
      <c r="B65" s="9" t="s">
        <v>23</v>
      </c>
      <c r="C65" s="9" t="s">
        <v>158</v>
      </c>
      <c r="D65" s="9" t="s">
        <v>158</v>
      </c>
      <c r="E65" s="9" t="s">
        <v>25</v>
      </c>
      <c r="F65" s="10">
        <v>64.0</v>
      </c>
      <c r="G65" s="10"/>
      <c r="H65" s="10">
        <v>2.6633402E7</v>
      </c>
      <c r="I65" s="10">
        <v>8652428.0</v>
      </c>
      <c r="J65" s="11">
        <v>0.32487130258462665</v>
      </c>
      <c r="K65" s="12">
        <v>3298.0</v>
      </c>
      <c r="L65" s="13"/>
      <c r="M65" s="13" t="str">
        <f>VLOOKUP($C65,'genotype metadata'!$C$2:$M$156,6,FALSE)</f>
        <v>#N/A</v>
      </c>
      <c r="N65" s="13" t="str">
        <f>VLOOKUP($C65,'genotype metadata'!$C$2:$M$156,7,FALSE)</f>
        <v>#N/A</v>
      </c>
      <c r="O65" s="13" t="str">
        <f>VLOOKUP($C65,'genotype metadata'!$C$2:$M$156,8,FALSE)</f>
        <v>#N/A</v>
      </c>
      <c r="P65" s="13" t="str">
        <f>VLOOKUP($C65,'genotype metadata'!$C$2:$M$156,9,FALSE)</f>
        <v>#N/A</v>
      </c>
      <c r="Q65" s="13" t="str">
        <f>VLOOKUP($C65,'genotype metadata'!$C$2:$M$156,10,FALSE)</f>
        <v>#N/A</v>
      </c>
      <c r="R65" s="13" t="str">
        <f>VLOOKUP($C65,'genotype metadata'!$C$2:$M$156,11,FALSE)</f>
        <v>#N/A</v>
      </c>
      <c r="S65" s="12">
        <v>0.057557752</v>
      </c>
      <c r="T65" s="12">
        <v>0.010268099</v>
      </c>
      <c r="U65" s="12">
        <v>0.044741705</v>
      </c>
      <c r="V65" s="12">
        <v>0.887432445</v>
      </c>
    </row>
    <row r="66">
      <c r="A66" s="9" t="s">
        <v>159</v>
      </c>
      <c r="B66" s="9" t="s">
        <v>23</v>
      </c>
      <c r="C66" s="9" t="s">
        <v>160</v>
      </c>
      <c r="D66" s="9" t="s">
        <v>160</v>
      </c>
      <c r="E66" s="9" t="s">
        <v>25</v>
      </c>
      <c r="F66" s="10">
        <v>154.0</v>
      </c>
      <c r="G66" s="10"/>
      <c r="H66" s="10">
        <v>2.6711084E7</v>
      </c>
      <c r="I66" s="10">
        <v>2.1794551E7</v>
      </c>
      <c r="J66" s="11">
        <v>0.815936597706031</v>
      </c>
      <c r="K66" s="12">
        <v>508.0</v>
      </c>
      <c r="L66" s="12" t="s">
        <v>36</v>
      </c>
      <c r="M66" s="13" t="str">
        <f>VLOOKUP($C66,'genotype metadata'!$C$2:$M$156,6,FALSE)</f>
        <v>#N/A</v>
      </c>
      <c r="N66" s="13" t="str">
        <f>VLOOKUP($C66,'genotype metadata'!$C$2:$M$156,7,FALSE)</f>
        <v>#N/A</v>
      </c>
      <c r="O66" s="13" t="str">
        <f>VLOOKUP($C66,'genotype metadata'!$C$2:$M$156,8,FALSE)</f>
        <v>#N/A</v>
      </c>
      <c r="P66" s="13" t="str">
        <f>VLOOKUP($C66,'genotype metadata'!$C$2:$M$156,9,FALSE)</f>
        <v>#N/A</v>
      </c>
      <c r="Q66" s="13" t="str">
        <f>VLOOKUP($C66,'genotype metadata'!$C$2:$M$156,10,FALSE)</f>
        <v>#N/A</v>
      </c>
      <c r="R66" s="13" t="str">
        <f>VLOOKUP($C66,'genotype metadata'!$C$2:$M$156,11,FALSE)</f>
        <v>#N/A</v>
      </c>
      <c r="S66" s="12">
        <v>0.122943188</v>
      </c>
      <c r="T66" s="12">
        <v>0.015903477</v>
      </c>
      <c r="U66" s="12">
        <v>0.114796694</v>
      </c>
      <c r="V66" s="12">
        <v>0.746356641</v>
      </c>
    </row>
    <row r="67">
      <c r="A67" s="9" t="s">
        <v>161</v>
      </c>
      <c r="B67" s="9" t="s">
        <v>23</v>
      </c>
      <c r="C67" s="9" t="s">
        <v>162</v>
      </c>
      <c r="D67" s="9" t="s">
        <v>162</v>
      </c>
      <c r="E67" s="9" t="s">
        <v>25</v>
      </c>
      <c r="F67" s="10">
        <v>66.0</v>
      </c>
      <c r="G67" s="10"/>
      <c r="H67" s="10">
        <v>2.5770536E7</v>
      </c>
      <c r="I67" s="10">
        <v>1.8935065E7</v>
      </c>
      <c r="J67" s="11">
        <v>0.7347563512066648</v>
      </c>
      <c r="K67" s="12">
        <v>797.0</v>
      </c>
      <c r="L67" s="12" t="s">
        <v>36</v>
      </c>
      <c r="M67" s="13" t="str">
        <f>VLOOKUP($C67,'genotype metadata'!$C$2:$M$156,6,FALSE)</f>
        <v>#N/A</v>
      </c>
      <c r="N67" s="13" t="str">
        <f>VLOOKUP($C67,'genotype metadata'!$C$2:$M$156,7,FALSE)</f>
        <v>#N/A</v>
      </c>
      <c r="O67" s="13" t="str">
        <f>VLOOKUP($C67,'genotype metadata'!$C$2:$M$156,8,FALSE)</f>
        <v>#N/A</v>
      </c>
      <c r="P67" s="13" t="str">
        <f>VLOOKUP($C67,'genotype metadata'!$C$2:$M$156,9,FALSE)</f>
        <v>#N/A</v>
      </c>
      <c r="Q67" s="13" t="str">
        <f>VLOOKUP($C67,'genotype metadata'!$C$2:$M$156,10,FALSE)</f>
        <v>#N/A</v>
      </c>
      <c r="R67" s="13" t="str">
        <f>VLOOKUP($C67,'genotype metadata'!$C$2:$M$156,11,FALSE)</f>
        <v>#N/A</v>
      </c>
      <c r="S67" s="12">
        <v>0.050433876</v>
      </c>
      <c r="T67" s="12">
        <v>0.005964828</v>
      </c>
      <c r="U67" s="12">
        <v>0.051415169</v>
      </c>
      <c r="V67" s="12">
        <v>0.892186127</v>
      </c>
    </row>
    <row r="68">
      <c r="A68" s="9" t="s">
        <v>163</v>
      </c>
      <c r="B68" s="9" t="s">
        <v>23</v>
      </c>
      <c r="C68" s="9" t="s">
        <v>164</v>
      </c>
      <c r="D68" s="9" t="s">
        <v>164</v>
      </c>
      <c r="E68" s="9" t="s">
        <v>25</v>
      </c>
      <c r="F68" s="10">
        <v>67.0</v>
      </c>
      <c r="G68" s="10"/>
      <c r="H68" s="10">
        <v>2.6569985E7</v>
      </c>
      <c r="I68" s="10">
        <v>2.0667225E7</v>
      </c>
      <c r="J68" s="11">
        <v>0.7778410488376264</v>
      </c>
      <c r="K68" s="12">
        <v>765.0</v>
      </c>
      <c r="L68" s="13"/>
      <c r="M68" s="13" t="str">
        <f>VLOOKUP($C68,'genotype metadata'!$C$2:$M$156,6,FALSE)</f>
        <v>Wonderland2</v>
      </c>
      <c r="N68" s="13" t="str">
        <f>VLOOKUP($C68,'genotype metadata'!$C$2:$M$156,7,FALSE)</f>
        <v>Y</v>
      </c>
      <c r="O68" s="13">
        <f>VLOOKUP($C68,'genotype metadata'!$C$2:$M$156,8,FALSE)</f>
        <v>24.55994</v>
      </c>
      <c r="P68" s="13">
        <f>VLOOKUP($C68,'genotype metadata'!$C$2:$M$156,9,FALSE)</f>
        <v>-81.50162</v>
      </c>
      <c r="Q68" s="13" t="str">
        <f>VLOOKUP($C68,'genotype metadata'!$C$2:$M$156,10,FALSE)</f>
        <v>12.15.2020</v>
      </c>
      <c r="R68" s="13" t="str">
        <f>VLOOKUP($C68,'genotype metadata'!$C$2:$M$156,11,FALSE)</f>
        <v>Mote</v>
      </c>
      <c r="S68" s="12">
        <v>0.062724518</v>
      </c>
      <c r="T68" s="12">
        <v>0.007039882</v>
      </c>
      <c r="U68" s="12">
        <v>0.052534775</v>
      </c>
      <c r="V68" s="12">
        <v>0.877700824</v>
      </c>
    </row>
    <row r="69">
      <c r="A69" s="9" t="s">
        <v>165</v>
      </c>
      <c r="B69" s="9" t="s">
        <v>23</v>
      </c>
      <c r="C69" s="9" t="s">
        <v>166</v>
      </c>
      <c r="D69" s="9" t="s">
        <v>166</v>
      </c>
      <c r="E69" s="9" t="s">
        <v>25</v>
      </c>
      <c r="F69" s="10">
        <v>68.0</v>
      </c>
      <c r="G69" s="10"/>
      <c r="H69" s="10">
        <v>2.5762604E7</v>
      </c>
      <c r="I69" s="10">
        <v>1.7587728E7</v>
      </c>
      <c r="J69" s="11">
        <v>0.6826844056602352</v>
      </c>
      <c r="K69" s="12">
        <v>873.0</v>
      </c>
      <c r="L69" s="13"/>
      <c r="M69" s="13" t="str">
        <f>VLOOKUP($C69,'genotype metadata'!$C$2:$M$156,6,FALSE)</f>
        <v>#N/A</v>
      </c>
      <c r="N69" s="13" t="str">
        <f>VLOOKUP($C69,'genotype metadata'!$C$2:$M$156,7,FALSE)</f>
        <v>#N/A</v>
      </c>
      <c r="O69" s="13" t="str">
        <f>VLOOKUP($C69,'genotype metadata'!$C$2:$M$156,8,FALSE)</f>
        <v>#N/A</v>
      </c>
      <c r="P69" s="13" t="str">
        <f>VLOOKUP($C69,'genotype metadata'!$C$2:$M$156,9,FALSE)</f>
        <v>#N/A</v>
      </c>
      <c r="Q69" s="13" t="str">
        <f>VLOOKUP($C69,'genotype metadata'!$C$2:$M$156,10,FALSE)</f>
        <v>#N/A</v>
      </c>
      <c r="R69" s="13" t="str">
        <f>VLOOKUP($C69,'genotype metadata'!$C$2:$M$156,11,FALSE)</f>
        <v>#N/A</v>
      </c>
      <c r="S69" s="12">
        <v>0.088364192</v>
      </c>
      <c r="T69" s="12">
        <v>0.010529269</v>
      </c>
      <c r="U69" s="12">
        <v>0.116897326</v>
      </c>
      <c r="V69" s="12">
        <v>0.784209214</v>
      </c>
    </row>
    <row r="70">
      <c r="A70" s="9" t="s">
        <v>167</v>
      </c>
      <c r="B70" s="9" t="s">
        <v>23</v>
      </c>
      <c r="C70" s="9" t="s">
        <v>168</v>
      </c>
      <c r="D70" s="9" t="s">
        <v>168</v>
      </c>
      <c r="E70" s="9" t="s">
        <v>25</v>
      </c>
      <c r="F70" s="10">
        <v>69.0</v>
      </c>
      <c r="G70" s="10"/>
      <c r="H70" s="10">
        <v>2.8821577E7</v>
      </c>
      <c r="I70" s="10">
        <v>2.3813942E7</v>
      </c>
      <c r="J70" s="11">
        <v>0.8262539555000755</v>
      </c>
      <c r="K70" s="12">
        <v>584.0</v>
      </c>
      <c r="L70" s="13"/>
      <c r="M70" s="13" t="str">
        <f>VLOOKUP($C70,'genotype metadata'!$C$2:$M$156,6,FALSE)</f>
        <v>#N/A</v>
      </c>
      <c r="N70" s="13" t="str">
        <f>VLOOKUP($C70,'genotype metadata'!$C$2:$M$156,7,FALSE)</f>
        <v>#N/A</v>
      </c>
      <c r="O70" s="13" t="str">
        <f>VLOOKUP($C70,'genotype metadata'!$C$2:$M$156,8,FALSE)</f>
        <v>#N/A</v>
      </c>
      <c r="P70" s="13" t="str">
        <f>VLOOKUP($C70,'genotype metadata'!$C$2:$M$156,9,FALSE)</f>
        <v>#N/A</v>
      </c>
      <c r="Q70" s="13" t="str">
        <f>VLOOKUP($C70,'genotype metadata'!$C$2:$M$156,10,FALSE)</f>
        <v>#N/A</v>
      </c>
      <c r="R70" s="13" t="str">
        <f>VLOOKUP($C70,'genotype metadata'!$C$2:$M$156,11,FALSE)</f>
        <v>#N/A</v>
      </c>
      <c r="S70" s="12">
        <v>0.150103449</v>
      </c>
      <c r="T70" s="12">
        <v>0.017364774</v>
      </c>
      <c r="U70" s="12">
        <v>0.144102051</v>
      </c>
      <c r="V70" s="12">
        <v>0.688429726</v>
      </c>
    </row>
    <row r="71">
      <c r="A71" s="9" t="s">
        <v>169</v>
      </c>
      <c r="B71" s="9" t="s">
        <v>23</v>
      </c>
      <c r="C71" s="9" t="s">
        <v>170</v>
      </c>
      <c r="D71" s="9" t="s">
        <v>170</v>
      </c>
      <c r="E71" s="9" t="s">
        <v>25</v>
      </c>
      <c r="F71" s="10">
        <v>70.0</v>
      </c>
      <c r="G71" s="10"/>
      <c r="H71" s="10">
        <v>1.9188777E7</v>
      </c>
      <c r="I71" s="10">
        <v>1.3754696E7</v>
      </c>
      <c r="J71" s="11">
        <v>0.7168094141695429</v>
      </c>
      <c r="K71" s="12">
        <v>1940.0</v>
      </c>
      <c r="L71" s="13"/>
      <c r="M71" s="13" t="str">
        <f>VLOOKUP($C71,'genotype metadata'!$C$2:$M$156,6,FALSE)</f>
        <v>#N/A</v>
      </c>
      <c r="N71" s="13" t="str">
        <f>VLOOKUP($C71,'genotype metadata'!$C$2:$M$156,7,FALSE)</f>
        <v>#N/A</v>
      </c>
      <c r="O71" s="13" t="str">
        <f>VLOOKUP($C71,'genotype metadata'!$C$2:$M$156,8,FALSE)</f>
        <v>#N/A</v>
      </c>
      <c r="P71" s="13" t="str">
        <f>VLOOKUP($C71,'genotype metadata'!$C$2:$M$156,9,FALSE)</f>
        <v>#N/A</v>
      </c>
      <c r="Q71" s="13" t="str">
        <f>VLOOKUP($C71,'genotype metadata'!$C$2:$M$156,10,FALSE)</f>
        <v>#N/A</v>
      </c>
      <c r="R71" s="13" t="str">
        <f>VLOOKUP($C71,'genotype metadata'!$C$2:$M$156,11,FALSE)</f>
        <v>#N/A</v>
      </c>
      <c r="S71" s="12">
        <v>0.135412521</v>
      </c>
      <c r="T71" s="12">
        <v>0.026529823</v>
      </c>
      <c r="U71" s="12">
        <v>0.179873657</v>
      </c>
      <c r="V71" s="12">
        <v>0.658183999</v>
      </c>
    </row>
    <row r="72">
      <c r="A72" s="9" t="s">
        <v>171</v>
      </c>
      <c r="B72" s="9" t="s">
        <v>23</v>
      </c>
      <c r="C72" s="9" t="s">
        <v>172</v>
      </c>
      <c r="D72" s="9" t="s">
        <v>172</v>
      </c>
      <c r="E72" s="9" t="s">
        <v>25</v>
      </c>
      <c r="F72" s="10">
        <v>71.0</v>
      </c>
      <c r="G72" s="10"/>
      <c r="H72" s="10">
        <v>1.9413289E7</v>
      </c>
      <c r="I72" s="10">
        <v>1.3969505E7</v>
      </c>
      <c r="J72" s="11">
        <v>0.7195846618262367</v>
      </c>
      <c r="K72" s="12">
        <v>1376.0</v>
      </c>
      <c r="L72" s="13"/>
      <c r="M72" s="13" t="str">
        <f>VLOOKUP($C72,'genotype metadata'!$C$2:$M$156,6,FALSE)</f>
        <v>#N/A</v>
      </c>
      <c r="N72" s="13" t="str">
        <f>VLOOKUP($C72,'genotype metadata'!$C$2:$M$156,7,FALSE)</f>
        <v>#N/A</v>
      </c>
      <c r="O72" s="13" t="str">
        <f>VLOOKUP($C72,'genotype metadata'!$C$2:$M$156,8,FALSE)</f>
        <v>#N/A</v>
      </c>
      <c r="P72" s="13" t="str">
        <f>VLOOKUP($C72,'genotype metadata'!$C$2:$M$156,9,FALSE)</f>
        <v>#N/A</v>
      </c>
      <c r="Q72" s="13" t="str">
        <f>VLOOKUP($C72,'genotype metadata'!$C$2:$M$156,10,FALSE)</f>
        <v>#N/A</v>
      </c>
      <c r="R72" s="13" t="str">
        <f>VLOOKUP($C72,'genotype metadata'!$C$2:$M$156,11,FALSE)</f>
        <v>#N/A</v>
      </c>
      <c r="S72" s="12">
        <v>0.07182664</v>
      </c>
      <c r="T72" s="12">
        <v>0.010185603</v>
      </c>
      <c r="U72" s="12">
        <v>0.074286916</v>
      </c>
      <c r="V72" s="12">
        <v>0.84370084</v>
      </c>
    </row>
    <row r="73">
      <c r="A73" s="9" t="s">
        <v>173</v>
      </c>
      <c r="B73" s="9" t="s">
        <v>23</v>
      </c>
      <c r="C73" s="9" t="s">
        <v>174</v>
      </c>
      <c r="D73" s="9" t="s">
        <v>174</v>
      </c>
      <c r="E73" s="9" t="s">
        <v>25</v>
      </c>
      <c r="F73" s="10">
        <v>72.0</v>
      </c>
      <c r="G73" s="10"/>
      <c r="H73" s="10">
        <v>2.8038049E7</v>
      </c>
      <c r="I73" s="10">
        <v>1.9404666E7</v>
      </c>
      <c r="J73" s="11">
        <v>0.6920833186360434</v>
      </c>
      <c r="K73" s="12">
        <v>787.0</v>
      </c>
      <c r="L73" s="12" t="s">
        <v>36</v>
      </c>
      <c r="M73" s="13" t="str">
        <f>VLOOKUP($C73,'genotype metadata'!$C$2:$M$156,6,FALSE)</f>
        <v>#N/A</v>
      </c>
      <c r="N73" s="13" t="str">
        <f>VLOOKUP($C73,'genotype metadata'!$C$2:$M$156,7,FALSE)</f>
        <v>#N/A</v>
      </c>
      <c r="O73" s="13" t="str">
        <f>VLOOKUP($C73,'genotype metadata'!$C$2:$M$156,8,FALSE)</f>
        <v>#N/A</v>
      </c>
      <c r="P73" s="13" t="str">
        <f>VLOOKUP($C73,'genotype metadata'!$C$2:$M$156,9,FALSE)</f>
        <v>#N/A</v>
      </c>
      <c r="Q73" s="13" t="str">
        <f>VLOOKUP($C73,'genotype metadata'!$C$2:$M$156,10,FALSE)</f>
        <v>#N/A</v>
      </c>
      <c r="R73" s="13" t="str">
        <f>VLOOKUP($C73,'genotype metadata'!$C$2:$M$156,11,FALSE)</f>
        <v>#N/A</v>
      </c>
      <c r="S73" s="12">
        <v>0.047747109</v>
      </c>
      <c r="T73" s="12">
        <v>0.008064503</v>
      </c>
      <c r="U73" s="12">
        <v>0.076251564</v>
      </c>
      <c r="V73" s="12">
        <v>0.867936824</v>
      </c>
    </row>
    <row r="74">
      <c r="A74" s="9" t="s">
        <v>175</v>
      </c>
      <c r="B74" s="9" t="s">
        <v>23</v>
      </c>
      <c r="C74" s="9" t="s">
        <v>176</v>
      </c>
      <c r="D74" s="9" t="s">
        <v>176</v>
      </c>
      <c r="E74" s="9" t="s">
        <v>25</v>
      </c>
      <c r="F74" s="10">
        <v>73.0</v>
      </c>
      <c r="G74" s="10"/>
      <c r="H74" s="10">
        <v>2.06736E7</v>
      </c>
      <c r="I74" s="10">
        <v>1.44448E7</v>
      </c>
      <c r="J74" s="11">
        <v>0.6987075303769058</v>
      </c>
      <c r="K74" s="12">
        <v>1268.0</v>
      </c>
      <c r="L74" s="13"/>
      <c r="M74" s="13" t="str">
        <f>VLOOKUP($C74,'genotype metadata'!$C$2:$M$156,6,FALSE)</f>
        <v>#N/A</v>
      </c>
      <c r="N74" s="13" t="str">
        <f>VLOOKUP($C74,'genotype metadata'!$C$2:$M$156,7,FALSE)</f>
        <v>#N/A</v>
      </c>
      <c r="O74" s="13" t="str">
        <f>VLOOKUP($C74,'genotype metadata'!$C$2:$M$156,8,FALSE)</f>
        <v>#N/A</v>
      </c>
      <c r="P74" s="13" t="str">
        <f>VLOOKUP($C74,'genotype metadata'!$C$2:$M$156,9,FALSE)</f>
        <v>#N/A</v>
      </c>
      <c r="Q74" s="13" t="str">
        <f>VLOOKUP($C74,'genotype metadata'!$C$2:$M$156,10,FALSE)</f>
        <v>#N/A</v>
      </c>
      <c r="R74" s="13" t="str">
        <f>VLOOKUP($C74,'genotype metadata'!$C$2:$M$156,11,FALSE)</f>
        <v>#N/A</v>
      </c>
      <c r="S74" s="12">
        <v>0.066101233</v>
      </c>
      <c r="T74" s="12">
        <v>0.013480917</v>
      </c>
      <c r="U74" s="12">
        <v>0.078942981</v>
      </c>
      <c r="V74" s="12">
        <v>0.84147487</v>
      </c>
    </row>
    <row r="75">
      <c r="A75" s="9" t="s">
        <v>177</v>
      </c>
      <c r="B75" s="9" t="s">
        <v>23</v>
      </c>
      <c r="C75" s="9" t="s">
        <v>178</v>
      </c>
      <c r="D75" s="9" t="s">
        <v>178</v>
      </c>
      <c r="E75" s="9" t="s">
        <v>25</v>
      </c>
      <c r="F75" s="10">
        <v>74.0</v>
      </c>
      <c r="G75" s="10"/>
      <c r="H75" s="10">
        <v>2.4434674E7</v>
      </c>
      <c r="I75" s="10">
        <v>1.3196358E7</v>
      </c>
      <c r="J75" s="11">
        <v>0.5400668738203751</v>
      </c>
      <c r="K75" s="12">
        <v>2531.0</v>
      </c>
      <c r="L75" s="13"/>
      <c r="M75" s="13" t="str">
        <f>VLOOKUP($C75,'genotype metadata'!$C$2:$M$156,6,FALSE)</f>
        <v>#N/A</v>
      </c>
      <c r="N75" s="13" t="str">
        <f>VLOOKUP($C75,'genotype metadata'!$C$2:$M$156,7,FALSE)</f>
        <v>#N/A</v>
      </c>
      <c r="O75" s="13" t="str">
        <f>VLOOKUP($C75,'genotype metadata'!$C$2:$M$156,8,FALSE)</f>
        <v>#N/A</v>
      </c>
      <c r="P75" s="13" t="str">
        <f>VLOOKUP($C75,'genotype metadata'!$C$2:$M$156,9,FALSE)</f>
        <v>#N/A</v>
      </c>
      <c r="Q75" s="13" t="str">
        <f>VLOOKUP($C75,'genotype metadata'!$C$2:$M$156,10,FALSE)</f>
        <v>#N/A</v>
      </c>
      <c r="R75" s="13" t="str">
        <f>VLOOKUP($C75,'genotype metadata'!$C$2:$M$156,11,FALSE)</f>
        <v>#N/A</v>
      </c>
      <c r="S75" s="12">
        <v>0.097277521</v>
      </c>
      <c r="T75" s="12">
        <v>0.016204262</v>
      </c>
      <c r="U75" s="12">
        <v>0.113474361</v>
      </c>
      <c r="V75" s="12">
        <v>0.773043856</v>
      </c>
    </row>
    <row r="76">
      <c r="A76" s="9" t="s">
        <v>179</v>
      </c>
      <c r="B76" s="9" t="s">
        <v>23</v>
      </c>
      <c r="C76" s="9" t="s">
        <v>180</v>
      </c>
      <c r="D76" s="9" t="s">
        <v>180</v>
      </c>
      <c r="E76" s="9" t="s">
        <v>25</v>
      </c>
      <c r="F76" s="10">
        <v>154.0</v>
      </c>
      <c r="G76" s="10"/>
      <c r="H76" s="10">
        <v>2.7362488E7</v>
      </c>
      <c r="I76" s="10">
        <v>2.0801165E7</v>
      </c>
      <c r="J76" s="11">
        <v>0.7602073685697003</v>
      </c>
      <c r="K76" s="12">
        <v>611.0</v>
      </c>
      <c r="L76" s="12" t="s">
        <v>36</v>
      </c>
      <c r="M76" s="13" t="str">
        <f>VLOOKUP($C76,'genotype metadata'!$C$2:$M$156,6,FALSE)</f>
        <v>#N/A</v>
      </c>
      <c r="N76" s="13" t="str">
        <f>VLOOKUP($C76,'genotype metadata'!$C$2:$M$156,7,FALSE)</f>
        <v>#N/A</v>
      </c>
      <c r="O76" s="13" t="str">
        <f>VLOOKUP($C76,'genotype metadata'!$C$2:$M$156,8,FALSE)</f>
        <v>#N/A</v>
      </c>
      <c r="P76" s="13" t="str">
        <f>VLOOKUP($C76,'genotype metadata'!$C$2:$M$156,9,FALSE)</f>
        <v>#N/A</v>
      </c>
      <c r="Q76" s="13" t="str">
        <f>VLOOKUP($C76,'genotype metadata'!$C$2:$M$156,10,FALSE)</f>
        <v>#N/A</v>
      </c>
      <c r="R76" s="13" t="str">
        <f>VLOOKUP($C76,'genotype metadata'!$C$2:$M$156,11,FALSE)</f>
        <v>#N/A</v>
      </c>
      <c r="S76" s="12">
        <v>0.121232214</v>
      </c>
      <c r="T76" s="12">
        <v>0.016699257</v>
      </c>
      <c r="U76" s="12">
        <v>0.133784109</v>
      </c>
      <c r="V76" s="12">
        <v>0.72828442</v>
      </c>
    </row>
    <row r="77">
      <c r="A77" s="9" t="s">
        <v>181</v>
      </c>
      <c r="B77" s="9" t="s">
        <v>23</v>
      </c>
      <c r="C77" s="9" t="s">
        <v>182</v>
      </c>
      <c r="D77" s="9" t="s">
        <v>182</v>
      </c>
      <c r="E77" s="9" t="s">
        <v>25</v>
      </c>
      <c r="F77" s="10">
        <v>76.0</v>
      </c>
      <c r="G77" s="10"/>
      <c r="H77" s="10">
        <v>2.6672251E7</v>
      </c>
      <c r="I77" s="10">
        <v>2.0813581E7</v>
      </c>
      <c r="J77" s="11">
        <v>0.7803458733198034</v>
      </c>
      <c r="K77" s="12">
        <v>756.0</v>
      </c>
      <c r="L77" s="13"/>
      <c r="M77" s="13" t="str">
        <f>VLOOKUP($C77,'genotype metadata'!$C$2:$M$156,6,FALSE)</f>
        <v>#N/A</v>
      </c>
      <c r="N77" s="13" t="str">
        <f>VLOOKUP($C77,'genotype metadata'!$C$2:$M$156,7,FALSE)</f>
        <v>#N/A</v>
      </c>
      <c r="O77" s="13" t="str">
        <f>VLOOKUP($C77,'genotype metadata'!$C$2:$M$156,8,FALSE)</f>
        <v>#N/A</v>
      </c>
      <c r="P77" s="13" t="str">
        <f>VLOOKUP($C77,'genotype metadata'!$C$2:$M$156,9,FALSE)</f>
        <v>#N/A</v>
      </c>
      <c r="Q77" s="13" t="str">
        <f>VLOOKUP($C77,'genotype metadata'!$C$2:$M$156,10,FALSE)</f>
        <v>#N/A</v>
      </c>
      <c r="R77" s="13" t="str">
        <f>VLOOKUP($C77,'genotype metadata'!$C$2:$M$156,11,FALSE)</f>
        <v>#N/A</v>
      </c>
      <c r="S77" s="12">
        <v>0.138425907</v>
      </c>
      <c r="T77" s="12">
        <v>0.022280255</v>
      </c>
      <c r="U77" s="12">
        <v>0.162088707</v>
      </c>
      <c r="V77" s="12">
        <v>0.677205131</v>
      </c>
    </row>
    <row r="78">
      <c r="A78" s="9" t="s">
        <v>183</v>
      </c>
      <c r="B78" s="9" t="s">
        <v>23</v>
      </c>
      <c r="C78" s="9" t="s">
        <v>184</v>
      </c>
      <c r="D78" s="9" t="s">
        <v>184</v>
      </c>
      <c r="E78" s="9" t="s">
        <v>25</v>
      </c>
      <c r="F78" s="10">
        <v>77.0</v>
      </c>
      <c r="G78" s="10"/>
      <c r="H78" s="10">
        <v>2.5881213E7</v>
      </c>
      <c r="I78" s="10">
        <v>1.0370725E7</v>
      </c>
      <c r="J78" s="11">
        <v>0.4007047505849127</v>
      </c>
      <c r="K78" s="12">
        <v>2021.0</v>
      </c>
      <c r="L78" s="13"/>
      <c r="M78" s="13" t="str">
        <f>VLOOKUP($C78,'genotype metadata'!$C$2:$M$156,6,FALSE)</f>
        <v>H</v>
      </c>
      <c r="N78" s="13" t="str">
        <f>VLOOKUP($C78,'genotype metadata'!$C$2:$M$156,7,FALSE)</f>
        <v>N</v>
      </c>
      <c r="O78" s="13">
        <f>VLOOKUP($C78,'genotype metadata'!$C$2:$M$156,8,FALSE)</f>
        <v>25.139367</v>
      </c>
      <c r="P78" s="13">
        <f>VLOOKUP($C78,'genotype metadata'!$C$2:$M$156,9,FALSE)</f>
        <v>-80.294017</v>
      </c>
      <c r="Q78" s="13" t="str">
        <f>VLOOKUP($C78,'genotype metadata'!$C$2:$M$156,10,FALSE)</f>
        <v>2015 batch</v>
      </c>
      <c r="R78" s="13" t="str">
        <f>VLOOKUP($C78,'genotype metadata'!$C$2:$M$156,11,FALSE)</f>
        <v>Margaret Miller</v>
      </c>
      <c r="S78" s="12">
        <v>0.064095205</v>
      </c>
      <c r="T78" s="12">
        <v>0.009282855</v>
      </c>
      <c r="U78" s="12">
        <v>0.055265708</v>
      </c>
      <c r="V78" s="12">
        <v>0.871356233</v>
      </c>
    </row>
    <row r="79">
      <c r="A79" s="9" t="s">
        <v>185</v>
      </c>
      <c r="B79" s="9" t="s">
        <v>23</v>
      </c>
      <c r="C79" s="9" t="s">
        <v>186</v>
      </c>
      <c r="D79" s="9" t="s">
        <v>186</v>
      </c>
      <c r="E79" s="9" t="s">
        <v>25</v>
      </c>
      <c r="F79" s="10">
        <v>135.0</v>
      </c>
      <c r="G79" s="10"/>
      <c r="H79" s="10">
        <v>2.6171115E7</v>
      </c>
      <c r="I79" s="10">
        <v>1.9771017E7</v>
      </c>
      <c r="J79" s="11">
        <v>0.7554518407030041</v>
      </c>
      <c r="K79" s="12">
        <v>737.0</v>
      </c>
      <c r="L79" s="13"/>
      <c r="M79" s="13" t="str">
        <f>VLOOKUP($C79,'genotype metadata'!$C$2:$M$156,6,FALSE)</f>
        <v>#N/A</v>
      </c>
      <c r="N79" s="13" t="str">
        <f>VLOOKUP($C79,'genotype metadata'!$C$2:$M$156,7,FALSE)</f>
        <v>#N/A</v>
      </c>
      <c r="O79" s="13" t="str">
        <f>VLOOKUP($C79,'genotype metadata'!$C$2:$M$156,8,FALSE)</f>
        <v>#N/A</v>
      </c>
      <c r="P79" s="13" t="str">
        <f>VLOOKUP($C79,'genotype metadata'!$C$2:$M$156,9,FALSE)</f>
        <v>#N/A</v>
      </c>
      <c r="Q79" s="13" t="str">
        <f>VLOOKUP($C79,'genotype metadata'!$C$2:$M$156,10,FALSE)</f>
        <v>#N/A</v>
      </c>
      <c r="R79" s="13" t="str">
        <f>VLOOKUP($C79,'genotype metadata'!$C$2:$M$156,11,FALSE)</f>
        <v>#N/A</v>
      </c>
      <c r="S79" s="12">
        <v>0.056104667</v>
      </c>
      <c r="T79" s="12">
        <v>0.009291208</v>
      </c>
      <c r="U79" s="12">
        <v>0.050518435</v>
      </c>
      <c r="V79" s="12">
        <v>0.88408569</v>
      </c>
    </row>
    <row r="80">
      <c r="A80" s="9" t="s">
        <v>187</v>
      </c>
      <c r="B80" s="9" t="s">
        <v>23</v>
      </c>
      <c r="C80" s="9" t="s">
        <v>188</v>
      </c>
      <c r="D80" s="9" t="s">
        <v>188</v>
      </c>
      <c r="E80" s="9" t="s">
        <v>25</v>
      </c>
      <c r="F80" s="10">
        <v>79.0</v>
      </c>
      <c r="G80" s="10"/>
      <c r="H80" s="10">
        <v>2.7696744E7</v>
      </c>
      <c r="I80" s="10">
        <v>1.7733655E7</v>
      </c>
      <c r="J80" s="11">
        <v>0.6402794133490926</v>
      </c>
      <c r="K80" s="12">
        <v>865.0</v>
      </c>
      <c r="L80" s="13"/>
      <c r="M80" s="13" t="str">
        <f>VLOOKUP($C80,'genotype metadata'!$C$2:$M$156,6,FALSE)</f>
        <v>#N/A</v>
      </c>
      <c r="N80" s="13" t="str">
        <f>VLOOKUP($C80,'genotype metadata'!$C$2:$M$156,7,FALSE)</f>
        <v>#N/A</v>
      </c>
      <c r="O80" s="13" t="str">
        <f>VLOOKUP($C80,'genotype metadata'!$C$2:$M$156,8,FALSE)</f>
        <v>#N/A</v>
      </c>
      <c r="P80" s="13" t="str">
        <f>VLOOKUP($C80,'genotype metadata'!$C$2:$M$156,9,FALSE)</f>
        <v>#N/A</v>
      </c>
      <c r="Q80" s="13" t="str">
        <f>VLOOKUP($C80,'genotype metadata'!$C$2:$M$156,10,FALSE)</f>
        <v>#N/A</v>
      </c>
      <c r="R80" s="13" t="str">
        <f>VLOOKUP($C80,'genotype metadata'!$C$2:$M$156,11,FALSE)</f>
        <v>#N/A</v>
      </c>
      <c r="S80" s="12">
        <v>0.067956754</v>
      </c>
      <c r="T80" s="12">
        <v>0.01010984</v>
      </c>
      <c r="U80" s="12">
        <v>0.077712922</v>
      </c>
      <c r="V80" s="12">
        <v>0.844220484</v>
      </c>
    </row>
    <row r="81">
      <c r="A81" s="9" t="s">
        <v>189</v>
      </c>
      <c r="B81" s="9" t="s">
        <v>23</v>
      </c>
      <c r="C81" s="9" t="s">
        <v>190</v>
      </c>
      <c r="D81" s="9" t="s">
        <v>190</v>
      </c>
      <c r="E81" s="9" t="s">
        <v>25</v>
      </c>
      <c r="F81" s="10">
        <v>80.0</v>
      </c>
      <c r="G81" s="10"/>
      <c r="H81" s="10">
        <v>2.505958E7</v>
      </c>
      <c r="I81" s="10">
        <v>1.9749602E7</v>
      </c>
      <c r="J81" s="11">
        <v>0.7881058660999107</v>
      </c>
      <c r="K81" s="12">
        <v>790.0</v>
      </c>
      <c r="L81" s="13"/>
      <c r="M81" s="13" t="str">
        <f>VLOOKUP($C81,'genotype metadata'!$C$2:$M$156,6,FALSE)</f>
        <v>#N/A</v>
      </c>
      <c r="N81" s="13" t="str">
        <f>VLOOKUP($C81,'genotype metadata'!$C$2:$M$156,7,FALSE)</f>
        <v>#N/A</v>
      </c>
      <c r="O81" s="13" t="str">
        <f>VLOOKUP($C81,'genotype metadata'!$C$2:$M$156,8,FALSE)</f>
        <v>#N/A</v>
      </c>
      <c r="P81" s="13" t="str">
        <f>VLOOKUP($C81,'genotype metadata'!$C$2:$M$156,9,FALSE)</f>
        <v>#N/A</v>
      </c>
      <c r="Q81" s="13" t="str">
        <f>VLOOKUP($C81,'genotype metadata'!$C$2:$M$156,10,FALSE)</f>
        <v>#N/A</v>
      </c>
      <c r="R81" s="13" t="str">
        <f>VLOOKUP($C81,'genotype metadata'!$C$2:$M$156,11,FALSE)</f>
        <v>#N/A</v>
      </c>
      <c r="S81" s="12">
        <v>0.048868315</v>
      </c>
      <c r="T81" s="12">
        <v>0.006614234</v>
      </c>
      <c r="U81" s="12">
        <v>0.041297279</v>
      </c>
      <c r="V81" s="12">
        <v>0.903220171</v>
      </c>
    </row>
    <row r="82">
      <c r="A82" s="9" t="s">
        <v>191</v>
      </c>
      <c r="B82" s="9" t="s">
        <v>23</v>
      </c>
      <c r="C82" s="9" t="s">
        <v>192</v>
      </c>
      <c r="D82" s="9" t="s">
        <v>192</v>
      </c>
      <c r="E82" s="9" t="s">
        <v>25</v>
      </c>
      <c r="F82" s="10">
        <v>154.0</v>
      </c>
      <c r="G82" s="10"/>
      <c r="H82" s="10">
        <v>2.5868102E7</v>
      </c>
      <c r="I82" s="10">
        <v>2.0869479E7</v>
      </c>
      <c r="J82" s="11">
        <v>0.8067649880149692</v>
      </c>
      <c r="K82" s="12">
        <v>592.0</v>
      </c>
      <c r="L82" s="12" t="s">
        <v>36</v>
      </c>
      <c r="M82" s="13" t="str">
        <f>VLOOKUP($C82,'genotype metadata'!$C$2:$M$156,6,FALSE)</f>
        <v>KWN</v>
      </c>
      <c r="N82" s="13" t="str">
        <f>VLOOKUP($C82,'genotype metadata'!$C$2:$M$156,7,FALSE)</f>
        <v>N</v>
      </c>
      <c r="O82" s="13">
        <f>VLOOKUP($C82,'genotype metadata'!$C$2:$M$156,8,FALSE)</f>
        <v>24.55107</v>
      </c>
      <c r="P82" s="13">
        <f>VLOOKUP($C82,'genotype metadata'!$C$2:$M$156,9,FALSE)</f>
        <v>-81.80805</v>
      </c>
      <c r="Q82" s="13" t="str">
        <f>VLOOKUP($C82,'genotype metadata'!$C$2:$M$156,10,FALSE)</f>
        <v>2010-2017</v>
      </c>
      <c r="R82" s="13" t="str">
        <f>VLOOKUP($C82,'genotype metadata'!$C$2:$M$156,11,FALSE)</f>
        <v>Mote</v>
      </c>
      <c r="S82" s="12">
        <v>0.041220518</v>
      </c>
      <c r="T82" s="12">
        <v>0.006216001</v>
      </c>
      <c r="U82" s="12">
        <v>0.037491227</v>
      </c>
      <c r="V82" s="12">
        <v>0.915072254</v>
      </c>
    </row>
    <row r="83">
      <c r="A83" s="9" t="s">
        <v>193</v>
      </c>
      <c r="B83" s="9" t="s">
        <v>23</v>
      </c>
      <c r="C83" s="9" t="s">
        <v>194</v>
      </c>
      <c r="D83" s="9" t="s">
        <v>194</v>
      </c>
      <c r="E83" s="9" t="s">
        <v>25</v>
      </c>
      <c r="F83" s="10">
        <v>154.0</v>
      </c>
      <c r="G83" s="10"/>
      <c r="H83" s="10">
        <v>2.759599E7</v>
      </c>
      <c r="I83" s="10">
        <v>2.0785444E7</v>
      </c>
      <c r="J83" s="11">
        <v>0.7532052301801819</v>
      </c>
      <c r="K83" s="12">
        <v>580.0</v>
      </c>
      <c r="L83" s="12" t="s">
        <v>36</v>
      </c>
      <c r="M83" s="13" t="str">
        <f>VLOOKUP($C83,'genotype metadata'!$C$2:$M$156,6,FALSE)</f>
        <v>#N/A</v>
      </c>
      <c r="N83" s="13" t="str">
        <f>VLOOKUP($C83,'genotype metadata'!$C$2:$M$156,7,FALSE)</f>
        <v>#N/A</v>
      </c>
      <c r="O83" s="13" t="str">
        <f>VLOOKUP($C83,'genotype metadata'!$C$2:$M$156,8,FALSE)</f>
        <v>#N/A</v>
      </c>
      <c r="P83" s="13" t="str">
        <f>VLOOKUP($C83,'genotype metadata'!$C$2:$M$156,9,FALSE)</f>
        <v>#N/A</v>
      </c>
      <c r="Q83" s="13" t="str">
        <f>VLOOKUP($C83,'genotype metadata'!$C$2:$M$156,10,FALSE)</f>
        <v>#N/A</v>
      </c>
      <c r="R83" s="13" t="str">
        <f>VLOOKUP($C83,'genotype metadata'!$C$2:$M$156,11,FALSE)</f>
        <v>#N/A</v>
      </c>
      <c r="S83" s="12">
        <v>0.111824401</v>
      </c>
      <c r="T83" s="12">
        <v>0.017624668</v>
      </c>
      <c r="U83" s="12">
        <v>0.134530932</v>
      </c>
      <c r="V83" s="12">
        <v>0.73602</v>
      </c>
    </row>
    <row r="84">
      <c r="A84" s="9" t="s">
        <v>195</v>
      </c>
      <c r="B84" s="9" t="s">
        <v>23</v>
      </c>
      <c r="C84" s="9" t="s">
        <v>196</v>
      </c>
      <c r="D84" s="9" t="s">
        <v>196</v>
      </c>
      <c r="E84" s="9" t="s">
        <v>25</v>
      </c>
      <c r="F84" s="10">
        <v>83.0</v>
      </c>
      <c r="G84" s="10"/>
      <c r="H84" s="10">
        <v>1.9691251E7</v>
      </c>
      <c r="I84" s="10">
        <v>9116994.0</v>
      </c>
      <c r="J84" s="11">
        <v>0.4629971960643841</v>
      </c>
      <c r="K84" s="12">
        <v>35110.0</v>
      </c>
      <c r="L84" s="13"/>
      <c r="M84" s="13" t="str">
        <f>VLOOKUP($C84,'genotype metadata'!$C$2:$M$156,6,FALSE)</f>
        <v>#N/A</v>
      </c>
      <c r="N84" s="13" t="str">
        <f>VLOOKUP($C84,'genotype metadata'!$C$2:$M$156,7,FALSE)</f>
        <v>#N/A</v>
      </c>
      <c r="O84" s="13" t="str">
        <f>VLOOKUP($C84,'genotype metadata'!$C$2:$M$156,8,FALSE)</f>
        <v>#N/A</v>
      </c>
      <c r="P84" s="13" t="str">
        <f>VLOOKUP($C84,'genotype metadata'!$C$2:$M$156,9,FALSE)</f>
        <v>#N/A</v>
      </c>
      <c r="Q84" s="13" t="str">
        <f>VLOOKUP($C84,'genotype metadata'!$C$2:$M$156,10,FALSE)</f>
        <v>#N/A</v>
      </c>
      <c r="R84" s="13" t="str">
        <f>VLOOKUP($C84,'genotype metadata'!$C$2:$M$156,11,FALSE)</f>
        <v>#N/A</v>
      </c>
      <c r="S84" s="12">
        <v>0.064015957</v>
      </c>
      <c r="T84" s="12">
        <v>0.02278655</v>
      </c>
      <c r="U84" s="12">
        <v>0.039649199</v>
      </c>
      <c r="V84" s="12">
        <v>0.873548293</v>
      </c>
    </row>
    <row r="85">
      <c r="A85" s="9" t="s">
        <v>197</v>
      </c>
      <c r="B85" s="9" t="s">
        <v>23</v>
      </c>
      <c r="C85" s="9" t="s">
        <v>198</v>
      </c>
      <c r="D85" s="9" t="s">
        <v>199</v>
      </c>
      <c r="E85" s="9" t="s">
        <v>25</v>
      </c>
      <c r="F85" s="10">
        <v>84.0</v>
      </c>
      <c r="G85" s="10"/>
      <c r="H85" s="10">
        <v>2.6256106E7</v>
      </c>
      <c r="I85" s="10">
        <v>1.0148188E7</v>
      </c>
      <c r="J85" s="11">
        <v>0.3865077327155824</v>
      </c>
      <c r="K85" s="12">
        <v>2398.0</v>
      </c>
      <c r="L85" s="13"/>
      <c r="M85" s="13" t="str">
        <f>VLOOKUP($C85,'genotype metadata'!$C$2:$M$156,6,FALSE)</f>
        <v>KWN</v>
      </c>
      <c r="N85" s="13" t="str">
        <f>VLOOKUP($C85,'genotype metadata'!$C$2:$M$156,7,FALSE)</f>
        <v>N</v>
      </c>
      <c r="O85" s="13">
        <f>VLOOKUP($C85,'genotype metadata'!$C$2:$M$156,8,FALSE)</f>
        <v>24.55107</v>
      </c>
      <c r="P85" s="13">
        <f>VLOOKUP($C85,'genotype metadata'!$C$2:$M$156,9,FALSE)</f>
        <v>-81.80805</v>
      </c>
      <c r="Q85" s="13" t="str">
        <f>VLOOKUP($C85,'genotype metadata'!$C$2:$M$156,10,FALSE)</f>
        <v>2010-2017</v>
      </c>
      <c r="R85" s="13" t="str">
        <f>VLOOKUP($C85,'genotype metadata'!$C$2:$M$156,11,FALSE)</f>
        <v>Mote</v>
      </c>
      <c r="S85" s="12">
        <v>0.056667217</v>
      </c>
      <c r="T85" s="12">
        <v>0.010320735</v>
      </c>
      <c r="U85" s="12">
        <v>0.110583705</v>
      </c>
      <c r="V85" s="12">
        <v>0.822428344</v>
      </c>
    </row>
    <row r="86">
      <c r="A86" s="9" t="s">
        <v>200</v>
      </c>
      <c r="B86" s="9" t="s">
        <v>23</v>
      </c>
      <c r="C86" s="9" t="s">
        <v>201</v>
      </c>
      <c r="D86" s="9" t="s">
        <v>201</v>
      </c>
      <c r="E86" s="9" t="s">
        <v>25</v>
      </c>
      <c r="F86" s="10">
        <v>85.0</v>
      </c>
      <c r="G86" s="10"/>
      <c r="H86" s="10">
        <v>2.602469E7</v>
      </c>
      <c r="I86" s="10">
        <v>1.0563977E7</v>
      </c>
      <c r="J86" s="11">
        <v>0.40592133854428236</v>
      </c>
      <c r="K86" s="12">
        <v>2241.0</v>
      </c>
      <c r="L86" s="13"/>
      <c r="M86" s="13" t="str">
        <f>VLOOKUP($C86,'genotype metadata'!$C$2:$M$156,6,FALSE)</f>
        <v>H</v>
      </c>
      <c r="N86" s="13" t="str">
        <f>VLOOKUP($C86,'genotype metadata'!$C$2:$M$156,7,FALSE)</f>
        <v>N</v>
      </c>
      <c r="O86" s="13">
        <f>VLOOKUP($C86,'genotype metadata'!$C$2:$M$156,8,FALSE)</f>
        <v>25.139367</v>
      </c>
      <c r="P86" s="13">
        <f>VLOOKUP($C86,'genotype metadata'!$C$2:$M$156,9,FALSE)</f>
        <v>-80.294017</v>
      </c>
      <c r="Q86" s="13" t="str">
        <f>VLOOKUP($C86,'genotype metadata'!$C$2:$M$156,10,FALSE)</f>
        <v>2015 batch</v>
      </c>
      <c r="R86" s="13" t="str">
        <f>VLOOKUP($C86,'genotype metadata'!$C$2:$M$156,11,FALSE)</f>
        <v>Margaret Miller</v>
      </c>
      <c r="S86" s="12">
        <v>0.08405783</v>
      </c>
      <c r="T86" s="12">
        <v>0.014770679</v>
      </c>
      <c r="U86" s="12">
        <v>0.124263032</v>
      </c>
      <c r="V86" s="12">
        <v>0.776908459</v>
      </c>
    </row>
    <row r="87">
      <c r="A87" s="9" t="s">
        <v>202</v>
      </c>
      <c r="B87" s="9" t="s">
        <v>23</v>
      </c>
      <c r="C87" s="9" t="s">
        <v>203</v>
      </c>
      <c r="D87" s="9" t="s">
        <v>203</v>
      </c>
      <c r="E87" s="9" t="s">
        <v>25</v>
      </c>
      <c r="F87" s="10">
        <v>86.0</v>
      </c>
      <c r="G87" s="10"/>
      <c r="H87" s="10">
        <v>2.891508E7</v>
      </c>
      <c r="I87" s="10">
        <v>1.847024E7</v>
      </c>
      <c r="J87" s="11">
        <v>0.6387753379897272</v>
      </c>
      <c r="K87" s="12">
        <v>839.0</v>
      </c>
      <c r="L87" s="13"/>
      <c r="M87" s="13" t="str">
        <f>VLOOKUP($C87,'genotype metadata'!$C$2:$M$156,6,FALSE)</f>
        <v>H</v>
      </c>
      <c r="N87" s="13" t="str">
        <f>VLOOKUP($C87,'genotype metadata'!$C$2:$M$156,7,FALSE)</f>
        <v>N</v>
      </c>
      <c r="O87" s="13">
        <f>VLOOKUP($C87,'genotype metadata'!$C$2:$M$156,8,FALSE)</f>
        <v>25.139367</v>
      </c>
      <c r="P87" s="13">
        <f>VLOOKUP($C87,'genotype metadata'!$C$2:$M$156,9,FALSE)</f>
        <v>-80.294017</v>
      </c>
      <c r="Q87" s="13" t="str">
        <f>VLOOKUP($C87,'genotype metadata'!$C$2:$M$156,10,FALSE)</f>
        <v>2015 batch</v>
      </c>
      <c r="R87" s="13" t="str">
        <f>VLOOKUP($C87,'genotype metadata'!$C$2:$M$156,11,FALSE)</f>
        <v>Margaret Miller</v>
      </c>
      <c r="S87" s="12">
        <v>0.076457289</v>
      </c>
      <c r="T87" s="12">
        <v>0.013796562</v>
      </c>
      <c r="U87" s="12">
        <v>0.150850226</v>
      </c>
      <c r="V87" s="12">
        <v>0.758895923</v>
      </c>
    </row>
    <row r="88">
      <c r="A88" s="9" t="s">
        <v>204</v>
      </c>
      <c r="B88" s="9" t="s">
        <v>23</v>
      </c>
      <c r="C88" s="9" t="s">
        <v>205</v>
      </c>
      <c r="D88" s="9" t="s">
        <v>205</v>
      </c>
      <c r="E88" s="9" t="s">
        <v>25</v>
      </c>
      <c r="F88" s="10">
        <v>137.0</v>
      </c>
      <c r="G88" s="10"/>
      <c r="H88" s="10">
        <v>2.7072411E7</v>
      </c>
      <c r="I88" s="10">
        <v>2.1531889E7</v>
      </c>
      <c r="J88" s="11">
        <v>0.7953443452081161</v>
      </c>
      <c r="K88" s="12">
        <v>729.0</v>
      </c>
      <c r="L88" s="13"/>
      <c r="M88" s="13" t="s">
        <v>206</v>
      </c>
      <c r="N88" s="13" t="s">
        <v>207</v>
      </c>
      <c r="O88" s="13">
        <v>24.55107</v>
      </c>
      <c r="P88" s="13">
        <v>-81.80805</v>
      </c>
      <c r="Q88" s="13" t="s">
        <v>208</v>
      </c>
      <c r="R88" s="13" t="s">
        <v>209</v>
      </c>
      <c r="S88" s="12">
        <v>0.057828245</v>
      </c>
      <c r="T88" s="12">
        <v>0.008835933</v>
      </c>
      <c r="U88" s="12">
        <v>0.063849835</v>
      </c>
      <c r="V88" s="12">
        <v>0.869485987</v>
      </c>
    </row>
    <row r="89">
      <c r="A89" s="9" t="s">
        <v>210</v>
      </c>
      <c r="B89" s="9" t="s">
        <v>23</v>
      </c>
      <c r="C89" s="9" t="s">
        <v>211</v>
      </c>
      <c r="D89" s="9" t="s">
        <v>211</v>
      </c>
      <c r="E89" s="9" t="s">
        <v>25</v>
      </c>
      <c r="F89" s="10">
        <v>12.0</v>
      </c>
      <c r="G89" s="10"/>
      <c r="H89" s="10">
        <v>2.6739426E7</v>
      </c>
      <c r="I89" s="10">
        <v>2.1190829E7</v>
      </c>
      <c r="J89" s="11">
        <v>0.7924937880117546</v>
      </c>
      <c r="K89" s="12">
        <v>756.0</v>
      </c>
      <c r="L89" s="13"/>
      <c r="M89" s="13" t="str">
        <f>VLOOKUP($C89,'genotype metadata'!$C$2:$M$156,6,FALSE)</f>
        <v>KWN</v>
      </c>
      <c r="N89" s="13" t="str">
        <f>VLOOKUP($C89,'genotype metadata'!$C$2:$M$156,7,FALSE)</f>
        <v>N</v>
      </c>
      <c r="O89" s="13">
        <f>VLOOKUP($C89,'genotype metadata'!$C$2:$M$156,8,FALSE)</f>
        <v>24.55107</v>
      </c>
      <c r="P89" s="13">
        <f>VLOOKUP($C89,'genotype metadata'!$C$2:$M$156,9,FALSE)</f>
        <v>-81.80805</v>
      </c>
      <c r="Q89" s="13" t="str">
        <f>VLOOKUP($C89,'genotype metadata'!$C$2:$M$156,10,FALSE)</f>
        <v>2010-2017</v>
      </c>
      <c r="R89" s="13" t="str">
        <f>VLOOKUP($C89,'genotype metadata'!$C$2:$M$156,11,FALSE)</f>
        <v>Mote</v>
      </c>
      <c r="S89" s="12">
        <v>0.057071694</v>
      </c>
      <c r="T89" s="12">
        <v>0.008040638</v>
      </c>
      <c r="U89" s="12">
        <v>0.05460068</v>
      </c>
      <c r="V89" s="12">
        <v>0.880286988</v>
      </c>
    </row>
    <row r="90">
      <c r="A90" s="9" t="s">
        <v>212</v>
      </c>
      <c r="B90" s="9" t="s">
        <v>23</v>
      </c>
      <c r="C90" s="9" t="s">
        <v>213</v>
      </c>
      <c r="D90" s="9" t="s">
        <v>214</v>
      </c>
      <c r="E90" s="9" t="s">
        <v>25</v>
      </c>
      <c r="F90" s="10">
        <v>89.0</v>
      </c>
      <c r="G90" s="10"/>
      <c r="H90" s="10">
        <v>1.9159488E7</v>
      </c>
      <c r="I90" s="10">
        <v>1.0886349E7</v>
      </c>
      <c r="J90" s="11">
        <v>0.5681962378117829</v>
      </c>
      <c r="K90" s="12">
        <v>2393.0</v>
      </c>
      <c r="L90" s="13"/>
      <c r="M90" s="13" t="str">
        <f>VLOOKUP($C90,'genotype metadata'!$C$2:$M$156,6,FALSE)</f>
        <v>H</v>
      </c>
      <c r="N90" s="13" t="str">
        <f>VLOOKUP($C90,'genotype metadata'!$C$2:$M$156,7,FALSE)</f>
        <v>N</v>
      </c>
      <c r="O90" s="13">
        <f>VLOOKUP($C90,'genotype metadata'!$C$2:$M$156,8,FALSE)</f>
        <v>25.139367</v>
      </c>
      <c r="P90" s="13">
        <f>VLOOKUP($C90,'genotype metadata'!$C$2:$M$156,9,FALSE)</f>
        <v>-80.294017</v>
      </c>
      <c r="Q90" s="13" t="str">
        <f>VLOOKUP($C90,'genotype metadata'!$C$2:$M$156,10,FALSE)</f>
        <v>2015 batch</v>
      </c>
      <c r="R90" s="13" t="str">
        <f>VLOOKUP($C90,'genotype metadata'!$C$2:$M$156,11,FALSE)</f>
        <v>Margaret Miller</v>
      </c>
      <c r="S90" s="12">
        <v>0.074284534</v>
      </c>
      <c r="T90" s="12">
        <v>0.010402089</v>
      </c>
      <c r="U90" s="12">
        <v>0.194061182</v>
      </c>
      <c r="V90" s="12">
        <v>0.721252195</v>
      </c>
    </row>
    <row r="91">
      <c r="A91" s="9" t="s">
        <v>215</v>
      </c>
      <c r="B91" s="9" t="s">
        <v>23</v>
      </c>
      <c r="C91" s="9" t="s">
        <v>216</v>
      </c>
      <c r="D91" s="9" t="s">
        <v>216</v>
      </c>
      <c r="E91" s="9" t="s">
        <v>25</v>
      </c>
      <c r="F91" s="10">
        <v>90.0</v>
      </c>
      <c r="G91" s="10"/>
      <c r="H91" s="10">
        <v>2.7282941E7</v>
      </c>
      <c r="I91" s="10">
        <v>1.2685388E7</v>
      </c>
      <c r="J91" s="11">
        <v>0.46495676547480713</v>
      </c>
      <c r="K91" s="12">
        <v>1729.0</v>
      </c>
      <c r="L91" s="13"/>
      <c r="M91" s="13" t="str">
        <f>VLOOKUP($C91,'genotype metadata'!$C$2:$M$156,6,FALSE)</f>
        <v>#N/A</v>
      </c>
      <c r="N91" s="13" t="str">
        <f>VLOOKUP($C91,'genotype metadata'!$C$2:$M$156,7,FALSE)</f>
        <v>#N/A</v>
      </c>
      <c r="O91" s="13" t="str">
        <f>VLOOKUP($C91,'genotype metadata'!$C$2:$M$156,8,FALSE)</f>
        <v>#N/A</v>
      </c>
      <c r="P91" s="13" t="str">
        <f>VLOOKUP($C91,'genotype metadata'!$C$2:$M$156,9,FALSE)</f>
        <v>#N/A</v>
      </c>
      <c r="Q91" s="13" t="str">
        <f>VLOOKUP($C91,'genotype metadata'!$C$2:$M$156,10,FALSE)</f>
        <v>#N/A</v>
      </c>
      <c r="R91" s="13" t="str">
        <f>VLOOKUP($C91,'genotype metadata'!$C$2:$M$156,11,FALSE)</f>
        <v>#N/A</v>
      </c>
      <c r="S91" s="12">
        <v>0.054191564</v>
      </c>
      <c r="T91" s="12">
        <v>0.007955935</v>
      </c>
      <c r="U91" s="12">
        <v>0.049689385</v>
      </c>
      <c r="V91" s="12">
        <v>0.888163116</v>
      </c>
    </row>
    <row r="92">
      <c r="A92" s="9" t="s">
        <v>217</v>
      </c>
      <c r="B92" s="9" t="s">
        <v>23</v>
      </c>
      <c r="C92" s="9" t="s">
        <v>218</v>
      </c>
      <c r="D92" s="9" t="s">
        <v>219</v>
      </c>
      <c r="E92" s="9" t="s">
        <v>35</v>
      </c>
      <c r="F92" s="10">
        <v>91.0</v>
      </c>
      <c r="G92" s="10"/>
      <c r="H92" s="10">
        <v>2.643978E7</v>
      </c>
      <c r="I92" s="10">
        <v>7099480.0</v>
      </c>
      <c r="J92" s="11">
        <v>0.2685150935446513</v>
      </c>
      <c r="K92" s="12">
        <v>4041.0</v>
      </c>
      <c r="L92" s="12" t="s">
        <v>36</v>
      </c>
      <c r="M92" s="13" t="str">
        <f>VLOOKUP($C92,'genotype metadata'!$C$2:$M$156,6,FALSE)</f>
        <v>#N/A</v>
      </c>
      <c r="N92" s="13" t="str">
        <f>VLOOKUP($C92,'genotype metadata'!$C$2:$M$156,7,FALSE)</f>
        <v>#N/A</v>
      </c>
      <c r="O92" s="13" t="str">
        <f>VLOOKUP($C92,'genotype metadata'!$C$2:$M$156,8,FALSE)</f>
        <v>#N/A</v>
      </c>
      <c r="P92" s="13" t="str">
        <f>VLOOKUP($C92,'genotype metadata'!$C$2:$M$156,9,FALSE)</f>
        <v>#N/A</v>
      </c>
      <c r="Q92" s="13" t="str">
        <f>VLOOKUP($C92,'genotype metadata'!$C$2:$M$156,10,FALSE)</f>
        <v>#N/A</v>
      </c>
      <c r="R92" s="13" t="str">
        <f>VLOOKUP($C92,'genotype metadata'!$C$2:$M$156,11,FALSE)</f>
        <v>#N/A</v>
      </c>
      <c r="S92" s="12">
        <v>0.125443063</v>
      </c>
      <c r="T92" s="12">
        <v>0.014452598</v>
      </c>
      <c r="U92" s="12">
        <v>0.079171035</v>
      </c>
      <c r="V92" s="12">
        <v>0.780933303</v>
      </c>
    </row>
    <row r="93">
      <c r="A93" s="9" t="s">
        <v>220</v>
      </c>
      <c r="B93" s="9" t="s">
        <v>23</v>
      </c>
      <c r="C93" s="9" t="s">
        <v>221</v>
      </c>
      <c r="D93" s="9" t="s">
        <v>221</v>
      </c>
      <c r="E93" s="9" t="s">
        <v>25</v>
      </c>
      <c r="F93" s="10">
        <v>92.0</v>
      </c>
      <c r="G93" s="10"/>
      <c r="H93" s="10">
        <v>1.9458483E7</v>
      </c>
      <c r="I93" s="10">
        <v>1.0014233E7</v>
      </c>
      <c r="J93" s="11">
        <v>0.5146461314584493</v>
      </c>
      <c r="K93" s="12">
        <v>2587.0</v>
      </c>
      <c r="L93" s="13"/>
      <c r="M93" s="13" t="str">
        <f>VLOOKUP($C93,'genotype metadata'!$C$2:$M$156,6,FALSE)</f>
        <v>H</v>
      </c>
      <c r="N93" s="13" t="str">
        <f>VLOOKUP($C93,'genotype metadata'!$C$2:$M$156,7,FALSE)</f>
        <v>Y</v>
      </c>
      <c r="O93" s="13">
        <f>VLOOKUP($C93,'genotype metadata'!$C$2:$M$156,8,FALSE)</f>
        <v>25.139367</v>
      </c>
      <c r="P93" s="13">
        <f>VLOOKUP($C93,'genotype metadata'!$C$2:$M$156,9,FALSE)</f>
        <v>-80.294017</v>
      </c>
      <c r="Q93" s="13" t="str">
        <f>VLOOKUP($C93,'genotype metadata'!$C$2:$M$156,10,FALSE)</f>
        <v>2015 batch</v>
      </c>
      <c r="R93" s="13" t="str">
        <f>VLOOKUP($C93,'genotype metadata'!$C$2:$M$156,11,FALSE)</f>
        <v>Margaret Miller</v>
      </c>
      <c r="S93" s="12">
        <v>0.057044609</v>
      </c>
      <c r="T93" s="12">
        <v>0.010083272</v>
      </c>
      <c r="U93" s="12">
        <v>0.156799164</v>
      </c>
      <c r="V93" s="12">
        <v>0.776072956</v>
      </c>
    </row>
    <row r="94">
      <c r="A94" s="9" t="s">
        <v>222</v>
      </c>
      <c r="B94" s="9" t="s">
        <v>23</v>
      </c>
      <c r="C94" s="9" t="s">
        <v>223</v>
      </c>
      <c r="D94" s="9" t="s">
        <v>223</v>
      </c>
      <c r="E94" s="9" t="s">
        <v>25</v>
      </c>
      <c r="F94" s="10">
        <v>93.0</v>
      </c>
      <c r="G94" s="10"/>
      <c r="H94" s="10">
        <v>2.0796685E7</v>
      </c>
      <c r="I94" s="10">
        <v>1.0838362E7</v>
      </c>
      <c r="J94" s="11">
        <v>0.5211581557349164</v>
      </c>
      <c r="K94" s="12">
        <v>2374.0</v>
      </c>
      <c r="L94" s="13"/>
      <c r="M94" s="13" t="str">
        <f>VLOOKUP($C94,'genotype metadata'!$C$2:$M$156,6,FALSE)</f>
        <v>#N/A</v>
      </c>
      <c r="N94" s="13" t="str">
        <f>VLOOKUP($C94,'genotype metadata'!$C$2:$M$156,7,FALSE)</f>
        <v>#N/A</v>
      </c>
      <c r="O94" s="13" t="str">
        <f>VLOOKUP($C94,'genotype metadata'!$C$2:$M$156,8,FALSE)</f>
        <v>#N/A</v>
      </c>
      <c r="P94" s="13" t="str">
        <f>VLOOKUP($C94,'genotype metadata'!$C$2:$M$156,9,FALSE)</f>
        <v>#N/A</v>
      </c>
      <c r="Q94" s="13" t="str">
        <f>VLOOKUP($C94,'genotype metadata'!$C$2:$M$156,10,FALSE)</f>
        <v>#N/A</v>
      </c>
      <c r="R94" s="13" t="str">
        <f>VLOOKUP($C94,'genotype metadata'!$C$2:$M$156,11,FALSE)</f>
        <v>#N/A</v>
      </c>
      <c r="S94" s="12">
        <v>0.078215819</v>
      </c>
      <c r="T94" s="12">
        <v>0.013838861</v>
      </c>
      <c r="U94" s="12">
        <v>0.106128534</v>
      </c>
      <c r="V94" s="12">
        <v>0.801816787</v>
      </c>
    </row>
    <row r="95">
      <c r="A95" s="9" t="s">
        <v>224</v>
      </c>
      <c r="B95" s="9" t="s">
        <v>23</v>
      </c>
      <c r="C95" s="9" t="s">
        <v>225</v>
      </c>
      <c r="D95" s="9" t="s">
        <v>225</v>
      </c>
      <c r="E95" s="9" t="s">
        <v>25</v>
      </c>
      <c r="F95" s="10">
        <v>94.0</v>
      </c>
      <c r="G95" s="10"/>
      <c r="H95" s="10">
        <v>2.8902594E7</v>
      </c>
      <c r="I95" s="10">
        <v>1.919698E7</v>
      </c>
      <c r="J95" s="11">
        <v>0.6641957465824694</v>
      </c>
      <c r="K95" s="12">
        <v>789.0</v>
      </c>
      <c r="L95" s="13"/>
      <c r="M95" s="13" t="str">
        <f>VLOOKUP($C95,'genotype metadata'!$C$2:$M$156,6,FALSE)</f>
        <v>H</v>
      </c>
      <c r="N95" s="13" t="str">
        <f>VLOOKUP($C95,'genotype metadata'!$C$2:$M$156,7,FALSE)</f>
        <v>N</v>
      </c>
      <c r="O95" s="13">
        <f>VLOOKUP($C95,'genotype metadata'!$C$2:$M$156,8,FALSE)</f>
        <v>25.139367</v>
      </c>
      <c r="P95" s="13">
        <f>VLOOKUP($C95,'genotype metadata'!$C$2:$M$156,9,FALSE)</f>
        <v>-80.294017</v>
      </c>
      <c r="Q95" s="13" t="str">
        <f>VLOOKUP($C95,'genotype metadata'!$C$2:$M$156,10,FALSE)</f>
        <v>2015 batch</v>
      </c>
      <c r="R95" s="13" t="str">
        <f>VLOOKUP($C95,'genotype metadata'!$C$2:$M$156,11,FALSE)</f>
        <v>Margaret Miller</v>
      </c>
      <c r="S95" s="12">
        <v>0.094473692</v>
      </c>
      <c r="T95" s="12">
        <v>0.01275684</v>
      </c>
      <c r="U95" s="12">
        <v>0.11326839</v>
      </c>
      <c r="V95" s="12">
        <v>0.779501078</v>
      </c>
    </row>
    <row r="96">
      <c r="A96" s="9" t="s">
        <v>226</v>
      </c>
      <c r="B96" s="9" t="s">
        <v>23</v>
      </c>
      <c r="C96" s="9" t="s">
        <v>227</v>
      </c>
      <c r="D96" s="9" t="s">
        <v>227</v>
      </c>
      <c r="E96" s="9" t="s">
        <v>25</v>
      </c>
      <c r="F96" s="10">
        <v>95.0</v>
      </c>
      <c r="G96" s="10"/>
      <c r="H96" s="10">
        <v>2.5823278E7</v>
      </c>
      <c r="I96" s="10">
        <v>1.1449484E7</v>
      </c>
      <c r="J96" s="11">
        <v>0.4433784122991667</v>
      </c>
      <c r="K96" s="12">
        <v>2299.0</v>
      </c>
      <c r="L96" s="13"/>
      <c r="M96" s="13" t="str">
        <f>VLOOKUP($C96,'genotype metadata'!$C$2:$M$156,6,FALSE)</f>
        <v>H</v>
      </c>
      <c r="N96" s="13" t="str">
        <f>VLOOKUP($C96,'genotype metadata'!$C$2:$M$156,7,FALSE)</f>
        <v>N</v>
      </c>
      <c r="O96" s="13">
        <f>VLOOKUP($C96,'genotype metadata'!$C$2:$M$156,8,FALSE)</f>
        <v>25.139367</v>
      </c>
      <c r="P96" s="13">
        <f>VLOOKUP($C96,'genotype metadata'!$C$2:$M$156,9,FALSE)</f>
        <v>-80.294017</v>
      </c>
      <c r="Q96" s="13" t="str">
        <f>VLOOKUP($C96,'genotype metadata'!$C$2:$M$156,10,FALSE)</f>
        <v>2015 batch</v>
      </c>
      <c r="R96" s="13" t="str">
        <f>VLOOKUP($C96,'genotype metadata'!$C$2:$M$156,11,FALSE)</f>
        <v>Margaret Miller</v>
      </c>
      <c r="S96" s="12">
        <v>0.07942582</v>
      </c>
      <c r="T96" s="12">
        <v>0.01733319</v>
      </c>
      <c r="U96" s="12">
        <v>0.20775035</v>
      </c>
      <c r="V96" s="12">
        <v>0.69549064</v>
      </c>
    </row>
    <row r="97">
      <c r="A97" s="9" t="s">
        <v>228</v>
      </c>
      <c r="B97" s="9" t="s">
        <v>23</v>
      </c>
      <c r="C97" s="9" t="s">
        <v>229</v>
      </c>
      <c r="D97" s="9" t="s">
        <v>229</v>
      </c>
      <c r="E97" s="9" t="s">
        <v>25</v>
      </c>
      <c r="F97" s="10">
        <v>96.0</v>
      </c>
      <c r="G97" s="10"/>
      <c r="H97" s="10">
        <v>2.6631561E7</v>
      </c>
      <c r="I97" s="10">
        <v>2.0819534E7</v>
      </c>
      <c r="J97" s="11">
        <v>0.7817616849421631</v>
      </c>
      <c r="K97" s="12">
        <v>756.0</v>
      </c>
      <c r="L97" s="13"/>
      <c r="M97" s="13" t="str">
        <f>VLOOKUP($C97,'genotype metadata'!$C$2:$M$156,6,FALSE)</f>
        <v>H</v>
      </c>
      <c r="N97" s="13" t="str">
        <f>VLOOKUP($C97,'genotype metadata'!$C$2:$M$156,7,FALSE)</f>
        <v>N</v>
      </c>
      <c r="O97" s="13">
        <f>VLOOKUP($C97,'genotype metadata'!$C$2:$M$156,8,FALSE)</f>
        <v>25.139367</v>
      </c>
      <c r="P97" s="13">
        <f>VLOOKUP($C97,'genotype metadata'!$C$2:$M$156,9,FALSE)</f>
        <v>-80.294017</v>
      </c>
      <c r="Q97" s="13" t="str">
        <f>VLOOKUP($C97,'genotype metadata'!$C$2:$M$156,10,FALSE)</f>
        <v>2015 batch</v>
      </c>
      <c r="R97" s="13" t="str">
        <f>VLOOKUP($C97,'genotype metadata'!$C$2:$M$156,11,FALSE)</f>
        <v>Margaret Miller</v>
      </c>
      <c r="S97" s="12">
        <v>0.117935654</v>
      </c>
      <c r="T97" s="12">
        <v>0.032453978</v>
      </c>
      <c r="U97" s="12">
        <v>0.093468038</v>
      </c>
      <c r="V97" s="12">
        <v>0.756142331</v>
      </c>
    </row>
    <row r="98">
      <c r="A98" s="9" t="s">
        <v>230</v>
      </c>
      <c r="B98" s="9" t="s">
        <v>23</v>
      </c>
      <c r="C98" s="9" t="s">
        <v>231</v>
      </c>
      <c r="D98" s="9" t="s">
        <v>231</v>
      </c>
      <c r="E98" s="9" t="s">
        <v>25</v>
      </c>
      <c r="F98" s="10">
        <v>97.0</v>
      </c>
      <c r="G98" s="10"/>
      <c r="H98" s="10">
        <v>2.5318967E7</v>
      </c>
      <c r="I98" s="10">
        <v>1.1690937E7</v>
      </c>
      <c r="J98" s="11">
        <v>0.4617462078922888</v>
      </c>
      <c r="K98" s="12">
        <v>1942.0</v>
      </c>
      <c r="L98" s="13"/>
      <c r="M98" s="13" t="str">
        <f>VLOOKUP($C98,'genotype metadata'!$C$2:$M$156,6,FALSE)</f>
        <v>H</v>
      </c>
      <c r="N98" s="13" t="str">
        <f>VLOOKUP($C98,'genotype metadata'!$C$2:$M$156,7,FALSE)</f>
        <v>N</v>
      </c>
      <c r="O98" s="13">
        <f>VLOOKUP($C98,'genotype metadata'!$C$2:$M$156,8,FALSE)</f>
        <v>25.139367</v>
      </c>
      <c r="P98" s="13">
        <f>VLOOKUP($C98,'genotype metadata'!$C$2:$M$156,9,FALSE)</f>
        <v>-80.294017</v>
      </c>
      <c r="Q98" s="13" t="str">
        <f>VLOOKUP($C98,'genotype metadata'!$C$2:$M$156,10,FALSE)</f>
        <v>2015 batch</v>
      </c>
      <c r="R98" s="13" t="str">
        <f>VLOOKUP($C98,'genotype metadata'!$C$2:$M$156,11,FALSE)</f>
        <v>Margaret Miller</v>
      </c>
      <c r="S98" s="12">
        <v>0.081343917</v>
      </c>
      <c r="T98" s="12">
        <v>0.011301938</v>
      </c>
      <c r="U98" s="12">
        <v>0.123063464</v>
      </c>
      <c r="V98" s="12">
        <v>0.784290681</v>
      </c>
    </row>
    <row r="99">
      <c r="A99" s="9" t="s">
        <v>232</v>
      </c>
      <c r="B99" s="9" t="s">
        <v>23</v>
      </c>
      <c r="C99" s="9" t="s">
        <v>95</v>
      </c>
      <c r="D99" s="9" t="s">
        <v>95</v>
      </c>
      <c r="E99" s="9" t="s">
        <v>25</v>
      </c>
      <c r="F99" s="10">
        <v>98.0</v>
      </c>
      <c r="G99" s="10"/>
      <c r="H99" s="10">
        <v>2.0693463E7</v>
      </c>
      <c r="I99" s="10">
        <v>1.5679687E7</v>
      </c>
      <c r="J99" s="11">
        <v>0.7577120852126104</v>
      </c>
      <c r="K99" s="12">
        <v>1186.0</v>
      </c>
      <c r="L99" s="13"/>
      <c r="M99" s="13" t="str">
        <f>VLOOKUP($C99,'genotype metadata'!$C$2:$M$156,6,FALSE)</f>
        <v>H</v>
      </c>
      <c r="N99" s="13" t="str">
        <f>VLOOKUP($C99,'genotype metadata'!$C$2:$M$156,7,FALSE)</f>
        <v>N</v>
      </c>
      <c r="O99" s="13">
        <f>VLOOKUP($C99,'genotype metadata'!$C$2:$M$156,8,FALSE)</f>
        <v>25.139367</v>
      </c>
      <c r="P99" s="13">
        <f>VLOOKUP($C99,'genotype metadata'!$C$2:$M$156,9,FALSE)</f>
        <v>-80.294017</v>
      </c>
      <c r="Q99" s="13">
        <f>VLOOKUP($C99,'genotype metadata'!$C$2:$M$156,10,FALSE)</f>
        <v>2015</v>
      </c>
      <c r="R99" s="13" t="str">
        <f>VLOOKUP($C99,'genotype metadata'!$C$2:$M$156,11,FALSE)</f>
        <v>Margaret Miller</v>
      </c>
      <c r="S99" s="12">
        <v>0.098776154</v>
      </c>
      <c r="T99" s="12">
        <v>0.015757267</v>
      </c>
      <c r="U99" s="12">
        <v>0.105798794</v>
      </c>
      <c r="V99" s="12">
        <v>0.779667785</v>
      </c>
    </row>
    <row r="100">
      <c r="A100" s="9" t="s">
        <v>233</v>
      </c>
      <c r="B100" s="9" t="s">
        <v>23</v>
      </c>
      <c r="C100" s="14" t="s">
        <v>234</v>
      </c>
      <c r="D100" s="14" t="s">
        <v>234</v>
      </c>
      <c r="E100" s="9" t="s">
        <v>25</v>
      </c>
      <c r="F100" s="10">
        <v>99.0</v>
      </c>
      <c r="G100" s="10"/>
      <c r="H100" s="10">
        <v>2.5819395E7</v>
      </c>
      <c r="I100" s="10">
        <v>1.7209955E7</v>
      </c>
      <c r="J100" s="11">
        <v>0.6665514432077126</v>
      </c>
      <c r="K100" s="12">
        <v>20121.0</v>
      </c>
      <c r="L100" s="13"/>
      <c r="M100" s="13" t="str">
        <f>VLOOKUP($C100,'genotype metadata'!$C$2:$M$156,6,FALSE)</f>
        <v>#N/A</v>
      </c>
      <c r="N100" s="13" t="str">
        <f>VLOOKUP($C100,'genotype metadata'!$C$2:$M$156,7,FALSE)</f>
        <v>#N/A</v>
      </c>
      <c r="O100" s="13" t="str">
        <f>VLOOKUP($C100,'genotype metadata'!$C$2:$M$156,8,FALSE)</f>
        <v>#N/A</v>
      </c>
      <c r="P100" s="13" t="str">
        <f>VLOOKUP($C100,'genotype metadata'!$C$2:$M$156,9,FALSE)</f>
        <v>#N/A</v>
      </c>
      <c r="Q100" s="13" t="str">
        <f>VLOOKUP($C100,'genotype metadata'!$C$2:$M$156,10,FALSE)</f>
        <v>#N/A</v>
      </c>
      <c r="R100" s="13" t="str">
        <f>VLOOKUP($C100,'genotype metadata'!$C$2:$M$156,11,FALSE)</f>
        <v>#N/A</v>
      </c>
      <c r="S100" s="12">
        <v>0.19787519</v>
      </c>
      <c r="T100" s="12">
        <v>0.032270443</v>
      </c>
      <c r="U100" s="12">
        <v>0.247476348</v>
      </c>
      <c r="V100" s="12">
        <v>0.522378019</v>
      </c>
    </row>
    <row r="101">
      <c r="A101" s="9" t="s">
        <v>235</v>
      </c>
      <c r="B101" s="9" t="s">
        <v>23</v>
      </c>
      <c r="C101" s="9" t="s">
        <v>236</v>
      </c>
      <c r="D101" s="9" t="s">
        <v>236</v>
      </c>
      <c r="E101" s="9" t="s">
        <v>25</v>
      </c>
      <c r="F101" s="10">
        <v>100.0</v>
      </c>
      <c r="G101" s="10"/>
      <c r="H101" s="10">
        <v>2.6366235E7</v>
      </c>
      <c r="I101" s="10">
        <v>2.0565702E7</v>
      </c>
      <c r="J101" s="11">
        <v>0.7800014677863563</v>
      </c>
      <c r="K101" s="12">
        <v>792.0</v>
      </c>
      <c r="L101" s="13"/>
      <c r="M101" s="13" t="str">
        <f>VLOOKUP($C101,'genotype metadata'!$C$2:$M$156,6,FALSE)</f>
        <v>H</v>
      </c>
      <c r="N101" s="13" t="str">
        <f>VLOOKUP($C101,'genotype metadata'!$C$2:$M$156,7,FALSE)</f>
        <v>N</v>
      </c>
      <c r="O101" s="13">
        <f>VLOOKUP($C101,'genotype metadata'!$C$2:$M$156,8,FALSE)</f>
        <v>25.139367</v>
      </c>
      <c r="P101" s="13">
        <f>VLOOKUP($C101,'genotype metadata'!$C$2:$M$156,9,FALSE)</f>
        <v>-80.294017</v>
      </c>
      <c r="Q101" s="13" t="str">
        <f>VLOOKUP($C101,'genotype metadata'!$C$2:$M$156,10,FALSE)</f>
        <v>2015 batch</v>
      </c>
      <c r="R101" s="13" t="str">
        <f>VLOOKUP($C101,'genotype metadata'!$C$2:$M$156,11,FALSE)</f>
        <v>Margaret Miller</v>
      </c>
      <c r="S101" s="12">
        <v>0.060086443</v>
      </c>
      <c r="T101" s="12">
        <v>0.009990292</v>
      </c>
      <c r="U101" s="12">
        <v>0.06544836</v>
      </c>
      <c r="V101" s="12">
        <v>0.864474904</v>
      </c>
    </row>
    <row r="102">
      <c r="A102" s="9" t="s">
        <v>237</v>
      </c>
      <c r="B102" s="9" t="s">
        <v>23</v>
      </c>
      <c r="C102" s="9" t="s">
        <v>238</v>
      </c>
      <c r="D102" s="9" t="s">
        <v>44</v>
      </c>
      <c r="E102" s="9" t="s">
        <v>25</v>
      </c>
      <c r="F102" s="10">
        <v>101.0</v>
      </c>
      <c r="G102" s="10"/>
      <c r="H102" s="10">
        <v>2.891715E7</v>
      </c>
      <c r="I102" s="10">
        <v>2.3422132E7</v>
      </c>
      <c r="J102" s="11">
        <v>0.8099737353093234</v>
      </c>
      <c r="K102" s="12">
        <v>572.0</v>
      </c>
      <c r="L102" s="13"/>
      <c r="M102" s="13" t="str">
        <f>VLOOKUP($C102,'genotype metadata'!$C$2:$M$156,6,FALSE)</f>
        <v>H</v>
      </c>
      <c r="N102" s="13" t="str">
        <f>VLOOKUP($C102,'genotype metadata'!$C$2:$M$156,7,FALSE)</f>
        <v>N</v>
      </c>
      <c r="O102" s="13">
        <f>VLOOKUP($C102,'genotype metadata'!$C$2:$M$156,8,FALSE)</f>
        <v>25.139367</v>
      </c>
      <c r="P102" s="13">
        <f>VLOOKUP($C102,'genotype metadata'!$C$2:$M$156,9,FALSE)</f>
        <v>-80.294017</v>
      </c>
      <c r="Q102" s="13" t="str">
        <f>VLOOKUP($C102,'genotype metadata'!$C$2:$M$156,10,FALSE)</f>
        <v>2015 batch</v>
      </c>
      <c r="R102" s="13" t="str">
        <f>VLOOKUP($C102,'genotype metadata'!$C$2:$M$156,11,FALSE)</f>
        <v>Margaret Miller</v>
      </c>
      <c r="S102" s="12">
        <v>0.068425846</v>
      </c>
      <c r="T102" s="12">
        <v>0.017315435</v>
      </c>
      <c r="U102" s="12">
        <v>0.079638063</v>
      </c>
      <c r="V102" s="12">
        <v>0.834620656</v>
      </c>
    </row>
    <row r="103">
      <c r="A103" s="9" t="s">
        <v>239</v>
      </c>
      <c r="B103" s="9" t="s">
        <v>23</v>
      </c>
      <c r="C103" s="9" t="s">
        <v>240</v>
      </c>
      <c r="D103" s="9" t="s">
        <v>240</v>
      </c>
      <c r="E103" s="9" t="s">
        <v>25</v>
      </c>
      <c r="F103" s="10">
        <v>102.0</v>
      </c>
      <c r="G103" s="10"/>
      <c r="H103" s="10">
        <v>2.45295E7</v>
      </c>
      <c r="I103" s="10">
        <v>1.9812354E7</v>
      </c>
      <c r="J103" s="11">
        <v>0.8076949795144622</v>
      </c>
      <c r="K103" s="12">
        <v>692.0</v>
      </c>
      <c r="L103" s="13"/>
      <c r="M103" s="13" t="str">
        <f>VLOOKUP($C103,'genotype metadata'!$C$2:$M$156,6,FALSE)</f>
        <v>H</v>
      </c>
      <c r="N103" s="13" t="str">
        <f>VLOOKUP($C103,'genotype metadata'!$C$2:$M$156,7,FALSE)</f>
        <v>Y</v>
      </c>
      <c r="O103" s="13">
        <f>VLOOKUP($C103,'genotype metadata'!$C$2:$M$156,8,FALSE)</f>
        <v>25.139367</v>
      </c>
      <c r="P103" s="13">
        <f>VLOOKUP($C103,'genotype metadata'!$C$2:$M$156,9,FALSE)</f>
        <v>-80.294017</v>
      </c>
      <c r="Q103" s="13">
        <f>VLOOKUP($C103,'genotype metadata'!$C$2:$M$156,10,FALSE)</f>
        <v>2015</v>
      </c>
      <c r="R103" s="13" t="str">
        <f>VLOOKUP($C103,'genotype metadata'!$C$2:$M$156,11,FALSE)</f>
        <v>Margaret Miller</v>
      </c>
      <c r="S103" s="12">
        <v>0.035367318</v>
      </c>
      <c r="T103" s="12">
        <v>0.005706164</v>
      </c>
      <c r="U103" s="12">
        <v>0.035180668</v>
      </c>
      <c r="V103" s="12">
        <v>0.92374585</v>
      </c>
    </row>
    <row r="104">
      <c r="A104" s="9" t="s">
        <v>241</v>
      </c>
      <c r="B104" s="9" t="s">
        <v>23</v>
      </c>
      <c r="C104" s="9" t="s">
        <v>242</v>
      </c>
      <c r="D104" s="9" t="s">
        <v>242</v>
      </c>
      <c r="E104" s="9" t="s">
        <v>25</v>
      </c>
      <c r="F104" s="10">
        <v>103.0</v>
      </c>
      <c r="G104" s="10"/>
      <c r="H104" s="10">
        <v>2.5632545E7</v>
      </c>
      <c r="I104" s="10">
        <v>2.0646747E7</v>
      </c>
      <c r="J104" s="11">
        <v>0.8054895446394418</v>
      </c>
      <c r="K104" s="12">
        <v>748.0</v>
      </c>
      <c r="L104" s="13"/>
      <c r="M104" s="13" t="str">
        <f>VLOOKUP($C104,'genotype metadata'!$C$2:$M$156,6,FALSE)</f>
        <v>H</v>
      </c>
      <c r="N104" s="13" t="str">
        <f>VLOOKUP($C104,'genotype metadata'!$C$2:$M$156,7,FALSE)</f>
        <v>Y</v>
      </c>
      <c r="O104" s="13">
        <f>VLOOKUP($C104,'genotype metadata'!$C$2:$M$156,8,FALSE)</f>
        <v>25.139367</v>
      </c>
      <c r="P104" s="13">
        <f>VLOOKUP($C104,'genotype metadata'!$C$2:$M$156,9,FALSE)</f>
        <v>-80.294017</v>
      </c>
      <c r="Q104" s="13">
        <f>VLOOKUP($C104,'genotype metadata'!$C$2:$M$156,10,FALSE)</f>
        <v>2015</v>
      </c>
      <c r="R104" s="13" t="str">
        <f>VLOOKUP($C104,'genotype metadata'!$C$2:$M$156,11,FALSE)</f>
        <v>Margaret Miller</v>
      </c>
      <c r="S104" s="12">
        <v>0.045782882</v>
      </c>
      <c r="T104" s="12">
        <v>0.007046622</v>
      </c>
      <c r="U104" s="12">
        <v>0.041924609</v>
      </c>
      <c r="V104" s="12">
        <v>0.905245887</v>
      </c>
    </row>
    <row r="105">
      <c r="A105" s="9" t="s">
        <v>243</v>
      </c>
      <c r="B105" s="9" t="s">
        <v>23</v>
      </c>
      <c r="C105" s="9" t="s">
        <v>244</v>
      </c>
      <c r="D105" s="9" t="s">
        <v>244</v>
      </c>
      <c r="E105" s="9" t="s">
        <v>25</v>
      </c>
      <c r="F105" s="10">
        <v>104.0</v>
      </c>
      <c r="G105" s="10"/>
      <c r="H105" s="10">
        <v>2.5204447E7</v>
      </c>
      <c r="I105" s="10">
        <v>1.8814825E7</v>
      </c>
      <c r="J105" s="11">
        <v>0.746488308194185</v>
      </c>
      <c r="K105" s="12">
        <v>733.0</v>
      </c>
      <c r="L105" s="13"/>
      <c r="M105" s="13" t="str">
        <f>VLOOKUP($C105,'genotype metadata'!$C$2:$M$156,6,FALSE)</f>
        <v>H</v>
      </c>
      <c r="N105" s="13" t="str">
        <f>VLOOKUP($C105,'genotype metadata'!$C$2:$M$156,7,FALSE)</f>
        <v>N</v>
      </c>
      <c r="O105" s="13">
        <f>VLOOKUP($C105,'genotype metadata'!$C$2:$M$156,8,FALSE)</f>
        <v>25.139367</v>
      </c>
      <c r="P105" s="13">
        <f>VLOOKUP($C105,'genotype metadata'!$C$2:$M$156,9,FALSE)</f>
        <v>-80.294017</v>
      </c>
      <c r="Q105" s="13" t="str">
        <f>VLOOKUP($C105,'genotype metadata'!$C$2:$M$156,10,FALSE)</f>
        <v>2015 batch</v>
      </c>
      <c r="R105" s="13" t="str">
        <f>VLOOKUP($C105,'genotype metadata'!$C$2:$M$156,11,FALSE)</f>
        <v>Margaret Miller</v>
      </c>
      <c r="S105" s="12">
        <v>0.066995917</v>
      </c>
      <c r="T105" s="12">
        <v>0.011036481</v>
      </c>
      <c r="U105" s="12">
        <v>0.08935862</v>
      </c>
      <c r="V105" s="12">
        <v>0.832608982</v>
      </c>
    </row>
    <row r="106">
      <c r="A106" s="9" t="s">
        <v>245</v>
      </c>
      <c r="B106" s="9" t="s">
        <v>23</v>
      </c>
      <c r="C106" s="9" t="s">
        <v>246</v>
      </c>
      <c r="D106" s="9" t="s">
        <v>246</v>
      </c>
      <c r="E106" s="9" t="s">
        <v>25</v>
      </c>
      <c r="F106" s="10">
        <v>105.0</v>
      </c>
      <c r="G106" s="10"/>
      <c r="H106" s="10">
        <v>1.9727788E7</v>
      </c>
      <c r="I106" s="10">
        <v>6161000.0</v>
      </c>
      <c r="J106" s="11">
        <v>0.3123005985263021</v>
      </c>
      <c r="K106" s="12">
        <v>4546.0</v>
      </c>
      <c r="L106" s="13"/>
      <c r="M106" s="13" t="str">
        <f>VLOOKUP($C106,'genotype metadata'!$C$2:$M$156,6,FALSE)</f>
        <v>#N/A</v>
      </c>
      <c r="N106" s="13" t="str">
        <f>VLOOKUP($C106,'genotype metadata'!$C$2:$M$156,7,FALSE)</f>
        <v>#N/A</v>
      </c>
      <c r="O106" s="13" t="str">
        <f>VLOOKUP($C106,'genotype metadata'!$C$2:$M$156,8,FALSE)</f>
        <v>#N/A</v>
      </c>
      <c r="P106" s="13" t="str">
        <f>VLOOKUP($C106,'genotype metadata'!$C$2:$M$156,9,FALSE)</f>
        <v>#N/A</v>
      </c>
      <c r="Q106" s="13" t="str">
        <f>VLOOKUP($C106,'genotype metadata'!$C$2:$M$156,10,FALSE)</f>
        <v>#N/A</v>
      </c>
      <c r="R106" s="13" t="str">
        <f>VLOOKUP($C106,'genotype metadata'!$C$2:$M$156,11,FALSE)</f>
        <v>#N/A</v>
      </c>
      <c r="S106" s="12">
        <v>0.173647278</v>
      </c>
      <c r="T106" s="12">
        <v>0.023015986</v>
      </c>
      <c r="U106" s="12">
        <v>0.165415283</v>
      </c>
      <c r="V106" s="12">
        <v>0.637921454</v>
      </c>
    </row>
    <row r="107">
      <c r="A107" s="9" t="s">
        <v>247</v>
      </c>
      <c r="B107" s="9" t="s">
        <v>23</v>
      </c>
      <c r="C107" s="9" t="s">
        <v>248</v>
      </c>
      <c r="D107" s="9" t="s">
        <v>248</v>
      </c>
      <c r="E107" s="9" t="s">
        <v>25</v>
      </c>
      <c r="F107" s="10">
        <v>106.0</v>
      </c>
      <c r="G107" s="10"/>
      <c r="H107" s="10">
        <v>2.8068398E7</v>
      </c>
      <c r="I107" s="10">
        <v>1.7524695E7</v>
      </c>
      <c r="J107" s="11">
        <v>0.6243567944276691</v>
      </c>
      <c r="K107" s="12">
        <v>819.0</v>
      </c>
      <c r="L107" s="13"/>
      <c r="M107" s="13" t="str">
        <f>VLOOKUP($C107,'genotype metadata'!$C$2:$M$156,6,FALSE)</f>
        <v>#N/A</v>
      </c>
      <c r="N107" s="13" t="str">
        <f>VLOOKUP($C107,'genotype metadata'!$C$2:$M$156,7,FALSE)</f>
        <v>#N/A</v>
      </c>
      <c r="O107" s="13" t="str">
        <f>VLOOKUP($C107,'genotype metadata'!$C$2:$M$156,8,FALSE)</f>
        <v>#N/A</v>
      </c>
      <c r="P107" s="13" t="str">
        <f>VLOOKUP($C107,'genotype metadata'!$C$2:$M$156,9,FALSE)</f>
        <v>#N/A</v>
      </c>
      <c r="Q107" s="13" t="str">
        <f>VLOOKUP($C107,'genotype metadata'!$C$2:$M$156,10,FALSE)</f>
        <v>#N/A</v>
      </c>
      <c r="R107" s="13" t="str">
        <f>VLOOKUP($C107,'genotype metadata'!$C$2:$M$156,11,FALSE)</f>
        <v>#N/A</v>
      </c>
      <c r="S107" s="12">
        <v>0.003467499</v>
      </c>
      <c r="T107" s="12">
        <v>0.001148047</v>
      </c>
      <c r="U107" s="12">
        <v>0.003324163</v>
      </c>
      <c r="V107" s="12">
        <v>0.992060291</v>
      </c>
    </row>
    <row r="108">
      <c r="A108" s="9" t="s">
        <v>249</v>
      </c>
      <c r="B108" s="9" t="s">
        <v>23</v>
      </c>
      <c r="C108" s="9" t="s">
        <v>250</v>
      </c>
      <c r="D108" s="9" t="s">
        <v>250</v>
      </c>
      <c r="E108" s="9" t="s">
        <v>25</v>
      </c>
      <c r="F108" s="10">
        <v>107.0</v>
      </c>
      <c r="G108" s="10"/>
      <c r="H108" s="10">
        <v>2.6637253E7</v>
      </c>
      <c r="I108" s="10">
        <v>1.700733E7</v>
      </c>
      <c r="J108" s="11">
        <v>0.6384791254563674</v>
      </c>
      <c r="K108" s="12">
        <v>1001.0</v>
      </c>
      <c r="L108" s="13"/>
      <c r="M108" s="13" t="str">
        <f>VLOOKUP($C108,'genotype metadata'!$C$2:$M$156,6,FALSE)</f>
        <v>#N/A</v>
      </c>
      <c r="N108" s="13" t="str">
        <f>VLOOKUP($C108,'genotype metadata'!$C$2:$M$156,7,FALSE)</f>
        <v>#N/A</v>
      </c>
      <c r="O108" s="13" t="str">
        <f>VLOOKUP($C108,'genotype metadata'!$C$2:$M$156,8,FALSE)</f>
        <v>#N/A</v>
      </c>
      <c r="P108" s="13" t="str">
        <f>VLOOKUP($C108,'genotype metadata'!$C$2:$M$156,9,FALSE)</f>
        <v>#N/A</v>
      </c>
      <c r="Q108" s="13" t="str">
        <f>VLOOKUP($C108,'genotype metadata'!$C$2:$M$156,10,FALSE)</f>
        <v>#N/A</v>
      </c>
      <c r="R108" s="13" t="str">
        <f>VLOOKUP($C108,'genotype metadata'!$C$2:$M$156,11,FALSE)</f>
        <v>#N/A</v>
      </c>
      <c r="S108" s="12">
        <v>0.004237414</v>
      </c>
      <c r="T108" s="12">
        <v>0.001219287</v>
      </c>
      <c r="U108" s="12">
        <v>0.003717416</v>
      </c>
      <c r="V108" s="12">
        <v>0.990825882</v>
      </c>
    </row>
    <row r="109">
      <c r="A109" s="9" t="s">
        <v>251</v>
      </c>
      <c r="B109" s="9" t="s">
        <v>23</v>
      </c>
      <c r="C109" s="9" t="s">
        <v>252</v>
      </c>
      <c r="D109" s="9" t="s">
        <v>252</v>
      </c>
      <c r="E109" s="9" t="s">
        <v>25</v>
      </c>
      <c r="F109" s="10">
        <v>108.0</v>
      </c>
      <c r="G109" s="10"/>
      <c r="H109" s="10">
        <v>2.4339542E7</v>
      </c>
      <c r="I109" s="10">
        <v>2.0105567E7</v>
      </c>
      <c r="J109" s="11">
        <v>0.826045412029528</v>
      </c>
      <c r="K109" s="12">
        <v>824.0</v>
      </c>
      <c r="L109" s="13"/>
      <c r="M109" s="13" t="str">
        <f>VLOOKUP($C109,'genotype metadata'!$C$2:$M$156,6,FALSE)</f>
        <v>#N/A</v>
      </c>
      <c r="N109" s="13" t="str">
        <f>VLOOKUP($C109,'genotype metadata'!$C$2:$M$156,7,FALSE)</f>
        <v>#N/A</v>
      </c>
      <c r="O109" s="13" t="str">
        <f>VLOOKUP($C109,'genotype metadata'!$C$2:$M$156,8,FALSE)</f>
        <v>#N/A</v>
      </c>
      <c r="P109" s="13" t="str">
        <f>VLOOKUP($C109,'genotype metadata'!$C$2:$M$156,9,FALSE)</f>
        <v>#N/A</v>
      </c>
      <c r="Q109" s="13" t="str">
        <f>VLOOKUP($C109,'genotype metadata'!$C$2:$M$156,10,FALSE)</f>
        <v>#N/A</v>
      </c>
      <c r="R109" s="13" t="str">
        <f>VLOOKUP($C109,'genotype metadata'!$C$2:$M$156,11,FALSE)</f>
        <v>#N/A</v>
      </c>
      <c r="S109" s="12">
        <v>0.034726205</v>
      </c>
      <c r="T109" s="12">
        <v>0.004581245</v>
      </c>
      <c r="U109" s="12">
        <v>0.026859566</v>
      </c>
      <c r="V109" s="12">
        <v>0.933832984</v>
      </c>
    </row>
    <row r="110">
      <c r="A110" s="9" t="s">
        <v>253</v>
      </c>
      <c r="B110" s="9" t="s">
        <v>23</v>
      </c>
      <c r="C110" s="9" t="s">
        <v>254</v>
      </c>
      <c r="D110" s="9" t="s">
        <v>254</v>
      </c>
      <c r="E110" s="9" t="s">
        <v>25</v>
      </c>
      <c r="F110" s="10">
        <v>109.0</v>
      </c>
      <c r="G110" s="10"/>
      <c r="H110" s="10">
        <v>2.439269E7</v>
      </c>
      <c r="I110" s="10">
        <v>1.8371865E7</v>
      </c>
      <c r="J110" s="11">
        <v>0.7531709294874817</v>
      </c>
      <c r="K110" s="12">
        <v>715.0</v>
      </c>
      <c r="L110" s="13"/>
      <c r="M110" s="13" t="str">
        <f>VLOOKUP($C110,'genotype metadata'!$C$2:$M$156,6,FALSE)</f>
        <v>#N/A</v>
      </c>
      <c r="N110" s="13" t="str">
        <f>VLOOKUP($C110,'genotype metadata'!$C$2:$M$156,7,FALSE)</f>
        <v>#N/A</v>
      </c>
      <c r="O110" s="13" t="str">
        <f>VLOOKUP($C110,'genotype metadata'!$C$2:$M$156,8,FALSE)</f>
        <v>#N/A</v>
      </c>
      <c r="P110" s="13" t="str">
        <f>VLOOKUP($C110,'genotype metadata'!$C$2:$M$156,9,FALSE)</f>
        <v>#N/A</v>
      </c>
      <c r="Q110" s="13" t="str">
        <f>VLOOKUP($C110,'genotype metadata'!$C$2:$M$156,10,FALSE)</f>
        <v>#N/A</v>
      </c>
      <c r="R110" s="13" t="str">
        <f>VLOOKUP($C110,'genotype metadata'!$C$2:$M$156,11,FALSE)</f>
        <v>#N/A</v>
      </c>
      <c r="S110" s="12">
        <v>0.106953515</v>
      </c>
      <c r="T110" s="12">
        <v>0.015456406</v>
      </c>
      <c r="U110" s="12">
        <v>0.119574378</v>
      </c>
      <c r="V110" s="12">
        <v>0.758015701</v>
      </c>
    </row>
    <row r="111">
      <c r="A111" s="9" t="s">
        <v>255</v>
      </c>
      <c r="B111" s="9" t="s">
        <v>23</v>
      </c>
      <c r="C111" s="9" t="s">
        <v>256</v>
      </c>
      <c r="D111" s="9" t="s">
        <v>256</v>
      </c>
      <c r="E111" s="9" t="s">
        <v>25</v>
      </c>
      <c r="F111" s="10">
        <v>110.0</v>
      </c>
      <c r="G111" s="10"/>
      <c r="H111" s="10">
        <v>2.581683E7</v>
      </c>
      <c r="I111" s="10">
        <v>1.8432196E7</v>
      </c>
      <c r="J111" s="11">
        <v>0.7139604668737409</v>
      </c>
      <c r="K111" s="12">
        <v>825.0</v>
      </c>
      <c r="L111" s="13"/>
      <c r="M111" s="13" t="str">
        <f>VLOOKUP($C111,'genotype metadata'!$C$2:$M$156,6,FALSE)</f>
        <v>#N/A</v>
      </c>
      <c r="N111" s="13" t="str">
        <f>VLOOKUP($C111,'genotype metadata'!$C$2:$M$156,7,FALSE)</f>
        <v>#N/A</v>
      </c>
      <c r="O111" s="13" t="str">
        <f>VLOOKUP($C111,'genotype metadata'!$C$2:$M$156,8,FALSE)</f>
        <v>#N/A</v>
      </c>
      <c r="P111" s="13" t="str">
        <f>VLOOKUP($C111,'genotype metadata'!$C$2:$M$156,9,FALSE)</f>
        <v>#N/A</v>
      </c>
      <c r="Q111" s="13" t="str">
        <f>VLOOKUP($C111,'genotype metadata'!$C$2:$M$156,10,FALSE)</f>
        <v>#N/A</v>
      </c>
      <c r="R111" s="13" t="str">
        <f>VLOOKUP($C111,'genotype metadata'!$C$2:$M$156,11,FALSE)</f>
        <v>#N/A</v>
      </c>
      <c r="S111" s="12">
        <v>0.004355206</v>
      </c>
      <c r="T111" s="12">
        <v>0.001229004</v>
      </c>
      <c r="U111" s="12">
        <v>0.003495704</v>
      </c>
      <c r="V111" s="12">
        <v>0.990920086</v>
      </c>
    </row>
    <row r="112">
      <c r="A112" s="9" t="s">
        <v>257</v>
      </c>
      <c r="B112" s="9" t="s">
        <v>23</v>
      </c>
      <c r="C112" s="9" t="s">
        <v>258</v>
      </c>
      <c r="D112" s="9" t="s">
        <v>258</v>
      </c>
      <c r="E112" s="9" t="s">
        <v>25</v>
      </c>
      <c r="F112" s="10">
        <v>111.0</v>
      </c>
      <c r="G112" s="10"/>
      <c r="H112" s="10">
        <v>2.5356359E7</v>
      </c>
      <c r="I112" s="10">
        <v>1.77262E7</v>
      </c>
      <c r="J112" s="11">
        <v>0.6990830189776064</v>
      </c>
      <c r="K112" s="12">
        <v>815.0</v>
      </c>
      <c r="L112" s="13"/>
      <c r="M112" s="13" t="str">
        <f>VLOOKUP($C112,'genotype metadata'!$C$2:$M$156,6,FALSE)</f>
        <v>#N/A</v>
      </c>
      <c r="N112" s="13" t="str">
        <f>VLOOKUP($C112,'genotype metadata'!$C$2:$M$156,7,FALSE)</f>
        <v>#N/A</v>
      </c>
      <c r="O112" s="13" t="str">
        <f>VLOOKUP($C112,'genotype metadata'!$C$2:$M$156,8,FALSE)</f>
        <v>#N/A</v>
      </c>
      <c r="P112" s="13" t="str">
        <f>VLOOKUP($C112,'genotype metadata'!$C$2:$M$156,9,FALSE)</f>
        <v>#N/A</v>
      </c>
      <c r="Q112" s="13" t="str">
        <f>VLOOKUP($C112,'genotype metadata'!$C$2:$M$156,10,FALSE)</f>
        <v>#N/A</v>
      </c>
      <c r="R112" s="13" t="str">
        <f>VLOOKUP($C112,'genotype metadata'!$C$2:$M$156,11,FALSE)</f>
        <v>#N/A</v>
      </c>
      <c r="S112" s="12">
        <v>0.00516139</v>
      </c>
      <c r="T112" s="12">
        <v>0.001356941</v>
      </c>
      <c r="U112" s="12">
        <v>0.004799239</v>
      </c>
      <c r="V112" s="12">
        <v>0.98868243</v>
      </c>
    </row>
    <row r="113">
      <c r="A113" s="9" t="s">
        <v>259</v>
      </c>
      <c r="B113" s="9" t="s">
        <v>23</v>
      </c>
      <c r="C113" s="9" t="s">
        <v>260</v>
      </c>
      <c r="D113" s="9" t="s">
        <v>260</v>
      </c>
      <c r="E113" s="9" t="s">
        <v>25</v>
      </c>
      <c r="F113" s="10">
        <v>112.0</v>
      </c>
      <c r="G113" s="10"/>
      <c r="H113" s="10">
        <v>2.4828284E7</v>
      </c>
      <c r="I113" s="10">
        <v>1.9527176E7</v>
      </c>
      <c r="J113" s="11">
        <v>0.7864891508410328</v>
      </c>
      <c r="K113" s="12">
        <v>656.0</v>
      </c>
      <c r="L113" s="13"/>
      <c r="M113" s="13" t="str">
        <f>VLOOKUP($C113,'genotype metadata'!$C$2:$M$156,6,FALSE)</f>
        <v>H</v>
      </c>
      <c r="N113" s="13" t="str">
        <f>VLOOKUP($C113,'genotype metadata'!$C$2:$M$156,7,FALSE)</f>
        <v>N</v>
      </c>
      <c r="O113" s="13">
        <f>VLOOKUP($C113,'genotype metadata'!$C$2:$M$156,8,FALSE)</f>
        <v>25.139367</v>
      </c>
      <c r="P113" s="13">
        <f>VLOOKUP($C113,'genotype metadata'!$C$2:$M$156,9,FALSE)</f>
        <v>-80.294017</v>
      </c>
      <c r="Q113" s="13" t="str">
        <f>VLOOKUP($C113,'genotype metadata'!$C$2:$M$156,10,FALSE)</f>
        <v>2015 batch</v>
      </c>
      <c r="R113" s="13" t="str">
        <f>VLOOKUP($C113,'genotype metadata'!$C$2:$M$156,11,FALSE)</f>
        <v>Margaret Miller</v>
      </c>
      <c r="S113" s="12">
        <v>0.057973349</v>
      </c>
      <c r="T113" s="12">
        <v>0.007846351</v>
      </c>
      <c r="U113" s="12">
        <v>0.141442085</v>
      </c>
      <c r="V113" s="12">
        <v>0.792738215</v>
      </c>
    </row>
    <row r="114">
      <c r="A114" s="9" t="s">
        <v>261</v>
      </c>
      <c r="B114" s="9" t="s">
        <v>23</v>
      </c>
      <c r="C114" s="14" t="s">
        <v>262</v>
      </c>
      <c r="D114" s="14" t="s">
        <v>262</v>
      </c>
      <c r="E114" s="9" t="s">
        <v>25</v>
      </c>
      <c r="F114" s="10">
        <v>113.0</v>
      </c>
      <c r="G114" s="10"/>
      <c r="H114" s="10">
        <v>2.5668465E7</v>
      </c>
      <c r="I114" s="10">
        <v>1.8700996E7</v>
      </c>
      <c r="J114" s="11">
        <v>0.7285591873140836</v>
      </c>
      <c r="K114" s="12">
        <v>868.0</v>
      </c>
      <c r="L114" s="13"/>
      <c r="M114" s="13" t="str">
        <f>VLOOKUP($C114,'genotype metadata'!$C$2:$M$156,6,FALSE)</f>
        <v>H</v>
      </c>
      <c r="N114" s="13" t="str">
        <f>VLOOKUP($C114,'genotype metadata'!$C$2:$M$156,7,FALSE)</f>
        <v>N</v>
      </c>
      <c r="O114" s="13">
        <f>VLOOKUP($C114,'genotype metadata'!$C$2:$M$156,8,FALSE)</f>
        <v>25.139367</v>
      </c>
      <c r="P114" s="13">
        <f>VLOOKUP($C114,'genotype metadata'!$C$2:$M$156,9,FALSE)</f>
        <v>-80.294017</v>
      </c>
      <c r="Q114" s="13" t="str">
        <f>VLOOKUP($C114,'genotype metadata'!$C$2:$M$156,10,FALSE)</f>
        <v>2015 batch</v>
      </c>
      <c r="R114" s="13" t="str">
        <f>VLOOKUP($C114,'genotype metadata'!$C$2:$M$156,11,FALSE)</f>
        <v>Margaret Miller</v>
      </c>
      <c r="S114" s="12">
        <v>0.006783937</v>
      </c>
      <c r="T114" s="12">
        <v>0.001610236</v>
      </c>
      <c r="U114" s="12">
        <v>0.006416829</v>
      </c>
      <c r="V114" s="12">
        <v>0.985188998</v>
      </c>
    </row>
    <row r="115">
      <c r="A115" s="9" t="s">
        <v>263</v>
      </c>
      <c r="B115" s="9" t="s">
        <v>23</v>
      </c>
      <c r="C115" s="9" t="s">
        <v>264</v>
      </c>
      <c r="D115" s="9" t="s">
        <v>264</v>
      </c>
      <c r="E115" s="9" t="s">
        <v>25</v>
      </c>
      <c r="F115" s="10">
        <v>114.0</v>
      </c>
      <c r="G115" s="10"/>
      <c r="H115" s="10">
        <v>2.06409E7</v>
      </c>
      <c r="I115" s="10">
        <v>1.6459032E7</v>
      </c>
      <c r="J115" s="11">
        <v>0.7973989506271529</v>
      </c>
      <c r="K115" s="12">
        <v>939.0</v>
      </c>
      <c r="L115" s="13"/>
      <c r="M115" s="13" t="str">
        <f>VLOOKUP($C115,'genotype metadata'!$C$2:$M$156,6,FALSE)</f>
        <v>H</v>
      </c>
      <c r="N115" s="13" t="str">
        <f>VLOOKUP($C115,'genotype metadata'!$C$2:$M$156,7,FALSE)</f>
        <v>N</v>
      </c>
      <c r="O115" s="13">
        <f>VLOOKUP($C115,'genotype metadata'!$C$2:$M$156,8,FALSE)</f>
        <v>25.139367</v>
      </c>
      <c r="P115" s="13">
        <f>VLOOKUP($C115,'genotype metadata'!$C$2:$M$156,9,FALSE)</f>
        <v>-80.294017</v>
      </c>
      <c r="Q115" s="13" t="str">
        <f>VLOOKUP($C115,'genotype metadata'!$C$2:$M$156,10,FALSE)</f>
        <v>2015 batch</v>
      </c>
      <c r="R115" s="13" t="str">
        <f>VLOOKUP($C115,'genotype metadata'!$C$2:$M$156,11,FALSE)</f>
        <v>Margaret Miller</v>
      </c>
      <c r="S115" s="12">
        <v>0.044034812</v>
      </c>
      <c r="T115" s="12">
        <v>0.006086292</v>
      </c>
      <c r="U115" s="12">
        <v>0.050594683</v>
      </c>
      <c r="V115" s="12">
        <v>0.899284214</v>
      </c>
    </row>
    <row r="116">
      <c r="A116" s="8" t="s">
        <v>265</v>
      </c>
      <c r="B116" s="9" t="s">
        <v>23</v>
      </c>
      <c r="C116" s="9" t="s">
        <v>266</v>
      </c>
      <c r="D116" s="9" t="s">
        <v>266</v>
      </c>
      <c r="E116" s="9" t="s">
        <v>25</v>
      </c>
      <c r="F116" s="10">
        <v>115.0</v>
      </c>
      <c r="G116" s="10"/>
      <c r="H116" s="10">
        <v>1.9443213E7</v>
      </c>
      <c r="I116" s="10">
        <v>1952512.0</v>
      </c>
      <c r="J116" s="11">
        <v>0.10042126267916728</v>
      </c>
      <c r="K116" s="12">
        <v>3927.0</v>
      </c>
      <c r="L116" s="13"/>
      <c r="M116" s="13" t="str">
        <f>VLOOKUP($C116,'genotype metadata'!$C$2:$M$156,6,FALSE)</f>
        <v>#N/A</v>
      </c>
      <c r="N116" s="13" t="str">
        <f>VLOOKUP($C116,'genotype metadata'!$C$2:$M$156,7,FALSE)</f>
        <v>#N/A</v>
      </c>
      <c r="O116" s="13" t="str">
        <f>VLOOKUP($C116,'genotype metadata'!$C$2:$M$156,8,FALSE)</f>
        <v>#N/A</v>
      </c>
      <c r="P116" s="13" t="str">
        <f>VLOOKUP($C116,'genotype metadata'!$C$2:$M$156,9,FALSE)</f>
        <v>#N/A</v>
      </c>
      <c r="Q116" s="13" t="str">
        <f>VLOOKUP($C116,'genotype metadata'!$C$2:$M$156,10,FALSE)</f>
        <v>#N/A</v>
      </c>
      <c r="R116" s="13" t="str">
        <f>VLOOKUP($C116,'genotype metadata'!$C$2:$M$156,11,FALSE)</f>
        <v>#N/A</v>
      </c>
      <c r="S116" s="12">
        <v>0.035770503</v>
      </c>
      <c r="T116" s="12">
        <v>0.013128954</v>
      </c>
      <c r="U116" s="12">
        <v>0.116707052</v>
      </c>
      <c r="V116" s="12">
        <v>0.834393491</v>
      </c>
    </row>
    <row r="117">
      <c r="A117" s="9" t="s">
        <v>267</v>
      </c>
      <c r="B117" s="9" t="s">
        <v>23</v>
      </c>
      <c r="C117" s="9" t="s">
        <v>268</v>
      </c>
      <c r="D117" s="9" t="s">
        <v>268</v>
      </c>
      <c r="E117" s="9" t="s">
        <v>25</v>
      </c>
      <c r="F117" s="10">
        <v>116.0</v>
      </c>
      <c r="G117" s="10"/>
      <c r="H117" s="10">
        <v>2.7154103E7</v>
      </c>
      <c r="I117" s="10">
        <v>1.7465277E7</v>
      </c>
      <c r="J117" s="11">
        <v>0.6431910860763841</v>
      </c>
      <c r="K117" s="12">
        <v>912.0</v>
      </c>
      <c r="L117" s="13"/>
      <c r="M117" s="13" t="str">
        <f>VLOOKUP($C117,'genotype metadata'!$C$2:$M$156,6,FALSE)</f>
        <v>#N/A</v>
      </c>
      <c r="N117" s="13" t="str">
        <f>VLOOKUP($C117,'genotype metadata'!$C$2:$M$156,7,FALSE)</f>
        <v>#N/A</v>
      </c>
      <c r="O117" s="13" t="str">
        <f>VLOOKUP($C117,'genotype metadata'!$C$2:$M$156,8,FALSE)</f>
        <v>#N/A</v>
      </c>
      <c r="P117" s="13" t="str">
        <f>VLOOKUP($C117,'genotype metadata'!$C$2:$M$156,9,FALSE)</f>
        <v>#N/A</v>
      </c>
      <c r="Q117" s="13" t="str">
        <f>VLOOKUP($C117,'genotype metadata'!$C$2:$M$156,10,FALSE)</f>
        <v>#N/A</v>
      </c>
      <c r="R117" s="13" t="str">
        <f>VLOOKUP($C117,'genotype metadata'!$C$2:$M$156,11,FALSE)</f>
        <v>#N/A</v>
      </c>
      <c r="S117" s="12">
        <v>0.006240271</v>
      </c>
      <c r="T117" s="12">
        <v>0.00139228</v>
      </c>
      <c r="U117" s="12">
        <v>0.006703614</v>
      </c>
      <c r="V117" s="12">
        <v>0.985663835</v>
      </c>
    </row>
    <row r="118">
      <c r="A118" s="9" t="s">
        <v>269</v>
      </c>
      <c r="B118" s="9" t="s">
        <v>23</v>
      </c>
      <c r="C118" s="9" t="s">
        <v>270</v>
      </c>
      <c r="D118" s="9" t="s">
        <v>270</v>
      </c>
      <c r="E118" s="9" t="s">
        <v>25</v>
      </c>
      <c r="F118" s="10">
        <v>117.0</v>
      </c>
      <c r="G118" s="10"/>
      <c r="H118" s="10">
        <v>2.5832058E7</v>
      </c>
      <c r="I118" s="10">
        <v>1.9557914E7</v>
      </c>
      <c r="J118" s="11">
        <v>0.7571179191375306</v>
      </c>
      <c r="K118" s="12">
        <v>705.0</v>
      </c>
      <c r="L118" s="13"/>
      <c r="M118" s="13" t="str">
        <f>VLOOKUP($C118,'genotype metadata'!$C$2:$M$156,6,FALSE)</f>
        <v>#N/A</v>
      </c>
      <c r="N118" s="13" t="str">
        <f>VLOOKUP($C118,'genotype metadata'!$C$2:$M$156,7,FALSE)</f>
        <v>#N/A</v>
      </c>
      <c r="O118" s="13" t="str">
        <f>VLOOKUP($C118,'genotype metadata'!$C$2:$M$156,8,FALSE)</f>
        <v>#N/A</v>
      </c>
      <c r="P118" s="13" t="str">
        <f>VLOOKUP($C118,'genotype metadata'!$C$2:$M$156,9,FALSE)</f>
        <v>#N/A</v>
      </c>
      <c r="Q118" s="13" t="str">
        <f>VLOOKUP($C118,'genotype metadata'!$C$2:$M$156,10,FALSE)</f>
        <v>#N/A</v>
      </c>
      <c r="R118" s="13" t="str">
        <f>VLOOKUP($C118,'genotype metadata'!$C$2:$M$156,11,FALSE)</f>
        <v>#N/A</v>
      </c>
      <c r="S118" s="12">
        <v>0.005606992</v>
      </c>
      <c r="T118" s="12">
        <v>0.001286746</v>
      </c>
      <c r="U118" s="12">
        <v>0.004256778</v>
      </c>
      <c r="V118" s="12">
        <v>0.988849485</v>
      </c>
    </row>
    <row r="119">
      <c r="A119" s="9" t="s">
        <v>271</v>
      </c>
      <c r="B119" s="9" t="s">
        <v>23</v>
      </c>
      <c r="C119" s="9" t="s">
        <v>272</v>
      </c>
      <c r="D119" s="9" t="s">
        <v>272</v>
      </c>
      <c r="E119" s="9" t="s">
        <v>25</v>
      </c>
      <c r="F119" s="10">
        <v>118.0</v>
      </c>
      <c r="G119" s="10"/>
      <c r="H119" s="10">
        <v>2.0452743E7</v>
      </c>
      <c r="I119" s="10">
        <v>1.664363E7</v>
      </c>
      <c r="J119" s="11">
        <v>0.8137602863342096</v>
      </c>
      <c r="K119" s="12">
        <v>1187.0</v>
      </c>
      <c r="L119" s="13"/>
      <c r="M119" s="13" t="str">
        <f>VLOOKUP($C119,'genotype metadata'!$C$2:$M$156,6,FALSE)</f>
        <v>Birthday</v>
      </c>
      <c r="N119" s="13" t="str">
        <f>VLOOKUP($C119,'genotype metadata'!$C$2:$M$156,7,FALSE)</f>
        <v>Y</v>
      </c>
      <c r="O119" s="13">
        <f>VLOOKUP($C119,'genotype metadata'!$C$2:$M$156,8,FALSE)</f>
        <v>24.57888</v>
      </c>
      <c r="P119" s="13">
        <f>VLOOKUP($C119,'genotype metadata'!$C$2:$M$156,9,FALSE)</f>
        <v>-81.49728</v>
      </c>
      <c r="Q119" s="13" t="str">
        <f>VLOOKUP($C119,'genotype metadata'!$C$2:$M$156,10,FALSE)</f>
        <v>12.14.2020</v>
      </c>
      <c r="R119" s="13" t="str">
        <f>VLOOKUP($C119,'genotype metadata'!$C$2:$M$156,11,FALSE)</f>
        <v>Mote</v>
      </c>
      <c r="S119" s="12">
        <v>0.012208029</v>
      </c>
      <c r="T119" s="12">
        <v>0.626590681</v>
      </c>
      <c r="U119" s="12">
        <v>0.010038494</v>
      </c>
      <c r="V119" s="12">
        <v>0.351162796</v>
      </c>
    </row>
    <row r="120">
      <c r="A120" s="9" t="s">
        <v>273</v>
      </c>
      <c r="B120" s="9" t="s">
        <v>23</v>
      </c>
      <c r="C120" s="9" t="s">
        <v>274</v>
      </c>
      <c r="D120" s="9" t="s">
        <v>274</v>
      </c>
      <c r="E120" s="9" t="s">
        <v>25</v>
      </c>
      <c r="F120" s="10">
        <v>119.0</v>
      </c>
      <c r="G120" s="10"/>
      <c r="H120" s="10">
        <v>2.8483641E7</v>
      </c>
      <c r="I120" s="10">
        <v>1.692174E7</v>
      </c>
      <c r="J120" s="11">
        <v>0.5940862686761148</v>
      </c>
      <c r="K120" s="12">
        <v>805.0</v>
      </c>
      <c r="L120" s="13"/>
      <c r="M120" s="13" t="str">
        <f>VLOOKUP($C120,'genotype metadata'!$C$2:$M$156,6,FALSE)</f>
        <v>H</v>
      </c>
      <c r="N120" s="13" t="str">
        <f>VLOOKUP($C120,'genotype metadata'!$C$2:$M$156,7,FALSE)</f>
        <v>N</v>
      </c>
      <c r="O120" s="13">
        <f>VLOOKUP($C120,'genotype metadata'!$C$2:$M$156,8,FALSE)</f>
        <v>25.139367</v>
      </c>
      <c r="P120" s="13">
        <f>VLOOKUP($C120,'genotype metadata'!$C$2:$M$156,9,FALSE)</f>
        <v>-80.294017</v>
      </c>
      <c r="Q120" s="13" t="str">
        <f>VLOOKUP($C120,'genotype metadata'!$C$2:$M$156,10,FALSE)</f>
        <v>2015 batch</v>
      </c>
      <c r="R120" s="13" t="str">
        <f>VLOOKUP($C120,'genotype metadata'!$C$2:$M$156,11,FALSE)</f>
        <v>Margaret Miller</v>
      </c>
      <c r="S120" s="12">
        <v>0.003666582</v>
      </c>
      <c r="T120" s="12">
        <v>9.90102E-4</v>
      </c>
      <c r="U120" s="12">
        <v>0.003568641</v>
      </c>
      <c r="V120" s="12">
        <v>0.991774675</v>
      </c>
    </row>
    <row r="121">
      <c r="A121" s="9" t="s">
        <v>275</v>
      </c>
      <c r="B121" s="9" t="s">
        <v>23</v>
      </c>
      <c r="C121" s="9" t="s">
        <v>276</v>
      </c>
      <c r="D121" s="9" t="s">
        <v>276</v>
      </c>
      <c r="E121" s="9" t="s">
        <v>25</v>
      </c>
      <c r="F121" s="10">
        <v>120.0</v>
      </c>
      <c r="G121" s="10"/>
      <c r="H121" s="10">
        <v>2.4286852E7</v>
      </c>
      <c r="I121" s="10">
        <v>1.7676975E7</v>
      </c>
      <c r="J121" s="11">
        <v>0.7278413439502164</v>
      </c>
      <c r="K121" s="12">
        <v>852.0</v>
      </c>
      <c r="L121" s="13"/>
      <c r="M121" s="13" t="str">
        <f>VLOOKUP($C121,'genotype metadata'!$C$2:$M$156,6,FALSE)</f>
        <v>#N/A</v>
      </c>
      <c r="N121" s="13" t="str">
        <f>VLOOKUP($C121,'genotype metadata'!$C$2:$M$156,7,FALSE)</f>
        <v>#N/A</v>
      </c>
      <c r="O121" s="13" t="str">
        <f>VLOOKUP($C121,'genotype metadata'!$C$2:$M$156,8,FALSE)</f>
        <v>#N/A</v>
      </c>
      <c r="P121" s="13" t="str">
        <f>VLOOKUP($C121,'genotype metadata'!$C$2:$M$156,9,FALSE)</f>
        <v>#N/A</v>
      </c>
      <c r="Q121" s="13" t="str">
        <f>VLOOKUP($C121,'genotype metadata'!$C$2:$M$156,10,FALSE)</f>
        <v>#N/A</v>
      </c>
      <c r="R121" s="13" t="str">
        <f>VLOOKUP($C121,'genotype metadata'!$C$2:$M$156,11,FALSE)</f>
        <v>#N/A</v>
      </c>
      <c r="S121" s="12">
        <v>0.063302006</v>
      </c>
      <c r="T121" s="12">
        <v>0.009798872</v>
      </c>
      <c r="U121" s="12">
        <v>0.06971432</v>
      </c>
      <c r="V121" s="12">
        <v>0.857184803</v>
      </c>
    </row>
    <row r="122">
      <c r="A122" s="9" t="s">
        <v>277</v>
      </c>
      <c r="B122" s="9" t="s">
        <v>23</v>
      </c>
      <c r="C122" s="9" t="s">
        <v>278</v>
      </c>
      <c r="D122" s="9" t="s">
        <v>278</v>
      </c>
      <c r="E122" s="9" t="s">
        <v>25</v>
      </c>
      <c r="F122" s="10">
        <v>121.0</v>
      </c>
      <c r="G122" s="10"/>
      <c r="H122" s="10">
        <v>2.0445574E7</v>
      </c>
      <c r="I122" s="10">
        <v>1.4490859E7</v>
      </c>
      <c r="J122" s="11">
        <v>0.7087528577089595</v>
      </c>
      <c r="K122" s="12">
        <v>1286.0</v>
      </c>
      <c r="L122" s="13"/>
      <c r="M122" s="13" t="str">
        <f>VLOOKUP($C122,'genotype metadata'!$C$2:$M$156,6,FALSE)</f>
        <v>KWN</v>
      </c>
      <c r="N122" s="13" t="str">
        <f>VLOOKUP($C122,'genotype metadata'!$C$2:$M$156,7,FALSE)</f>
        <v>N</v>
      </c>
      <c r="O122" s="13">
        <f>VLOOKUP($C122,'genotype metadata'!$C$2:$M$156,8,FALSE)</f>
        <v>24.55107</v>
      </c>
      <c r="P122" s="13">
        <f>VLOOKUP($C122,'genotype metadata'!$C$2:$M$156,9,FALSE)</f>
        <v>-81.80805</v>
      </c>
      <c r="Q122" s="13" t="str">
        <f>VLOOKUP($C122,'genotype metadata'!$C$2:$M$156,10,FALSE)</f>
        <v>2010-2017</v>
      </c>
      <c r="R122" s="13" t="str">
        <f>VLOOKUP($C122,'genotype metadata'!$C$2:$M$156,11,FALSE)</f>
        <v>Mote</v>
      </c>
      <c r="S122" s="12">
        <v>0.006137699</v>
      </c>
      <c r="T122" s="12">
        <v>0.001193899</v>
      </c>
      <c r="U122" s="12">
        <v>0.005644268</v>
      </c>
      <c r="V122" s="12">
        <v>0.987024134</v>
      </c>
    </row>
    <row r="123">
      <c r="A123" s="9" t="s">
        <v>279</v>
      </c>
      <c r="B123" s="9" t="s">
        <v>23</v>
      </c>
      <c r="C123" s="9" t="s">
        <v>92</v>
      </c>
      <c r="D123" s="9" t="s">
        <v>92</v>
      </c>
      <c r="E123" s="9" t="s">
        <v>25</v>
      </c>
      <c r="F123" s="10">
        <v>122.0</v>
      </c>
      <c r="G123" s="10"/>
      <c r="H123" s="10">
        <v>1.9402705E7</v>
      </c>
      <c r="I123" s="10">
        <v>1.4440472E7</v>
      </c>
      <c r="J123" s="11">
        <v>0.7442504537382804</v>
      </c>
      <c r="K123" s="12">
        <v>1328.0</v>
      </c>
      <c r="L123" s="13"/>
      <c r="M123" s="13" t="str">
        <f>VLOOKUP($C123,'genotype metadata'!$C$2:$M$156,6,FALSE)</f>
        <v>H</v>
      </c>
      <c r="N123" s="13" t="str">
        <f>VLOOKUP($C123,'genotype metadata'!$C$2:$M$156,7,FALSE)</f>
        <v>N</v>
      </c>
      <c r="O123" s="13">
        <f>VLOOKUP($C123,'genotype metadata'!$C$2:$M$156,8,FALSE)</f>
        <v>25.139367</v>
      </c>
      <c r="P123" s="13">
        <f>VLOOKUP($C123,'genotype metadata'!$C$2:$M$156,9,FALSE)</f>
        <v>-80.294017</v>
      </c>
      <c r="Q123" s="13">
        <f>VLOOKUP($C123,'genotype metadata'!$C$2:$M$156,10,FALSE)</f>
        <v>2015</v>
      </c>
      <c r="R123" s="13" t="str">
        <f>VLOOKUP($C123,'genotype metadata'!$C$2:$M$156,11,FALSE)</f>
        <v>Margaret Miller</v>
      </c>
      <c r="S123" s="12">
        <v>0.008942635</v>
      </c>
      <c r="T123" s="12">
        <v>0.001441874</v>
      </c>
      <c r="U123" s="12">
        <v>0.010597018</v>
      </c>
      <c r="V123" s="12">
        <v>0.979018474</v>
      </c>
    </row>
    <row r="124">
      <c r="A124" s="9" t="s">
        <v>280</v>
      </c>
      <c r="B124" s="9" t="s">
        <v>23</v>
      </c>
      <c r="C124" s="9" t="s">
        <v>281</v>
      </c>
      <c r="D124" s="9" t="s">
        <v>281</v>
      </c>
      <c r="E124" s="9" t="s">
        <v>25</v>
      </c>
      <c r="F124" s="10">
        <v>123.0</v>
      </c>
      <c r="G124" s="10"/>
      <c r="H124" s="10">
        <v>2.6526136E7</v>
      </c>
      <c r="I124" s="10">
        <v>1.7458858E7</v>
      </c>
      <c r="J124" s="11">
        <v>0.6581756950955843</v>
      </c>
      <c r="K124" s="12">
        <v>1019.0</v>
      </c>
      <c r="L124" s="13"/>
      <c r="M124" s="13" t="str">
        <f>VLOOKUP($C124,'genotype metadata'!$C$2:$M$156,6,FALSE)</f>
        <v>#N/A</v>
      </c>
      <c r="N124" s="13" t="str">
        <f>VLOOKUP($C124,'genotype metadata'!$C$2:$M$156,7,FALSE)</f>
        <v>#N/A</v>
      </c>
      <c r="O124" s="13" t="str">
        <f>VLOOKUP($C124,'genotype metadata'!$C$2:$M$156,8,FALSE)</f>
        <v>#N/A</v>
      </c>
      <c r="P124" s="13" t="str">
        <f>VLOOKUP($C124,'genotype metadata'!$C$2:$M$156,9,FALSE)</f>
        <v>#N/A</v>
      </c>
      <c r="Q124" s="13" t="str">
        <f>VLOOKUP($C124,'genotype metadata'!$C$2:$M$156,10,FALSE)</f>
        <v>#N/A</v>
      </c>
      <c r="R124" s="13" t="str">
        <f>VLOOKUP($C124,'genotype metadata'!$C$2:$M$156,11,FALSE)</f>
        <v>#N/A</v>
      </c>
      <c r="S124" s="12">
        <v>0.00730284</v>
      </c>
      <c r="T124" s="12">
        <v>0.00123098</v>
      </c>
      <c r="U124" s="12">
        <v>0.00746609</v>
      </c>
      <c r="V124" s="12">
        <v>0.984000091</v>
      </c>
    </row>
    <row r="125">
      <c r="A125" s="9" t="s">
        <v>282</v>
      </c>
      <c r="B125" s="9" t="s">
        <v>23</v>
      </c>
      <c r="C125" s="9" t="s">
        <v>283</v>
      </c>
      <c r="D125" s="9" t="s">
        <v>283</v>
      </c>
      <c r="E125" s="9" t="s">
        <v>25</v>
      </c>
      <c r="F125" s="10">
        <v>124.0</v>
      </c>
      <c r="G125" s="10"/>
      <c r="H125" s="10">
        <v>2.5906864E7</v>
      </c>
      <c r="I125" s="10">
        <v>1.907688E7</v>
      </c>
      <c r="J125" s="11">
        <v>0.736363922704037</v>
      </c>
      <c r="K125" s="12">
        <v>916.0</v>
      </c>
      <c r="L125" s="13"/>
      <c r="M125" s="13" t="str">
        <f>VLOOKUP($C125,'genotype metadata'!$C$2:$M$156,6,FALSE)</f>
        <v>#N/A</v>
      </c>
      <c r="N125" s="13" t="str">
        <f>VLOOKUP($C125,'genotype metadata'!$C$2:$M$156,7,FALSE)</f>
        <v>#N/A</v>
      </c>
      <c r="O125" s="13" t="str">
        <f>VLOOKUP($C125,'genotype metadata'!$C$2:$M$156,8,FALSE)</f>
        <v>#N/A</v>
      </c>
      <c r="P125" s="13" t="str">
        <f>VLOOKUP($C125,'genotype metadata'!$C$2:$M$156,9,FALSE)</f>
        <v>#N/A</v>
      </c>
      <c r="Q125" s="13" t="str">
        <f>VLOOKUP($C125,'genotype metadata'!$C$2:$M$156,10,FALSE)</f>
        <v>#N/A</v>
      </c>
      <c r="R125" s="13" t="str">
        <f>VLOOKUP($C125,'genotype metadata'!$C$2:$M$156,11,FALSE)</f>
        <v>#N/A</v>
      </c>
      <c r="S125" s="12">
        <v>0.006158701</v>
      </c>
      <c r="T125" s="12">
        <v>0.001108297</v>
      </c>
      <c r="U125" s="12">
        <v>0.005212051</v>
      </c>
      <c r="V125" s="12">
        <v>0.987520951</v>
      </c>
    </row>
    <row r="126">
      <c r="A126" s="9" t="s">
        <v>284</v>
      </c>
      <c r="B126" s="9" t="s">
        <v>23</v>
      </c>
      <c r="C126" s="9" t="s">
        <v>285</v>
      </c>
      <c r="D126" s="9" t="s">
        <v>285</v>
      </c>
      <c r="E126" s="9" t="s">
        <v>25</v>
      </c>
      <c r="F126" s="10">
        <v>125.0</v>
      </c>
      <c r="G126" s="10"/>
      <c r="H126" s="10">
        <v>2.6405304E7</v>
      </c>
      <c r="I126" s="10">
        <v>1.7930691E7</v>
      </c>
      <c r="J126" s="11">
        <v>0.6790564123026192</v>
      </c>
      <c r="K126" s="12">
        <v>852.0</v>
      </c>
      <c r="L126" s="13"/>
      <c r="M126" s="13" t="str">
        <f>VLOOKUP($C126,'genotype metadata'!$C$2:$M$156,6,FALSE)</f>
        <v>H</v>
      </c>
      <c r="N126" s="13" t="str">
        <f>VLOOKUP($C126,'genotype metadata'!$C$2:$M$156,7,FALSE)</f>
        <v>N</v>
      </c>
      <c r="O126" s="13">
        <f>VLOOKUP($C126,'genotype metadata'!$C$2:$M$156,8,FALSE)</f>
        <v>25.139367</v>
      </c>
      <c r="P126" s="13">
        <f>VLOOKUP($C126,'genotype metadata'!$C$2:$M$156,9,FALSE)</f>
        <v>-80.294017</v>
      </c>
      <c r="Q126" s="13" t="str">
        <f>VLOOKUP($C126,'genotype metadata'!$C$2:$M$156,10,FALSE)</f>
        <v>2015 batch</v>
      </c>
      <c r="R126" s="13" t="str">
        <f>VLOOKUP($C126,'genotype metadata'!$C$2:$M$156,11,FALSE)</f>
        <v>Margaret Miller</v>
      </c>
      <c r="S126" s="12">
        <v>0.006990932</v>
      </c>
      <c r="T126" s="12">
        <v>0.00127662</v>
      </c>
      <c r="U126" s="12">
        <v>0.022033906</v>
      </c>
      <c r="V126" s="12">
        <v>0.969698541</v>
      </c>
    </row>
    <row r="127">
      <c r="A127" s="9" t="s">
        <v>286</v>
      </c>
      <c r="B127" s="9" t="s">
        <v>23</v>
      </c>
      <c r="C127" s="9" t="s">
        <v>287</v>
      </c>
      <c r="D127" s="9" t="s">
        <v>287</v>
      </c>
      <c r="E127" s="9" t="s">
        <v>25</v>
      </c>
      <c r="F127" s="10">
        <v>126.0</v>
      </c>
      <c r="G127" s="10"/>
      <c r="H127" s="10">
        <v>2.5585938E7</v>
      </c>
      <c r="I127" s="10">
        <v>1.7390816E7</v>
      </c>
      <c r="J127" s="11">
        <v>0.6797021082439894</v>
      </c>
      <c r="K127" s="12">
        <v>937.0</v>
      </c>
      <c r="L127" s="13"/>
      <c r="M127" s="13" t="str">
        <f>VLOOKUP($C127,'genotype metadata'!$C$2:$M$156,6,FALSE)</f>
        <v>Wonderland2</v>
      </c>
      <c r="N127" s="13" t="str">
        <f>VLOOKUP($C127,'genotype metadata'!$C$2:$M$156,7,FALSE)</f>
        <v>Y</v>
      </c>
      <c r="O127" s="13">
        <f>VLOOKUP($C127,'genotype metadata'!$C$2:$M$156,8,FALSE)</f>
        <v>24.55994</v>
      </c>
      <c r="P127" s="13">
        <f>VLOOKUP($C127,'genotype metadata'!$C$2:$M$156,9,FALSE)</f>
        <v>-81.50162</v>
      </c>
      <c r="Q127" s="13" t="str">
        <f>VLOOKUP($C127,'genotype metadata'!$C$2:$M$156,10,FALSE)</f>
        <v>12.15.2020</v>
      </c>
      <c r="R127" s="13" t="str">
        <f>VLOOKUP($C127,'genotype metadata'!$C$2:$M$156,11,FALSE)</f>
        <v>Mote</v>
      </c>
      <c r="S127" s="12">
        <v>0.003888192</v>
      </c>
      <c r="T127" s="12">
        <v>0.001238644</v>
      </c>
      <c r="U127" s="12">
        <v>0.009582439</v>
      </c>
      <c r="V127" s="12">
        <v>0.985290725</v>
      </c>
    </row>
    <row r="128">
      <c r="A128" s="9" t="s">
        <v>288</v>
      </c>
      <c r="B128" s="9" t="s">
        <v>23</v>
      </c>
      <c r="C128" s="9" t="s">
        <v>289</v>
      </c>
      <c r="D128" s="9" t="s">
        <v>289</v>
      </c>
      <c r="E128" s="9" t="s">
        <v>25</v>
      </c>
      <c r="F128" s="10">
        <v>127.0</v>
      </c>
      <c r="G128" s="10"/>
      <c r="H128" s="10">
        <v>2.8197318E7</v>
      </c>
      <c r="I128" s="10">
        <v>1.9168475E7</v>
      </c>
      <c r="J128" s="11">
        <v>0.6797978091391529</v>
      </c>
      <c r="K128" s="12">
        <v>803.0</v>
      </c>
      <c r="L128" s="13"/>
      <c r="M128" s="13" t="str">
        <f>VLOOKUP($C128,'genotype metadata'!$C$2:$M$156,6,FALSE)</f>
        <v>#N/A</v>
      </c>
      <c r="N128" s="13" t="str">
        <f>VLOOKUP($C128,'genotype metadata'!$C$2:$M$156,7,FALSE)</f>
        <v>#N/A</v>
      </c>
      <c r="O128" s="13" t="str">
        <f>VLOOKUP($C128,'genotype metadata'!$C$2:$M$156,8,FALSE)</f>
        <v>#N/A</v>
      </c>
      <c r="P128" s="13" t="str">
        <f>VLOOKUP($C128,'genotype metadata'!$C$2:$M$156,9,FALSE)</f>
        <v>#N/A</v>
      </c>
      <c r="Q128" s="13" t="str">
        <f>VLOOKUP($C128,'genotype metadata'!$C$2:$M$156,10,FALSE)</f>
        <v>#N/A</v>
      </c>
      <c r="R128" s="13" t="str">
        <f>VLOOKUP($C128,'genotype metadata'!$C$2:$M$156,11,FALSE)</f>
        <v>#N/A</v>
      </c>
      <c r="S128" s="12">
        <v>0.003859732</v>
      </c>
      <c r="T128" s="12">
        <v>9.47336E-4</v>
      </c>
      <c r="U128" s="12">
        <v>0.003355609</v>
      </c>
      <c r="V128" s="12">
        <v>0.991837324</v>
      </c>
    </row>
    <row r="129">
      <c r="A129" s="9" t="s">
        <v>290</v>
      </c>
      <c r="B129" s="9" t="s">
        <v>23</v>
      </c>
      <c r="C129" s="9" t="s">
        <v>291</v>
      </c>
      <c r="D129" s="9" t="s">
        <v>291</v>
      </c>
      <c r="E129" s="9" t="s">
        <v>25</v>
      </c>
      <c r="F129" s="10">
        <v>128.0</v>
      </c>
      <c r="G129" s="10"/>
      <c r="H129" s="10">
        <v>2.5078494E7</v>
      </c>
      <c r="I129" s="10">
        <v>1.2631037E7</v>
      </c>
      <c r="J129" s="11">
        <v>0.5036601081388699</v>
      </c>
      <c r="K129" s="12">
        <v>13311.0</v>
      </c>
      <c r="L129" s="13"/>
      <c r="M129" s="13" t="str">
        <f>VLOOKUP($C129,'genotype metadata'!$C$2:$M$156,6,FALSE)</f>
        <v>#N/A</v>
      </c>
      <c r="N129" s="13" t="str">
        <f>VLOOKUP($C129,'genotype metadata'!$C$2:$M$156,7,FALSE)</f>
        <v>#N/A</v>
      </c>
      <c r="O129" s="13" t="str">
        <f>VLOOKUP($C129,'genotype metadata'!$C$2:$M$156,8,FALSE)</f>
        <v>#N/A</v>
      </c>
      <c r="P129" s="13" t="str">
        <f>VLOOKUP($C129,'genotype metadata'!$C$2:$M$156,9,FALSE)</f>
        <v>#N/A</v>
      </c>
      <c r="Q129" s="13" t="str">
        <f>VLOOKUP($C129,'genotype metadata'!$C$2:$M$156,10,FALSE)</f>
        <v>#N/A</v>
      </c>
      <c r="R129" s="13" t="str">
        <f>VLOOKUP($C129,'genotype metadata'!$C$2:$M$156,11,FALSE)</f>
        <v>#N/A</v>
      </c>
      <c r="S129" s="12">
        <v>0.066220913</v>
      </c>
      <c r="T129" s="12">
        <v>0.02410516</v>
      </c>
      <c r="U129" s="12">
        <v>0.095606251</v>
      </c>
      <c r="V129" s="12">
        <v>0.814067677</v>
      </c>
    </row>
    <row r="130">
      <c r="A130" s="9" t="s">
        <v>292</v>
      </c>
      <c r="B130" s="9" t="s">
        <v>23</v>
      </c>
      <c r="C130" s="9" t="s">
        <v>293</v>
      </c>
      <c r="D130" s="9" t="s">
        <v>293</v>
      </c>
      <c r="E130" s="9" t="s">
        <v>25</v>
      </c>
      <c r="F130" s="10">
        <v>129.0</v>
      </c>
      <c r="G130" s="10"/>
      <c r="H130" s="10">
        <v>2.0703876E7</v>
      </c>
      <c r="I130" s="10">
        <v>9417021.0</v>
      </c>
      <c r="J130" s="11">
        <v>0.4548433829491637</v>
      </c>
      <c r="K130" s="12">
        <v>12644.0</v>
      </c>
      <c r="L130" s="13"/>
      <c r="M130" s="13" t="str">
        <f>VLOOKUP($C130,'genotype metadata'!$C$2:$M$156,6,FALSE)</f>
        <v>H</v>
      </c>
      <c r="N130" s="13" t="str">
        <f>VLOOKUP($C130,'genotype metadata'!$C$2:$M$156,7,FALSE)</f>
        <v>Y</v>
      </c>
      <c r="O130" s="13">
        <f>VLOOKUP($C130,'genotype metadata'!$C$2:$M$156,8,FALSE)</f>
        <v>25.139367</v>
      </c>
      <c r="P130" s="13">
        <f>VLOOKUP($C130,'genotype metadata'!$C$2:$M$156,9,FALSE)</f>
        <v>-80.294017</v>
      </c>
      <c r="Q130" s="13">
        <f>VLOOKUP($C130,'genotype metadata'!$C$2:$M$156,10,FALSE)</f>
        <v>2015</v>
      </c>
      <c r="R130" s="13" t="str">
        <f>VLOOKUP($C130,'genotype metadata'!$C$2:$M$156,11,FALSE)</f>
        <v>Margaret Miller</v>
      </c>
      <c r="S130" s="12">
        <v>0.078526214</v>
      </c>
      <c r="T130" s="12">
        <v>0.036992547</v>
      </c>
      <c r="U130" s="12">
        <v>0.127774991</v>
      </c>
      <c r="V130" s="12">
        <v>0.756706248</v>
      </c>
    </row>
    <row r="131">
      <c r="A131" s="9" t="s">
        <v>294</v>
      </c>
      <c r="B131" s="9" t="s">
        <v>23</v>
      </c>
      <c r="C131" s="9" t="s">
        <v>295</v>
      </c>
      <c r="D131" s="9" t="s">
        <v>295</v>
      </c>
      <c r="E131" s="9" t="s">
        <v>25</v>
      </c>
      <c r="F131" s="10">
        <v>130.0</v>
      </c>
      <c r="G131" s="10"/>
      <c r="H131" s="10">
        <v>2.9462961E7</v>
      </c>
      <c r="I131" s="10">
        <v>1.990735E7</v>
      </c>
      <c r="J131" s="11">
        <v>0.6756737722321935</v>
      </c>
      <c r="K131" s="12">
        <v>706.0</v>
      </c>
      <c r="L131" s="12" t="s">
        <v>36</v>
      </c>
      <c r="M131" s="13" t="str">
        <f>VLOOKUP($C131,'genotype metadata'!$C$2:$M$156,6,FALSE)</f>
        <v>#N/A</v>
      </c>
      <c r="N131" s="13" t="str">
        <f>VLOOKUP($C131,'genotype metadata'!$C$2:$M$156,7,FALSE)</f>
        <v>#N/A</v>
      </c>
      <c r="O131" s="13" t="str">
        <f>VLOOKUP($C131,'genotype metadata'!$C$2:$M$156,8,FALSE)</f>
        <v>#N/A</v>
      </c>
      <c r="P131" s="13" t="str">
        <f>VLOOKUP($C131,'genotype metadata'!$C$2:$M$156,9,FALSE)</f>
        <v>#N/A</v>
      </c>
      <c r="Q131" s="13" t="str">
        <f>VLOOKUP($C131,'genotype metadata'!$C$2:$M$156,10,FALSE)</f>
        <v>#N/A</v>
      </c>
      <c r="R131" s="13" t="str">
        <f>VLOOKUP($C131,'genotype metadata'!$C$2:$M$156,11,FALSE)</f>
        <v>#N/A</v>
      </c>
      <c r="S131" s="12">
        <v>0.004556359</v>
      </c>
      <c r="T131" s="12">
        <v>0.001084156</v>
      </c>
      <c r="U131" s="12">
        <v>0.003720732</v>
      </c>
      <c r="V131" s="12">
        <v>0.990638753</v>
      </c>
    </row>
    <row r="132">
      <c r="A132" s="9" t="s">
        <v>296</v>
      </c>
      <c r="B132" s="9" t="s">
        <v>23</v>
      </c>
      <c r="C132" s="9" t="s">
        <v>297</v>
      </c>
      <c r="D132" s="9" t="s">
        <v>297</v>
      </c>
      <c r="E132" s="9" t="s">
        <v>25</v>
      </c>
      <c r="F132" s="10">
        <v>131.0</v>
      </c>
      <c r="G132" s="10"/>
      <c r="H132" s="10">
        <v>2.6133925E7</v>
      </c>
      <c r="I132" s="10">
        <v>1.848221E7</v>
      </c>
      <c r="J132" s="11">
        <v>0.707211411986527</v>
      </c>
      <c r="K132" s="12">
        <v>824.0</v>
      </c>
      <c r="L132" s="13"/>
      <c r="M132" s="13" t="str">
        <f>VLOOKUP($C132,'genotype metadata'!$C$2:$M$156,6,FALSE)</f>
        <v>H</v>
      </c>
      <c r="N132" s="13" t="str">
        <f>VLOOKUP($C132,'genotype metadata'!$C$2:$M$156,7,FALSE)</f>
        <v>Y</v>
      </c>
      <c r="O132" s="13">
        <f>VLOOKUP($C132,'genotype metadata'!$C$2:$M$156,8,FALSE)</f>
        <v>25.139367</v>
      </c>
      <c r="P132" s="13">
        <f>VLOOKUP($C132,'genotype metadata'!$C$2:$M$156,9,FALSE)</f>
        <v>-80.294017</v>
      </c>
      <c r="Q132" s="13">
        <f>VLOOKUP($C132,'genotype metadata'!$C$2:$M$156,10,FALSE)</f>
        <v>2015</v>
      </c>
      <c r="R132" s="13" t="str">
        <f>VLOOKUP($C132,'genotype metadata'!$C$2:$M$156,11,FALSE)</f>
        <v>Margaret Miller</v>
      </c>
      <c r="S132" s="12">
        <v>0.006235015</v>
      </c>
      <c r="T132" s="12">
        <v>0.001408412</v>
      </c>
      <c r="U132" s="12">
        <v>0.005599654</v>
      </c>
      <c r="V132" s="12">
        <v>0.98675692</v>
      </c>
    </row>
    <row r="133">
      <c r="A133" s="9" t="s">
        <v>298</v>
      </c>
      <c r="B133" s="9" t="s">
        <v>23</v>
      </c>
      <c r="C133" s="9" t="s">
        <v>299</v>
      </c>
      <c r="D133" s="9" t="s">
        <v>299</v>
      </c>
      <c r="E133" s="9" t="s">
        <v>25</v>
      </c>
      <c r="F133" s="10">
        <v>132.0</v>
      </c>
      <c r="G133" s="10"/>
      <c r="H133" s="10">
        <v>2.63513E7</v>
      </c>
      <c r="I133" s="10">
        <v>1.6540511E7</v>
      </c>
      <c r="J133" s="11">
        <v>0.627692409862132</v>
      </c>
      <c r="K133" s="12">
        <v>886.0</v>
      </c>
      <c r="L133" s="13"/>
      <c r="M133" s="13" t="str">
        <f>VLOOKUP($C133,'genotype metadata'!$C$2:$M$156,6,FALSE)</f>
        <v>H</v>
      </c>
      <c r="N133" s="13" t="str">
        <f>VLOOKUP($C133,'genotype metadata'!$C$2:$M$156,7,FALSE)</f>
        <v>N</v>
      </c>
      <c r="O133" s="13">
        <f>VLOOKUP($C133,'genotype metadata'!$C$2:$M$156,8,FALSE)</f>
        <v>25.139367</v>
      </c>
      <c r="P133" s="13">
        <f>VLOOKUP($C133,'genotype metadata'!$C$2:$M$156,9,FALSE)</f>
        <v>-80.294017</v>
      </c>
      <c r="Q133" s="13" t="str">
        <f>VLOOKUP($C133,'genotype metadata'!$C$2:$M$156,10,FALSE)</f>
        <v>2015 batch</v>
      </c>
      <c r="R133" s="13" t="str">
        <f>VLOOKUP($C133,'genotype metadata'!$C$2:$M$156,11,FALSE)</f>
        <v>Margaret Miller</v>
      </c>
      <c r="S133" s="12">
        <v>0.003946338</v>
      </c>
      <c r="T133" s="12">
        <v>0.001005369</v>
      </c>
      <c r="U133" s="12">
        <v>0.003373273</v>
      </c>
      <c r="V133" s="12">
        <v>0.99167502</v>
      </c>
    </row>
    <row r="134">
      <c r="A134" s="9" t="s">
        <v>300</v>
      </c>
      <c r="B134" s="9" t="s">
        <v>23</v>
      </c>
      <c r="C134" s="9" t="s">
        <v>301</v>
      </c>
      <c r="D134" s="9" t="s">
        <v>301</v>
      </c>
      <c r="E134" s="9" t="s">
        <v>25</v>
      </c>
      <c r="F134" s="10">
        <v>133.0</v>
      </c>
      <c r="G134" s="10"/>
      <c r="H134" s="10">
        <v>2.5292126E7</v>
      </c>
      <c r="I134" s="10">
        <v>1.8692858E7</v>
      </c>
      <c r="J134" s="11">
        <v>0.7390781621125879</v>
      </c>
      <c r="K134" s="12">
        <v>916.0</v>
      </c>
      <c r="L134" s="13"/>
      <c r="M134" s="13" t="str">
        <f>VLOOKUP($C134,'genotype metadata'!$C$2:$M$156,6,FALSE)</f>
        <v>#N/A</v>
      </c>
      <c r="N134" s="13" t="str">
        <f>VLOOKUP($C134,'genotype metadata'!$C$2:$M$156,7,FALSE)</f>
        <v>#N/A</v>
      </c>
      <c r="O134" s="13" t="str">
        <f>VLOOKUP($C134,'genotype metadata'!$C$2:$M$156,8,FALSE)</f>
        <v>#N/A</v>
      </c>
      <c r="P134" s="13" t="str">
        <f>VLOOKUP($C134,'genotype metadata'!$C$2:$M$156,9,FALSE)</f>
        <v>#N/A</v>
      </c>
      <c r="Q134" s="13" t="str">
        <f>VLOOKUP($C134,'genotype metadata'!$C$2:$M$156,10,FALSE)</f>
        <v>#N/A</v>
      </c>
      <c r="R134" s="13" t="str">
        <f>VLOOKUP($C134,'genotype metadata'!$C$2:$M$156,11,FALSE)</f>
        <v>#N/A</v>
      </c>
      <c r="S134" s="12">
        <v>0.006655274</v>
      </c>
      <c r="T134" s="12">
        <v>0.001357782</v>
      </c>
      <c r="U134" s="12">
        <v>0.005939628</v>
      </c>
      <c r="V134" s="12">
        <v>0.986047316</v>
      </c>
    </row>
    <row r="135">
      <c r="A135" s="9" t="s">
        <v>302</v>
      </c>
      <c r="B135" s="9" t="s">
        <v>23</v>
      </c>
      <c r="C135" s="9" t="s">
        <v>303</v>
      </c>
      <c r="D135" s="9" t="s">
        <v>303</v>
      </c>
      <c r="E135" s="9" t="s">
        <v>25</v>
      </c>
      <c r="F135" s="10">
        <v>134.0</v>
      </c>
      <c r="G135" s="10"/>
      <c r="H135" s="10">
        <v>2.809276E7</v>
      </c>
      <c r="I135" s="10">
        <v>2.1454258E7</v>
      </c>
      <c r="J135" s="11">
        <v>0.7636934925582249</v>
      </c>
      <c r="K135" s="12">
        <v>743.0</v>
      </c>
      <c r="L135" s="13"/>
      <c r="M135" s="13" t="str">
        <f>VLOOKUP($C135,'genotype metadata'!$C$2:$M$156,6,FALSE)</f>
        <v>Jaap</v>
      </c>
      <c r="N135" s="13" t="str">
        <f>VLOOKUP($C135,'genotype metadata'!$C$2:$M$156,7,FALSE)</f>
        <v>Y</v>
      </c>
      <c r="O135" s="13">
        <f>VLOOKUP($C135,'genotype metadata'!$C$2:$M$156,8,FALSE)</f>
        <v>24.58721</v>
      </c>
      <c r="P135" s="13">
        <f>VLOOKUP($C135,'genotype metadata'!$C$2:$M$156,9,FALSE)</f>
        <v>-81.5783</v>
      </c>
      <c r="Q135" s="13" t="str">
        <f>VLOOKUP($C135,'genotype metadata'!$C$2:$M$156,10,FALSE)</f>
        <v>12.15.2020</v>
      </c>
      <c r="R135" s="13" t="str">
        <f>VLOOKUP($C135,'genotype metadata'!$C$2:$M$156,11,FALSE)</f>
        <v>Mote</v>
      </c>
      <c r="S135" s="12">
        <v>0.007544274</v>
      </c>
      <c r="T135" s="12">
        <v>0.064654031</v>
      </c>
      <c r="U135" s="12">
        <v>0.004824564</v>
      </c>
      <c r="V135" s="12">
        <v>0.92297713</v>
      </c>
    </row>
    <row r="136">
      <c r="A136" s="9" t="s">
        <v>304</v>
      </c>
      <c r="B136" s="9" t="s">
        <v>23</v>
      </c>
      <c r="C136" s="9" t="s">
        <v>305</v>
      </c>
      <c r="D136" s="9" t="s">
        <v>305</v>
      </c>
      <c r="E136" s="9" t="s">
        <v>25</v>
      </c>
      <c r="F136" s="10">
        <v>135.0</v>
      </c>
      <c r="G136" s="10"/>
      <c r="H136" s="10">
        <v>2.6877988E7</v>
      </c>
      <c r="I136" s="10">
        <v>1.8653228E7</v>
      </c>
      <c r="J136" s="11">
        <v>0.6939964405073773</v>
      </c>
      <c r="K136" s="12">
        <v>927.0</v>
      </c>
      <c r="L136" s="12" t="s">
        <v>36</v>
      </c>
      <c r="M136" s="13" t="str">
        <f>VLOOKUP($C136,'genotype metadata'!$C$2:$M$156,6,FALSE)</f>
        <v>#N/A</v>
      </c>
      <c r="N136" s="13" t="str">
        <f>VLOOKUP($C136,'genotype metadata'!$C$2:$M$156,7,FALSE)</f>
        <v>#N/A</v>
      </c>
      <c r="O136" s="13" t="str">
        <f>VLOOKUP($C136,'genotype metadata'!$C$2:$M$156,8,FALSE)</f>
        <v>#N/A</v>
      </c>
      <c r="P136" s="13" t="str">
        <f>VLOOKUP($C136,'genotype metadata'!$C$2:$M$156,9,FALSE)</f>
        <v>#N/A</v>
      </c>
      <c r="Q136" s="13" t="str">
        <f>VLOOKUP($C136,'genotype metadata'!$C$2:$M$156,10,FALSE)</f>
        <v>#N/A</v>
      </c>
      <c r="R136" s="13" t="str">
        <f>VLOOKUP($C136,'genotype metadata'!$C$2:$M$156,11,FALSE)</f>
        <v>#N/A</v>
      </c>
      <c r="S136" s="12">
        <v>0.005985767</v>
      </c>
      <c r="T136" s="12">
        <v>0.001402592</v>
      </c>
      <c r="U136" s="12">
        <v>0.005764494</v>
      </c>
      <c r="V136" s="12">
        <v>0.986847147</v>
      </c>
    </row>
    <row r="137">
      <c r="A137" s="9" t="s">
        <v>306</v>
      </c>
      <c r="B137" s="9" t="s">
        <v>23</v>
      </c>
      <c r="C137" s="9" t="s">
        <v>307</v>
      </c>
      <c r="D137" s="9" t="s">
        <v>307</v>
      </c>
      <c r="E137" s="9" t="s">
        <v>25</v>
      </c>
      <c r="F137" s="10">
        <v>136.0</v>
      </c>
      <c r="G137" s="10"/>
      <c r="H137" s="10">
        <v>2.067222E7</v>
      </c>
      <c r="I137" s="10">
        <v>1.4864571E7</v>
      </c>
      <c r="J137" s="11">
        <v>0.7190602170449037</v>
      </c>
      <c r="K137" s="12">
        <v>1193.0</v>
      </c>
      <c r="L137" s="13"/>
      <c r="M137" s="13" t="str">
        <f>VLOOKUP($C137,'genotype metadata'!$C$2:$M$156,6,FALSE)</f>
        <v>#N/A</v>
      </c>
      <c r="N137" s="13" t="str">
        <f>VLOOKUP($C137,'genotype metadata'!$C$2:$M$156,7,FALSE)</f>
        <v>#N/A</v>
      </c>
      <c r="O137" s="13" t="str">
        <f>VLOOKUP($C137,'genotype metadata'!$C$2:$M$156,8,FALSE)</f>
        <v>#N/A</v>
      </c>
      <c r="P137" s="13" t="str">
        <f>VLOOKUP($C137,'genotype metadata'!$C$2:$M$156,9,FALSE)</f>
        <v>#N/A</v>
      </c>
      <c r="Q137" s="13" t="str">
        <f>VLOOKUP($C137,'genotype metadata'!$C$2:$M$156,10,FALSE)</f>
        <v>#N/A</v>
      </c>
      <c r="R137" s="13" t="str">
        <f>VLOOKUP($C137,'genotype metadata'!$C$2:$M$156,11,FALSE)</f>
        <v>#N/A</v>
      </c>
      <c r="S137" s="12">
        <v>0.052991773</v>
      </c>
      <c r="T137" s="12">
        <v>0.006612613</v>
      </c>
      <c r="U137" s="12">
        <v>0.066427294</v>
      </c>
      <c r="V137" s="12">
        <v>0.873968321</v>
      </c>
    </row>
    <row r="138">
      <c r="A138" s="9" t="s">
        <v>308</v>
      </c>
      <c r="B138" s="9" t="s">
        <v>23</v>
      </c>
      <c r="C138" s="9" t="s">
        <v>309</v>
      </c>
      <c r="D138" s="9" t="s">
        <v>240</v>
      </c>
      <c r="E138" s="9" t="s">
        <v>25</v>
      </c>
      <c r="F138" s="10">
        <v>137.0</v>
      </c>
      <c r="G138" s="10"/>
      <c r="H138" s="10">
        <v>2.7469444E7</v>
      </c>
      <c r="I138" s="10">
        <v>1.9595575E7</v>
      </c>
      <c r="J138" s="11">
        <v>0.7133589962723672</v>
      </c>
      <c r="K138" s="12">
        <v>845.0</v>
      </c>
      <c r="L138" s="12" t="s">
        <v>36</v>
      </c>
      <c r="M138" s="13" t="str">
        <f>VLOOKUP($C138,'genotype metadata'!$C$2:$M$156,6,FALSE)</f>
        <v>KWN</v>
      </c>
      <c r="N138" s="13" t="str">
        <f>VLOOKUP($C138,'genotype metadata'!$C$2:$M$156,7,FALSE)</f>
        <v>N</v>
      </c>
      <c r="O138" s="13">
        <f>VLOOKUP($C138,'genotype metadata'!$C$2:$M$156,8,FALSE)</f>
        <v>24.55107</v>
      </c>
      <c r="P138" s="13">
        <f>VLOOKUP($C138,'genotype metadata'!$C$2:$M$156,9,FALSE)</f>
        <v>-81.80805</v>
      </c>
      <c r="Q138" s="13" t="str">
        <f>VLOOKUP($C138,'genotype metadata'!$C$2:$M$156,10,FALSE)</f>
        <v>2010-2017</v>
      </c>
      <c r="R138" s="13" t="str">
        <f>VLOOKUP($C138,'genotype metadata'!$C$2:$M$156,11,FALSE)</f>
        <v>Mote</v>
      </c>
      <c r="S138" s="12">
        <v>0.006060904</v>
      </c>
      <c r="T138" s="12">
        <v>0.001255664</v>
      </c>
      <c r="U138" s="12">
        <v>0.005600768</v>
      </c>
      <c r="V138" s="12">
        <v>0.987082664</v>
      </c>
    </row>
    <row r="139">
      <c r="A139" s="9" t="s">
        <v>310</v>
      </c>
      <c r="B139" s="9" t="s">
        <v>23</v>
      </c>
      <c r="C139" s="9" t="s">
        <v>311</v>
      </c>
      <c r="D139" s="9" t="s">
        <v>311</v>
      </c>
      <c r="E139" s="9" t="s">
        <v>25</v>
      </c>
      <c r="F139" s="10">
        <v>138.0</v>
      </c>
      <c r="G139" s="10"/>
      <c r="H139" s="10">
        <v>2.0487376E7</v>
      </c>
      <c r="I139" s="10">
        <v>1.0026062E7</v>
      </c>
      <c r="J139" s="11">
        <v>0.4893775562082719</v>
      </c>
      <c r="K139" s="12">
        <v>2590.0</v>
      </c>
      <c r="L139" s="13"/>
      <c r="M139" s="13" t="str">
        <f>VLOOKUP($C139,'genotype metadata'!$C$2:$M$156,6,FALSE)</f>
        <v>H</v>
      </c>
      <c r="N139" s="13" t="str">
        <f>VLOOKUP($C139,'genotype metadata'!$C$2:$M$156,7,FALSE)</f>
        <v>N</v>
      </c>
      <c r="O139" s="13">
        <f>VLOOKUP($C139,'genotype metadata'!$C$2:$M$156,8,FALSE)</f>
        <v>25.139367</v>
      </c>
      <c r="P139" s="13">
        <f>VLOOKUP($C139,'genotype metadata'!$C$2:$M$156,9,FALSE)</f>
        <v>-80.294017</v>
      </c>
      <c r="Q139" s="13" t="str">
        <f>VLOOKUP($C139,'genotype metadata'!$C$2:$M$156,10,FALSE)</f>
        <v>2015 batch</v>
      </c>
      <c r="R139" s="13" t="str">
        <f>VLOOKUP($C139,'genotype metadata'!$C$2:$M$156,11,FALSE)</f>
        <v>Margaret Miller</v>
      </c>
      <c r="S139" s="12">
        <v>0.113962431</v>
      </c>
      <c r="T139" s="12">
        <v>0.014677711</v>
      </c>
      <c r="U139" s="12">
        <v>0.09731391</v>
      </c>
      <c r="V139" s="12">
        <v>0.774045949</v>
      </c>
    </row>
    <row r="140">
      <c r="A140" s="9" t="s">
        <v>312</v>
      </c>
      <c r="B140" s="9" t="s">
        <v>23</v>
      </c>
      <c r="C140" s="9" t="s">
        <v>313</v>
      </c>
      <c r="D140" s="9" t="s">
        <v>313</v>
      </c>
      <c r="E140" s="9" t="s">
        <v>25</v>
      </c>
      <c r="F140" s="10">
        <v>139.0</v>
      </c>
      <c r="G140" s="10"/>
      <c r="H140" s="10">
        <v>2.4811872E7</v>
      </c>
      <c r="I140" s="10">
        <v>7059618.0</v>
      </c>
      <c r="J140" s="11">
        <v>0.28452581086989326</v>
      </c>
      <c r="K140" s="12">
        <v>3965.0</v>
      </c>
      <c r="L140" s="13"/>
      <c r="M140" s="13" t="str">
        <f>VLOOKUP($C140,'genotype metadata'!$C$2:$M$156,6,FALSE)</f>
        <v>#N/A</v>
      </c>
      <c r="N140" s="13" t="str">
        <f>VLOOKUP($C140,'genotype metadata'!$C$2:$M$156,7,FALSE)</f>
        <v>#N/A</v>
      </c>
      <c r="O140" s="13" t="str">
        <f>VLOOKUP($C140,'genotype metadata'!$C$2:$M$156,8,FALSE)</f>
        <v>#N/A</v>
      </c>
      <c r="P140" s="13" t="str">
        <f>VLOOKUP($C140,'genotype metadata'!$C$2:$M$156,9,FALSE)</f>
        <v>#N/A</v>
      </c>
      <c r="Q140" s="13" t="str">
        <f>VLOOKUP($C140,'genotype metadata'!$C$2:$M$156,10,FALSE)</f>
        <v>#N/A</v>
      </c>
      <c r="R140" s="13" t="str">
        <f>VLOOKUP($C140,'genotype metadata'!$C$2:$M$156,11,FALSE)</f>
        <v>#N/A</v>
      </c>
      <c r="S140" s="12">
        <v>0.096881641</v>
      </c>
      <c r="T140" s="12">
        <v>0.01126364</v>
      </c>
      <c r="U140" s="12">
        <v>0.054662547</v>
      </c>
      <c r="V140" s="12">
        <v>0.837192173</v>
      </c>
    </row>
    <row r="141">
      <c r="A141" s="9" t="s">
        <v>314</v>
      </c>
      <c r="B141" s="9" t="s">
        <v>23</v>
      </c>
      <c r="C141" s="9" t="s">
        <v>315</v>
      </c>
      <c r="D141" s="9" t="s">
        <v>315</v>
      </c>
      <c r="E141" s="9" t="s">
        <v>25</v>
      </c>
      <c r="F141" s="10">
        <v>154.0</v>
      </c>
      <c r="G141" s="10"/>
      <c r="H141" s="10">
        <v>2.8071666E7</v>
      </c>
      <c r="I141" s="10">
        <v>2.1319553E7</v>
      </c>
      <c r="J141" s="11">
        <v>0.7594687468852045</v>
      </c>
      <c r="K141" s="12">
        <v>572.0</v>
      </c>
      <c r="L141" s="12" t="s">
        <v>36</v>
      </c>
      <c r="M141" s="13" t="str">
        <f>VLOOKUP($C141,'genotype metadata'!$C$2:$M$156,6,FALSE)</f>
        <v>KWN</v>
      </c>
      <c r="N141" s="13" t="str">
        <f>VLOOKUP($C141,'genotype metadata'!$C$2:$M$156,7,FALSE)</f>
        <v>N</v>
      </c>
      <c r="O141" s="13">
        <f>VLOOKUP($C141,'genotype metadata'!$C$2:$M$156,8,FALSE)</f>
        <v>24.55107</v>
      </c>
      <c r="P141" s="13">
        <f>VLOOKUP($C141,'genotype metadata'!$C$2:$M$156,9,FALSE)</f>
        <v>-81.80805</v>
      </c>
      <c r="Q141" s="13" t="str">
        <f>VLOOKUP($C141,'genotype metadata'!$C$2:$M$156,10,FALSE)</f>
        <v>2010-2017</v>
      </c>
      <c r="R141" s="13" t="str">
        <f>VLOOKUP($C141,'genotype metadata'!$C$2:$M$156,11,FALSE)</f>
        <v>Mote</v>
      </c>
      <c r="S141" s="12">
        <v>0.019698278</v>
      </c>
      <c r="T141" s="12">
        <v>0.003484778</v>
      </c>
      <c r="U141" s="12">
        <v>0.018981977</v>
      </c>
      <c r="V141" s="12">
        <v>0.957834967</v>
      </c>
    </row>
    <row r="142">
      <c r="A142" s="9" t="s">
        <v>316</v>
      </c>
      <c r="B142" s="9" t="s">
        <v>23</v>
      </c>
      <c r="C142" s="9" t="s">
        <v>317</v>
      </c>
      <c r="D142" s="9" t="s">
        <v>317</v>
      </c>
      <c r="E142" s="9" t="s">
        <v>25</v>
      </c>
      <c r="F142" s="10">
        <v>154.0</v>
      </c>
      <c r="G142" s="10"/>
      <c r="H142" s="10">
        <v>2.6699385E7</v>
      </c>
      <c r="I142" s="10">
        <v>1.9958566E7</v>
      </c>
      <c r="J142" s="11">
        <v>0.7475290535718332</v>
      </c>
      <c r="K142" s="12">
        <v>568.0</v>
      </c>
      <c r="L142" s="12" t="s">
        <v>36</v>
      </c>
      <c r="M142" s="13" t="str">
        <f>VLOOKUP($C142,'genotype metadata'!$C$2:$M$156,6,FALSE)</f>
        <v>KWN</v>
      </c>
      <c r="N142" s="13" t="str">
        <f>VLOOKUP($C142,'genotype metadata'!$C$2:$M$156,7,FALSE)</f>
        <v>N</v>
      </c>
      <c r="O142" s="13">
        <f>VLOOKUP($C142,'genotype metadata'!$C$2:$M$156,8,FALSE)</f>
        <v>24.55107</v>
      </c>
      <c r="P142" s="13">
        <f>VLOOKUP($C142,'genotype metadata'!$C$2:$M$156,9,FALSE)</f>
        <v>-81.80805</v>
      </c>
      <c r="Q142" s="13" t="str">
        <f>VLOOKUP($C142,'genotype metadata'!$C$2:$M$156,10,FALSE)</f>
        <v>2010-2017</v>
      </c>
      <c r="R142" s="13" t="str">
        <f>VLOOKUP($C142,'genotype metadata'!$C$2:$M$156,11,FALSE)</f>
        <v>Mote</v>
      </c>
      <c r="S142" s="12">
        <v>0.014628426</v>
      </c>
      <c r="T142" s="12">
        <v>0.002416335</v>
      </c>
      <c r="U142" s="12">
        <v>0.022028557</v>
      </c>
      <c r="V142" s="12">
        <v>0.960926682</v>
      </c>
    </row>
    <row r="143">
      <c r="A143" s="9" t="s">
        <v>318</v>
      </c>
      <c r="B143" s="9" t="s">
        <v>23</v>
      </c>
      <c r="C143" s="9" t="s">
        <v>319</v>
      </c>
      <c r="D143" s="9" t="s">
        <v>320</v>
      </c>
      <c r="E143" s="9" t="s">
        <v>35</v>
      </c>
      <c r="F143" s="10">
        <v>142.0</v>
      </c>
      <c r="G143" s="10"/>
      <c r="H143" s="10">
        <v>2.7735707E7</v>
      </c>
      <c r="I143" s="10">
        <v>1.6734432E7</v>
      </c>
      <c r="J143" s="11">
        <v>0.603353359624112</v>
      </c>
      <c r="K143" s="12">
        <v>1012.0</v>
      </c>
      <c r="L143" s="13"/>
      <c r="M143" s="13" t="str">
        <f>VLOOKUP($C143,'genotype metadata'!$C$2:$M$156,6,FALSE)</f>
        <v>H</v>
      </c>
      <c r="N143" s="13" t="str">
        <f>VLOOKUP($C143,'genotype metadata'!$C$2:$M$156,7,FALSE)</f>
        <v>Y</v>
      </c>
      <c r="O143" s="13">
        <f>VLOOKUP($C143,'genotype metadata'!$C$2:$M$156,8,FALSE)</f>
        <v>25.139367</v>
      </c>
      <c r="P143" s="13">
        <f>VLOOKUP($C143,'genotype metadata'!$C$2:$M$156,9,FALSE)</f>
        <v>-80.294017</v>
      </c>
      <c r="Q143" s="13" t="str">
        <f>VLOOKUP($C143,'genotype metadata'!$C$2:$M$156,10,FALSE)</f>
        <v>2015 batch</v>
      </c>
      <c r="R143" s="13" t="str">
        <f>VLOOKUP($C143,'genotype metadata'!$C$2:$M$156,11,FALSE)</f>
        <v>Margaret Miller</v>
      </c>
      <c r="S143" s="12">
        <v>0.019662317</v>
      </c>
      <c r="T143" s="12">
        <v>0.003825124</v>
      </c>
      <c r="U143" s="12">
        <v>0.026789392</v>
      </c>
      <c r="V143" s="12">
        <v>0.949723167</v>
      </c>
    </row>
    <row r="144">
      <c r="A144" s="9" t="s">
        <v>321</v>
      </c>
      <c r="B144" s="9" t="s">
        <v>23</v>
      </c>
      <c r="C144" s="9" t="s">
        <v>322</v>
      </c>
      <c r="D144" s="9" t="s">
        <v>322</v>
      </c>
      <c r="E144" s="9" t="s">
        <v>25</v>
      </c>
      <c r="F144" s="10">
        <v>143.0</v>
      </c>
      <c r="G144" s="10"/>
      <c r="H144" s="10">
        <v>2.5584813E7</v>
      </c>
      <c r="I144" s="10">
        <v>1.5771784E7</v>
      </c>
      <c r="J144" s="11">
        <v>0.61645101724996</v>
      </c>
      <c r="K144" s="12">
        <v>1112.0</v>
      </c>
      <c r="L144" s="13"/>
      <c r="M144" s="13" t="str">
        <f>VLOOKUP($C144,'genotype metadata'!$C$2:$M$156,6,FALSE)</f>
        <v/>
      </c>
      <c r="N144" s="13" t="str">
        <f>VLOOKUP($C144,'genotype metadata'!$C$2:$M$156,7,FALSE)</f>
        <v>N</v>
      </c>
      <c r="O144" s="13" t="str">
        <f>VLOOKUP($C144,'genotype metadata'!$C$2:$M$156,8,FALSE)</f>
        <v/>
      </c>
      <c r="P144" s="13" t="str">
        <f>VLOOKUP($C144,'genotype metadata'!$C$2:$M$156,9,FALSE)</f>
        <v>NA</v>
      </c>
      <c r="Q144" s="13">
        <f>VLOOKUP($C144,'genotype metadata'!$C$2:$M$156,10,FALSE)</f>
        <v>2015</v>
      </c>
      <c r="R144" s="13" t="str">
        <f>VLOOKUP($C144,'genotype metadata'!$C$2:$M$156,11,FALSE)</f>
        <v/>
      </c>
      <c r="S144" s="12">
        <v>0.032541264</v>
      </c>
      <c r="T144" s="12">
        <v>0.006747338</v>
      </c>
      <c r="U144" s="12">
        <v>0.038646968</v>
      </c>
      <c r="V144" s="12">
        <v>0.922064431</v>
      </c>
    </row>
    <row r="145">
      <c r="A145" s="9" t="s">
        <v>323</v>
      </c>
      <c r="B145" s="9" t="s">
        <v>23</v>
      </c>
      <c r="C145" s="15" t="s">
        <v>324</v>
      </c>
      <c r="D145" s="15" t="s">
        <v>324</v>
      </c>
      <c r="E145" s="9" t="s">
        <v>25</v>
      </c>
      <c r="F145" s="10">
        <v>144.0</v>
      </c>
      <c r="G145" s="10"/>
      <c r="H145" s="10">
        <v>2.5164474E7</v>
      </c>
      <c r="I145" s="10">
        <v>1.9620755E7</v>
      </c>
      <c r="J145" s="11">
        <v>0.7797005810651954</v>
      </c>
      <c r="K145" s="12">
        <v>810.0</v>
      </c>
      <c r="L145" s="13"/>
      <c r="M145" s="13" t="str">
        <f>VLOOKUP($C145,'genotype metadata'!$C$2:$M$156,6,FALSE)</f>
        <v>#N/A</v>
      </c>
      <c r="N145" s="13" t="str">
        <f>VLOOKUP($C145,'genotype metadata'!$C$2:$M$156,7,FALSE)</f>
        <v>#N/A</v>
      </c>
      <c r="O145" s="13" t="str">
        <f>VLOOKUP($C145,'genotype metadata'!$C$2:$M$156,8,FALSE)</f>
        <v>#N/A</v>
      </c>
      <c r="P145" s="13" t="str">
        <f>VLOOKUP($C145,'genotype metadata'!$C$2:$M$156,9,FALSE)</f>
        <v>#N/A</v>
      </c>
      <c r="Q145" s="13" t="str">
        <f>VLOOKUP($C145,'genotype metadata'!$C$2:$M$156,10,FALSE)</f>
        <v>#N/A</v>
      </c>
      <c r="R145" s="13" t="str">
        <f>VLOOKUP($C145,'genotype metadata'!$C$2:$M$156,11,FALSE)</f>
        <v>#N/A</v>
      </c>
      <c r="S145" s="12">
        <v>0.121320719</v>
      </c>
      <c r="T145" s="12">
        <v>0.020415233</v>
      </c>
      <c r="U145" s="12">
        <v>0.118782253</v>
      </c>
      <c r="V145" s="12">
        <v>0.739481795</v>
      </c>
    </row>
    <row r="146">
      <c r="A146" s="9" t="s">
        <v>325</v>
      </c>
      <c r="B146" s="9" t="s">
        <v>23</v>
      </c>
      <c r="C146" s="9" t="s">
        <v>139</v>
      </c>
      <c r="D146" s="9" t="s">
        <v>139</v>
      </c>
      <c r="E146" s="9" t="s">
        <v>25</v>
      </c>
      <c r="F146" s="10">
        <v>145.0</v>
      </c>
      <c r="G146" s="10"/>
      <c r="H146" s="10">
        <v>1.9491793E7</v>
      </c>
      <c r="I146" s="10">
        <v>1.1592776E7</v>
      </c>
      <c r="J146" s="11">
        <v>0.5947516475267308</v>
      </c>
      <c r="K146" s="12">
        <v>2708.0</v>
      </c>
      <c r="L146" s="13"/>
      <c r="M146" s="13" t="str">
        <f>VLOOKUP($C146,'genotype metadata'!$C$2:$M$156,6,FALSE)</f>
        <v>H</v>
      </c>
      <c r="N146" s="13" t="str">
        <f>VLOOKUP($C146,'genotype metadata'!$C$2:$M$156,7,FALSE)</f>
        <v>Y</v>
      </c>
      <c r="O146" s="13">
        <f>VLOOKUP($C146,'genotype metadata'!$C$2:$M$156,8,FALSE)</f>
        <v>25.139367</v>
      </c>
      <c r="P146" s="13">
        <f>VLOOKUP($C146,'genotype metadata'!$C$2:$M$156,9,FALSE)</f>
        <v>-80.294017</v>
      </c>
      <c r="Q146" s="13">
        <f>VLOOKUP($C146,'genotype metadata'!$C$2:$M$156,10,FALSE)</f>
        <v>2015</v>
      </c>
      <c r="R146" s="13" t="str">
        <f>VLOOKUP($C146,'genotype metadata'!$C$2:$M$156,11,FALSE)</f>
        <v>Margaret Miller</v>
      </c>
      <c r="S146" s="12">
        <v>0.104897701</v>
      </c>
      <c r="T146" s="12">
        <v>0.031444359</v>
      </c>
      <c r="U146" s="12">
        <v>0.160520198</v>
      </c>
      <c r="V146" s="12">
        <v>0.703137742</v>
      </c>
    </row>
    <row r="147">
      <c r="A147" s="9" t="s">
        <v>326</v>
      </c>
      <c r="B147" s="9" t="s">
        <v>23</v>
      </c>
      <c r="C147" s="9" t="s">
        <v>327</v>
      </c>
      <c r="D147" s="9" t="s">
        <v>327</v>
      </c>
      <c r="E147" s="9" t="s">
        <v>25</v>
      </c>
      <c r="F147" s="10">
        <v>146.0</v>
      </c>
      <c r="G147" s="10"/>
      <c r="H147" s="10">
        <v>2.4231096E7</v>
      </c>
      <c r="I147" s="10">
        <v>5274781.0</v>
      </c>
      <c r="J147" s="11">
        <v>0.2176864389460551</v>
      </c>
      <c r="K147" s="12">
        <v>5194.0</v>
      </c>
      <c r="L147" s="13"/>
      <c r="M147" s="13" t="str">
        <f>VLOOKUP($C147,'genotype metadata'!$C$2:$M$156,6,FALSE)</f>
        <v>H</v>
      </c>
      <c r="N147" s="13" t="str">
        <f>VLOOKUP($C147,'genotype metadata'!$C$2:$M$156,7,FALSE)</f>
        <v>N</v>
      </c>
      <c r="O147" s="13">
        <f>VLOOKUP($C147,'genotype metadata'!$C$2:$M$156,8,FALSE)</f>
        <v>25.139367</v>
      </c>
      <c r="P147" s="13">
        <f>VLOOKUP($C147,'genotype metadata'!$C$2:$M$156,9,FALSE)</f>
        <v>-80.294017</v>
      </c>
      <c r="Q147" s="13" t="str">
        <f>VLOOKUP($C147,'genotype metadata'!$C$2:$M$156,10,FALSE)</f>
        <v>2015 batch</v>
      </c>
      <c r="R147" s="13" t="str">
        <f>VLOOKUP($C147,'genotype metadata'!$C$2:$M$156,11,FALSE)</f>
        <v>Margaret Miller</v>
      </c>
      <c r="S147" s="12">
        <v>0.139846183</v>
      </c>
      <c r="T147" s="12">
        <v>0.057707197</v>
      </c>
      <c r="U147" s="12">
        <v>0.23168046</v>
      </c>
      <c r="V147" s="12">
        <v>0.57076616</v>
      </c>
    </row>
    <row r="148">
      <c r="A148" s="9" t="s">
        <v>328</v>
      </c>
      <c r="B148" s="9" t="s">
        <v>23</v>
      </c>
      <c r="C148" s="9" t="s">
        <v>329</v>
      </c>
      <c r="D148" s="9" t="s">
        <v>58</v>
      </c>
      <c r="E148" s="9" t="s">
        <v>25</v>
      </c>
      <c r="F148" s="10">
        <v>147.0</v>
      </c>
      <c r="G148" s="10"/>
      <c r="H148" s="10">
        <v>2.4888321E7</v>
      </c>
      <c r="I148" s="10">
        <v>7981836.0</v>
      </c>
      <c r="J148" s="11">
        <v>0.3207060853964396</v>
      </c>
      <c r="K148" s="12">
        <v>12889.0</v>
      </c>
      <c r="L148" s="13"/>
      <c r="M148" s="13" t="str">
        <f>VLOOKUP($C148,'genotype metadata'!$C$2:$M$156,6,FALSE)</f>
        <v>H</v>
      </c>
      <c r="N148" s="13" t="str">
        <f>VLOOKUP($C148,'genotype metadata'!$C$2:$M$156,7,FALSE)</f>
        <v>N</v>
      </c>
      <c r="O148" s="13">
        <f>VLOOKUP($C148,'genotype metadata'!$C$2:$M$156,8,FALSE)</f>
        <v>25.139367</v>
      </c>
      <c r="P148" s="13">
        <f>VLOOKUP($C148,'genotype metadata'!$C$2:$M$156,9,FALSE)</f>
        <v>-80.294017</v>
      </c>
      <c r="Q148" s="13" t="str">
        <f>VLOOKUP($C148,'genotype metadata'!$C$2:$M$156,10,FALSE)</f>
        <v>2015 batch</v>
      </c>
      <c r="R148" s="13" t="str">
        <f>VLOOKUP($C148,'genotype metadata'!$C$2:$M$156,11,FALSE)</f>
        <v>Margaret Miller</v>
      </c>
      <c r="S148" s="12">
        <v>0.176302005</v>
      </c>
      <c r="T148" s="12">
        <v>0.047100397</v>
      </c>
      <c r="U148" s="12">
        <v>0.120278636</v>
      </c>
      <c r="V148" s="12">
        <v>0.656318962</v>
      </c>
    </row>
    <row r="149">
      <c r="A149" s="9" t="s">
        <v>330</v>
      </c>
      <c r="B149" s="9" t="s">
        <v>23</v>
      </c>
      <c r="C149" s="9" t="s">
        <v>331</v>
      </c>
      <c r="D149" s="9" t="s">
        <v>331</v>
      </c>
      <c r="E149" s="9" t="s">
        <v>25</v>
      </c>
      <c r="F149" s="10">
        <v>148.0</v>
      </c>
      <c r="G149" s="10"/>
      <c r="H149" s="10">
        <v>2.4301969E7</v>
      </c>
      <c r="I149" s="10">
        <v>9718912.0</v>
      </c>
      <c r="J149" s="11">
        <v>0.3999228210685315</v>
      </c>
      <c r="K149" s="12">
        <v>2853.0</v>
      </c>
      <c r="L149" s="13"/>
      <c r="M149" s="13" t="str">
        <f>VLOOKUP($C149,'genotype metadata'!$C$2:$M$156,6,FALSE)</f>
        <v>H</v>
      </c>
      <c r="N149" s="13" t="str">
        <f>VLOOKUP($C149,'genotype metadata'!$C$2:$M$156,7,FALSE)</f>
        <v>N</v>
      </c>
      <c r="O149" s="13">
        <f>VLOOKUP($C149,'genotype metadata'!$C$2:$M$156,8,FALSE)</f>
        <v>25.139367</v>
      </c>
      <c r="P149" s="13">
        <f>VLOOKUP($C149,'genotype metadata'!$C$2:$M$156,9,FALSE)</f>
        <v>-80.294017</v>
      </c>
      <c r="Q149" s="13" t="str">
        <f>VLOOKUP($C149,'genotype metadata'!$C$2:$M$156,10,FALSE)</f>
        <v>2015 batch</v>
      </c>
      <c r="R149" s="13" t="str">
        <f>VLOOKUP($C149,'genotype metadata'!$C$2:$M$156,11,FALSE)</f>
        <v>Margaret Miller</v>
      </c>
      <c r="S149" s="12">
        <v>0.111177486</v>
      </c>
      <c r="T149" s="12">
        <v>0.018955485</v>
      </c>
      <c r="U149" s="12">
        <v>0.327674897</v>
      </c>
      <c r="V149" s="12">
        <v>0.542192132</v>
      </c>
    </row>
    <row r="150">
      <c r="A150" s="9" t="s">
        <v>332</v>
      </c>
      <c r="B150" s="9" t="s">
        <v>23</v>
      </c>
      <c r="C150" s="9" t="s">
        <v>333</v>
      </c>
      <c r="D150" s="9" t="s">
        <v>333</v>
      </c>
      <c r="E150" s="9" t="s">
        <v>25</v>
      </c>
      <c r="F150" s="10">
        <v>149.0</v>
      </c>
      <c r="G150" s="10"/>
      <c r="H150" s="10">
        <v>1.9531786E7</v>
      </c>
      <c r="I150" s="10">
        <v>1.4989483E7</v>
      </c>
      <c r="J150" s="11">
        <v>0.7674404685777327</v>
      </c>
      <c r="K150" s="12">
        <v>1376.0</v>
      </c>
      <c r="L150" s="13"/>
      <c r="M150" s="13" t="str">
        <f>VLOOKUP($C150,'genotype metadata'!$C$2:$M$156,6,FALSE)</f>
        <v>H</v>
      </c>
      <c r="N150" s="13" t="str">
        <f>VLOOKUP($C150,'genotype metadata'!$C$2:$M$156,7,FALSE)</f>
        <v>N</v>
      </c>
      <c r="O150" s="13">
        <f>VLOOKUP($C150,'genotype metadata'!$C$2:$M$156,8,FALSE)</f>
        <v>25.139367</v>
      </c>
      <c r="P150" s="13">
        <f>VLOOKUP($C150,'genotype metadata'!$C$2:$M$156,9,FALSE)</f>
        <v>-80.294017</v>
      </c>
      <c r="Q150" s="13" t="str">
        <f>VLOOKUP($C150,'genotype metadata'!$C$2:$M$156,10,FALSE)</f>
        <v>2015 batch</v>
      </c>
      <c r="R150" s="13" t="str">
        <f>VLOOKUP($C150,'genotype metadata'!$C$2:$M$156,11,FALSE)</f>
        <v>Margaret Miller</v>
      </c>
      <c r="S150" s="12">
        <v>0.009844496</v>
      </c>
      <c r="T150" s="12">
        <v>0.001594142</v>
      </c>
      <c r="U150" s="12">
        <v>0.006563787</v>
      </c>
      <c r="V150" s="12">
        <v>0.981997575</v>
      </c>
    </row>
    <row r="151">
      <c r="A151" s="9" t="s">
        <v>334</v>
      </c>
      <c r="B151" s="9" t="s">
        <v>23</v>
      </c>
      <c r="C151" s="9" t="s">
        <v>335</v>
      </c>
      <c r="D151" s="9" t="s">
        <v>335</v>
      </c>
      <c r="E151" s="9" t="s">
        <v>25</v>
      </c>
      <c r="F151" s="10">
        <v>150.0</v>
      </c>
      <c r="G151" s="10"/>
      <c r="H151" s="10">
        <v>2.41664E7</v>
      </c>
      <c r="I151" s="10">
        <v>1.7330459E7</v>
      </c>
      <c r="J151" s="11">
        <v>0.7171303545418433</v>
      </c>
      <c r="K151" s="12">
        <v>2319.0</v>
      </c>
      <c r="L151" s="13"/>
      <c r="M151" s="13" t="str">
        <f>VLOOKUP($C151,'genotype metadata'!$C$2:$M$156,6,FALSE)</f>
        <v>H</v>
      </c>
      <c r="N151" s="13" t="str">
        <f>VLOOKUP($C151,'genotype metadata'!$C$2:$M$156,7,FALSE)</f>
        <v>N</v>
      </c>
      <c r="O151" s="13">
        <f>VLOOKUP($C151,'genotype metadata'!$C$2:$M$156,8,FALSE)</f>
        <v>25.139367</v>
      </c>
      <c r="P151" s="13">
        <f>VLOOKUP($C151,'genotype metadata'!$C$2:$M$156,9,FALSE)</f>
        <v>-80.294017</v>
      </c>
      <c r="Q151" s="13" t="str">
        <f>VLOOKUP($C151,'genotype metadata'!$C$2:$M$156,10,FALSE)</f>
        <v>2015 batch</v>
      </c>
      <c r="R151" s="13" t="str">
        <f>VLOOKUP($C151,'genotype metadata'!$C$2:$M$156,11,FALSE)</f>
        <v>Margaret Miller</v>
      </c>
      <c r="S151" s="12">
        <v>0.129973993</v>
      </c>
      <c r="T151" s="12">
        <v>0.029061142</v>
      </c>
      <c r="U151" s="12">
        <v>0.196826837</v>
      </c>
      <c r="V151" s="12">
        <v>0.644138027</v>
      </c>
    </row>
    <row r="152">
      <c r="A152" s="9" t="s">
        <v>336</v>
      </c>
      <c r="B152" s="9" t="s">
        <v>23</v>
      </c>
      <c r="C152" s="9" t="s">
        <v>337</v>
      </c>
      <c r="D152" s="9" t="s">
        <v>293</v>
      </c>
      <c r="E152" s="9" t="s">
        <v>25</v>
      </c>
      <c r="F152" s="10">
        <v>151.0</v>
      </c>
      <c r="G152" s="10"/>
      <c r="H152" s="10">
        <v>2.4804399E7</v>
      </c>
      <c r="I152" s="10">
        <v>1.2805732E7</v>
      </c>
      <c r="J152" s="11">
        <v>0.5162685860681405</v>
      </c>
      <c r="K152" s="12">
        <v>7699.0</v>
      </c>
      <c r="L152" s="13"/>
      <c r="M152" s="13" t="str">
        <f>VLOOKUP($C152,'genotype metadata'!$C$2:$M$156,6,FALSE)</f>
        <v>KWN</v>
      </c>
      <c r="N152" s="13" t="str">
        <f>VLOOKUP($C152,'genotype metadata'!$C$2:$M$156,7,FALSE)</f>
        <v>N</v>
      </c>
      <c r="O152" s="13">
        <f>VLOOKUP($C152,'genotype metadata'!$C$2:$M$156,8,FALSE)</f>
        <v>24.55107</v>
      </c>
      <c r="P152" s="13">
        <f>VLOOKUP($C152,'genotype metadata'!$C$2:$M$156,9,FALSE)</f>
        <v>-81.80805</v>
      </c>
      <c r="Q152" s="13" t="str">
        <f>VLOOKUP($C152,'genotype metadata'!$C$2:$M$156,10,FALSE)</f>
        <v>2010-2017</v>
      </c>
      <c r="R152" s="13" t="str">
        <f>VLOOKUP($C152,'genotype metadata'!$C$2:$M$156,11,FALSE)</f>
        <v>Mote</v>
      </c>
      <c r="S152" s="12">
        <v>0.05384978</v>
      </c>
      <c r="T152" s="12">
        <v>0.017252805</v>
      </c>
      <c r="U152" s="12">
        <v>0.064750437</v>
      </c>
      <c r="V152" s="12">
        <v>0.864146979</v>
      </c>
    </row>
    <row r="153">
      <c r="A153" s="9" t="s">
        <v>338</v>
      </c>
      <c r="B153" s="9" t="s">
        <v>23</v>
      </c>
      <c r="C153" s="9" t="s">
        <v>339</v>
      </c>
      <c r="D153" s="9" t="s">
        <v>121</v>
      </c>
      <c r="E153" s="9" t="s">
        <v>25</v>
      </c>
      <c r="F153" s="10">
        <v>152.0</v>
      </c>
      <c r="G153" s="10"/>
      <c r="H153" s="10">
        <v>2.6107356E7</v>
      </c>
      <c r="I153" s="10">
        <v>1.8596329E7</v>
      </c>
      <c r="J153" s="11">
        <v>0.7123022722025164</v>
      </c>
      <c r="K153" s="12">
        <v>836.0</v>
      </c>
      <c r="L153" s="13"/>
      <c r="M153" s="13" t="str">
        <f>VLOOKUP($C153,'genotype metadata'!$C$2:$M$156,6,FALSE)</f>
        <v>KWN</v>
      </c>
      <c r="N153" s="13" t="str">
        <f>VLOOKUP($C153,'genotype metadata'!$C$2:$M$156,7,FALSE)</f>
        <v>Y</v>
      </c>
      <c r="O153" s="13">
        <f>VLOOKUP($C153,'genotype metadata'!$C$2:$M$156,8,FALSE)</f>
        <v>24.55107</v>
      </c>
      <c r="P153" s="13">
        <f>VLOOKUP($C153,'genotype metadata'!$C$2:$M$156,9,FALSE)</f>
        <v>-81.80805</v>
      </c>
      <c r="Q153" s="13" t="str">
        <f>VLOOKUP($C153,'genotype metadata'!$C$2:$M$156,10,FALSE)</f>
        <v>2010-2017</v>
      </c>
      <c r="R153" s="13" t="str">
        <f>VLOOKUP($C153,'genotype metadata'!$C$2:$M$156,11,FALSE)</f>
        <v>Mote</v>
      </c>
      <c r="S153" s="12">
        <v>0.003520121</v>
      </c>
      <c r="T153" s="12">
        <v>8.00492E-4</v>
      </c>
      <c r="U153" s="12">
        <v>0.0023199</v>
      </c>
      <c r="V153" s="12">
        <v>0.993359486</v>
      </c>
    </row>
    <row r="154">
      <c r="A154" s="9" t="s">
        <v>340</v>
      </c>
      <c r="B154" s="9" t="s">
        <v>23</v>
      </c>
      <c r="C154" s="9" t="s">
        <v>214</v>
      </c>
      <c r="D154" s="9" t="s">
        <v>214</v>
      </c>
      <c r="E154" s="9" t="s">
        <v>25</v>
      </c>
      <c r="F154" s="10">
        <v>153.0</v>
      </c>
      <c r="G154" s="10"/>
      <c r="H154" s="10">
        <v>2.6096616E7</v>
      </c>
      <c r="I154" s="10">
        <v>1.6427328E7</v>
      </c>
      <c r="J154" s="11">
        <v>0.6294811557176608</v>
      </c>
      <c r="K154" s="12">
        <v>1343.0</v>
      </c>
      <c r="L154" s="13"/>
      <c r="M154" s="13" t="str">
        <f>VLOOKUP($C154,'genotype metadata'!$C$2:$M$156,6,FALSE)</f>
        <v/>
      </c>
      <c r="N154" s="13" t="str">
        <f>VLOOKUP($C154,'genotype metadata'!$C$2:$M$156,7,FALSE)</f>
        <v>N</v>
      </c>
      <c r="O154" s="13" t="str">
        <f>VLOOKUP($C154,'genotype metadata'!$C$2:$M$156,8,FALSE)</f>
        <v/>
      </c>
      <c r="P154" s="13" t="str">
        <f>VLOOKUP($C154,'genotype metadata'!$C$2:$M$156,9,FALSE)</f>
        <v>NA</v>
      </c>
      <c r="Q154" s="13" t="str">
        <f>VLOOKUP($C154,'genotype metadata'!$C$2:$M$156,10,FALSE)</f>
        <v/>
      </c>
      <c r="R154" s="13" t="str">
        <f>VLOOKUP($C154,'genotype metadata'!$C$2:$M$156,11,FALSE)</f>
        <v/>
      </c>
      <c r="S154" s="12">
        <v>0.11196035</v>
      </c>
      <c r="T154" s="12">
        <v>0.020200755</v>
      </c>
      <c r="U154" s="12">
        <v>0.143632795</v>
      </c>
      <c r="V154" s="12">
        <v>0.724206101</v>
      </c>
    </row>
    <row r="155">
      <c r="A155" s="9" t="s">
        <v>341</v>
      </c>
      <c r="B155" s="9" t="s">
        <v>23</v>
      </c>
      <c r="C155" s="9" t="s">
        <v>199</v>
      </c>
      <c r="D155" s="9" t="s">
        <v>199</v>
      </c>
      <c r="E155" s="9" t="s">
        <v>25</v>
      </c>
      <c r="F155" s="10">
        <v>154.0</v>
      </c>
      <c r="G155" s="10"/>
      <c r="H155" s="10">
        <v>2.5706349E7</v>
      </c>
      <c r="I155" s="10">
        <v>1.9424576E7</v>
      </c>
      <c r="J155" s="11">
        <v>0.755633404027931</v>
      </c>
      <c r="K155" s="12">
        <v>730.0</v>
      </c>
      <c r="L155" s="12" t="s">
        <v>36</v>
      </c>
      <c r="M155" s="13" t="str">
        <f>VLOOKUP($C155,'genotype metadata'!$C$2:$M$156,6,FALSE)</f>
        <v/>
      </c>
      <c r="N155" s="13" t="str">
        <f>VLOOKUP($C155,'genotype metadata'!$C$2:$M$156,7,FALSE)</f>
        <v>N</v>
      </c>
      <c r="O155" s="13" t="str">
        <f>VLOOKUP($C155,'genotype metadata'!$C$2:$M$156,8,FALSE)</f>
        <v/>
      </c>
      <c r="P155" s="13" t="str">
        <f>VLOOKUP($C155,'genotype metadata'!$C$2:$M$156,9,FALSE)</f>
        <v>NA</v>
      </c>
      <c r="Q155" s="13" t="str">
        <f>VLOOKUP($C155,'genotype metadata'!$C$2:$M$156,10,FALSE)</f>
        <v/>
      </c>
      <c r="R155" s="13" t="str">
        <f>VLOOKUP($C155,'genotype metadata'!$C$2:$M$156,11,FALSE)</f>
        <v/>
      </c>
      <c r="S155" s="12">
        <v>0.006609451</v>
      </c>
      <c r="T155" s="12">
        <v>0.001297631</v>
      </c>
      <c r="U155" s="12">
        <v>0.005254535</v>
      </c>
      <c r="V155" s="12">
        <v>0.986838382</v>
      </c>
    </row>
    <row r="156">
      <c r="A156" s="9" t="s">
        <v>342</v>
      </c>
      <c r="B156" s="9" t="s">
        <v>23</v>
      </c>
      <c r="C156" s="9" t="s">
        <v>343</v>
      </c>
      <c r="D156" s="9" t="s">
        <v>343</v>
      </c>
      <c r="E156" s="9" t="s">
        <v>25</v>
      </c>
      <c r="F156" s="10">
        <v>155.0</v>
      </c>
      <c r="G156" s="10"/>
      <c r="H156" s="10">
        <v>2.6672094E7</v>
      </c>
      <c r="I156" s="10">
        <v>1.5993279E7</v>
      </c>
      <c r="J156" s="11">
        <v>0.5996259236338924</v>
      </c>
      <c r="K156" s="12">
        <v>1047.0</v>
      </c>
      <c r="L156" s="13"/>
      <c r="M156" s="13" t="str">
        <f>VLOOKUP($C156,'genotype metadata'!$C$2:$M$156,6,FALSE)</f>
        <v>KWN</v>
      </c>
      <c r="N156" s="13" t="str">
        <f>VLOOKUP($C156,'genotype metadata'!$C$2:$M$156,7,FALSE)</f>
        <v>N</v>
      </c>
      <c r="O156" s="13">
        <f>VLOOKUP($C156,'genotype metadata'!$C$2:$M$156,8,FALSE)</f>
        <v>24.55107</v>
      </c>
      <c r="P156" s="13">
        <f>VLOOKUP($C156,'genotype metadata'!$C$2:$M$156,9,FALSE)</f>
        <v>-81.80805</v>
      </c>
      <c r="Q156" s="13" t="str">
        <f>VLOOKUP($C156,'genotype metadata'!$C$2:$M$156,10,FALSE)</f>
        <v>2010-2017</v>
      </c>
      <c r="R156" s="13" t="str">
        <f>VLOOKUP($C156,'genotype metadata'!$C$2:$M$156,11,FALSE)</f>
        <v>Mote</v>
      </c>
      <c r="S156" s="12">
        <v>0.003707256</v>
      </c>
      <c r="T156" s="12">
        <v>9.02114E-4</v>
      </c>
      <c r="U156" s="12">
        <v>0.00298099</v>
      </c>
      <c r="V156" s="12">
        <v>0.992409639</v>
      </c>
    </row>
    <row r="157">
      <c r="A157" s="9" t="s">
        <v>344</v>
      </c>
      <c r="B157" s="9" t="s">
        <v>23</v>
      </c>
      <c r="C157" s="9" t="s">
        <v>345</v>
      </c>
      <c r="D157" s="9" t="s">
        <v>345</v>
      </c>
      <c r="E157" s="9" t="s">
        <v>25</v>
      </c>
      <c r="F157" s="10">
        <v>156.0</v>
      </c>
      <c r="G157" s="10"/>
      <c r="H157" s="10">
        <v>2.7499805E7</v>
      </c>
      <c r="I157" s="10">
        <v>2.0871891E7</v>
      </c>
      <c r="J157" s="11">
        <v>0.7589832364265856</v>
      </c>
      <c r="K157" s="12">
        <v>718.0</v>
      </c>
      <c r="L157" s="13"/>
      <c r="M157" s="13" t="str">
        <f>VLOOKUP($C157,'genotype metadata'!$C$2:$M$156,6,FALSE)</f>
        <v/>
      </c>
      <c r="N157" s="13" t="str">
        <f>VLOOKUP($C157,'genotype metadata'!$C$2:$M$156,7,FALSE)</f>
        <v>N</v>
      </c>
      <c r="O157" s="13" t="str">
        <f>VLOOKUP($C157,'genotype metadata'!$C$2:$M$156,8,FALSE)</f>
        <v/>
      </c>
      <c r="P157" s="13" t="str">
        <f>VLOOKUP($C157,'genotype metadata'!$C$2:$M$156,9,FALSE)</f>
        <v>NA</v>
      </c>
      <c r="Q157" s="13">
        <f>VLOOKUP($C157,'genotype metadata'!$C$2:$M$156,10,FALSE)</f>
        <v>2015</v>
      </c>
      <c r="R157" s="13" t="str">
        <f>VLOOKUP($C157,'genotype metadata'!$C$2:$M$156,11,FALSE)</f>
        <v/>
      </c>
      <c r="S157" s="12">
        <v>0.006706591</v>
      </c>
      <c r="T157" s="12">
        <v>0.001665617</v>
      </c>
      <c r="U157" s="12">
        <v>0.005857691</v>
      </c>
      <c r="V157" s="12">
        <v>0.985770101</v>
      </c>
    </row>
    <row r="158">
      <c r="A158" s="9" t="s">
        <v>346</v>
      </c>
      <c r="B158" s="9" t="s">
        <v>23</v>
      </c>
      <c r="C158" s="9" t="s">
        <v>347</v>
      </c>
      <c r="D158" s="9" t="s">
        <v>347</v>
      </c>
      <c r="E158" s="9" t="s">
        <v>25</v>
      </c>
      <c r="F158" s="10">
        <v>130.0</v>
      </c>
      <c r="G158" s="10"/>
      <c r="H158" s="10">
        <v>4.6974509E7</v>
      </c>
      <c r="I158" s="10">
        <v>2.8444683E7</v>
      </c>
      <c r="J158" s="11">
        <v>0.6055344399661527</v>
      </c>
      <c r="K158" s="12">
        <v>629.0</v>
      </c>
      <c r="L158" s="12" t="s">
        <v>36</v>
      </c>
      <c r="M158" s="13" t="str">
        <f>VLOOKUP($C158,'genotype metadata'!$C$2:$M$156,6,FALSE)</f>
        <v>#N/A</v>
      </c>
      <c r="N158" s="13" t="str">
        <f>VLOOKUP($C158,'genotype metadata'!$C$2:$M$156,7,FALSE)</f>
        <v>#N/A</v>
      </c>
      <c r="O158" s="13" t="str">
        <f>VLOOKUP($C158,'genotype metadata'!$C$2:$M$156,8,FALSE)</f>
        <v>#N/A</v>
      </c>
      <c r="P158" s="13" t="str">
        <f>VLOOKUP($C158,'genotype metadata'!$C$2:$M$156,9,FALSE)</f>
        <v>#N/A</v>
      </c>
      <c r="Q158" s="13" t="str">
        <f>VLOOKUP($C158,'genotype metadata'!$C$2:$M$156,10,FALSE)</f>
        <v>#N/A</v>
      </c>
      <c r="R158" s="13" t="str">
        <f>VLOOKUP($C158,'genotype metadata'!$C$2:$M$156,11,FALSE)</f>
        <v>#N/A</v>
      </c>
      <c r="S158" s="12">
        <v>0.004616841</v>
      </c>
      <c r="T158" s="12">
        <v>0.001101703</v>
      </c>
      <c r="U158" s="12">
        <v>0.003776901</v>
      </c>
      <c r="V158" s="12">
        <v>0.990504555</v>
      </c>
    </row>
    <row r="159">
      <c r="A159" s="9" t="s">
        <v>348</v>
      </c>
      <c r="B159" s="9" t="s">
        <v>23</v>
      </c>
      <c r="C159" s="9" t="s">
        <v>349</v>
      </c>
      <c r="D159" s="9" t="s">
        <v>349</v>
      </c>
      <c r="E159" s="9" t="s">
        <v>25</v>
      </c>
      <c r="F159" s="10">
        <v>158.0</v>
      </c>
      <c r="G159" s="10"/>
      <c r="H159" s="10">
        <v>6.8177364E7</v>
      </c>
      <c r="I159" s="10">
        <v>3.9183609E7</v>
      </c>
      <c r="J159" s="11">
        <v>0.5747304779926663</v>
      </c>
      <c r="K159" s="12">
        <v>513.0</v>
      </c>
      <c r="L159" s="13"/>
      <c r="M159" s="13" t="str">
        <f>VLOOKUP($C159,'genotype metadata'!$C$2:$M$156,6,FALSE)</f>
        <v>H</v>
      </c>
      <c r="N159" s="13" t="str">
        <f>VLOOKUP($C159,'genotype metadata'!$C$2:$M$156,7,FALSE)</f>
        <v>N</v>
      </c>
      <c r="O159" s="13">
        <f>VLOOKUP($C159,'genotype metadata'!$C$2:$M$156,8,FALSE)</f>
        <v>25.139367</v>
      </c>
      <c r="P159" s="13">
        <f>VLOOKUP($C159,'genotype metadata'!$C$2:$M$156,9,FALSE)</f>
        <v>-80.294017</v>
      </c>
      <c r="Q159" s="13" t="str">
        <f>VLOOKUP($C159,'genotype metadata'!$C$2:$M$156,10,FALSE)</f>
        <v>2015 batch</v>
      </c>
      <c r="R159" s="13" t="str">
        <f>VLOOKUP($C159,'genotype metadata'!$C$2:$M$156,11,FALSE)</f>
        <v>Margaret Miller</v>
      </c>
      <c r="S159" s="12">
        <v>0.006453805</v>
      </c>
      <c r="T159" s="12">
        <v>0.00166374</v>
      </c>
      <c r="U159" s="12">
        <v>0.007836278</v>
      </c>
      <c r="V159" s="12">
        <v>0.984046178</v>
      </c>
    </row>
    <row r="160">
      <c r="A160" s="9" t="s">
        <v>350</v>
      </c>
      <c r="B160" s="9" t="s">
        <v>23</v>
      </c>
      <c r="C160" s="9" t="s">
        <v>351</v>
      </c>
      <c r="D160" s="9" t="s">
        <v>351</v>
      </c>
      <c r="E160" s="9" t="s">
        <v>25</v>
      </c>
      <c r="F160" s="10">
        <v>159.0</v>
      </c>
      <c r="G160" s="10"/>
      <c r="H160" s="10">
        <v>4.4228032E7</v>
      </c>
      <c r="I160" s="10">
        <v>2.9508821E7</v>
      </c>
      <c r="J160" s="11">
        <v>0.667197242689885</v>
      </c>
      <c r="K160" s="12">
        <v>503.0</v>
      </c>
      <c r="L160" s="13"/>
      <c r="M160" s="13" t="str">
        <f>VLOOKUP($C160,'genotype metadata'!$C$2:$M$156,6,FALSE)</f>
        <v>H</v>
      </c>
      <c r="N160" s="13" t="str">
        <f>VLOOKUP($C160,'genotype metadata'!$C$2:$M$156,7,FALSE)</f>
        <v>N</v>
      </c>
      <c r="O160" s="13">
        <f>VLOOKUP($C160,'genotype metadata'!$C$2:$M$156,8,FALSE)</f>
        <v>25.139367</v>
      </c>
      <c r="P160" s="13">
        <f>VLOOKUP($C160,'genotype metadata'!$C$2:$M$156,9,FALSE)</f>
        <v>-80.294017</v>
      </c>
      <c r="Q160" s="13" t="str">
        <f>VLOOKUP($C160,'genotype metadata'!$C$2:$M$156,10,FALSE)</f>
        <v>2015 batch</v>
      </c>
      <c r="R160" s="13" t="str">
        <f>VLOOKUP($C160,'genotype metadata'!$C$2:$M$156,11,FALSE)</f>
        <v>Margaret Miller</v>
      </c>
      <c r="S160" s="12">
        <v>0.004896774</v>
      </c>
      <c r="T160" s="12">
        <v>0.001172471</v>
      </c>
      <c r="U160" s="12">
        <v>0.006087535</v>
      </c>
      <c r="V160" s="12">
        <v>0.98784322</v>
      </c>
    </row>
    <row r="161">
      <c r="A161" s="9" t="s">
        <v>352</v>
      </c>
      <c r="B161" s="9" t="s">
        <v>23</v>
      </c>
      <c r="C161" s="9" t="s">
        <v>143</v>
      </c>
      <c r="D161" s="9" t="s">
        <v>353</v>
      </c>
      <c r="E161" s="9" t="s">
        <v>35</v>
      </c>
      <c r="F161" s="10">
        <v>57.0</v>
      </c>
      <c r="G161" s="10" t="s">
        <v>354</v>
      </c>
      <c r="H161" s="10">
        <v>5.1002107E7</v>
      </c>
      <c r="I161" s="10">
        <v>3.2359965E7</v>
      </c>
      <c r="J161" s="11">
        <v>0.6344829047945019</v>
      </c>
      <c r="K161" s="12">
        <v>581.0</v>
      </c>
      <c r="L161" s="13"/>
      <c r="M161" s="13" t="str">
        <f>VLOOKUP($C161,'genotype metadata'!$C$2:$M$156,6,FALSE)</f>
        <v>KWN</v>
      </c>
      <c r="N161" s="13" t="str">
        <f>VLOOKUP($C161,'genotype metadata'!$C$2:$M$156,7,FALSE)</f>
        <v>N</v>
      </c>
      <c r="O161" s="13">
        <f>VLOOKUP($C161,'genotype metadata'!$C$2:$M$156,8,FALSE)</f>
        <v>24.55107</v>
      </c>
      <c r="P161" s="13">
        <f>VLOOKUP($C161,'genotype metadata'!$C$2:$M$156,9,FALSE)</f>
        <v>-81.80805</v>
      </c>
      <c r="Q161" s="13" t="str">
        <f>VLOOKUP($C161,'genotype metadata'!$C$2:$M$156,10,FALSE)</f>
        <v>2010-2017</v>
      </c>
      <c r="R161" s="13" t="str">
        <f>VLOOKUP($C161,'genotype metadata'!$C$2:$M$156,11,FALSE)</f>
        <v>Mote</v>
      </c>
      <c r="S161" s="12">
        <v>0.004363571</v>
      </c>
      <c r="T161" s="12">
        <v>0.001081669</v>
      </c>
      <c r="U161" s="12">
        <v>0.005570187</v>
      </c>
      <c r="V161" s="12">
        <v>0.988984573</v>
      </c>
    </row>
    <row r="162">
      <c r="A162" s="9" t="s">
        <v>355</v>
      </c>
      <c r="B162" s="9" t="s">
        <v>23</v>
      </c>
      <c r="C162" s="9" t="s">
        <v>356</v>
      </c>
      <c r="D162" s="9" t="s">
        <v>356</v>
      </c>
      <c r="E162" s="9" t="s">
        <v>25</v>
      </c>
      <c r="F162" s="10">
        <v>154.0</v>
      </c>
      <c r="G162" s="10"/>
      <c r="H162" s="10">
        <v>4.8017234E7</v>
      </c>
      <c r="I162" s="10">
        <v>3.0716268E7</v>
      </c>
      <c r="J162" s="11">
        <v>0.6396925737121801</v>
      </c>
      <c r="K162" s="12">
        <v>477.0</v>
      </c>
      <c r="L162" s="13"/>
      <c r="M162" s="13" t="str">
        <f>VLOOKUP($C162,'genotype metadata'!$C$2:$M$156,6,FALSE)</f>
        <v>#N/A</v>
      </c>
      <c r="N162" s="13" t="str">
        <f>VLOOKUP($C162,'genotype metadata'!$C$2:$M$156,7,FALSE)</f>
        <v>#N/A</v>
      </c>
      <c r="O162" s="13" t="str">
        <f>VLOOKUP($C162,'genotype metadata'!$C$2:$M$156,8,FALSE)</f>
        <v>#N/A</v>
      </c>
      <c r="P162" s="13" t="str">
        <f>VLOOKUP($C162,'genotype metadata'!$C$2:$M$156,9,FALSE)</f>
        <v>#N/A</v>
      </c>
      <c r="Q162" s="13" t="str">
        <f>VLOOKUP($C162,'genotype metadata'!$C$2:$M$156,10,FALSE)</f>
        <v>#N/A</v>
      </c>
      <c r="R162" s="13" t="str">
        <f>VLOOKUP($C162,'genotype metadata'!$C$2:$M$156,11,FALSE)</f>
        <v>#N/A</v>
      </c>
      <c r="S162" s="12">
        <v>0.00680055</v>
      </c>
      <c r="T162" s="12">
        <v>0.001569926</v>
      </c>
      <c r="U162" s="12">
        <v>0.01195689</v>
      </c>
      <c r="V162" s="12">
        <v>0.979672634</v>
      </c>
    </row>
    <row r="163">
      <c r="A163" s="9" t="s">
        <v>357</v>
      </c>
      <c r="B163" s="9" t="s">
        <v>23</v>
      </c>
      <c r="C163" s="9" t="s">
        <v>358</v>
      </c>
      <c r="D163" s="9" t="s">
        <v>358</v>
      </c>
      <c r="E163" s="9" t="s">
        <v>25</v>
      </c>
      <c r="F163" s="10">
        <v>154.0</v>
      </c>
      <c r="G163" s="10"/>
      <c r="H163" s="10">
        <v>3.7172221E7</v>
      </c>
      <c r="I163" s="10">
        <v>2.242386E7</v>
      </c>
      <c r="J163" s="11">
        <v>0.6032424051282811</v>
      </c>
      <c r="K163" s="12">
        <v>578.0</v>
      </c>
      <c r="L163" s="12" t="s">
        <v>36</v>
      </c>
      <c r="M163" s="13" t="str">
        <f>VLOOKUP($C163,'genotype metadata'!$C$2:$M$156,6,FALSE)</f>
        <v>#N/A</v>
      </c>
      <c r="N163" s="13" t="str">
        <f>VLOOKUP($C163,'genotype metadata'!$C$2:$M$156,7,FALSE)</f>
        <v>#N/A</v>
      </c>
      <c r="O163" s="13" t="str">
        <f>VLOOKUP($C163,'genotype metadata'!$C$2:$M$156,8,FALSE)</f>
        <v>#N/A</v>
      </c>
      <c r="P163" s="13" t="str">
        <f>VLOOKUP($C163,'genotype metadata'!$C$2:$M$156,9,FALSE)</f>
        <v>#N/A</v>
      </c>
      <c r="Q163" s="13" t="str">
        <f>VLOOKUP($C163,'genotype metadata'!$C$2:$M$156,10,FALSE)</f>
        <v>#N/A</v>
      </c>
      <c r="R163" s="13" t="str">
        <f>VLOOKUP($C163,'genotype metadata'!$C$2:$M$156,11,FALSE)</f>
        <v>#N/A</v>
      </c>
      <c r="S163" s="12">
        <v>0.006597538</v>
      </c>
      <c r="T163" s="12">
        <v>0.001561551</v>
      </c>
      <c r="U163" s="12">
        <v>0.024356581</v>
      </c>
      <c r="V163" s="12">
        <v>0.96748433</v>
      </c>
    </row>
    <row r="164">
      <c r="A164" s="9" t="s">
        <v>359</v>
      </c>
      <c r="B164" s="9" t="s">
        <v>23</v>
      </c>
      <c r="C164" s="9" t="s">
        <v>360</v>
      </c>
      <c r="D164" s="9" t="s">
        <v>360</v>
      </c>
      <c r="E164" s="9" t="s">
        <v>25</v>
      </c>
      <c r="F164" s="10">
        <v>72.0</v>
      </c>
      <c r="G164" s="10"/>
      <c r="H164" s="10">
        <v>4.064669E7</v>
      </c>
      <c r="I164" s="10">
        <v>2.2332555E7</v>
      </c>
      <c r="J164" s="11">
        <v>0.5494310852864034</v>
      </c>
      <c r="K164" s="12">
        <v>743.0</v>
      </c>
      <c r="L164" s="13"/>
      <c r="M164" s="13" t="str">
        <f>VLOOKUP($C164,'genotype metadata'!$C$2:$M$156,6,FALSE)</f>
        <v>#N/A</v>
      </c>
      <c r="N164" s="13" t="str">
        <f>VLOOKUP($C164,'genotype metadata'!$C$2:$M$156,7,FALSE)</f>
        <v>#N/A</v>
      </c>
      <c r="O164" s="13" t="str">
        <f>VLOOKUP($C164,'genotype metadata'!$C$2:$M$156,8,FALSE)</f>
        <v>#N/A</v>
      </c>
      <c r="P164" s="13" t="str">
        <f>VLOOKUP($C164,'genotype metadata'!$C$2:$M$156,9,FALSE)</f>
        <v>#N/A</v>
      </c>
      <c r="Q164" s="13" t="str">
        <f>VLOOKUP($C164,'genotype metadata'!$C$2:$M$156,10,FALSE)</f>
        <v>#N/A</v>
      </c>
      <c r="R164" s="13" t="str">
        <f>VLOOKUP($C164,'genotype metadata'!$C$2:$M$156,11,FALSE)</f>
        <v>#N/A</v>
      </c>
      <c r="S164" s="12">
        <v>0.004789371</v>
      </c>
      <c r="T164" s="12">
        <v>0.001269878</v>
      </c>
      <c r="U164" s="12">
        <v>0.009800942</v>
      </c>
      <c r="V164" s="12">
        <v>0.984139809</v>
      </c>
    </row>
    <row r="165">
      <c r="A165" s="9" t="s">
        <v>361</v>
      </c>
      <c r="B165" s="9" t="s">
        <v>23</v>
      </c>
      <c r="C165" s="9" t="s">
        <v>362</v>
      </c>
      <c r="D165" s="9" t="s">
        <v>362</v>
      </c>
      <c r="E165" s="9" t="s">
        <v>25</v>
      </c>
      <c r="F165" s="10">
        <v>164.0</v>
      </c>
      <c r="G165" s="10"/>
      <c r="H165" s="10">
        <v>2.48582E7</v>
      </c>
      <c r="I165" s="10">
        <v>1.6963107E7</v>
      </c>
      <c r="J165" s="11">
        <v>0.6823948234385434</v>
      </c>
      <c r="K165" s="12">
        <v>934.0</v>
      </c>
      <c r="L165" s="13"/>
      <c r="M165" s="13" t="str">
        <f>VLOOKUP($C165,'genotype metadata'!$C$2:$M$156,6,FALSE)</f>
        <v>#N/A</v>
      </c>
      <c r="N165" s="13" t="str">
        <f>VLOOKUP($C165,'genotype metadata'!$C$2:$M$156,7,FALSE)</f>
        <v>#N/A</v>
      </c>
      <c r="O165" s="13" t="str">
        <f>VLOOKUP($C165,'genotype metadata'!$C$2:$M$156,8,FALSE)</f>
        <v>#N/A</v>
      </c>
      <c r="P165" s="13" t="str">
        <f>VLOOKUP($C165,'genotype metadata'!$C$2:$M$156,9,FALSE)</f>
        <v>#N/A</v>
      </c>
      <c r="Q165" s="13" t="str">
        <f>VLOOKUP($C165,'genotype metadata'!$C$2:$M$156,10,FALSE)</f>
        <v>#N/A</v>
      </c>
      <c r="R165" s="13" t="str">
        <f>VLOOKUP($C165,'genotype metadata'!$C$2:$M$156,11,FALSE)</f>
        <v>#N/A</v>
      </c>
      <c r="S165" s="12">
        <v>0.108027404</v>
      </c>
      <c r="T165" s="12">
        <v>0.015089206</v>
      </c>
      <c r="U165" s="12">
        <v>0.14186327</v>
      </c>
      <c r="V165" s="12">
        <v>0.73502012</v>
      </c>
    </row>
    <row r="166">
      <c r="A166" s="9" t="s">
        <v>363</v>
      </c>
      <c r="B166" s="9" t="s">
        <v>23</v>
      </c>
      <c r="C166" s="9" t="s">
        <v>364</v>
      </c>
      <c r="D166" s="9" t="s">
        <v>364</v>
      </c>
      <c r="E166" s="9" t="s">
        <v>25</v>
      </c>
      <c r="F166" s="10">
        <v>66.0</v>
      </c>
      <c r="G166" s="10"/>
      <c r="H166" s="10">
        <v>4.3473566E7</v>
      </c>
      <c r="I166" s="10">
        <v>2.471406E7</v>
      </c>
      <c r="J166" s="11">
        <v>0.5684847661220154</v>
      </c>
      <c r="K166" s="12">
        <v>650.0</v>
      </c>
      <c r="L166" s="13"/>
      <c r="M166" s="13" t="str">
        <f>VLOOKUP($C166,'genotype metadata'!$C$2:$M$156,6,FALSE)</f>
        <v>#N/A</v>
      </c>
      <c r="N166" s="13" t="str">
        <f>VLOOKUP($C166,'genotype metadata'!$C$2:$M$156,7,FALSE)</f>
        <v>#N/A</v>
      </c>
      <c r="O166" s="13" t="str">
        <f>VLOOKUP($C166,'genotype metadata'!$C$2:$M$156,8,FALSE)</f>
        <v>#N/A</v>
      </c>
      <c r="P166" s="13" t="str">
        <f>VLOOKUP($C166,'genotype metadata'!$C$2:$M$156,9,FALSE)</f>
        <v>#N/A</v>
      </c>
      <c r="Q166" s="13" t="str">
        <f>VLOOKUP($C166,'genotype metadata'!$C$2:$M$156,10,FALSE)</f>
        <v>#N/A</v>
      </c>
      <c r="R166" s="13" t="str">
        <f>VLOOKUP($C166,'genotype metadata'!$C$2:$M$156,11,FALSE)</f>
        <v>#N/A</v>
      </c>
      <c r="S166" s="12">
        <v>0.00544799</v>
      </c>
      <c r="T166" s="12">
        <v>0.001247526</v>
      </c>
      <c r="U166" s="12">
        <v>0.014902524</v>
      </c>
      <c r="V166" s="12">
        <v>0.97840196</v>
      </c>
    </row>
    <row r="167">
      <c r="A167" s="9" t="s">
        <v>365</v>
      </c>
      <c r="B167" s="9" t="s">
        <v>23</v>
      </c>
      <c r="C167" s="9" t="s">
        <v>366</v>
      </c>
      <c r="D167" s="9" t="s">
        <v>367</v>
      </c>
      <c r="E167" s="9" t="s">
        <v>35</v>
      </c>
      <c r="F167" s="10">
        <v>154.0</v>
      </c>
      <c r="G167" s="10"/>
      <c r="H167" s="10">
        <v>3.0306683E7</v>
      </c>
      <c r="I167" s="10">
        <v>2.0536327E7</v>
      </c>
      <c r="J167" s="11">
        <v>0.6776171117109715</v>
      </c>
      <c r="K167" s="12">
        <v>559.0</v>
      </c>
      <c r="L167" s="12" t="s">
        <v>36</v>
      </c>
      <c r="M167" s="13" t="str">
        <f>VLOOKUP($C167,'genotype metadata'!$C$2:$M$156,6,FALSE)</f>
        <v>#N/A</v>
      </c>
      <c r="N167" s="13" t="str">
        <f>VLOOKUP($C167,'genotype metadata'!$C$2:$M$156,7,FALSE)</f>
        <v>#N/A</v>
      </c>
      <c r="O167" s="13" t="str">
        <f>VLOOKUP($C167,'genotype metadata'!$C$2:$M$156,8,FALSE)</f>
        <v>#N/A</v>
      </c>
      <c r="P167" s="13" t="str">
        <f>VLOOKUP($C167,'genotype metadata'!$C$2:$M$156,9,FALSE)</f>
        <v>#N/A</v>
      </c>
      <c r="Q167" s="13" t="str">
        <f>VLOOKUP($C167,'genotype metadata'!$C$2:$M$156,10,FALSE)</f>
        <v>#N/A</v>
      </c>
      <c r="R167" s="13" t="str">
        <f>VLOOKUP($C167,'genotype metadata'!$C$2:$M$156,11,FALSE)</f>
        <v>#N/A</v>
      </c>
      <c r="S167" s="12">
        <v>0.010747979</v>
      </c>
      <c r="T167" s="12">
        <v>0.00223002</v>
      </c>
      <c r="U167" s="12">
        <v>0.013345825</v>
      </c>
      <c r="V167" s="12">
        <v>0.973676176</v>
      </c>
    </row>
    <row r="168">
      <c r="A168" s="9" t="s">
        <v>368</v>
      </c>
      <c r="B168" s="9" t="s">
        <v>23</v>
      </c>
      <c r="C168" s="9" t="s">
        <v>369</v>
      </c>
      <c r="D168" s="9" t="s">
        <v>369</v>
      </c>
      <c r="E168" s="9" t="s">
        <v>25</v>
      </c>
      <c r="F168" s="10">
        <v>167.0</v>
      </c>
      <c r="G168" s="10"/>
      <c r="H168" s="10">
        <v>2.5544339E7</v>
      </c>
      <c r="I168" s="10">
        <v>1.7173069E7</v>
      </c>
      <c r="J168" s="11">
        <v>0.6722847281348717</v>
      </c>
      <c r="K168" s="12">
        <v>945.0</v>
      </c>
      <c r="L168" s="13"/>
      <c r="M168" s="13" t="str">
        <f>VLOOKUP($C168,'genotype metadata'!$C$2:$M$156,6,FALSE)</f>
        <v>#N/A</v>
      </c>
      <c r="N168" s="13" t="str">
        <f>VLOOKUP($C168,'genotype metadata'!$C$2:$M$156,7,FALSE)</f>
        <v>#N/A</v>
      </c>
      <c r="O168" s="13" t="str">
        <f>VLOOKUP($C168,'genotype metadata'!$C$2:$M$156,8,FALSE)</f>
        <v>#N/A</v>
      </c>
      <c r="P168" s="13" t="str">
        <f>VLOOKUP($C168,'genotype metadata'!$C$2:$M$156,9,FALSE)</f>
        <v>#N/A</v>
      </c>
      <c r="Q168" s="13" t="str">
        <f>VLOOKUP($C168,'genotype metadata'!$C$2:$M$156,10,FALSE)</f>
        <v>#N/A</v>
      </c>
      <c r="R168" s="13" t="str">
        <f>VLOOKUP($C168,'genotype metadata'!$C$2:$M$156,11,FALSE)</f>
        <v>#N/A</v>
      </c>
      <c r="S168" s="12">
        <v>0.005078441</v>
      </c>
      <c r="T168" s="12">
        <v>0.001032583</v>
      </c>
      <c r="U168" s="12">
        <v>0.004095999</v>
      </c>
      <c r="V168" s="12">
        <v>0.989792977</v>
      </c>
    </row>
    <row r="169">
      <c r="A169" s="9" t="s">
        <v>370</v>
      </c>
      <c r="B169" s="9" t="s">
        <v>23</v>
      </c>
      <c r="C169" s="9" t="s">
        <v>371</v>
      </c>
      <c r="D169" s="9" t="s">
        <v>371</v>
      </c>
      <c r="E169" s="9" t="s">
        <v>25</v>
      </c>
      <c r="F169" s="10">
        <v>168.0</v>
      </c>
      <c r="G169" s="10"/>
      <c r="H169" s="10">
        <v>2.6624121E7</v>
      </c>
      <c r="I169" s="10">
        <v>1.9107101E7</v>
      </c>
      <c r="J169" s="11">
        <v>0.7176612891745797</v>
      </c>
      <c r="K169" s="12">
        <v>747.0</v>
      </c>
      <c r="L169" s="13"/>
      <c r="M169" s="13" t="str">
        <f>VLOOKUP($C169,'genotype metadata'!$C$2:$M$156,6,FALSE)</f>
        <v>#N/A</v>
      </c>
      <c r="N169" s="13" t="str">
        <f>VLOOKUP($C169,'genotype metadata'!$C$2:$M$156,7,FALSE)</f>
        <v>#N/A</v>
      </c>
      <c r="O169" s="13" t="str">
        <f>VLOOKUP($C169,'genotype metadata'!$C$2:$M$156,8,FALSE)</f>
        <v>#N/A</v>
      </c>
      <c r="P169" s="13" t="str">
        <f>VLOOKUP($C169,'genotype metadata'!$C$2:$M$156,9,FALSE)</f>
        <v>#N/A</v>
      </c>
      <c r="Q169" s="13" t="str">
        <f>VLOOKUP($C169,'genotype metadata'!$C$2:$M$156,10,FALSE)</f>
        <v>#N/A</v>
      </c>
      <c r="R169" s="13" t="str">
        <f>VLOOKUP($C169,'genotype metadata'!$C$2:$M$156,11,FALSE)</f>
        <v>#N/A</v>
      </c>
      <c r="S169" s="12">
        <v>0.005028094</v>
      </c>
      <c r="T169" s="12">
        <v>0.001068636</v>
      </c>
      <c r="U169" s="12">
        <v>0.003984063</v>
      </c>
      <c r="V169" s="12">
        <v>0.989919207</v>
      </c>
    </row>
    <row r="170">
      <c r="A170" s="9" t="s">
        <v>372</v>
      </c>
      <c r="B170" s="9" t="s">
        <v>23</v>
      </c>
      <c r="C170" s="9" t="s">
        <v>373</v>
      </c>
      <c r="D170" s="9" t="s">
        <v>373</v>
      </c>
      <c r="E170" s="9" t="s">
        <v>25</v>
      </c>
      <c r="F170" s="10">
        <v>169.0</v>
      </c>
      <c r="G170" s="10"/>
      <c r="H170" s="10">
        <v>2.5143867E7</v>
      </c>
      <c r="I170" s="10">
        <v>1.7675439E7</v>
      </c>
      <c r="J170" s="11">
        <v>0.7029721800548818</v>
      </c>
      <c r="K170" s="12">
        <v>862.0</v>
      </c>
      <c r="L170" s="13"/>
      <c r="M170" s="13" t="str">
        <f>VLOOKUP($C170,'genotype metadata'!$C$2:$M$156,6,FALSE)</f>
        <v>H</v>
      </c>
      <c r="N170" s="13" t="str">
        <f>VLOOKUP($C170,'genotype metadata'!$C$2:$M$156,7,FALSE)</f>
        <v>N</v>
      </c>
      <c r="O170" s="13">
        <f>VLOOKUP($C170,'genotype metadata'!$C$2:$M$156,8,FALSE)</f>
        <v>25.139367</v>
      </c>
      <c r="P170" s="13">
        <f>VLOOKUP($C170,'genotype metadata'!$C$2:$M$156,9,FALSE)</f>
        <v>-80.294017</v>
      </c>
      <c r="Q170" s="13" t="str">
        <f>VLOOKUP($C170,'genotype metadata'!$C$2:$M$156,10,FALSE)</f>
        <v>2015 batch</v>
      </c>
      <c r="R170" s="13" t="str">
        <f>VLOOKUP($C170,'genotype metadata'!$C$2:$M$156,11,FALSE)</f>
        <v>Margaret Miller</v>
      </c>
      <c r="S170" s="12">
        <v>0.067352707</v>
      </c>
      <c r="T170" s="12">
        <v>0.014426729</v>
      </c>
      <c r="U170" s="12">
        <v>0.07785973</v>
      </c>
      <c r="V170" s="12">
        <v>0.840360834</v>
      </c>
    </row>
    <row r="171">
      <c r="A171" s="9" t="s">
        <v>374</v>
      </c>
      <c r="B171" s="9" t="s">
        <v>23</v>
      </c>
      <c r="C171" s="9" t="s">
        <v>375</v>
      </c>
      <c r="D171" s="9" t="s">
        <v>375</v>
      </c>
      <c r="E171" s="9" t="s">
        <v>25</v>
      </c>
      <c r="F171" s="10">
        <v>170.0</v>
      </c>
      <c r="G171" s="10"/>
      <c r="H171" s="10">
        <v>1.9766E7</v>
      </c>
      <c r="I171" s="10">
        <v>1.4158792E7</v>
      </c>
      <c r="J171" s="11">
        <v>0.7163205504401498</v>
      </c>
      <c r="K171" s="12">
        <v>1576.0</v>
      </c>
      <c r="L171" s="13"/>
      <c r="M171" s="13" t="str">
        <f>VLOOKUP($C171,'genotype metadata'!$C$2:$M$156,6,FALSE)</f>
        <v>#N/A</v>
      </c>
      <c r="N171" s="13" t="str">
        <f>VLOOKUP($C171,'genotype metadata'!$C$2:$M$156,7,FALSE)</f>
        <v>#N/A</v>
      </c>
      <c r="O171" s="13" t="str">
        <f>VLOOKUP($C171,'genotype metadata'!$C$2:$M$156,8,FALSE)</f>
        <v>#N/A</v>
      </c>
      <c r="P171" s="13" t="str">
        <f>VLOOKUP($C171,'genotype metadata'!$C$2:$M$156,9,FALSE)</f>
        <v>#N/A</v>
      </c>
      <c r="Q171" s="13" t="str">
        <f>VLOOKUP($C171,'genotype metadata'!$C$2:$M$156,10,FALSE)</f>
        <v>#N/A</v>
      </c>
      <c r="R171" s="13" t="str">
        <f>VLOOKUP($C171,'genotype metadata'!$C$2:$M$156,11,FALSE)</f>
        <v>#N/A</v>
      </c>
      <c r="S171" s="12">
        <v>0.004584534</v>
      </c>
      <c r="T171" s="12">
        <v>0.001113896</v>
      </c>
      <c r="U171" s="12">
        <v>0.003422334</v>
      </c>
      <c r="V171" s="12">
        <v>0.990879236</v>
      </c>
    </row>
    <row r="172">
      <c r="A172" s="9" t="s">
        <v>376</v>
      </c>
      <c r="B172" s="9" t="s">
        <v>23</v>
      </c>
      <c r="C172" s="9" t="s">
        <v>377</v>
      </c>
      <c r="D172" s="9" t="s">
        <v>377</v>
      </c>
      <c r="E172" s="9" t="s">
        <v>25</v>
      </c>
      <c r="F172" s="10">
        <v>171.0</v>
      </c>
      <c r="G172" s="10"/>
      <c r="H172" s="10">
        <v>2.4959901E7</v>
      </c>
      <c r="I172" s="10">
        <v>1.7971133E7</v>
      </c>
      <c r="J172" s="11">
        <v>0.7200001714750391</v>
      </c>
      <c r="K172" s="12">
        <v>749.0</v>
      </c>
      <c r="L172" s="13"/>
      <c r="M172" s="13" t="str">
        <f>VLOOKUP($C172,'genotype metadata'!$C$2:$M$156,6,FALSE)</f>
        <v/>
      </c>
      <c r="N172" s="13" t="str">
        <f>VLOOKUP($C172,'genotype metadata'!$C$2:$M$156,7,FALSE)</f>
        <v>N</v>
      </c>
      <c r="O172" s="13" t="str">
        <f>VLOOKUP($C172,'genotype metadata'!$C$2:$M$156,8,FALSE)</f>
        <v/>
      </c>
      <c r="P172" s="13" t="str">
        <f>VLOOKUP($C172,'genotype metadata'!$C$2:$M$156,9,FALSE)</f>
        <v>NA</v>
      </c>
      <c r="Q172" s="13">
        <f>VLOOKUP($C172,'genotype metadata'!$C$2:$M$156,10,FALSE)</f>
        <v>2015</v>
      </c>
      <c r="R172" s="13" t="str">
        <f>VLOOKUP($C172,'genotype metadata'!$C$2:$M$156,11,FALSE)</f>
        <v/>
      </c>
      <c r="S172" s="12">
        <v>0.134391121</v>
      </c>
      <c r="T172" s="12">
        <v>0.023580585</v>
      </c>
      <c r="U172" s="12">
        <v>0.15731282</v>
      </c>
      <c r="V172" s="12">
        <v>0.684715474</v>
      </c>
    </row>
    <row r="173">
      <c r="A173" s="9" t="s">
        <v>378</v>
      </c>
      <c r="B173" s="9" t="s">
        <v>23</v>
      </c>
      <c r="C173" s="9" t="s">
        <v>379</v>
      </c>
      <c r="D173" s="9" t="s">
        <v>380</v>
      </c>
      <c r="E173" s="9" t="s">
        <v>35</v>
      </c>
      <c r="F173" s="10">
        <v>154.0</v>
      </c>
      <c r="G173" s="10"/>
      <c r="H173" s="10">
        <v>2.7720841E7</v>
      </c>
      <c r="I173" s="10">
        <v>1.9812171E7</v>
      </c>
      <c r="J173" s="11">
        <v>0.7147031000971436</v>
      </c>
      <c r="K173" s="12">
        <v>641.0</v>
      </c>
      <c r="L173" s="12" t="s">
        <v>36</v>
      </c>
      <c r="M173" s="13" t="str">
        <f>VLOOKUP($C173,'genotype metadata'!$C$2:$M$156,6,FALSE)</f>
        <v>#N/A</v>
      </c>
      <c r="N173" s="13" t="str">
        <f>VLOOKUP($C173,'genotype metadata'!$C$2:$M$156,7,FALSE)</f>
        <v>#N/A</v>
      </c>
      <c r="O173" s="13" t="str">
        <f>VLOOKUP($C173,'genotype metadata'!$C$2:$M$156,8,FALSE)</f>
        <v>#N/A</v>
      </c>
      <c r="P173" s="13" t="str">
        <f>VLOOKUP($C173,'genotype metadata'!$C$2:$M$156,9,FALSE)</f>
        <v>#N/A</v>
      </c>
      <c r="Q173" s="13" t="str">
        <f>VLOOKUP($C173,'genotype metadata'!$C$2:$M$156,10,FALSE)</f>
        <v>#N/A</v>
      </c>
      <c r="R173" s="13" t="str">
        <f>VLOOKUP($C173,'genotype metadata'!$C$2:$M$156,11,FALSE)</f>
        <v>#N/A</v>
      </c>
      <c r="S173" s="12">
        <v>0.00735901</v>
      </c>
      <c r="T173" s="12">
        <v>0.001658669</v>
      </c>
      <c r="U173" s="12">
        <v>0.008776811</v>
      </c>
      <c r="V173" s="12">
        <v>0.98220551</v>
      </c>
    </row>
    <row r="174">
      <c r="A174" s="9" t="s">
        <v>381</v>
      </c>
      <c r="B174" s="9" t="s">
        <v>23</v>
      </c>
      <c r="C174" s="9" t="s">
        <v>382</v>
      </c>
      <c r="D174" s="9" t="s">
        <v>382</v>
      </c>
      <c r="E174" s="9" t="s">
        <v>25</v>
      </c>
      <c r="F174" s="10">
        <v>173.0</v>
      </c>
      <c r="G174" s="10"/>
      <c r="H174" s="10">
        <v>2.7026091E7</v>
      </c>
      <c r="I174" s="10">
        <v>9984275.0</v>
      </c>
      <c r="J174" s="11">
        <v>0.36943096950276677</v>
      </c>
      <c r="K174" s="12">
        <v>13880.0</v>
      </c>
      <c r="L174" s="13"/>
      <c r="M174" s="13" t="str">
        <f>VLOOKUP($C174,'genotype metadata'!$C$2:$M$156,6,FALSE)</f>
        <v>#N/A</v>
      </c>
      <c r="N174" s="13" t="str">
        <f>VLOOKUP($C174,'genotype metadata'!$C$2:$M$156,7,FALSE)</f>
        <v>#N/A</v>
      </c>
      <c r="O174" s="13" t="str">
        <f>VLOOKUP($C174,'genotype metadata'!$C$2:$M$156,8,FALSE)</f>
        <v>#N/A</v>
      </c>
      <c r="P174" s="13" t="str">
        <f>VLOOKUP($C174,'genotype metadata'!$C$2:$M$156,9,FALSE)</f>
        <v>#N/A</v>
      </c>
      <c r="Q174" s="13" t="str">
        <f>VLOOKUP($C174,'genotype metadata'!$C$2:$M$156,10,FALSE)</f>
        <v>#N/A</v>
      </c>
      <c r="R174" s="13" t="str">
        <f>VLOOKUP($C174,'genotype metadata'!$C$2:$M$156,11,FALSE)</f>
        <v>#N/A</v>
      </c>
      <c r="S174" s="12">
        <v>0.088924609</v>
      </c>
      <c r="T174" s="12">
        <v>0.022450758</v>
      </c>
      <c r="U174" s="12">
        <v>0.066457093</v>
      </c>
      <c r="V174" s="12">
        <v>0.82216754</v>
      </c>
    </row>
    <row r="175">
      <c r="A175" s="9" t="s">
        <v>383</v>
      </c>
      <c r="B175" s="9" t="s">
        <v>23</v>
      </c>
      <c r="C175" s="9" t="s">
        <v>384</v>
      </c>
      <c r="D175" s="9" t="s">
        <v>384</v>
      </c>
      <c r="E175" s="9" t="s">
        <v>25</v>
      </c>
      <c r="F175" s="10">
        <v>174.0</v>
      </c>
      <c r="G175" s="10"/>
      <c r="H175" s="10">
        <v>2.5776799E7</v>
      </c>
      <c r="I175" s="10">
        <v>1.8589807E7</v>
      </c>
      <c r="J175" s="11">
        <v>0.7211836892548218</v>
      </c>
      <c r="K175" s="12">
        <v>921.0</v>
      </c>
      <c r="L175" s="13"/>
      <c r="M175" s="13" t="str">
        <f>VLOOKUP($C175,'genotype metadata'!$C$2:$M$156,6,FALSE)</f>
        <v>#N/A</v>
      </c>
      <c r="N175" s="13" t="str">
        <f>VLOOKUP($C175,'genotype metadata'!$C$2:$M$156,7,FALSE)</f>
        <v>#N/A</v>
      </c>
      <c r="O175" s="13" t="str">
        <f>VLOOKUP($C175,'genotype metadata'!$C$2:$M$156,8,FALSE)</f>
        <v>#N/A</v>
      </c>
      <c r="P175" s="13" t="str">
        <f>VLOOKUP($C175,'genotype metadata'!$C$2:$M$156,9,FALSE)</f>
        <v>#N/A</v>
      </c>
      <c r="Q175" s="13" t="str">
        <f>VLOOKUP($C175,'genotype metadata'!$C$2:$M$156,10,FALSE)</f>
        <v>#N/A</v>
      </c>
      <c r="R175" s="13" t="str">
        <f>VLOOKUP($C175,'genotype metadata'!$C$2:$M$156,11,FALSE)</f>
        <v>#N/A</v>
      </c>
      <c r="S175" s="12">
        <v>0.004435064</v>
      </c>
      <c r="T175" s="12">
        <v>9.28423E-4</v>
      </c>
      <c r="U175" s="12">
        <v>0.002822513</v>
      </c>
      <c r="V175" s="12">
        <v>0.991814</v>
      </c>
    </row>
    <row r="176">
      <c r="A176" s="9" t="s">
        <v>385</v>
      </c>
      <c r="B176" s="9" t="s">
        <v>23</v>
      </c>
      <c r="C176" s="9" t="s">
        <v>386</v>
      </c>
      <c r="D176" s="9" t="s">
        <v>386</v>
      </c>
      <c r="E176" s="9" t="s">
        <v>25</v>
      </c>
      <c r="F176" s="10">
        <v>175.0</v>
      </c>
      <c r="G176" s="10"/>
      <c r="H176" s="10">
        <v>2.9501898E7</v>
      </c>
      <c r="I176" s="10">
        <v>2.0318175E7</v>
      </c>
      <c r="J176" s="11">
        <v>0.6887073841825363</v>
      </c>
      <c r="K176" s="12">
        <v>730.0</v>
      </c>
      <c r="L176" s="13"/>
      <c r="M176" s="13" t="str">
        <f>VLOOKUP($C176,'genotype metadata'!$C$2:$M$156,6,FALSE)</f>
        <v>#N/A</v>
      </c>
      <c r="N176" s="13" t="str">
        <f>VLOOKUP($C176,'genotype metadata'!$C$2:$M$156,7,FALSE)</f>
        <v>#N/A</v>
      </c>
      <c r="O176" s="13" t="str">
        <f>VLOOKUP($C176,'genotype metadata'!$C$2:$M$156,8,FALSE)</f>
        <v>#N/A</v>
      </c>
      <c r="P176" s="13" t="str">
        <f>VLOOKUP($C176,'genotype metadata'!$C$2:$M$156,9,FALSE)</f>
        <v>#N/A</v>
      </c>
      <c r="Q176" s="13" t="str">
        <f>VLOOKUP($C176,'genotype metadata'!$C$2:$M$156,10,FALSE)</f>
        <v>#N/A</v>
      </c>
      <c r="R176" s="13" t="str">
        <f>VLOOKUP($C176,'genotype metadata'!$C$2:$M$156,11,FALSE)</f>
        <v>#N/A</v>
      </c>
      <c r="S176" s="12">
        <v>0.00701856</v>
      </c>
      <c r="T176" s="12">
        <v>0.001370887</v>
      </c>
      <c r="U176" s="12">
        <v>0.007077319</v>
      </c>
      <c r="V176" s="12">
        <v>0.984533235</v>
      </c>
    </row>
    <row r="177">
      <c r="A177" s="9" t="s">
        <v>387</v>
      </c>
      <c r="B177" s="9" t="s">
        <v>23</v>
      </c>
      <c r="C177" s="9" t="s">
        <v>218</v>
      </c>
      <c r="D177" s="9" t="s">
        <v>388</v>
      </c>
      <c r="E177" s="9" t="s">
        <v>35</v>
      </c>
      <c r="F177" s="10">
        <v>91.0</v>
      </c>
      <c r="G177" s="10" t="s">
        <v>389</v>
      </c>
      <c r="H177" s="10">
        <v>2.5704248E7</v>
      </c>
      <c r="I177" s="10">
        <v>7324368.0</v>
      </c>
      <c r="J177" s="11">
        <v>0.28494776427616164</v>
      </c>
      <c r="K177" s="12">
        <v>3900.0</v>
      </c>
      <c r="L177" s="13"/>
      <c r="M177" s="13" t="str">
        <f>VLOOKUP($C177,'genotype metadata'!$C$2:$M$156,6,FALSE)</f>
        <v>#N/A</v>
      </c>
      <c r="N177" s="13" t="str">
        <f>VLOOKUP($C177,'genotype metadata'!$C$2:$M$156,7,FALSE)</f>
        <v>#N/A</v>
      </c>
      <c r="O177" s="13" t="str">
        <f>VLOOKUP($C177,'genotype metadata'!$C$2:$M$156,8,FALSE)</f>
        <v>#N/A</v>
      </c>
      <c r="P177" s="13" t="str">
        <f>VLOOKUP($C177,'genotype metadata'!$C$2:$M$156,9,FALSE)</f>
        <v>#N/A</v>
      </c>
      <c r="Q177" s="13" t="str">
        <f>VLOOKUP($C177,'genotype metadata'!$C$2:$M$156,10,FALSE)</f>
        <v>#N/A</v>
      </c>
      <c r="R177" s="13" t="str">
        <f>VLOOKUP($C177,'genotype metadata'!$C$2:$M$156,11,FALSE)</f>
        <v>#N/A</v>
      </c>
      <c r="S177" s="12">
        <v>0.102412534</v>
      </c>
      <c r="T177" s="12">
        <v>0.015997453</v>
      </c>
      <c r="U177" s="12">
        <v>0.071306709</v>
      </c>
      <c r="V177" s="12">
        <v>0.810283304</v>
      </c>
    </row>
    <row r="178">
      <c r="A178" s="9" t="s">
        <v>390</v>
      </c>
      <c r="B178" s="9" t="s">
        <v>23</v>
      </c>
      <c r="C178" s="9" t="s">
        <v>33</v>
      </c>
      <c r="D178" s="9" t="s">
        <v>391</v>
      </c>
      <c r="E178" s="9" t="s">
        <v>35</v>
      </c>
      <c r="F178" s="10">
        <v>154.0</v>
      </c>
      <c r="G178" s="10"/>
      <c r="H178" s="10">
        <v>2.6660874E7</v>
      </c>
      <c r="I178" s="10">
        <v>2.0733729E7</v>
      </c>
      <c r="J178" s="11">
        <v>0.7776837698569071</v>
      </c>
      <c r="K178" s="12">
        <v>576.0</v>
      </c>
      <c r="L178" s="12" t="s">
        <v>36</v>
      </c>
      <c r="M178" s="13" t="str">
        <f>VLOOKUP($C178,'genotype metadata'!$C$2:$M$156,6,FALSE)</f>
        <v>#N/A</v>
      </c>
      <c r="N178" s="13" t="str">
        <f>VLOOKUP($C178,'genotype metadata'!$C$2:$M$156,7,FALSE)</f>
        <v>#N/A</v>
      </c>
      <c r="O178" s="13" t="str">
        <f>VLOOKUP($C178,'genotype metadata'!$C$2:$M$156,8,FALSE)</f>
        <v>#N/A</v>
      </c>
      <c r="P178" s="13" t="str">
        <f>VLOOKUP($C178,'genotype metadata'!$C$2:$M$156,9,FALSE)</f>
        <v>#N/A</v>
      </c>
      <c r="Q178" s="13" t="str">
        <f>VLOOKUP($C178,'genotype metadata'!$C$2:$M$156,10,FALSE)</f>
        <v>#N/A</v>
      </c>
      <c r="R178" s="13" t="str">
        <f>VLOOKUP($C178,'genotype metadata'!$C$2:$M$156,11,FALSE)</f>
        <v>#N/A</v>
      </c>
      <c r="S178" s="12">
        <v>0.089267954</v>
      </c>
      <c r="T178" s="12">
        <v>0.013206464</v>
      </c>
      <c r="U178" s="12">
        <v>0.096406854</v>
      </c>
      <c r="V178" s="12">
        <v>0.801118728</v>
      </c>
    </row>
    <row r="179">
      <c r="A179" s="9" t="s">
        <v>392</v>
      </c>
      <c r="B179" s="9" t="s">
        <v>23</v>
      </c>
      <c r="C179" s="9" t="s">
        <v>366</v>
      </c>
      <c r="D179" s="9" t="s">
        <v>393</v>
      </c>
      <c r="E179" s="9" t="s">
        <v>35</v>
      </c>
      <c r="F179" s="10">
        <v>154.0</v>
      </c>
      <c r="G179" s="10"/>
      <c r="H179" s="10">
        <v>2.7689412E7</v>
      </c>
      <c r="I179" s="10">
        <v>1.9591634E7</v>
      </c>
      <c r="J179" s="11">
        <v>0.7075496583314951</v>
      </c>
      <c r="K179" s="12">
        <v>652.0</v>
      </c>
      <c r="L179" s="12" t="s">
        <v>36</v>
      </c>
      <c r="M179" s="13" t="str">
        <f>VLOOKUP($C179,'genotype metadata'!$C$2:$M$156,6,FALSE)</f>
        <v>#N/A</v>
      </c>
      <c r="N179" s="13" t="str">
        <f>VLOOKUP($C179,'genotype metadata'!$C$2:$M$156,7,FALSE)</f>
        <v>#N/A</v>
      </c>
      <c r="O179" s="13" t="str">
        <f>VLOOKUP($C179,'genotype metadata'!$C$2:$M$156,8,FALSE)</f>
        <v>#N/A</v>
      </c>
      <c r="P179" s="13" t="str">
        <f>VLOOKUP($C179,'genotype metadata'!$C$2:$M$156,9,FALSE)</f>
        <v>#N/A</v>
      </c>
      <c r="Q179" s="13" t="str">
        <f>VLOOKUP($C179,'genotype metadata'!$C$2:$M$156,10,FALSE)</f>
        <v>#N/A</v>
      </c>
      <c r="R179" s="13" t="str">
        <f>VLOOKUP($C179,'genotype metadata'!$C$2:$M$156,11,FALSE)</f>
        <v>#N/A</v>
      </c>
      <c r="S179" s="12">
        <v>0.007389523</v>
      </c>
      <c r="T179" s="12">
        <v>0.001509914</v>
      </c>
      <c r="U179" s="12">
        <v>0.010577514</v>
      </c>
      <c r="V179" s="12">
        <v>0.98052305</v>
      </c>
    </row>
    <row r="180">
      <c r="A180" s="9" t="s">
        <v>394</v>
      </c>
      <c r="B180" s="9" t="s">
        <v>23</v>
      </c>
      <c r="C180" s="9" t="s">
        <v>319</v>
      </c>
      <c r="D180" s="9" t="s">
        <v>395</v>
      </c>
      <c r="E180" s="9" t="s">
        <v>35</v>
      </c>
      <c r="F180" s="10">
        <v>142.0</v>
      </c>
      <c r="G180" s="10" t="s">
        <v>396</v>
      </c>
      <c r="H180" s="10">
        <v>2.5686301E7</v>
      </c>
      <c r="I180" s="10">
        <v>1.4642655E7</v>
      </c>
      <c r="J180" s="11">
        <v>0.5700569731702513</v>
      </c>
      <c r="K180" s="12">
        <v>1299.0</v>
      </c>
      <c r="L180" s="12" t="s">
        <v>36</v>
      </c>
      <c r="M180" s="13" t="str">
        <f>VLOOKUP($C180,'genotype metadata'!$C$2:$M$156,6,FALSE)</f>
        <v>H</v>
      </c>
      <c r="N180" s="13" t="str">
        <f>VLOOKUP($C180,'genotype metadata'!$C$2:$M$156,7,FALSE)</f>
        <v>Y</v>
      </c>
      <c r="O180" s="13">
        <f>VLOOKUP($C180,'genotype metadata'!$C$2:$M$156,8,FALSE)</f>
        <v>25.139367</v>
      </c>
      <c r="P180" s="13">
        <f>VLOOKUP($C180,'genotype metadata'!$C$2:$M$156,9,FALSE)</f>
        <v>-80.294017</v>
      </c>
      <c r="Q180" s="13" t="str">
        <f>VLOOKUP($C180,'genotype metadata'!$C$2:$M$156,10,FALSE)</f>
        <v>2015 batch</v>
      </c>
      <c r="R180" s="13" t="str">
        <f>VLOOKUP($C180,'genotype metadata'!$C$2:$M$156,11,FALSE)</f>
        <v>Margaret Miller</v>
      </c>
      <c r="S180" s="12">
        <v>0.019930514</v>
      </c>
      <c r="T180" s="12">
        <v>0.004241433</v>
      </c>
      <c r="U180" s="12">
        <v>0.027661272</v>
      </c>
      <c r="V180" s="12">
        <v>0.948166781</v>
      </c>
    </row>
    <row r="181">
      <c r="A181" s="9" t="s">
        <v>397</v>
      </c>
      <c r="B181" s="9" t="s">
        <v>23</v>
      </c>
      <c r="C181" s="9" t="s">
        <v>379</v>
      </c>
      <c r="D181" s="9" t="s">
        <v>398</v>
      </c>
      <c r="E181" s="9" t="s">
        <v>35</v>
      </c>
      <c r="F181" s="10">
        <v>154.0</v>
      </c>
      <c r="G181" s="10"/>
      <c r="H181" s="10">
        <v>2.6435927E7</v>
      </c>
      <c r="I181" s="10">
        <v>1.8949912E7</v>
      </c>
      <c r="J181" s="11">
        <v>0.7168241915632465</v>
      </c>
      <c r="K181" s="12">
        <v>758.0</v>
      </c>
      <c r="L181" s="12" t="s">
        <v>36</v>
      </c>
      <c r="M181" s="13" t="str">
        <f>VLOOKUP($C181,'genotype metadata'!$C$2:$M$156,6,FALSE)</f>
        <v>#N/A</v>
      </c>
      <c r="N181" s="13" t="str">
        <f>VLOOKUP($C181,'genotype metadata'!$C$2:$M$156,7,FALSE)</f>
        <v>#N/A</v>
      </c>
      <c r="O181" s="13" t="str">
        <f>VLOOKUP($C181,'genotype metadata'!$C$2:$M$156,8,FALSE)</f>
        <v>#N/A</v>
      </c>
      <c r="P181" s="13" t="str">
        <f>VLOOKUP($C181,'genotype metadata'!$C$2:$M$156,9,FALSE)</f>
        <v>#N/A</v>
      </c>
      <c r="Q181" s="13" t="str">
        <f>VLOOKUP($C181,'genotype metadata'!$C$2:$M$156,10,FALSE)</f>
        <v>#N/A</v>
      </c>
      <c r="R181" s="13" t="str">
        <f>VLOOKUP($C181,'genotype metadata'!$C$2:$M$156,11,FALSE)</f>
        <v>#N/A</v>
      </c>
      <c r="S181" s="12">
        <v>0.006947028</v>
      </c>
      <c r="T181" s="12">
        <v>0.001557372</v>
      </c>
      <c r="U181" s="12">
        <v>0.008589402</v>
      </c>
      <c r="V181" s="12">
        <v>0.982906199</v>
      </c>
    </row>
    <row r="182">
      <c r="I182" s="16"/>
    </row>
    <row r="183">
      <c r="C183" s="17" t="s">
        <v>399</v>
      </c>
      <c r="D183" s="18"/>
      <c r="E183" s="18"/>
      <c r="F183" s="17" t="s">
        <v>400</v>
      </c>
      <c r="I183" s="16"/>
      <c r="J183" s="19">
        <f>min(J2:J181)</f>
        <v>0.09457131069</v>
      </c>
      <c r="L183" s="20">
        <f>COUNTA(L2:L181)</f>
        <v>28</v>
      </c>
    </row>
    <row r="184">
      <c r="C184" s="18">
        <f>IFERROR(__xludf.DUMMYFUNCTION("COUNTUNIQUE(C2:C181)"),174.0)</f>
        <v>174</v>
      </c>
      <c r="D184" s="18"/>
      <c r="E184" s="18"/>
      <c r="F184" s="18">
        <f>IFERROR(__xludf.DUMMYFUNCTION("COUNTUNIQUE(F2:F181)"),152.0)</f>
        <v>152</v>
      </c>
      <c r="I184" s="16"/>
    </row>
    <row r="185">
      <c r="I185" s="16"/>
    </row>
    <row r="186">
      <c r="I186" s="16"/>
    </row>
    <row r="187">
      <c r="I187" s="16"/>
    </row>
    <row r="188">
      <c r="I188" s="16"/>
    </row>
    <row r="189">
      <c r="I189" s="16"/>
    </row>
    <row r="190">
      <c r="I190" s="16"/>
    </row>
    <row r="191">
      <c r="I191" s="16"/>
    </row>
    <row r="192">
      <c r="I192" s="16"/>
    </row>
    <row r="193">
      <c r="I193" s="16"/>
    </row>
    <row r="194">
      <c r="I194" s="16"/>
    </row>
    <row r="195">
      <c r="I195" s="16"/>
    </row>
    <row r="196">
      <c r="I196" s="16"/>
    </row>
    <row r="197">
      <c r="I197" s="16"/>
    </row>
    <row r="198">
      <c r="I198" s="16"/>
    </row>
    <row r="199">
      <c r="I199" s="16"/>
    </row>
    <row r="200">
      <c r="I200" s="16"/>
    </row>
    <row r="201">
      <c r="I201" s="16"/>
    </row>
    <row r="202">
      <c r="I202" s="16"/>
    </row>
    <row r="203">
      <c r="I203" s="16"/>
    </row>
    <row r="204">
      <c r="I204" s="16"/>
    </row>
    <row r="205">
      <c r="I205" s="16"/>
    </row>
    <row r="206">
      <c r="I206" s="16"/>
    </row>
    <row r="207">
      <c r="I207" s="16"/>
    </row>
    <row r="208">
      <c r="I208" s="16"/>
    </row>
    <row r="209">
      <c r="I209" s="16"/>
    </row>
    <row r="210">
      <c r="I210" s="16"/>
    </row>
    <row r="211">
      <c r="I211" s="16"/>
    </row>
    <row r="212">
      <c r="I212" s="16"/>
    </row>
    <row r="213">
      <c r="I213" s="16"/>
    </row>
    <row r="214">
      <c r="I214" s="16"/>
    </row>
    <row r="215">
      <c r="I215" s="16"/>
    </row>
    <row r="216">
      <c r="I216" s="16"/>
    </row>
    <row r="217">
      <c r="I217" s="16"/>
    </row>
    <row r="218">
      <c r="I218" s="16"/>
    </row>
    <row r="219">
      <c r="I219" s="16"/>
    </row>
    <row r="220">
      <c r="I220" s="16"/>
    </row>
    <row r="221">
      <c r="I221" s="16"/>
    </row>
    <row r="222">
      <c r="I222" s="16"/>
    </row>
    <row r="223">
      <c r="I223" s="16"/>
    </row>
    <row r="224">
      <c r="I224" s="16"/>
    </row>
    <row r="225">
      <c r="I225" s="16"/>
    </row>
    <row r="226">
      <c r="I226" s="16"/>
    </row>
    <row r="227">
      <c r="I227" s="16"/>
    </row>
    <row r="228">
      <c r="I228" s="16"/>
    </row>
    <row r="229">
      <c r="I229" s="16"/>
    </row>
    <row r="230">
      <c r="I230" s="16"/>
    </row>
    <row r="231">
      <c r="I231" s="16"/>
    </row>
    <row r="232">
      <c r="I232" s="16"/>
    </row>
    <row r="233">
      <c r="I233" s="16"/>
    </row>
    <row r="234">
      <c r="I234" s="16"/>
    </row>
    <row r="235">
      <c r="I235" s="16"/>
    </row>
    <row r="236">
      <c r="I236" s="16"/>
    </row>
    <row r="237">
      <c r="I237" s="16"/>
    </row>
    <row r="238">
      <c r="I238" s="16"/>
    </row>
    <row r="239">
      <c r="I239" s="16"/>
    </row>
    <row r="240">
      <c r="I240" s="16"/>
    </row>
    <row r="241">
      <c r="I241" s="16"/>
    </row>
    <row r="242">
      <c r="I242" s="16"/>
    </row>
    <row r="243">
      <c r="I243" s="16"/>
    </row>
    <row r="244">
      <c r="I244" s="16"/>
    </row>
    <row r="245">
      <c r="I245" s="16"/>
    </row>
    <row r="246">
      <c r="I246" s="16"/>
    </row>
    <row r="247">
      <c r="I247" s="16"/>
    </row>
    <row r="248">
      <c r="I248" s="16"/>
    </row>
    <row r="249">
      <c r="I249" s="16"/>
    </row>
    <row r="250">
      <c r="I250" s="16"/>
    </row>
    <row r="251">
      <c r="I251" s="16"/>
    </row>
    <row r="252">
      <c r="I252" s="16"/>
    </row>
    <row r="253">
      <c r="I253" s="16"/>
    </row>
    <row r="254">
      <c r="I254" s="16"/>
    </row>
    <row r="255">
      <c r="I255" s="16"/>
    </row>
    <row r="256">
      <c r="I256" s="16"/>
    </row>
    <row r="257">
      <c r="I257" s="16"/>
    </row>
    <row r="258">
      <c r="I258" s="16"/>
    </row>
    <row r="259">
      <c r="I259" s="16"/>
    </row>
    <row r="260">
      <c r="I260" s="16"/>
    </row>
    <row r="261">
      <c r="I261" s="16"/>
    </row>
    <row r="262">
      <c r="I262" s="16"/>
    </row>
    <row r="263">
      <c r="I263" s="16"/>
    </row>
    <row r="264">
      <c r="I264" s="16"/>
    </row>
    <row r="265">
      <c r="I265" s="16"/>
    </row>
    <row r="266">
      <c r="I266" s="16"/>
    </row>
    <row r="267">
      <c r="I267" s="16"/>
    </row>
    <row r="268">
      <c r="I268" s="16"/>
    </row>
    <row r="269">
      <c r="I269" s="16"/>
    </row>
    <row r="270">
      <c r="I270" s="16"/>
    </row>
    <row r="271">
      <c r="I271" s="16"/>
    </row>
    <row r="272">
      <c r="I272" s="16"/>
    </row>
    <row r="273">
      <c r="I273" s="16"/>
    </row>
    <row r="274">
      <c r="I274" s="16"/>
    </row>
    <row r="275">
      <c r="I275" s="16"/>
    </row>
    <row r="276">
      <c r="I276" s="16"/>
    </row>
    <row r="277">
      <c r="I277" s="16"/>
    </row>
    <row r="278">
      <c r="I278" s="16"/>
    </row>
    <row r="279">
      <c r="I279" s="16"/>
    </row>
    <row r="280">
      <c r="I280" s="16"/>
    </row>
    <row r="281">
      <c r="I281" s="16"/>
    </row>
    <row r="282">
      <c r="I282" s="16"/>
    </row>
    <row r="283">
      <c r="I283" s="16"/>
    </row>
    <row r="284">
      <c r="I284" s="16"/>
    </row>
    <row r="285">
      <c r="I285" s="16"/>
    </row>
    <row r="286">
      <c r="I286" s="16"/>
    </row>
    <row r="287">
      <c r="I287" s="16"/>
    </row>
    <row r="288">
      <c r="I288" s="16"/>
    </row>
    <row r="289">
      <c r="I289" s="16"/>
    </row>
    <row r="290">
      <c r="I290" s="16"/>
    </row>
    <row r="291">
      <c r="I291" s="16"/>
    </row>
    <row r="292">
      <c r="I292" s="16"/>
    </row>
    <row r="293">
      <c r="I293" s="16"/>
    </row>
    <row r="294">
      <c r="I294" s="16"/>
    </row>
    <row r="295">
      <c r="I295" s="16"/>
    </row>
    <row r="296">
      <c r="I296" s="16"/>
    </row>
    <row r="297">
      <c r="I297" s="16"/>
    </row>
    <row r="298">
      <c r="I298" s="16"/>
    </row>
    <row r="299">
      <c r="I299" s="16"/>
    </row>
    <row r="300">
      <c r="I300" s="16"/>
    </row>
    <row r="301">
      <c r="I301" s="16"/>
    </row>
    <row r="302">
      <c r="I302" s="16"/>
    </row>
    <row r="303">
      <c r="I303" s="16"/>
    </row>
    <row r="304">
      <c r="I304" s="16"/>
    </row>
    <row r="305">
      <c r="I305" s="16"/>
    </row>
    <row r="306">
      <c r="I306" s="16"/>
    </row>
    <row r="307">
      <c r="I307" s="16"/>
    </row>
    <row r="308">
      <c r="I308" s="16"/>
    </row>
    <row r="309">
      <c r="I309" s="16"/>
    </row>
    <row r="310">
      <c r="I310" s="16"/>
    </row>
    <row r="311">
      <c r="I311" s="16"/>
    </row>
    <row r="312">
      <c r="I312" s="16"/>
    </row>
    <row r="313">
      <c r="I313" s="16"/>
    </row>
    <row r="314">
      <c r="I314" s="16"/>
    </row>
    <row r="315">
      <c r="I315" s="16"/>
    </row>
    <row r="316">
      <c r="I316" s="16"/>
    </row>
    <row r="317">
      <c r="I317" s="16"/>
    </row>
    <row r="318">
      <c r="I318" s="16"/>
    </row>
    <row r="319">
      <c r="I319" s="16"/>
    </row>
    <row r="320">
      <c r="I320" s="16"/>
    </row>
    <row r="321">
      <c r="I321" s="16"/>
    </row>
    <row r="322">
      <c r="I322" s="16"/>
    </row>
    <row r="323">
      <c r="I323" s="16"/>
    </row>
    <row r="324">
      <c r="I324" s="16"/>
    </row>
    <row r="325">
      <c r="I325" s="16"/>
    </row>
    <row r="326">
      <c r="I326" s="16"/>
    </row>
    <row r="327">
      <c r="I327" s="16"/>
    </row>
    <row r="328">
      <c r="I328" s="16"/>
    </row>
    <row r="329">
      <c r="I329" s="16"/>
    </row>
    <row r="330">
      <c r="I330" s="16"/>
    </row>
    <row r="331">
      <c r="I331" s="16"/>
    </row>
    <row r="332">
      <c r="I332" s="16"/>
    </row>
    <row r="333">
      <c r="I333" s="16"/>
    </row>
    <row r="334">
      <c r="I334" s="16"/>
    </row>
    <row r="335">
      <c r="I335" s="16"/>
    </row>
    <row r="336">
      <c r="I336" s="16"/>
    </row>
    <row r="337">
      <c r="I337" s="16"/>
    </row>
    <row r="338">
      <c r="I338" s="16"/>
    </row>
    <row r="339">
      <c r="I339" s="16"/>
    </row>
    <row r="340">
      <c r="I340" s="16"/>
    </row>
    <row r="341">
      <c r="I341" s="16"/>
    </row>
    <row r="342">
      <c r="I342" s="16"/>
    </row>
    <row r="343">
      <c r="I343" s="16"/>
    </row>
    <row r="344">
      <c r="I344" s="16"/>
    </row>
    <row r="345">
      <c r="I345" s="16"/>
    </row>
    <row r="346">
      <c r="I346" s="16"/>
    </row>
    <row r="347">
      <c r="I347" s="16"/>
    </row>
    <row r="348">
      <c r="I348" s="16"/>
    </row>
    <row r="349">
      <c r="I349" s="16"/>
    </row>
    <row r="350">
      <c r="I350" s="16"/>
    </row>
    <row r="351">
      <c r="I351" s="16"/>
    </row>
    <row r="352">
      <c r="I352" s="16"/>
    </row>
    <row r="353">
      <c r="I353" s="16"/>
    </row>
    <row r="354">
      <c r="I354" s="16"/>
    </row>
    <row r="355">
      <c r="I355" s="16"/>
    </row>
    <row r="356">
      <c r="I356" s="16"/>
    </row>
    <row r="357">
      <c r="I357" s="16"/>
    </row>
    <row r="358">
      <c r="I358" s="16"/>
    </row>
    <row r="359">
      <c r="I359" s="16"/>
    </row>
    <row r="360">
      <c r="I360" s="16"/>
    </row>
    <row r="361">
      <c r="I361" s="16"/>
    </row>
    <row r="362">
      <c r="I362" s="16"/>
    </row>
    <row r="363">
      <c r="I363" s="16"/>
    </row>
    <row r="364">
      <c r="I364" s="16"/>
    </row>
    <row r="365">
      <c r="I365" s="16"/>
    </row>
    <row r="366">
      <c r="I366" s="16"/>
    </row>
    <row r="367">
      <c r="I367" s="16"/>
    </row>
    <row r="368">
      <c r="I368" s="16"/>
    </row>
    <row r="369">
      <c r="I369" s="16"/>
    </row>
    <row r="370">
      <c r="I370" s="16"/>
    </row>
    <row r="371">
      <c r="I371" s="16"/>
    </row>
    <row r="372">
      <c r="I372" s="16"/>
    </row>
    <row r="373">
      <c r="I373" s="16"/>
    </row>
    <row r="374">
      <c r="I374" s="16"/>
    </row>
    <row r="375">
      <c r="I375" s="16"/>
    </row>
    <row r="376">
      <c r="I376" s="16"/>
    </row>
    <row r="377">
      <c r="I377" s="16"/>
    </row>
    <row r="378">
      <c r="I378" s="16"/>
    </row>
    <row r="379">
      <c r="I379" s="16"/>
    </row>
    <row r="380">
      <c r="I380" s="16"/>
    </row>
    <row r="381">
      <c r="I381" s="16"/>
    </row>
    <row r="382">
      <c r="I382" s="16"/>
    </row>
    <row r="383">
      <c r="I383" s="16"/>
    </row>
    <row r="384">
      <c r="I384" s="16"/>
    </row>
    <row r="385">
      <c r="I385" s="16"/>
    </row>
    <row r="386">
      <c r="I386" s="16"/>
    </row>
    <row r="387">
      <c r="I387" s="16"/>
    </row>
    <row r="388">
      <c r="I388" s="16"/>
    </row>
    <row r="389">
      <c r="I389" s="16"/>
    </row>
    <row r="390">
      <c r="I390" s="16"/>
    </row>
    <row r="391">
      <c r="I391" s="16"/>
    </row>
    <row r="392">
      <c r="I392" s="16"/>
    </row>
    <row r="393">
      <c r="I393" s="16"/>
    </row>
    <row r="394">
      <c r="I394" s="16"/>
    </row>
    <row r="395">
      <c r="I395" s="16"/>
    </row>
    <row r="396">
      <c r="I396" s="16"/>
    </row>
    <row r="397">
      <c r="I397" s="16"/>
    </row>
    <row r="398">
      <c r="I398" s="16"/>
    </row>
    <row r="399">
      <c r="I399" s="16"/>
    </row>
    <row r="400">
      <c r="I400" s="16"/>
    </row>
    <row r="401">
      <c r="I401" s="16"/>
    </row>
    <row r="402">
      <c r="I402" s="16"/>
    </row>
    <row r="403">
      <c r="I403" s="16"/>
    </row>
    <row r="404">
      <c r="I404" s="16"/>
    </row>
    <row r="405">
      <c r="I405" s="16"/>
    </row>
    <row r="406">
      <c r="I406" s="16"/>
    </row>
    <row r="407">
      <c r="I407" s="16"/>
    </row>
    <row r="408">
      <c r="I408" s="16"/>
    </row>
    <row r="409">
      <c r="I409" s="16"/>
    </row>
    <row r="410">
      <c r="I410" s="16"/>
    </row>
    <row r="411">
      <c r="I411" s="16"/>
    </row>
    <row r="412">
      <c r="I412" s="16"/>
    </row>
    <row r="413">
      <c r="I413" s="16"/>
    </row>
    <row r="414">
      <c r="I414" s="16"/>
    </row>
    <row r="415">
      <c r="I415" s="16"/>
    </row>
    <row r="416">
      <c r="I416" s="16"/>
    </row>
    <row r="417">
      <c r="I417" s="16"/>
    </row>
    <row r="418">
      <c r="I418" s="16"/>
    </row>
    <row r="419">
      <c r="I419" s="16"/>
    </row>
    <row r="420">
      <c r="I420" s="16"/>
    </row>
    <row r="421">
      <c r="I421" s="16"/>
    </row>
    <row r="422">
      <c r="I422" s="16"/>
    </row>
    <row r="423">
      <c r="I423" s="16"/>
    </row>
    <row r="424">
      <c r="I424" s="16"/>
    </row>
    <row r="425">
      <c r="I425" s="16"/>
    </row>
    <row r="426">
      <c r="I426" s="16"/>
    </row>
    <row r="427">
      <c r="I427" s="16"/>
    </row>
    <row r="428">
      <c r="I428" s="16"/>
    </row>
    <row r="429">
      <c r="I429" s="16"/>
    </row>
    <row r="430">
      <c r="I430" s="16"/>
    </row>
    <row r="431">
      <c r="I431" s="16"/>
    </row>
    <row r="432">
      <c r="I432" s="16"/>
    </row>
    <row r="433">
      <c r="I433" s="16"/>
    </row>
    <row r="434">
      <c r="I434" s="16"/>
    </row>
    <row r="435">
      <c r="I435" s="16"/>
    </row>
    <row r="436">
      <c r="I436" s="16"/>
    </row>
    <row r="437">
      <c r="I437" s="16"/>
    </row>
    <row r="438">
      <c r="I438" s="16"/>
    </row>
    <row r="439">
      <c r="I439" s="16"/>
    </row>
    <row r="440">
      <c r="I440" s="16"/>
    </row>
    <row r="441">
      <c r="I441" s="16"/>
    </row>
    <row r="442">
      <c r="I442" s="16"/>
    </row>
    <row r="443">
      <c r="I443" s="16"/>
    </row>
    <row r="444">
      <c r="I444" s="16"/>
    </row>
    <row r="445">
      <c r="I445" s="16"/>
    </row>
    <row r="446">
      <c r="I446" s="16"/>
    </row>
    <row r="447">
      <c r="I447" s="16"/>
    </row>
    <row r="448">
      <c r="I448" s="16"/>
    </row>
    <row r="449">
      <c r="I449" s="16"/>
    </row>
    <row r="450">
      <c r="I450" s="16"/>
    </row>
    <row r="451">
      <c r="I451" s="16"/>
    </row>
    <row r="452">
      <c r="I452" s="16"/>
    </row>
    <row r="453">
      <c r="I453" s="16"/>
    </row>
    <row r="454">
      <c r="I454" s="16"/>
    </row>
    <row r="455">
      <c r="I455" s="16"/>
    </row>
    <row r="456">
      <c r="I456" s="16"/>
    </row>
    <row r="457">
      <c r="I457" s="16"/>
    </row>
    <row r="458">
      <c r="I458" s="16"/>
    </row>
    <row r="459">
      <c r="I459" s="16"/>
    </row>
    <row r="460">
      <c r="I460" s="16"/>
    </row>
    <row r="461">
      <c r="I461" s="16"/>
    </row>
    <row r="462">
      <c r="I462" s="16"/>
    </row>
    <row r="463">
      <c r="I463" s="16"/>
    </row>
    <row r="464">
      <c r="I464" s="16"/>
    </row>
    <row r="465">
      <c r="I465" s="16"/>
    </row>
    <row r="466">
      <c r="I466" s="16"/>
    </row>
    <row r="467">
      <c r="I467" s="16"/>
    </row>
    <row r="468">
      <c r="I468" s="16"/>
    </row>
    <row r="469">
      <c r="I469" s="16"/>
    </row>
    <row r="470">
      <c r="I470" s="16"/>
    </row>
    <row r="471">
      <c r="I471" s="16"/>
    </row>
    <row r="472">
      <c r="I472" s="16"/>
    </row>
    <row r="473">
      <c r="I473" s="16"/>
    </row>
    <row r="474">
      <c r="I474" s="16"/>
    </row>
    <row r="475">
      <c r="I475" s="16"/>
    </row>
    <row r="476">
      <c r="I476" s="16"/>
    </row>
    <row r="477">
      <c r="I477" s="16"/>
    </row>
    <row r="478">
      <c r="I478" s="16"/>
    </row>
    <row r="479">
      <c r="I479" s="16"/>
    </row>
    <row r="480">
      <c r="I480" s="16"/>
    </row>
    <row r="481">
      <c r="I481" s="16"/>
    </row>
    <row r="482">
      <c r="I482" s="16"/>
    </row>
    <row r="483">
      <c r="I483" s="16"/>
    </row>
    <row r="484">
      <c r="I484" s="16"/>
    </row>
    <row r="485">
      <c r="I485" s="16"/>
    </row>
    <row r="486">
      <c r="I486" s="16"/>
    </row>
    <row r="487">
      <c r="I487" s="16"/>
    </row>
    <row r="488">
      <c r="I488" s="16"/>
    </row>
    <row r="489">
      <c r="I489" s="16"/>
    </row>
    <row r="490">
      <c r="I490" s="16"/>
    </row>
    <row r="491">
      <c r="I491" s="16"/>
    </row>
    <row r="492">
      <c r="I492" s="16"/>
    </row>
    <row r="493">
      <c r="I493" s="16"/>
    </row>
    <row r="494">
      <c r="I494" s="16"/>
    </row>
    <row r="495">
      <c r="I495" s="16"/>
    </row>
    <row r="496">
      <c r="I496" s="16"/>
    </row>
    <row r="497">
      <c r="I497" s="16"/>
    </row>
    <row r="498">
      <c r="I498" s="16"/>
    </row>
    <row r="499">
      <c r="I499" s="16"/>
    </row>
    <row r="500">
      <c r="I500" s="16"/>
    </row>
    <row r="501">
      <c r="I501" s="16"/>
    </row>
    <row r="502">
      <c r="I502" s="16"/>
    </row>
    <row r="503">
      <c r="I503" s="16"/>
    </row>
    <row r="504">
      <c r="I504" s="16"/>
    </row>
    <row r="505">
      <c r="I505" s="16"/>
    </row>
    <row r="506">
      <c r="I506" s="16"/>
    </row>
    <row r="507">
      <c r="I507" s="16"/>
    </row>
    <row r="508">
      <c r="I508" s="16"/>
    </row>
    <row r="509">
      <c r="I509" s="16"/>
    </row>
    <row r="510">
      <c r="I510" s="16"/>
    </row>
    <row r="511">
      <c r="I511" s="16"/>
    </row>
    <row r="512">
      <c r="I512" s="16"/>
    </row>
    <row r="513">
      <c r="I513" s="16"/>
    </row>
    <row r="514">
      <c r="I514" s="16"/>
    </row>
    <row r="515">
      <c r="I515" s="16"/>
    </row>
    <row r="516">
      <c r="I516" s="16"/>
    </row>
    <row r="517">
      <c r="I517" s="16"/>
    </row>
    <row r="518">
      <c r="I518" s="16"/>
    </row>
    <row r="519">
      <c r="I519" s="16"/>
    </row>
    <row r="520">
      <c r="I520" s="16"/>
    </row>
    <row r="521">
      <c r="I521" s="16"/>
    </row>
    <row r="522">
      <c r="I522" s="16"/>
    </row>
    <row r="523">
      <c r="I523" s="16"/>
    </row>
    <row r="524">
      <c r="I524" s="16"/>
    </row>
    <row r="525">
      <c r="I525" s="16"/>
    </row>
    <row r="526">
      <c r="I526" s="16"/>
    </row>
    <row r="527">
      <c r="I527" s="16"/>
    </row>
    <row r="528">
      <c r="I528" s="16"/>
    </row>
    <row r="529">
      <c r="I529" s="16"/>
    </row>
    <row r="530">
      <c r="I530" s="16"/>
    </row>
    <row r="531">
      <c r="I531" s="16"/>
    </row>
    <row r="532">
      <c r="I532" s="16"/>
    </row>
    <row r="533">
      <c r="I533" s="16"/>
    </row>
    <row r="534">
      <c r="I534" s="16"/>
    </row>
    <row r="535">
      <c r="I535" s="16"/>
    </row>
    <row r="536">
      <c r="I536" s="16"/>
    </row>
    <row r="537">
      <c r="I537" s="16"/>
    </row>
    <row r="538">
      <c r="I538" s="16"/>
    </row>
    <row r="539">
      <c r="I539" s="16"/>
    </row>
    <row r="540">
      <c r="I540" s="16"/>
    </row>
    <row r="541">
      <c r="I541" s="16"/>
    </row>
    <row r="542">
      <c r="I542" s="16"/>
    </row>
    <row r="543">
      <c r="I543" s="16"/>
    </row>
    <row r="544">
      <c r="I544" s="16"/>
    </row>
    <row r="545">
      <c r="I545" s="16"/>
    </row>
    <row r="546">
      <c r="I546" s="16"/>
    </row>
    <row r="547">
      <c r="I547" s="16"/>
    </row>
    <row r="548">
      <c r="I548" s="16"/>
    </row>
    <row r="549">
      <c r="I549" s="16"/>
    </row>
    <row r="550">
      <c r="I550" s="16"/>
    </row>
    <row r="551">
      <c r="I551" s="16"/>
    </row>
    <row r="552">
      <c r="I552" s="16"/>
    </row>
    <row r="553">
      <c r="I553" s="16"/>
    </row>
    <row r="554">
      <c r="I554" s="16"/>
    </row>
    <row r="555">
      <c r="I555" s="16"/>
    </row>
    <row r="556">
      <c r="I556" s="16"/>
    </row>
    <row r="557">
      <c r="I557" s="16"/>
    </row>
    <row r="558">
      <c r="I558" s="16"/>
    </row>
    <row r="559">
      <c r="I559" s="16"/>
    </row>
    <row r="560">
      <c r="I560" s="16"/>
    </row>
    <row r="561">
      <c r="I561" s="16"/>
    </row>
    <row r="562">
      <c r="I562" s="16"/>
    </row>
    <row r="563">
      <c r="I563" s="16"/>
    </row>
    <row r="564">
      <c r="I564" s="16"/>
    </row>
    <row r="565">
      <c r="I565" s="16"/>
    </row>
    <row r="566">
      <c r="I566" s="16"/>
    </row>
    <row r="567">
      <c r="I567" s="16"/>
    </row>
    <row r="568">
      <c r="I568" s="16"/>
    </row>
    <row r="569">
      <c r="I569" s="16"/>
    </row>
    <row r="570">
      <c r="I570" s="16"/>
    </row>
    <row r="571">
      <c r="I571" s="16"/>
    </row>
    <row r="572">
      <c r="I572" s="16"/>
    </row>
    <row r="573">
      <c r="I573" s="16"/>
    </row>
    <row r="574">
      <c r="I574" s="16"/>
    </row>
    <row r="575">
      <c r="I575" s="16"/>
    </row>
    <row r="576">
      <c r="I576" s="16"/>
    </row>
    <row r="577">
      <c r="I577" s="16"/>
    </row>
    <row r="578">
      <c r="I578" s="16"/>
    </row>
    <row r="579">
      <c r="I579" s="16"/>
    </row>
    <row r="580">
      <c r="I580" s="16"/>
    </row>
    <row r="581">
      <c r="I581" s="16"/>
    </row>
    <row r="582">
      <c r="I582" s="16"/>
    </row>
    <row r="583">
      <c r="I583" s="16"/>
    </row>
    <row r="584">
      <c r="I584" s="16"/>
    </row>
    <row r="585">
      <c r="I585" s="16"/>
    </row>
    <row r="586">
      <c r="I586" s="16"/>
    </row>
    <row r="587">
      <c r="I587" s="16"/>
    </row>
    <row r="588">
      <c r="I588" s="16"/>
    </row>
    <row r="589">
      <c r="I589" s="16"/>
    </row>
    <row r="590">
      <c r="I590" s="16"/>
    </row>
    <row r="591">
      <c r="I591" s="16"/>
    </row>
    <row r="592">
      <c r="I592" s="16"/>
    </row>
    <row r="593">
      <c r="I593" s="16"/>
    </row>
    <row r="594">
      <c r="I594" s="16"/>
    </row>
    <row r="595">
      <c r="I595" s="16"/>
    </row>
    <row r="596">
      <c r="I596" s="16"/>
    </row>
    <row r="597">
      <c r="I597" s="16"/>
    </row>
    <row r="598">
      <c r="I598" s="16"/>
    </row>
    <row r="599">
      <c r="I599" s="16"/>
    </row>
    <row r="600">
      <c r="I600" s="16"/>
    </row>
    <row r="601">
      <c r="I601" s="16"/>
    </row>
    <row r="602">
      <c r="I602" s="16"/>
    </row>
    <row r="603">
      <c r="I603" s="16"/>
    </row>
    <row r="604">
      <c r="I604" s="16"/>
    </row>
    <row r="605">
      <c r="I605" s="16"/>
    </row>
    <row r="606">
      <c r="I606" s="16"/>
    </row>
    <row r="607">
      <c r="I607" s="16"/>
    </row>
    <row r="608">
      <c r="I608" s="16"/>
    </row>
    <row r="609">
      <c r="I609" s="16"/>
    </row>
    <row r="610">
      <c r="I610" s="16"/>
    </row>
    <row r="611">
      <c r="I611" s="16"/>
    </row>
    <row r="612">
      <c r="I612" s="16"/>
    </row>
    <row r="613">
      <c r="I613" s="16"/>
    </row>
    <row r="614">
      <c r="I614" s="16"/>
    </row>
    <row r="615">
      <c r="I615" s="16"/>
    </row>
    <row r="616">
      <c r="I616" s="16"/>
    </row>
    <row r="617">
      <c r="I617" s="16"/>
    </row>
    <row r="618">
      <c r="I618" s="16"/>
    </row>
    <row r="619">
      <c r="I619" s="16"/>
    </row>
    <row r="620">
      <c r="I620" s="16"/>
    </row>
    <row r="621">
      <c r="I621" s="16"/>
    </row>
    <row r="622">
      <c r="I622" s="16"/>
    </row>
    <row r="623">
      <c r="I623" s="16"/>
    </row>
    <row r="624">
      <c r="I624" s="16"/>
    </row>
    <row r="625">
      <c r="I625" s="16"/>
    </row>
    <row r="626">
      <c r="I626" s="16"/>
    </row>
    <row r="627">
      <c r="I627" s="16"/>
    </row>
    <row r="628">
      <c r="I628" s="16"/>
    </row>
    <row r="629">
      <c r="I629" s="16"/>
    </row>
    <row r="630">
      <c r="I630" s="16"/>
    </row>
    <row r="631">
      <c r="I631" s="16"/>
    </row>
    <row r="632">
      <c r="I632" s="16"/>
    </row>
    <row r="633">
      <c r="I633" s="16"/>
    </row>
    <row r="634">
      <c r="I634" s="16"/>
    </row>
    <row r="635">
      <c r="I635" s="16"/>
    </row>
    <row r="636">
      <c r="I636" s="16"/>
    </row>
    <row r="637">
      <c r="I637" s="16"/>
    </row>
    <row r="638">
      <c r="I638" s="16"/>
    </row>
    <row r="639">
      <c r="I639" s="16"/>
    </row>
    <row r="640">
      <c r="I640" s="16"/>
    </row>
    <row r="641">
      <c r="I641" s="16"/>
    </row>
    <row r="642">
      <c r="I642" s="16"/>
    </row>
    <row r="643">
      <c r="I643" s="16"/>
    </row>
    <row r="644">
      <c r="I644" s="16"/>
    </row>
    <row r="645">
      <c r="I645" s="16"/>
    </row>
    <row r="646">
      <c r="I646" s="16"/>
    </row>
    <row r="647">
      <c r="I647" s="16"/>
    </row>
    <row r="648">
      <c r="I648" s="16"/>
    </row>
    <row r="649">
      <c r="I649" s="16"/>
    </row>
    <row r="650">
      <c r="I650" s="16"/>
    </row>
    <row r="651">
      <c r="I651" s="16"/>
    </row>
    <row r="652">
      <c r="I652" s="16"/>
    </row>
    <row r="653">
      <c r="I653" s="16"/>
    </row>
    <row r="654">
      <c r="I654" s="16"/>
    </row>
    <row r="655">
      <c r="I655" s="16"/>
    </row>
    <row r="656">
      <c r="I656" s="16"/>
    </row>
    <row r="657">
      <c r="I657" s="16"/>
    </row>
    <row r="658">
      <c r="I658" s="16"/>
    </row>
    <row r="659">
      <c r="I659" s="16"/>
    </row>
    <row r="660">
      <c r="I660" s="16"/>
    </row>
    <row r="661">
      <c r="I661" s="16"/>
    </row>
    <row r="662">
      <c r="I662" s="16"/>
    </row>
    <row r="663">
      <c r="I663" s="16"/>
    </row>
    <row r="664">
      <c r="I664" s="16"/>
    </row>
    <row r="665">
      <c r="I665" s="16"/>
    </row>
    <row r="666">
      <c r="I666" s="16"/>
    </row>
    <row r="667">
      <c r="I667" s="16"/>
    </row>
    <row r="668">
      <c r="I668" s="16"/>
    </row>
    <row r="669">
      <c r="I669" s="16"/>
    </row>
    <row r="670">
      <c r="I670" s="16"/>
    </row>
    <row r="671">
      <c r="I671" s="16"/>
    </row>
    <row r="672">
      <c r="I672" s="16"/>
    </row>
    <row r="673">
      <c r="I673" s="16"/>
    </row>
    <row r="674">
      <c r="I674" s="16"/>
    </row>
    <row r="675">
      <c r="I675" s="16"/>
    </row>
    <row r="676">
      <c r="I676" s="16"/>
    </row>
    <row r="677">
      <c r="I677" s="16"/>
    </row>
    <row r="678">
      <c r="I678" s="16"/>
    </row>
    <row r="679">
      <c r="I679" s="16"/>
    </row>
    <row r="680">
      <c r="I680" s="16"/>
    </row>
    <row r="681">
      <c r="I681" s="16"/>
    </row>
    <row r="682">
      <c r="I682" s="16"/>
    </row>
    <row r="683">
      <c r="I683" s="16"/>
    </row>
    <row r="684">
      <c r="I684" s="16"/>
    </row>
    <row r="685">
      <c r="I685" s="16"/>
    </row>
    <row r="686">
      <c r="I686" s="16"/>
    </row>
    <row r="687">
      <c r="I687" s="16"/>
    </row>
    <row r="688">
      <c r="I688" s="16"/>
    </row>
    <row r="689">
      <c r="I689" s="16"/>
    </row>
    <row r="690">
      <c r="I690" s="16"/>
    </row>
    <row r="691">
      <c r="I691" s="16"/>
    </row>
    <row r="692">
      <c r="I692" s="16"/>
    </row>
    <row r="693">
      <c r="I693" s="16"/>
    </row>
    <row r="694">
      <c r="I694" s="16"/>
    </row>
    <row r="695">
      <c r="I695" s="16"/>
    </row>
    <row r="696">
      <c r="I696" s="16"/>
    </row>
    <row r="697">
      <c r="I697" s="16"/>
    </row>
    <row r="698">
      <c r="I698" s="16"/>
    </row>
    <row r="699">
      <c r="I699" s="16"/>
    </row>
    <row r="700">
      <c r="I700" s="16"/>
    </row>
    <row r="701">
      <c r="I701" s="16"/>
    </row>
    <row r="702">
      <c r="I702" s="16"/>
    </row>
    <row r="703">
      <c r="I703" s="16"/>
    </row>
    <row r="704">
      <c r="I704" s="16"/>
    </row>
    <row r="705">
      <c r="I705" s="16"/>
    </row>
    <row r="706">
      <c r="I706" s="16"/>
    </row>
    <row r="707">
      <c r="I707" s="16"/>
    </row>
    <row r="708">
      <c r="I708" s="16"/>
    </row>
    <row r="709">
      <c r="I709" s="16"/>
    </row>
    <row r="710">
      <c r="I710" s="16"/>
    </row>
    <row r="711">
      <c r="I711" s="16"/>
    </row>
    <row r="712">
      <c r="I712" s="16"/>
    </row>
    <row r="713">
      <c r="I713" s="16"/>
    </row>
    <row r="714">
      <c r="I714" s="16"/>
    </row>
    <row r="715">
      <c r="I715" s="16"/>
    </row>
    <row r="716">
      <c r="I716" s="16"/>
    </row>
    <row r="717">
      <c r="I717" s="16"/>
    </row>
    <row r="718">
      <c r="I718" s="16"/>
    </row>
    <row r="719">
      <c r="I719" s="16"/>
    </row>
    <row r="720">
      <c r="I720" s="16"/>
    </row>
    <row r="721">
      <c r="I721" s="16"/>
    </row>
    <row r="722">
      <c r="I722" s="16"/>
    </row>
    <row r="723">
      <c r="I723" s="16"/>
    </row>
    <row r="724">
      <c r="I724" s="16"/>
    </row>
    <row r="725">
      <c r="I725" s="16"/>
    </row>
    <row r="726">
      <c r="I726" s="16"/>
    </row>
    <row r="727">
      <c r="I727" s="16"/>
    </row>
    <row r="728">
      <c r="I728" s="16"/>
    </row>
    <row r="729">
      <c r="I729" s="16"/>
    </row>
    <row r="730">
      <c r="I730" s="16"/>
    </row>
    <row r="731">
      <c r="I731" s="16"/>
    </row>
    <row r="732">
      <c r="I732" s="16"/>
    </row>
    <row r="733">
      <c r="I733" s="16"/>
    </row>
    <row r="734">
      <c r="I734" s="16"/>
    </row>
    <row r="735">
      <c r="I735" s="16"/>
    </row>
    <row r="736">
      <c r="I736" s="16"/>
    </row>
    <row r="737">
      <c r="I737" s="16"/>
    </row>
    <row r="738">
      <c r="I738" s="16"/>
    </row>
    <row r="739">
      <c r="I739" s="16"/>
    </row>
    <row r="740">
      <c r="I740" s="16"/>
    </row>
    <row r="741">
      <c r="I741" s="16"/>
    </row>
    <row r="742">
      <c r="I742" s="16"/>
    </row>
    <row r="743">
      <c r="I743" s="16"/>
    </row>
    <row r="744">
      <c r="I744" s="16"/>
    </row>
    <row r="745">
      <c r="I745" s="16"/>
    </row>
    <row r="746">
      <c r="I746" s="16"/>
    </row>
    <row r="747">
      <c r="I747" s="16"/>
    </row>
    <row r="748">
      <c r="I748" s="16"/>
    </row>
    <row r="749">
      <c r="I749" s="16"/>
    </row>
    <row r="750">
      <c r="I750" s="16"/>
    </row>
    <row r="751">
      <c r="I751" s="16"/>
    </row>
    <row r="752">
      <c r="I752" s="16"/>
    </row>
    <row r="753">
      <c r="I753" s="16"/>
    </row>
    <row r="754">
      <c r="I754" s="16"/>
    </row>
    <row r="755">
      <c r="I755" s="16"/>
    </row>
    <row r="756">
      <c r="I756" s="16"/>
    </row>
    <row r="757">
      <c r="I757" s="16"/>
    </row>
    <row r="758">
      <c r="I758" s="16"/>
    </row>
    <row r="759">
      <c r="I759" s="16"/>
    </row>
    <row r="760">
      <c r="I760" s="16"/>
    </row>
    <row r="761">
      <c r="I761" s="16"/>
    </row>
    <row r="762">
      <c r="I762" s="16"/>
    </row>
    <row r="763">
      <c r="I763" s="16"/>
    </row>
    <row r="764">
      <c r="I764" s="16"/>
    </row>
    <row r="765">
      <c r="I765" s="16"/>
    </row>
    <row r="766">
      <c r="I766" s="16"/>
    </row>
    <row r="767">
      <c r="I767" s="16"/>
    </row>
    <row r="768">
      <c r="I768" s="16"/>
    </row>
    <row r="769">
      <c r="I769" s="16"/>
    </row>
    <row r="770">
      <c r="I770" s="16"/>
    </row>
    <row r="771">
      <c r="I771" s="16"/>
    </row>
    <row r="772">
      <c r="I772" s="16"/>
    </row>
    <row r="773">
      <c r="I773" s="16"/>
    </row>
    <row r="774">
      <c r="I774" s="16"/>
    </row>
    <row r="775">
      <c r="I775" s="16"/>
    </row>
    <row r="776">
      <c r="I776" s="16"/>
    </row>
    <row r="777">
      <c r="I777" s="16"/>
    </row>
    <row r="778">
      <c r="I778" s="16"/>
    </row>
    <row r="779">
      <c r="I779" s="16"/>
    </row>
    <row r="780">
      <c r="I780" s="16"/>
    </row>
    <row r="781">
      <c r="I781" s="16"/>
    </row>
    <row r="782">
      <c r="I782" s="16"/>
    </row>
    <row r="783">
      <c r="I783" s="16"/>
    </row>
    <row r="784">
      <c r="I784" s="16"/>
    </row>
    <row r="785">
      <c r="I785" s="16"/>
    </row>
    <row r="786">
      <c r="I786" s="16"/>
    </row>
    <row r="787">
      <c r="I787" s="16"/>
    </row>
    <row r="788">
      <c r="I788" s="16"/>
    </row>
    <row r="789">
      <c r="I789" s="16"/>
    </row>
    <row r="790">
      <c r="I790" s="16"/>
    </row>
    <row r="791">
      <c r="I791" s="16"/>
    </row>
    <row r="792">
      <c r="I792" s="16"/>
    </row>
    <row r="793">
      <c r="I793" s="16"/>
    </row>
    <row r="794">
      <c r="I794" s="16"/>
    </row>
    <row r="795">
      <c r="I795" s="16"/>
    </row>
    <row r="796">
      <c r="I796" s="16"/>
    </row>
    <row r="797">
      <c r="I797" s="16"/>
    </row>
    <row r="798">
      <c r="I798" s="16"/>
    </row>
    <row r="799">
      <c r="I799" s="16"/>
    </row>
    <row r="800">
      <c r="I800" s="16"/>
    </row>
    <row r="801">
      <c r="I801" s="16"/>
    </row>
    <row r="802">
      <c r="I802" s="16"/>
    </row>
    <row r="803">
      <c r="I803" s="16"/>
    </row>
    <row r="804">
      <c r="I804" s="16"/>
    </row>
    <row r="805">
      <c r="I805" s="16"/>
    </row>
    <row r="806">
      <c r="I806" s="16"/>
    </row>
    <row r="807">
      <c r="I807" s="16"/>
    </row>
    <row r="808">
      <c r="I808" s="16"/>
    </row>
    <row r="809">
      <c r="I809" s="16"/>
    </row>
    <row r="810">
      <c r="I810" s="16"/>
    </row>
    <row r="811">
      <c r="I811" s="16"/>
    </row>
    <row r="812">
      <c r="I812" s="16"/>
    </row>
    <row r="813">
      <c r="I813" s="16"/>
    </row>
    <row r="814">
      <c r="I814" s="16"/>
    </row>
    <row r="815">
      <c r="I815" s="16"/>
    </row>
    <row r="816">
      <c r="I816" s="16"/>
    </row>
    <row r="817">
      <c r="I817" s="16"/>
    </row>
    <row r="818">
      <c r="I818" s="16"/>
    </row>
    <row r="819">
      <c r="I819" s="16"/>
    </row>
    <row r="820">
      <c r="I820" s="16"/>
    </row>
    <row r="821">
      <c r="I821" s="16"/>
    </row>
    <row r="822">
      <c r="I822" s="16"/>
    </row>
    <row r="823">
      <c r="I823" s="16"/>
    </row>
    <row r="824">
      <c r="I824" s="16"/>
    </row>
    <row r="825">
      <c r="I825" s="16"/>
    </row>
    <row r="826">
      <c r="I826" s="16"/>
    </row>
    <row r="827">
      <c r="I827" s="16"/>
    </row>
    <row r="828">
      <c r="I828" s="16"/>
    </row>
    <row r="829">
      <c r="I829" s="16"/>
    </row>
    <row r="830">
      <c r="I830" s="16"/>
    </row>
    <row r="831">
      <c r="I831" s="16"/>
    </row>
    <row r="832">
      <c r="I832" s="16"/>
    </row>
    <row r="833">
      <c r="I833" s="16"/>
    </row>
    <row r="834">
      <c r="I834" s="16"/>
    </row>
    <row r="835">
      <c r="I835" s="16"/>
    </row>
    <row r="836">
      <c r="I836" s="16"/>
    </row>
    <row r="837">
      <c r="I837" s="16"/>
    </row>
    <row r="838">
      <c r="I838" s="16"/>
    </row>
    <row r="839">
      <c r="I839" s="16"/>
    </row>
    <row r="840">
      <c r="I840" s="16"/>
    </row>
    <row r="841">
      <c r="I841" s="16"/>
    </row>
    <row r="842">
      <c r="I842" s="16"/>
    </row>
    <row r="843">
      <c r="I843" s="16"/>
    </row>
    <row r="844">
      <c r="I844" s="16"/>
    </row>
    <row r="845">
      <c r="I845" s="16"/>
    </row>
    <row r="846">
      <c r="I846" s="16"/>
    </row>
    <row r="847">
      <c r="I847" s="16"/>
    </row>
    <row r="848">
      <c r="I848" s="16"/>
    </row>
    <row r="849">
      <c r="I849" s="16"/>
    </row>
    <row r="850">
      <c r="I850" s="16"/>
    </row>
    <row r="851">
      <c r="I851" s="16"/>
    </row>
    <row r="852">
      <c r="I852" s="16"/>
    </row>
    <row r="853">
      <c r="I853" s="16"/>
    </row>
    <row r="854">
      <c r="I854" s="16"/>
    </row>
    <row r="855">
      <c r="I855" s="16"/>
    </row>
    <row r="856">
      <c r="I856" s="16"/>
    </row>
    <row r="857">
      <c r="I857" s="16"/>
    </row>
    <row r="858">
      <c r="I858" s="16"/>
    </row>
    <row r="859">
      <c r="I859" s="16"/>
    </row>
    <row r="860">
      <c r="I860" s="16"/>
    </row>
    <row r="861">
      <c r="I861" s="16"/>
    </row>
    <row r="862">
      <c r="I862" s="16"/>
    </row>
    <row r="863">
      <c r="I863" s="16"/>
    </row>
    <row r="864">
      <c r="I864" s="16"/>
    </row>
    <row r="865">
      <c r="I865" s="16"/>
    </row>
    <row r="866">
      <c r="I866" s="16"/>
    </row>
    <row r="867">
      <c r="I867" s="16"/>
    </row>
    <row r="868">
      <c r="I868" s="16"/>
    </row>
    <row r="869">
      <c r="I869" s="16"/>
    </row>
    <row r="870">
      <c r="I870" s="16"/>
    </row>
    <row r="871">
      <c r="I871" s="16"/>
    </row>
    <row r="872">
      <c r="I872" s="16"/>
    </row>
    <row r="873">
      <c r="I873" s="16"/>
    </row>
    <row r="874">
      <c r="I874" s="16"/>
    </row>
    <row r="875">
      <c r="I875" s="16"/>
    </row>
    <row r="876">
      <c r="I876" s="16"/>
    </row>
    <row r="877">
      <c r="I877" s="16"/>
    </row>
    <row r="878">
      <c r="I878" s="16"/>
    </row>
    <row r="879">
      <c r="I879" s="16"/>
    </row>
    <row r="880">
      <c r="I880" s="16"/>
    </row>
    <row r="881">
      <c r="I881" s="16"/>
    </row>
    <row r="882">
      <c r="I882" s="16"/>
    </row>
    <row r="883">
      <c r="I883" s="16"/>
    </row>
    <row r="884">
      <c r="I884" s="16"/>
    </row>
    <row r="885">
      <c r="I885" s="16"/>
    </row>
    <row r="886">
      <c r="I886" s="16"/>
    </row>
    <row r="887">
      <c r="I887" s="16"/>
    </row>
    <row r="888">
      <c r="I888" s="16"/>
    </row>
    <row r="889">
      <c r="I889" s="16"/>
    </row>
    <row r="890">
      <c r="I890" s="16"/>
    </row>
    <row r="891">
      <c r="I891" s="16"/>
    </row>
    <row r="892">
      <c r="I892" s="16"/>
    </row>
    <row r="893">
      <c r="I893" s="16"/>
    </row>
    <row r="894">
      <c r="I894" s="16"/>
    </row>
    <row r="895">
      <c r="I895" s="16"/>
    </row>
    <row r="896">
      <c r="I896" s="16"/>
    </row>
    <row r="897">
      <c r="I897" s="16"/>
    </row>
    <row r="898">
      <c r="I898" s="16"/>
    </row>
    <row r="899">
      <c r="I899" s="16"/>
    </row>
    <row r="900">
      <c r="I900" s="16"/>
    </row>
    <row r="901">
      <c r="I901" s="16"/>
    </row>
    <row r="902">
      <c r="I902" s="16"/>
    </row>
    <row r="903">
      <c r="I903" s="16"/>
    </row>
    <row r="904">
      <c r="I904" s="16"/>
    </row>
    <row r="905">
      <c r="I905" s="16"/>
    </row>
    <row r="906">
      <c r="I906" s="16"/>
    </row>
    <row r="907">
      <c r="I907" s="16"/>
    </row>
    <row r="908">
      <c r="I908" s="16"/>
    </row>
    <row r="909">
      <c r="I909" s="16"/>
    </row>
    <row r="910">
      <c r="I910" s="16"/>
    </row>
    <row r="911">
      <c r="I911" s="16"/>
    </row>
    <row r="912">
      <c r="I912" s="16"/>
    </row>
    <row r="913">
      <c r="I913" s="16"/>
    </row>
    <row r="914">
      <c r="I914" s="16"/>
    </row>
    <row r="915">
      <c r="I915" s="16"/>
    </row>
    <row r="916">
      <c r="I916" s="16"/>
    </row>
    <row r="917">
      <c r="I917" s="16"/>
    </row>
    <row r="918">
      <c r="I918" s="16"/>
    </row>
    <row r="919">
      <c r="I919" s="16"/>
    </row>
    <row r="920">
      <c r="I920" s="16"/>
    </row>
    <row r="921">
      <c r="I921" s="16"/>
    </row>
    <row r="922">
      <c r="I922" s="16"/>
    </row>
    <row r="923">
      <c r="I923" s="16"/>
    </row>
    <row r="924">
      <c r="I924" s="16"/>
    </row>
    <row r="925">
      <c r="I925" s="16"/>
    </row>
    <row r="926">
      <c r="I926" s="16"/>
    </row>
    <row r="927">
      <c r="I927" s="16"/>
    </row>
    <row r="928">
      <c r="I928" s="16"/>
    </row>
    <row r="929">
      <c r="I929" s="16"/>
    </row>
    <row r="930">
      <c r="I930" s="16"/>
    </row>
    <row r="931">
      <c r="I931" s="16"/>
    </row>
    <row r="932">
      <c r="I932" s="16"/>
    </row>
    <row r="933">
      <c r="I933" s="16"/>
    </row>
    <row r="934">
      <c r="I934" s="16"/>
    </row>
    <row r="935">
      <c r="I935" s="16"/>
    </row>
    <row r="936">
      <c r="I936" s="16"/>
    </row>
    <row r="937">
      <c r="I937" s="16"/>
    </row>
    <row r="938">
      <c r="I938" s="16"/>
    </row>
    <row r="939">
      <c r="I939" s="16"/>
    </row>
    <row r="940">
      <c r="I940" s="16"/>
    </row>
    <row r="941">
      <c r="I941" s="16"/>
    </row>
    <row r="942">
      <c r="I942" s="16"/>
    </row>
    <row r="943">
      <c r="I943" s="16"/>
    </row>
    <row r="944">
      <c r="I944" s="16"/>
    </row>
    <row r="945">
      <c r="I945" s="16"/>
    </row>
    <row r="946">
      <c r="I946" s="16"/>
    </row>
    <row r="947">
      <c r="I947" s="16"/>
    </row>
    <row r="948">
      <c r="I948" s="16"/>
    </row>
    <row r="949">
      <c r="I949" s="16"/>
    </row>
    <row r="950">
      <c r="I950" s="16"/>
    </row>
    <row r="951">
      <c r="I951" s="16"/>
    </row>
    <row r="952">
      <c r="I952" s="16"/>
    </row>
    <row r="953">
      <c r="I953" s="16"/>
    </row>
    <row r="954">
      <c r="I954" s="16"/>
    </row>
    <row r="955">
      <c r="I955" s="16"/>
    </row>
    <row r="956">
      <c r="I956" s="16"/>
    </row>
    <row r="957">
      <c r="I957" s="16"/>
    </row>
    <row r="958">
      <c r="I958" s="16"/>
    </row>
    <row r="959">
      <c r="I959" s="16"/>
    </row>
    <row r="960">
      <c r="I960" s="16"/>
    </row>
    <row r="961">
      <c r="I961" s="16"/>
    </row>
    <row r="962">
      <c r="I962" s="16"/>
    </row>
    <row r="963">
      <c r="I963" s="16"/>
    </row>
    <row r="964">
      <c r="I964" s="16"/>
    </row>
    <row r="965">
      <c r="I965" s="16"/>
    </row>
    <row r="966">
      <c r="I966" s="16"/>
    </row>
    <row r="967">
      <c r="I967" s="16"/>
    </row>
    <row r="968">
      <c r="I968" s="16"/>
    </row>
    <row r="969">
      <c r="I969" s="16"/>
    </row>
    <row r="970">
      <c r="I970" s="16"/>
    </row>
    <row r="971">
      <c r="I971" s="16"/>
    </row>
    <row r="972">
      <c r="I972" s="16"/>
    </row>
    <row r="973">
      <c r="I973" s="16"/>
    </row>
    <row r="974">
      <c r="I974" s="16"/>
    </row>
    <row r="975">
      <c r="I975" s="16"/>
    </row>
    <row r="976">
      <c r="I976" s="16"/>
    </row>
    <row r="977">
      <c r="I977" s="16"/>
    </row>
    <row r="978">
      <c r="I978" s="16"/>
    </row>
    <row r="979">
      <c r="I979" s="16"/>
    </row>
    <row r="980">
      <c r="I980" s="16"/>
    </row>
    <row r="981">
      <c r="I981" s="16"/>
    </row>
    <row r="982">
      <c r="I982" s="16"/>
    </row>
    <row r="983">
      <c r="I983" s="16"/>
    </row>
    <row r="984">
      <c r="I984" s="16"/>
    </row>
    <row r="985">
      <c r="I985" s="16"/>
    </row>
    <row r="986">
      <c r="I986" s="16"/>
    </row>
    <row r="987">
      <c r="I987" s="16"/>
    </row>
    <row r="988">
      <c r="I988" s="16"/>
    </row>
    <row r="989">
      <c r="I989" s="16"/>
    </row>
    <row r="990">
      <c r="I990" s="16"/>
    </row>
    <row r="991">
      <c r="I991" s="16"/>
    </row>
    <row r="992">
      <c r="I992" s="16"/>
    </row>
    <row r="993">
      <c r="I993" s="16"/>
    </row>
    <row r="994">
      <c r="I994" s="16"/>
    </row>
    <row r="995">
      <c r="I995" s="16"/>
    </row>
    <row r="996">
      <c r="I996" s="16"/>
    </row>
    <row r="997">
      <c r="I997" s="16"/>
    </row>
    <row r="998">
      <c r="I998" s="16"/>
    </row>
    <row r="999">
      <c r="I999" s="16"/>
    </row>
    <row r="1000">
      <c r="I1000" s="16"/>
    </row>
  </sheetData>
  <customSheetViews>
    <customSheetView guid="{35181B25-86A0-4F26-A417-7E5F1D8B288E}" filter="1" showAutoFilter="1">
      <autoFilter ref="$A$1:$Z$1000">
        <sortState ref="A1:Z1000">
          <sortCondition ref="F1:F1000"/>
        </sortState>
      </autoFilter>
    </customSheetView>
  </customSheetViews>
  <conditionalFormatting sqref="J2:J181">
    <cfRule type="colorScale" priority="1">
      <colorScale>
        <cfvo type="min"/>
        <cfvo type="max"/>
        <color rgb="FFE67C73"/>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tr">
        <f>IFERROR(__xludf.DUMMYFUNCTION("query(WGS!A1:Z181, ""select * where L!='x'"", 1)"),"Sample ID")</f>
        <v>Sample ID</v>
      </c>
      <c r="B1" s="20" t="str">
        <f>IFERROR(__xludf.DUMMYFUNCTION("""COMPUTED_VALUE"""),"Sequencing")</f>
        <v>Sequencing</v>
      </c>
      <c r="C1" s="20" t="str">
        <f>IFERROR(__xludf.DUMMYFUNCTION("""COMPUTED_VALUE"""),"Putative Genotype ID")</f>
        <v>Putative Genotype ID</v>
      </c>
      <c r="D1" s="20" t="str">
        <f>IFERROR(__xludf.DUMMYFUNCTION("""COMPUTED_VALUE"""),"Genotype Replicate")</f>
        <v>Genotype Replicate</v>
      </c>
      <c r="E1" s="20" t="str">
        <f>IFERROR(__xludf.DUMMYFUNCTION("""COMPUTED_VALUE"""),"Technical Replicate")</f>
        <v>Technical Replicate</v>
      </c>
      <c r="F1" s="20" t="str">
        <f>IFERROR(__xludf.DUMMYFUNCTION("""COMPUTED_VALUE"""),"Multi-Locus Genotype ID")</f>
        <v>Multi-Locus Genotype ID</v>
      </c>
      <c r="G1" s="20" t="str">
        <f>IFERROR(__xludf.DUMMYFUNCTION("""COMPUTED_VALUE"""),"MLG Notes")</f>
        <v>MLG Notes</v>
      </c>
      <c r="H1" s="20" t="str">
        <f>IFERROR(__xludf.DUMMYFUNCTION("""COMPUTED_VALUE"""),"Raw Reads")</f>
        <v>Raw Reads</v>
      </c>
      <c r="I1" s="20" t="str">
        <f>IFERROR(__xludf.DUMMYFUNCTION("""COMPUTED_VALUE"""),"Aligned")</f>
        <v>Aligned</v>
      </c>
      <c r="J1" s="20" t="str">
        <f>IFERROR(__xludf.DUMMYFUNCTION("""COMPUTED_VALUE"""),"Alignment Rate")</f>
        <v>Alignment Rate</v>
      </c>
      <c r="K1" s="20" t="str">
        <f>IFERROR(__xludf.DUMMYFUNCTION("""COMPUTED_VALUE"""),"Missing Loci")</f>
        <v>Missing Loci</v>
      </c>
      <c r="L1" s="20" t="str">
        <f>IFERROR(__xludf.DUMMYFUNCTION("""COMPUTED_VALUE"""),"Remove")</f>
        <v>Remove</v>
      </c>
      <c r="M1" s="20" t="str">
        <f>IFERROR(__xludf.DUMMYFUNCTION("""COMPUTED_VALUE"""),"Source")</f>
        <v>Source</v>
      </c>
      <c r="N1" s="20" t="str">
        <f>IFERROR(__xludf.DUMMYFUNCTION("""COMPUTED_VALUE"""),"Hybrid")</f>
        <v>Hybrid</v>
      </c>
      <c r="O1" s="20" t="str">
        <f>IFERROR(__xludf.DUMMYFUNCTION("""COMPUTED_VALUE"""),"Latitude")</f>
        <v>Latitude</v>
      </c>
      <c r="P1" s="20" t="str">
        <f>IFERROR(__xludf.DUMMYFUNCTION("""COMPUTED_VALUE"""),"Longitude")</f>
        <v>Longitude</v>
      </c>
      <c r="Q1" s="20" t="str">
        <f>IFERROR(__xludf.DUMMYFUNCTION("""COMPUTED_VALUE"""),"Year")</f>
        <v>Year</v>
      </c>
      <c r="R1" s="20" t="str">
        <f>IFERROR(__xludf.DUMMYFUNCTION("""COMPUTED_VALUE"""),"Partner")</f>
        <v>Partner</v>
      </c>
      <c r="S1" s="20" t="str">
        <f>IFERROR(__xludf.DUMMYFUNCTION("""COMPUTED_VALUE"""),"Symbiodinium")</f>
        <v>Symbiodinium</v>
      </c>
      <c r="T1" s="20" t="str">
        <f>IFERROR(__xludf.DUMMYFUNCTION("""COMPUTED_VALUE"""),"Breviolum")</f>
        <v>Breviolum</v>
      </c>
      <c r="U1" s="20" t="str">
        <f>IFERROR(__xludf.DUMMYFUNCTION("""COMPUTED_VALUE"""),"Cladocopium")</f>
        <v>Cladocopium</v>
      </c>
      <c r="V1" s="20" t="str">
        <f>IFERROR(__xludf.DUMMYFUNCTION("""COMPUTED_VALUE"""),"Durusdinium")</f>
        <v>Durusdinium</v>
      </c>
      <c r="W1" s="20" t="str">
        <f>IFERROR(__xludf.DUMMYFUNCTION("""COMPUTED_VALUE"""),"")</f>
        <v/>
      </c>
      <c r="X1" s="20" t="str">
        <f>IFERROR(__xludf.DUMMYFUNCTION("""COMPUTED_VALUE"""),"")</f>
        <v/>
      </c>
      <c r="Y1" s="20" t="str">
        <f>IFERROR(__xludf.DUMMYFUNCTION("""COMPUTED_VALUE"""),"")</f>
        <v/>
      </c>
      <c r="Z1" s="20" t="str">
        <f>IFERROR(__xludf.DUMMYFUNCTION("""COMPUTED_VALUE"""),"")</f>
        <v/>
      </c>
    </row>
    <row r="2">
      <c r="A2" s="20" t="str">
        <f>IFERROR(__xludf.DUMMYFUNCTION("""COMPUTED_VALUE"""),"s001")</f>
        <v>s001</v>
      </c>
      <c r="B2" s="20" t="str">
        <f>IFERROR(__xludf.DUMMYFUNCTION("""COMPUTED_VALUE"""),"wgs")</f>
        <v>wgs</v>
      </c>
      <c r="C2" s="20" t="str">
        <f>IFERROR(__xludf.DUMMYFUNCTION("""COMPUTED_VALUE"""),"15-353")</f>
        <v>15-353</v>
      </c>
      <c r="D2" s="20" t="str">
        <f>IFERROR(__xludf.DUMMYFUNCTION("""COMPUTED_VALUE"""),"15-353")</f>
        <v>15-353</v>
      </c>
      <c r="E2" s="20" t="str">
        <f>IFERROR(__xludf.DUMMYFUNCTION("""COMPUTED_VALUE"""),"no")</f>
        <v>no</v>
      </c>
      <c r="F2" s="20">
        <f>IFERROR(__xludf.DUMMYFUNCTION("""COMPUTED_VALUE"""),1.0)</f>
        <v>1</v>
      </c>
      <c r="G2" s="20"/>
      <c r="H2" s="20">
        <f>IFERROR(__xludf.DUMMYFUNCTION("""COMPUTED_VALUE"""),2.4550282E7)</f>
        <v>24550282</v>
      </c>
      <c r="I2" s="20">
        <f>IFERROR(__xludf.DUMMYFUNCTION("""COMPUTED_VALUE"""),1.8807292E7)</f>
        <v>18807292</v>
      </c>
      <c r="J2" s="19">
        <f>IFERROR(__xludf.DUMMYFUNCTION("""COMPUTED_VALUE"""),0.7660723408390991)</f>
        <v>0.7660723408</v>
      </c>
      <c r="K2" s="20">
        <f>IFERROR(__xludf.DUMMYFUNCTION("""COMPUTED_VALUE"""),12519.0)</f>
        <v>12519</v>
      </c>
      <c r="L2" s="20"/>
      <c r="M2" s="20" t="str">
        <f>IFERROR(__xludf.DUMMYFUNCTION("""COMPUTED_VALUE"""),"H")</f>
        <v>H</v>
      </c>
      <c r="N2" s="20" t="str">
        <f>IFERROR(__xludf.DUMMYFUNCTION("""COMPUTED_VALUE"""),"N")</f>
        <v>N</v>
      </c>
      <c r="O2" s="20">
        <f>IFERROR(__xludf.DUMMYFUNCTION("""COMPUTED_VALUE"""),25.139367)</f>
        <v>25.139367</v>
      </c>
      <c r="P2" s="20">
        <f>IFERROR(__xludf.DUMMYFUNCTION("""COMPUTED_VALUE"""),-80.294017)</f>
        <v>-80.294017</v>
      </c>
      <c r="Q2" s="20" t="str">
        <f>IFERROR(__xludf.DUMMYFUNCTION("""COMPUTED_VALUE"""),"2015 batch")</f>
        <v>2015 batch</v>
      </c>
      <c r="R2" s="20" t="str">
        <f>IFERROR(__xludf.DUMMYFUNCTION("""COMPUTED_VALUE"""),"Margaret Miller")</f>
        <v>Margaret Miller</v>
      </c>
      <c r="S2" s="20">
        <f>IFERROR(__xludf.DUMMYFUNCTION("""COMPUTED_VALUE"""),0.170537037)</f>
        <v>0.170537037</v>
      </c>
      <c r="T2" s="20">
        <f>IFERROR(__xludf.DUMMYFUNCTION("""COMPUTED_VALUE"""),0.03798151)</f>
        <v>0.03798151</v>
      </c>
      <c r="U2" s="20">
        <f>IFERROR(__xludf.DUMMYFUNCTION("""COMPUTED_VALUE"""),0.245917823)</f>
        <v>0.245917823</v>
      </c>
      <c r="V2" s="20">
        <f>IFERROR(__xludf.DUMMYFUNCTION("""COMPUTED_VALUE"""),0.54556363)</f>
        <v>0.54556363</v>
      </c>
      <c r="W2" s="20"/>
      <c r="X2" s="20"/>
      <c r="Y2" s="20"/>
      <c r="Z2" s="20"/>
    </row>
    <row r="3">
      <c r="A3" s="20" t="str">
        <f>IFERROR(__xludf.DUMMYFUNCTION("""COMPUTED_VALUE"""),"s002")</f>
        <v>s002</v>
      </c>
      <c r="B3" s="20" t="str">
        <f>IFERROR(__xludf.DUMMYFUNCTION("""COMPUTED_VALUE"""),"wgs")</f>
        <v>wgs</v>
      </c>
      <c r="C3" s="20" t="str">
        <f>IFERROR(__xludf.DUMMYFUNCTION("""COMPUTED_VALUE"""),"OF100")</f>
        <v>OF100</v>
      </c>
      <c r="D3" s="20" t="str">
        <f>IFERROR(__xludf.DUMMYFUNCTION("""COMPUTED_VALUE"""),"OF100")</f>
        <v>OF100</v>
      </c>
      <c r="E3" s="20" t="str">
        <f>IFERROR(__xludf.DUMMYFUNCTION("""COMPUTED_VALUE"""),"no")</f>
        <v>no</v>
      </c>
      <c r="F3" s="20">
        <f>IFERROR(__xludf.DUMMYFUNCTION("""COMPUTED_VALUE"""),2.0)</f>
        <v>2</v>
      </c>
      <c r="G3" s="20"/>
      <c r="H3" s="20">
        <f>IFERROR(__xludf.DUMMYFUNCTION("""COMPUTED_VALUE"""),2.4537896E7)</f>
        <v>24537896</v>
      </c>
      <c r="I3" s="20">
        <f>IFERROR(__xludf.DUMMYFUNCTION("""COMPUTED_VALUE"""),2.0001933E7)</f>
        <v>20001933</v>
      </c>
      <c r="J3" s="19">
        <f>IFERROR(__xludf.DUMMYFUNCTION("""COMPUTED_VALUE"""),0.8151445828933337)</f>
        <v>0.8151445829</v>
      </c>
      <c r="K3" s="20">
        <f>IFERROR(__xludf.DUMMYFUNCTION("""COMPUTED_VALUE"""),790.0)</f>
        <v>790</v>
      </c>
      <c r="L3" s="20"/>
      <c r="M3" s="20" t="str">
        <f>IFERROR(__xludf.DUMMYFUNCTION("""COMPUTED_VALUE"""),"Jaap")</f>
        <v>Jaap</v>
      </c>
      <c r="N3" s="20" t="str">
        <f>IFERROR(__xludf.DUMMYFUNCTION("""COMPUTED_VALUE"""),"Y")</f>
        <v>Y</v>
      </c>
      <c r="O3" s="20">
        <f>IFERROR(__xludf.DUMMYFUNCTION("""COMPUTED_VALUE"""),24.58721)</f>
        <v>24.58721</v>
      </c>
      <c r="P3" s="20">
        <f>IFERROR(__xludf.DUMMYFUNCTION("""COMPUTED_VALUE"""),-81.5783)</f>
        <v>-81.5783</v>
      </c>
      <c r="Q3" s="20" t="str">
        <f>IFERROR(__xludf.DUMMYFUNCTION("""COMPUTED_VALUE"""),"12.15.2020")</f>
        <v>12.15.2020</v>
      </c>
      <c r="R3" s="20" t="str">
        <f>IFERROR(__xludf.DUMMYFUNCTION("""COMPUTED_VALUE"""),"Mote")</f>
        <v>Mote</v>
      </c>
      <c r="S3" s="20">
        <f>IFERROR(__xludf.DUMMYFUNCTION("""COMPUTED_VALUE"""),0.083659589)</f>
        <v>0.083659589</v>
      </c>
      <c r="T3" s="20">
        <f>IFERROR(__xludf.DUMMYFUNCTION("""COMPUTED_VALUE"""),0.753268747)</f>
        <v>0.753268747</v>
      </c>
      <c r="U3" s="20">
        <f>IFERROR(__xludf.DUMMYFUNCTION("""COMPUTED_VALUE"""),0.037922551)</f>
        <v>0.037922551</v>
      </c>
      <c r="V3" s="20">
        <f>IFERROR(__xludf.DUMMYFUNCTION("""COMPUTED_VALUE"""),0.125149113)</f>
        <v>0.125149113</v>
      </c>
      <c r="W3" s="20"/>
      <c r="X3" s="20"/>
      <c r="Y3" s="20"/>
      <c r="Z3" s="20"/>
    </row>
    <row r="4">
      <c r="A4" s="20" t="str">
        <f>IFERROR(__xludf.DUMMYFUNCTION("""COMPUTED_VALUE"""),"s003")</f>
        <v>s003</v>
      </c>
      <c r="B4" s="20" t="str">
        <f>IFERROR(__xludf.DUMMYFUNCTION("""COMPUTED_VALUE"""),"wgs")</f>
        <v>wgs</v>
      </c>
      <c r="C4" s="20" t="str">
        <f>IFERROR(__xludf.DUMMYFUNCTION("""COMPUTED_VALUE"""),"GB17")</f>
        <v>GB17</v>
      </c>
      <c r="D4" s="20" t="str">
        <f>IFERROR(__xludf.DUMMYFUNCTION("""COMPUTED_VALUE"""),"GB17")</f>
        <v>GB17</v>
      </c>
      <c r="E4" s="20" t="str">
        <f>IFERROR(__xludf.DUMMYFUNCTION("""COMPUTED_VALUE"""),"no")</f>
        <v>no</v>
      </c>
      <c r="F4" s="20">
        <f>IFERROR(__xludf.DUMMYFUNCTION("""COMPUTED_VALUE"""),3.0)</f>
        <v>3</v>
      </c>
      <c r="G4" s="20"/>
      <c r="H4" s="20">
        <f>IFERROR(__xludf.DUMMYFUNCTION("""COMPUTED_VALUE"""),2.4643689E7)</f>
        <v>24643689</v>
      </c>
      <c r="I4" s="20">
        <f>IFERROR(__xludf.DUMMYFUNCTION("""COMPUTED_VALUE"""),1.9776283E7)</f>
        <v>19776283</v>
      </c>
      <c r="J4" s="19">
        <f>IFERROR(__xludf.DUMMYFUNCTION("""COMPUTED_VALUE"""),0.8024887426553711)</f>
        <v>0.8024887427</v>
      </c>
      <c r="K4" s="20">
        <f>IFERROR(__xludf.DUMMYFUNCTION("""COMPUTED_VALUE"""),828.0)</f>
        <v>828</v>
      </c>
      <c r="L4" s="20"/>
      <c r="M4" s="20" t="str">
        <f>IFERROR(__xludf.DUMMYFUNCTION("""COMPUTED_VALUE"""),"#N/A")</f>
        <v>#N/A</v>
      </c>
      <c r="N4" s="20" t="str">
        <f>IFERROR(__xludf.DUMMYFUNCTION("""COMPUTED_VALUE"""),"#N/A")</f>
        <v>#N/A</v>
      </c>
      <c r="O4" s="20"/>
      <c r="P4" s="20"/>
      <c r="Q4" s="20" t="str">
        <f>IFERROR(__xludf.DUMMYFUNCTION("""COMPUTED_VALUE"""),"#N/A")</f>
        <v>#N/A</v>
      </c>
      <c r="R4" s="20" t="str">
        <f>IFERROR(__xludf.DUMMYFUNCTION("""COMPUTED_VALUE"""),"#N/A")</f>
        <v>#N/A</v>
      </c>
      <c r="S4" s="20">
        <f>IFERROR(__xludf.DUMMYFUNCTION("""COMPUTED_VALUE"""),0.091165131)</f>
        <v>0.091165131</v>
      </c>
      <c r="T4" s="20">
        <f>IFERROR(__xludf.DUMMYFUNCTION("""COMPUTED_VALUE"""),0.013287286)</f>
        <v>0.013287286</v>
      </c>
      <c r="U4" s="20">
        <f>IFERROR(__xludf.DUMMYFUNCTION("""COMPUTED_VALUE"""),0.090343421)</f>
        <v>0.090343421</v>
      </c>
      <c r="V4" s="20">
        <f>IFERROR(__xludf.DUMMYFUNCTION("""COMPUTED_VALUE"""),0.805204162)</f>
        <v>0.805204162</v>
      </c>
      <c r="W4" s="20"/>
      <c r="X4" s="20"/>
      <c r="Y4" s="20"/>
      <c r="Z4" s="20"/>
    </row>
    <row r="5">
      <c r="A5" s="20" t="str">
        <f>IFERROR(__xludf.DUMMYFUNCTION("""COMPUTED_VALUE"""),"s004")</f>
        <v>s004</v>
      </c>
      <c r="B5" s="20" t="str">
        <f>IFERROR(__xludf.DUMMYFUNCTION("""COMPUTED_VALUE"""),"wgs")</f>
        <v>wgs</v>
      </c>
      <c r="C5" s="20" t="str">
        <f>IFERROR(__xludf.DUMMYFUNCTION("""COMPUTED_VALUE"""),"F32")</f>
        <v>F32</v>
      </c>
      <c r="D5" s="20" t="str">
        <f>IFERROR(__xludf.DUMMYFUNCTION("""COMPUTED_VALUE"""),"F32")</f>
        <v>F32</v>
      </c>
      <c r="E5" s="20" t="str">
        <f>IFERROR(__xludf.DUMMYFUNCTION("""COMPUTED_VALUE"""),"no")</f>
        <v>no</v>
      </c>
      <c r="F5" s="20">
        <f>IFERROR(__xludf.DUMMYFUNCTION("""COMPUTED_VALUE"""),4.0)</f>
        <v>4</v>
      </c>
      <c r="G5" s="20"/>
      <c r="H5" s="20">
        <f>IFERROR(__xludf.DUMMYFUNCTION("""COMPUTED_VALUE"""),2.5500611E7)</f>
        <v>25500611</v>
      </c>
      <c r="I5" s="20">
        <f>IFERROR(__xludf.DUMMYFUNCTION("""COMPUTED_VALUE"""),1.6428819E7)</f>
        <v>16428819</v>
      </c>
      <c r="J5" s="19">
        <f>IFERROR(__xludf.DUMMYFUNCTION("""COMPUTED_VALUE"""),0.6442519749820896)</f>
        <v>0.644251975</v>
      </c>
      <c r="K5" s="20">
        <f>IFERROR(__xludf.DUMMYFUNCTION("""COMPUTED_VALUE"""),1011.0)</f>
        <v>1011</v>
      </c>
      <c r="L5" s="20"/>
      <c r="M5" s="20" t="str">
        <f>IFERROR(__xludf.DUMMYFUNCTION("""COMPUTED_VALUE"""),"KWN")</f>
        <v>KWN</v>
      </c>
      <c r="N5" s="20" t="str">
        <f>IFERROR(__xludf.DUMMYFUNCTION("""COMPUTED_VALUE"""),"N")</f>
        <v>N</v>
      </c>
      <c r="O5" s="20">
        <f>IFERROR(__xludf.DUMMYFUNCTION("""COMPUTED_VALUE"""),24.55107)</f>
        <v>24.55107</v>
      </c>
      <c r="P5" s="20">
        <f>IFERROR(__xludf.DUMMYFUNCTION("""COMPUTED_VALUE"""),-81.80805)</f>
        <v>-81.80805</v>
      </c>
      <c r="Q5" s="20" t="str">
        <f>IFERROR(__xludf.DUMMYFUNCTION("""COMPUTED_VALUE"""),"2010-2017")</f>
        <v>2010-2017</v>
      </c>
      <c r="R5" s="20" t="str">
        <f>IFERROR(__xludf.DUMMYFUNCTION("""COMPUTED_VALUE"""),"Mote")</f>
        <v>Mote</v>
      </c>
      <c r="S5" s="20">
        <f>IFERROR(__xludf.DUMMYFUNCTION("""COMPUTED_VALUE"""),0.043209676)</f>
        <v>0.043209676</v>
      </c>
      <c r="T5" s="20">
        <f>IFERROR(__xludf.DUMMYFUNCTION("""COMPUTED_VALUE"""),0.006036646)</f>
        <v>0.006036646</v>
      </c>
      <c r="U5" s="20">
        <f>IFERROR(__xludf.DUMMYFUNCTION("""COMPUTED_VALUE"""),0.026892319)</f>
        <v>0.026892319</v>
      </c>
      <c r="V5" s="20">
        <f>IFERROR(__xludf.DUMMYFUNCTION("""COMPUTED_VALUE"""),0.923861359)</f>
        <v>0.923861359</v>
      </c>
      <c r="W5" s="20"/>
      <c r="X5" s="20"/>
      <c r="Y5" s="20"/>
      <c r="Z5" s="20"/>
    </row>
    <row r="6">
      <c r="A6" s="20" t="str">
        <f>IFERROR(__xludf.DUMMYFUNCTION("""COMPUTED_VALUE"""),"s006")</f>
        <v>s006</v>
      </c>
      <c r="B6" s="20" t="str">
        <f>IFERROR(__xludf.DUMMYFUNCTION("""COMPUTED_VALUE"""),"wgs")</f>
        <v>wgs</v>
      </c>
      <c r="C6" s="20" t="str">
        <f>IFERROR(__xludf.DUMMYFUNCTION("""COMPUTED_VALUE"""),"GB16")</f>
        <v>GB16</v>
      </c>
      <c r="D6" s="20" t="str">
        <f>IFERROR(__xludf.DUMMYFUNCTION("""COMPUTED_VALUE"""),"GB16")</f>
        <v>GB16</v>
      </c>
      <c r="E6" s="20" t="str">
        <f>IFERROR(__xludf.DUMMYFUNCTION("""COMPUTED_VALUE"""),"no")</f>
        <v>no</v>
      </c>
      <c r="F6" s="20">
        <f>IFERROR(__xludf.DUMMYFUNCTION("""COMPUTED_VALUE"""),6.0)</f>
        <v>6</v>
      </c>
      <c r="G6" s="20"/>
      <c r="H6" s="20">
        <f>IFERROR(__xludf.DUMMYFUNCTION("""COMPUTED_VALUE"""),1.9762388E7)</f>
        <v>19762388</v>
      </c>
      <c r="I6" s="20">
        <f>IFERROR(__xludf.DUMMYFUNCTION("""COMPUTED_VALUE"""),1.5272964E7)</f>
        <v>15272964</v>
      </c>
      <c r="J6" s="19">
        <f>IFERROR(__xludf.DUMMYFUNCTION("""COMPUTED_VALUE"""),0.7728298827044586)</f>
        <v>0.7728298827</v>
      </c>
      <c r="K6" s="20">
        <f>IFERROR(__xludf.DUMMYFUNCTION("""COMPUTED_VALUE"""),977.0)</f>
        <v>977</v>
      </c>
      <c r="L6" s="20"/>
      <c r="M6" s="20" t="str">
        <f>IFERROR(__xludf.DUMMYFUNCTION("""COMPUTED_VALUE"""),"#N/A")</f>
        <v>#N/A</v>
      </c>
      <c r="N6" s="20" t="str">
        <f>IFERROR(__xludf.DUMMYFUNCTION("""COMPUTED_VALUE"""),"#N/A")</f>
        <v>#N/A</v>
      </c>
      <c r="O6" s="20"/>
      <c r="P6" s="20"/>
      <c r="Q6" s="20" t="str">
        <f>IFERROR(__xludf.DUMMYFUNCTION("""COMPUTED_VALUE"""),"#N/A")</f>
        <v>#N/A</v>
      </c>
      <c r="R6" s="20" t="str">
        <f>IFERROR(__xludf.DUMMYFUNCTION("""COMPUTED_VALUE"""),"#N/A")</f>
        <v>#N/A</v>
      </c>
      <c r="S6" s="20">
        <f>IFERROR(__xludf.DUMMYFUNCTION("""COMPUTED_VALUE"""),0.05760479)</f>
        <v>0.05760479</v>
      </c>
      <c r="T6" s="20">
        <f>IFERROR(__xludf.DUMMYFUNCTION("""COMPUTED_VALUE"""),0.00979357)</f>
        <v>0.00979357</v>
      </c>
      <c r="U6" s="20">
        <f>IFERROR(__xludf.DUMMYFUNCTION("""COMPUTED_VALUE"""),0.051062674)</f>
        <v>0.051062674</v>
      </c>
      <c r="V6" s="20">
        <f>IFERROR(__xludf.DUMMYFUNCTION("""COMPUTED_VALUE"""),0.881538966)</f>
        <v>0.881538966</v>
      </c>
      <c r="W6" s="20"/>
      <c r="X6" s="20"/>
      <c r="Y6" s="20"/>
      <c r="Z6" s="20"/>
    </row>
    <row r="7">
      <c r="A7" s="20" t="str">
        <f>IFERROR(__xludf.DUMMYFUNCTION("""COMPUTED_VALUE"""),"s007")</f>
        <v>s007</v>
      </c>
      <c r="B7" s="20" t="str">
        <f>IFERROR(__xludf.DUMMYFUNCTION("""COMPUTED_VALUE"""),"wgs")</f>
        <v>wgs</v>
      </c>
      <c r="C7" s="20" t="str">
        <f>IFERROR(__xludf.DUMMYFUNCTION("""COMPUTED_VALUE"""),"GB9")</f>
        <v>GB9</v>
      </c>
      <c r="D7" s="20" t="str">
        <f>IFERROR(__xludf.DUMMYFUNCTION("""COMPUTED_VALUE"""),"GB9")</f>
        <v>GB9</v>
      </c>
      <c r="E7" s="20" t="str">
        <f>IFERROR(__xludf.DUMMYFUNCTION("""COMPUTED_VALUE"""),"no")</f>
        <v>no</v>
      </c>
      <c r="F7" s="20">
        <f>IFERROR(__xludf.DUMMYFUNCTION("""COMPUTED_VALUE"""),7.0)</f>
        <v>7</v>
      </c>
      <c r="G7" s="20"/>
      <c r="H7" s="20">
        <f>IFERROR(__xludf.DUMMYFUNCTION("""COMPUTED_VALUE"""),2.5562224E7)</f>
        <v>25562224</v>
      </c>
      <c r="I7" s="20">
        <f>IFERROR(__xludf.DUMMYFUNCTION("""COMPUTED_VALUE"""),2.0663438E7)</f>
        <v>20663438</v>
      </c>
      <c r="J7" s="19">
        <f>IFERROR(__xludf.DUMMYFUNCTION("""COMPUTED_VALUE"""),0.808358380710536)</f>
        <v>0.8083583807</v>
      </c>
      <c r="K7" s="20">
        <f>IFERROR(__xludf.DUMMYFUNCTION("""COMPUTED_VALUE"""),782.0)</f>
        <v>782</v>
      </c>
      <c r="L7" s="20"/>
      <c r="M7" s="20" t="str">
        <f>IFERROR(__xludf.DUMMYFUNCTION("""COMPUTED_VALUE"""),"#N/A")</f>
        <v>#N/A</v>
      </c>
      <c r="N7" s="20" t="str">
        <f>IFERROR(__xludf.DUMMYFUNCTION("""COMPUTED_VALUE"""),"#N/A")</f>
        <v>#N/A</v>
      </c>
      <c r="O7" s="20"/>
      <c r="P7" s="20"/>
      <c r="Q7" s="20" t="str">
        <f>IFERROR(__xludf.DUMMYFUNCTION("""COMPUTED_VALUE"""),"#N/A")</f>
        <v>#N/A</v>
      </c>
      <c r="R7" s="20" t="str">
        <f>IFERROR(__xludf.DUMMYFUNCTION("""COMPUTED_VALUE"""),"#N/A")</f>
        <v>#N/A</v>
      </c>
      <c r="S7" s="20">
        <f>IFERROR(__xludf.DUMMYFUNCTION("""COMPUTED_VALUE"""),0.061493698)</f>
        <v>0.061493698</v>
      </c>
      <c r="T7" s="20">
        <f>IFERROR(__xludf.DUMMYFUNCTION("""COMPUTED_VALUE"""),0.010195884)</f>
        <v>0.010195884</v>
      </c>
      <c r="U7" s="20">
        <f>IFERROR(__xludf.DUMMYFUNCTION("""COMPUTED_VALUE"""),0.0498675)</f>
        <v>0.0498675</v>
      </c>
      <c r="V7" s="20">
        <f>IFERROR(__xludf.DUMMYFUNCTION("""COMPUTED_VALUE"""),0.878442917)</f>
        <v>0.878442917</v>
      </c>
      <c r="W7" s="20"/>
      <c r="X7" s="20"/>
      <c r="Y7" s="20"/>
      <c r="Z7" s="20"/>
    </row>
    <row r="8">
      <c r="A8" s="20" t="str">
        <f>IFERROR(__xludf.DUMMYFUNCTION("""COMPUTED_VALUE"""),"s008")</f>
        <v>s008</v>
      </c>
      <c r="B8" s="20" t="str">
        <f>IFERROR(__xludf.DUMMYFUNCTION("""COMPUTED_VALUE"""),"wgs")</f>
        <v>wgs</v>
      </c>
      <c r="C8" s="20" t="str">
        <f>IFERROR(__xludf.DUMMYFUNCTION("""COMPUTED_VALUE"""),"M2-AE23")</f>
        <v>M2-AE23</v>
      </c>
      <c r="D8" s="20" t="str">
        <f>IFERROR(__xludf.DUMMYFUNCTION("""COMPUTED_VALUE"""),"M2-AE23")</f>
        <v>M2-AE23</v>
      </c>
      <c r="E8" s="20" t="str">
        <f>IFERROR(__xludf.DUMMYFUNCTION("""COMPUTED_VALUE"""),"no")</f>
        <v>no</v>
      </c>
      <c r="F8" s="20">
        <f>IFERROR(__xludf.DUMMYFUNCTION("""COMPUTED_VALUE"""),8.0)</f>
        <v>8</v>
      </c>
      <c r="G8" s="20"/>
      <c r="H8" s="20">
        <f>IFERROR(__xludf.DUMMYFUNCTION("""COMPUTED_VALUE"""),2.4134469E7)</f>
        <v>24134469</v>
      </c>
      <c r="I8" s="20">
        <f>IFERROR(__xludf.DUMMYFUNCTION("""COMPUTED_VALUE"""),1.7458921E7)</f>
        <v>17458921</v>
      </c>
      <c r="J8" s="19">
        <f>IFERROR(__xludf.DUMMYFUNCTION("""COMPUTED_VALUE"""),0.7234019111835441)</f>
        <v>0.7234019112</v>
      </c>
      <c r="K8" s="20">
        <f>IFERROR(__xludf.DUMMYFUNCTION("""COMPUTED_VALUE"""),939.0)</f>
        <v>939</v>
      </c>
      <c r="L8" s="20"/>
      <c r="M8" s="20" t="str">
        <f>IFERROR(__xludf.DUMMYFUNCTION("""COMPUTED_VALUE"""),"#N/A")</f>
        <v>#N/A</v>
      </c>
      <c r="N8" s="20" t="str">
        <f>IFERROR(__xludf.DUMMYFUNCTION("""COMPUTED_VALUE"""),"#N/A")</f>
        <v>#N/A</v>
      </c>
      <c r="O8" s="20"/>
      <c r="P8" s="20"/>
      <c r="Q8" s="20" t="str">
        <f>IFERROR(__xludf.DUMMYFUNCTION("""COMPUTED_VALUE"""),"#N/A")</f>
        <v>#N/A</v>
      </c>
      <c r="R8" s="20" t="str">
        <f>IFERROR(__xludf.DUMMYFUNCTION("""COMPUTED_VALUE"""),"#N/A")</f>
        <v>#N/A</v>
      </c>
      <c r="S8" s="20">
        <f>IFERROR(__xludf.DUMMYFUNCTION("""COMPUTED_VALUE"""),0.051720704)</f>
        <v>0.051720704</v>
      </c>
      <c r="T8" s="20">
        <f>IFERROR(__xludf.DUMMYFUNCTION("""COMPUTED_VALUE"""),0.009187974)</f>
        <v>0.009187974</v>
      </c>
      <c r="U8" s="20">
        <f>IFERROR(__xludf.DUMMYFUNCTION("""COMPUTED_VALUE"""),0.056189996)</f>
        <v>0.056189996</v>
      </c>
      <c r="V8" s="20">
        <f>IFERROR(__xludf.DUMMYFUNCTION("""COMPUTED_VALUE"""),0.882901326)</f>
        <v>0.882901326</v>
      </c>
      <c r="W8" s="20"/>
      <c r="X8" s="20"/>
      <c r="Y8" s="20"/>
      <c r="Z8" s="20"/>
    </row>
    <row r="9">
      <c r="A9" s="20" t="str">
        <f>IFERROR(__xludf.DUMMYFUNCTION("""COMPUTED_VALUE"""),"s009")</f>
        <v>s009</v>
      </c>
      <c r="B9" s="20" t="str">
        <f>IFERROR(__xludf.DUMMYFUNCTION("""COMPUTED_VALUE"""),"wgs")</f>
        <v>wgs</v>
      </c>
      <c r="C9" s="20" t="str">
        <f>IFERROR(__xludf.DUMMYFUNCTION("""COMPUTED_VALUE"""),"OF689")</f>
        <v>OF689</v>
      </c>
      <c r="D9" s="20" t="str">
        <f>IFERROR(__xludf.DUMMYFUNCTION("""COMPUTED_VALUE"""),"OF689")</f>
        <v>OF689</v>
      </c>
      <c r="E9" s="20" t="str">
        <f>IFERROR(__xludf.DUMMYFUNCTION("""COMPUTED_VALUE"""),"no")</f>
        <v>no</v>
      </c>
      <c r="F9" s="20">
        <f>IFERROR(__xludf.DUMMYFUNCTION("""COMPUTED_VALUE"""),9.0)</f>
        <v>9</v>
      </c>
      <c r="G9" s="20"/>
      <c r="H9" s="20">
        <f>IFERROR(__xludf.DUMMYFUNCTION("""COMPUTED_VALUE"""),2.4739035E7)</f>
        <v>24739035</v>
      </c>
      <c r="I9" s="20">
        <f>IFERROR(__xludf.DUMMYFUNCTION("""COMPUTED_VALUE"""),8489282.0)</f>
        <v>8489282</v>
      </c>
      <c r="J9" s="19">
        <f>IFERROR(__xludf.DUMMYFUNCTION("""COMPUTED_VALUE"""),0.34315332024874856)</f>
        <v>0.3431533202</v>
      </c>
      <c r="K9" s="20">
        <f>IFERROR(__xludf.DUMMYFUNCTION("""COMPUTED_VALUE"""),3465.0)</f>
        <v>3465</v>
      </c>
      <c r="L9" s="20"/>
      <c r="M9" s="20" t="str">
        <f>IFERROR(__xludf.DUMMYFUNCTION("""COMPUTED_VALUE"""),"#N/A")</f>
        <v>#N/A</v>
      </c>
      <c r="N9" s="20" t="str">
        <f>IFERROR(__xludf.DUMMYFUNCTION("""COMPUTED_VALUE"""),"#N/A")</f>
        <v>#N/A</v>
      </c>
      <c r="O9" s="20"/>
      <c r="P9" s="20"/>
      <c r="Q9" s="20" t="str">
        <f>IFERROR(__xludf.DUMMYFUNCTION("""COMPUTED_VALUE"""),"#N/A")</f>
        <v>#N/A</v>
      </c>
      <c r="R9" s="20" t="str">
        <f>IFERROR(__xludf.DUMMYFUNCTION("""COMPUTED_VALUE"""),"#N/A")</f>
        <v>#N/A</v>
      </c>
      <c r="S9" s="20">
        <f>IFERROR(__xludf.DUMMYFUNCTION("""COMPUTED_VALUE"""),0.125513244)</f>
        <v>0.125513244</v>
      </c>
      <c r="T9" s="20">
        <f>IFERROR(__xludf.DUMMYFUNCTION("""COMPUTED_VALUE"""),0.014024636)</f>
        <v>0.014024636</v>
      </c>
      <c r="U9" s="20">
        <f>IFERROR(__xludf.DUMMYFUNCTION("""COMPUTED_VALUE"""),0.111939457)</f>
        <v>0.111939457</v>
      </c>
      <c r="V9" s="20">
        <f>IFERROR(__xludf.DUMMYFUNCTION("""COMPUTED_VALUE"""),0.748522663)</f>
        <v>0.748522663</v>
      </c>
      <c r="W9" s="20"/>
      <c r="X9" s="20"/>
      <c r="Y9" s="20"/>
      <c r="Z9" s="20"/>
    </row>
    <row r="10">
      <c r="A10" s="20" t="str">
        <f>IFERROR(__xludf.DUMMYFUNCTION("""COMPUTED_VALUE"""),"s010")</f>
        <v>s010</v>
      </c>
      <c r="B10" s="20" t="str">
        <f>IFERROR(__xludf.DUMMYFUNCTION("""COMPUTED_VALUE"""),"wgs")</f>
        <v>wgs</v>
      </c>
      <c r="C10" s="20" t="str">
        <f>IFERROR(__xludf.DUMMYFUNCTION("""COMPUTED_VALUE"""),"OF75")</f>
        <v>OF75</v>
      </c>
      <c r="D10" s="20" t="str">
        <f>IFERROR(__xludf.DUMMYFUNCTION("""COMPUTED_VALUE"""),"OF75")</f>
        <v>OF75</v>
      </c>
      <c r="E10" s="20" t="str">
        <f>IFERROR(__xludf.DUMMYFUNCTION("""COMPUTED_VALUE"""),"no")</f>
        <v>no</v>
      </c>
      <c r="F10" s="20">
        <f>IFERROR(__xludf.DUMMYFUNCTION("""COMPUTED_VALUE"""),10.0)</f>
        <v>10</v>
      </c>
      <c r="G10" s="20"/>
      <c r="H10" s="20">
        <f>IFERROR(__xludf.DUMMYFUNCTION("""COMPUTED_VALUE"""),2.4511839E7)</f>
        <v>24511839</v>
      </c>
      <c r="I10" s="20">
        <f>IFERROR(__xludf.DUMMYFUNCTION("""COMPUTED_VALUE"""),1.9025706E7)</f>
        <v>19025706</v>
      </c>
      <c r="J10" s="19">
        <f>IFERROR(__xludf.DUMMYFUNCTION("""COMPUTED_VALUE"""),0.7761843572813937)</f>
        <v>0.7761843573</v>
      </c>
      <c r="K10" s="20">
        <f>IFERROR(__xludf.DUMMYFUNCTION("""COMPUTED_VALUE"""),706.0)</f>
        <v>706</v>
      </c>
      <c r="L10" s="20"/>
      <c r="M10" s="20" t="str">
        <f>IFERROR(__xludf.DUMMYFUNCTION("""COMPUTED_VALUE"""),"KWN")</f>
        <v>KWN</v>
      </c>
      <c r="N10" s="20" t="str">
        <f>IFERROR(__xludf.DUMMYFUNCTION("""COMPUTED_VALUE"""),"N")</f>
        <v>N</v>
      </c>
      <c r="O10" s="20">
        <f>IFERROR(__xludf.DUMMYFUNCTION("""COMPUTED_VALUE"""),24.55107)</f>
        <v>24.55107</v>
      </c>
      <c r="P10" s="20">
        <f>IFERROR(__xludf.DUMMYFUNCTION("""COMPUTED_VALUE"""),-81.80805)</f>
        <v>-81.80805</v>
      </c>
      <c r="Q10" s="20" t="str">
        <f>IFERROR(__xludf.DUMMYFUNCTION("""COMPUTED_VALUE"""),"2010-2017")</f>
        <v>2010-2017</v>
      </c>
      <c r="R10" s="20" t="str">
        <f>IFERROR(__xludf.DUMMYFUNCTION("""COMPUTED_VALUE"""),"Mote")</f>
        <v>Mote</v>
      </c>
      <c r="S10" s="20">
        <f>IFERROR(__xludf.DUMMYFUNCTION("""COMPUTED_VALUE"""),0.059547545)</f>
        <v>0.059547545</v>
      </c>
      <c r="T10" s="20">
        <f>IFERROR(__xludf.DUMMYFUNCTION("""COMPUTED_VALUE"""),0.01520419)</f>
        <v>0.01520419</v>
      </c>
      <c r="U10" s="20">
        <f>IFERROR(__xludf.DUMMYFUNCTION("""COMPUTED_VALUE"""),0.055406401)</f>
        <v>0.055406401</v>
      </c>
      <c r="V10" s="20">
        <f>IFERROR(__xludf.DUMMYFUNCTION("""COMPUTED_VALUE"""),0.869841864)</f>
        <v>0.869841864</v>
      </c>
      <c r="W10" s="20"/>
      <c r="X10" s="20"/>
      <c r="Y10" s="20"/>
      <c r="Z10" s="20"/>
    </row>
    <row r="11">
      <c r="A11" s="20" t="str">
        <f>IFERROR(__xludf.DUMMYFUNCTION("""COMPUTED_VALUE"""),"s011")</f>
        <v>s011</v>
      </c>
      <c r="B11" s="20" t="str">
        <f>IFERROR(__xludf.DUMMYFUNCTION("""COMPUTED_VALUE"""),"wgs")</f>
        <v>wgs</v>
      </c>
      <c r="C11" s="20" t="str">
        <f>IFERROR(__xludf.DUMMYFUNCTION("""COMPUTED_VALUE"""),"M8")</f>
        <v>M8</v>
      </c>
      <c r="D11" s="20" t="str">
        <f>IFERROR(__xludf.DUMMYFUNCTION("""COMPUTED_VALUE"""),"M8")</f>
        <v>M8</v>
      </c>
      <c r="E11" s="20" t="str">
        <f>IFERROR(__xludf.DUMMYFUNCTION("""COMPUTED_VALUE"""),"no")</f>
        <v>no</v>
      </c>
      <c r="F11" s="20">
        <f>IFERROR(__xludf.DUMMYFUNCTION("""COMPUTED_VALUE"""),11.0)</f>
        <v>11</v>
      </c>
      <c r="G11" s="20"/>
      <c r="H11" s="20">
        <f>IFERROR(__xludf.DUMMYFUNCTION("""COMPUTED_VALUE"""),2.4772288E7)</f>
        <v>24772288</v>
      </c>
      <c r="I11" s="20">
        <f>IFERROR(__xludf.DUMMYFUNCTION("""COMPUTED_VALUE"""),1.8890251E7)</f>
        <v>18890251</v>
      </c>
      <c r="J11" s="19">
        <f>IFERROR(__xludf.DUMMYFUNCTION("""COMPUTED_VALUE"""),0.7625557639245919)</f>
        <v>0.7625557639</v>
      </c>
      <c r="K11" s="20">
        <f>IFERROR(__xludf.DUMMYFUNCTION("""COMPUTED_VALUE"""),880.0)</f>
        <v>880</v>
      </c>
      <c r="L11" s="20"/>
      <c r="M11" s="20" t="str">
        <f>IFERROR(__xludf.DUMMYFUNCTION("""COMPUTED_VALUE"""),"#N/A")</f>
        <v>#N/A</v>
      </c>
      <c r="N11" s="20" t="str">
        <f>IFERROR(__xludf.DUMMYFUNCTION("""COMPUTED_VALUE"""),"#N/A")</f>
        <v>#N/A</v>
      </c>
      <c r="O11" s="20"/>
      <c r="P11" s="20"/>
      <c r="Q11" s="20" t="str">
        <f>IFERROR(__xludf.DUMMYFUNCTION("""COMPUTED_VALUE"""),"#N/A")</f>
        <v>#N/A</v>
      </c>
      <c r="R11" s="20" t="str">
        <f>IFERROR(__xludf.DUMMYFUNCTION("""COMPUTED_VALUE"""),"#N/A")</f>
        <v>#N/A</v>
      </c>
      <c r="S11" s="20">
        <f>IFERROR(__xludf.DUMMYFUNCTION("""COMPUTED_VALUE"""),0.029650816)</f>
        <v>0.029650816</v>
      </c>
      <c r="T11" s="20">
        <f>IFERROR(__xludf.DUMMYFUNCTION("""COMPUTED_VALUE"""),0.005086438)</f>
        <v>0.005086438</v>
      </c>
      <c r="U11" s="20">
        <f>IFERROR(__xludf.DUMMYFUNCTION("""COMPUTED_VALUE"""),0.029994158)</f>
        <v>0.029994158</v>
      </c>
      <c r="V11" s="20">
        <f>IFERROR(__xludf.DUMMYFUNCTION("""COMPUTED_VALUE"""),0.935268588)</f>
        <v>0.935268588</v>
      </c>
      <c r="W11" s="20"/>
      <c r="X11" s="20"/>
      <c r="Y11" s="20"/>
      <c r="Z11" s="20"/>
    </row>
    <row r="12">
      <c r="A12" s="20" t="str">
        <f>IFERROR(__xludf.DUMMYFUNCTION("""COMPUTED_VALUE"""),"s013")</f>
        <v>s013</v>
      </c>
      <c r="B12" s="20" t="str">
        <f>IFERROR(__xludf.DUMMYFUNCTION("""COMPUTED_VALUE"""),"wgs")</f>
        <v>wgs</v>
      </c>
      <c r="C12" s="20" t="str">
        <f>IFERROR(__xludf.DUMMYFUNCTION("""COMPUTED_VALUE"""),"M6")</f>
        <v>M6</v>
      </c>
      <c r="D12" s="20" t="str">
        <f>IFERROR(__xludf.DUMMYFUNCTION("""COMPUTED_VALUE"""),"M6")</f>
        <v>M6</v>
      </c>
      <c r="E12" s="20" t="str">
        <f>IFERROR(__xludf.DUMMYFUNCTION("""COMPUTED_VALUE"""),"no")</f>
        <v>no</v>
      </c>
      <c r="F12" s="20">
        <f>IFERROR(__xludf.DUMMYFUNCTION("""COMPUTED_VALUE"""),13.0)</f>
        <v>13</v>
      </c>
      <c r="G12" s="20"/>
      <c r="H12" s="20">
        <f>IFERROR(__xludf.DUMMYFUNCTION("""COMPUTED_VALUE"""),2.4226277E7)</f>
        <v>24226277</v>
      </c>
      <c r="I12" s="20">
        <f>IFERROR(__xludf.DUMMYFUNCTION("""COMPUTED_VALUE"""),1.8014174E7)</f>
        <v>18014174</v>
      </c>
      <c r="J12" s="19">
        <f>IFERROR(__xludf.DUMMYFUNCTION("""COMPUTED_VALUE"""),0.7435799565901108)</f>
        <v>0.7435799566</v>
      </c>
      <c r="K12" s="20">
        <f>IFERROR(__xludf.DUMMYFUNCTION("""COMPUTED_VALUE"""),791.0)</f>
        <v>791</v>
      </c>
      <c r="L12" s="20"/>
      <c r="M12" s="20" t="str">
        <f>IFERROR(__xludf.DUMMYFUNCTION("""COMPUTED_VALUE"""),"#N/A")</f>
        <v>#N/A</v>
      </c>
      <c r="N12" s="20" t="str">
        <f>IFERROR(__xludf.DUMMYFUNCTION("""COMPUTED_VALUE"""),"#N/A")</f>
        <v>#N/A</v>
      </c>
      <c r="O12" s="20"/>
      <c r="P12" s="20"/>
      <c r="Q12" s="20" t="str">
        <f>IFERROR(__xludf.DUMMYFUNCTION("""COMPUTED_VALUE"""),"#N/A")</f>
        <v>#N/A</v>
      </c>
      <c r="R12" s="20" t="str">
        <f>IFERROR(__xludf.DUMMYFUNCTION("""COMPUTED_VALUE"""),"#N/A")</f>
        <v>#N/A</v>
      </c>
      <c r="S12" s="20">
        <f>IFERROR(__xludf.DUMMYFUNCTION("""COMPUTED_VALUE"""),0.103478284)</f>
        <v>0.103478284</v>
      </c>
      <c r="T12" s="20">
        <f>IFERROR(__xludf.DUMMYFUNCTION("""COMPUTED_VALUE"""),0.013739088)</f>
        <v>0.013739088</v>
      </c>
      <c r="U12" s="20">
        <f>IFERROR(__xludf.DUMMYFUNCTION("""COMPUTED_VALUE"""),0.106235343)</f>
        <v>0.106235343</v>
      </c>
      <c r="V12" s="20">
        <f>IFERROR(__xludf.DUMMYFUNCTION("""COMPUTED_VALUE"""),0.776547284)</f>
        <v>0.776547284</v>
      </c>
      <c r="W12" s="20"/>
      <c r="X12" s="20"/>
      <c r="Y12" s="20"/>
      <c r="Z12" s="20"/>
    </row>
    <row r="13">
      <c r="A13" s="20" t="str">
        <f>IFERROR(__xludf.DUMMYFUNCTION("""COMPUTED_VALUE"""),"s014")</f>
        <v>s014</v>
      </c>
      <c r="B13" s="20" t="str">
        <f>IFERROR(__xludf.DUMMYFUNCTION("""COMPUTED_VALUE"""),"wgs")</f>
        <v>wgs</v>
      </c>
      <c r="C13" s="20" t="str">
        <f>IFERROR(__xludf.DUMMYFUNCTION("""COMPUTED_VALUE"""),"GB30")</f>
        <v>GB30</v>
      </c>
      <c r="D13" s="20" t="str">
        <f>IFERROR(__xludf.DUMMYFUNCTION("""COMPUTED_VALUE"""),"GB30")</f>
        <v>GB30</v>
      </c>
      <c r="E13" s="20" t="str">
        <f>IFERROR(__xludf.DUMMYFUNCTION("""COMPUTED_VALUE"""),"no")</f>
        <v>no</v>
      </c>
      <c r="F13" s="20">
        <f>IFERROR(__xludf.DUMMYFUNCTION("""COMPUTED_VALUE"""),14.0)</f>
        <v>14</v>
      </c>
      <c r="G13" s="20"/>
      <c r="H13" s="20">
        <f>IFERROR(__xludf.DUMMYFUNCTION("""COMPUTED_VALUE"""),2.4709523E7)</f>
        <v>24709523</v>
      </c>
      <c r="I13" s="20">
        <f>IFERROR(__xludf.DUMMYFUNCTION("""COMPUTED_VALUE"""),1.4161228E7)</f>
        <v>14161228</v>
      </c>
      <c r="J13" s="19">
        <f>IFERROR(__xludf.DUMMYFUNCTION("""COMPUTED_VALUE"""),0.5731081089667331)</f>
        <v>0.573108109</v>
      </c>
      <c r="K13" s="20">
        <f>IFERROR(__xludf.DUMMYFUNCTION("""COMPUTED_VALUE"""),1302.0)</f>
        <v>1302</v>
      </c>
      <c r="L13" s="20"/>
      <c r="M13" s="20" t="str">
        <f>IFERROR(__xludf.DUMMYFUNCTION("""COMPUTED_VALUE"""),"#N/A")</f>
        <v>#N/A</v>
      </c>
      <c r="N13" s="20" t="str">
        <f>IFERROR(__xludf.DUMMYFUNCTION("""COMPUTED_VALUE"""),"#N/A")</f>
        <v>#N/A</v>
      </c>
      <c r="O13" s="20"/>
      <c r="P13" s="20"/>
      <c r="Q13" s="20" t="str">
        <f>IFERROR(__xludf.DUMMYFUNCTION("""COMPUTED_VALUE"""),"#N/A")</f>
        <v>#N/A</v>
      </c>
      <c r="R13" s="20" t="str">
        <f>IFERROR(__xludf.DUMMYFUNCTION("""COMPUTED_VALUE"""),"#N/A")</f>
        <v>#N/A</v>
      </c>
      <c r="S13" s="20">
        <f>IFERROR(__xludf.DUMMYFUNCTION("""COMPUTED_VALUE"""),0.031837722)</f>
        <v>0.031837722</v>
      </c>
      <c r="T13" s="20">
        <f>IFERROR(__xludf.DUMMYFUNCTION("""COMPUTED_VALUE"""),0.004794311)</f>
        <v>0.004794311</v>
      </c>
      <c r="U13" s="20">
        <f>IFERROR(__xludf.DUMMYFUNCTION("""COMPUTED_VALUE"""),0.026638299)</f>
        <v>0.026638299</v>
      </c>
      <c r="V13" s="20">
        <f>IFERROR(__xludf.DUMMYFUNCTION("""COMPUTED_VALUE"""),0.936729668)</f>
        <v>0.936729668</v>
      </c>
      <c r="W13" s="20"/>
      <c r="X13" s="20"/>
      <c r="Y13" s="20"/>
      <c r="Z13" s="20"/>
    </row>
    <row r="14">
      <c r="A14" s="20" t="str">
        <f>IFERROR(__xludf.DUMMYFUNCTION("""COMPUTED_VALUE"""),"s015")</f>
        <v>s015</v>
      </c>
      <c r="B14" s="20" t="str">
        <f>IFERROR(__xludf.DUMMYFUNCTION("""COMPUTED_VALUE"""),"wgs")</f>
        <v>wgs</v>
      </c>
      <c r="C14" s="20" t="str">
        <f>IFERROR(__xludf.DUMMYFUNCTION("""COMPUTED_VALUE"""),"S509")</f>
        <v>S509</v>
      </c>
      <c r="D14" s="20" t="str">
        <f>IFERROR(__xludf.DUMMYFUNCTION("""COMPUTED_VALUE"""),"S509")</f>
        <v>S509</v>
      </c>
      <c r="E14" s="20" t="str">
        <f>IFERROR(__xludf.DUMMYFUNCTION("""COMPUTED_VALUE"""),"no")</f>
        <v>no</v>
      </c>
      <c r="F14" s="20">
        <f>IFERROR(__xludf.DUMMYFUNCTION("""COMPUTED_VALUE"""),15.0)</f>
        <v>15</v>
      </c>
      <c r="G14" s="20"/>
      <c r="H14" s="20">
        <f>IFERROR(__xludf.DUMMYFUNCTION("""COMPUTED_VALUE"""),2.5581201E7)</f>
        <v>25581201</v>
      </c>
      <c r="I14" s="20">
        <f>IFERROR(__xludf.DUMMYFUNCTION("""COMPUTED_VALUE"""),1.1433624E7)</f>
        <v>11433624</v>
      </c>
      <c r="J14" s="19">
        <f>IFERROR(__xludf.DUMMYFUNCTION("""COMPUTED_VALUE"""),0.4469541519962257)</f>
        <v>0.446954152</v>
      </c>
      <c r="K14" s="20">
        <f>IFERROR(__xludf.DUMMYFUNCTION("""COMPUTED_VALUE"""),2206.0)</f>
        <v>2206</v>
      </c>
      <c r="L14" s="20"/>
      <c r="M14" s="20" t="str">
        <f>IFERROR(__xludf.DUMMYFUNCTION("""COMPUTED_VALUE"""),"#N/A")</f>
        <v>#N/A</v>
      </c>
      <c r="N14" s="20" t="str">
        <f>IFERROR(__xludf.DUMMYFUNCTION("""COMPUTED_VALUE"""),"#N/A")</f>
        <v>#N/A</v>
      </c>
      <c r="O14" s="20"/>
      <c r="P14" s="20"/>
      <c r="Q14" s="20" t="str">
        <f>IFERROR(__xludf.DUMMYFUNCTION("""COMPUTED_VALUE"""),"#N/A")</f>
        <v>#N/A</v>
      </c>
      <c r="R14" s="20" t="str">
        <f>IFERROR(__xludf.DUMMYFUNCTION("""COMPUTED_VALUE"""),"#N/A")</f>
        <v>#N/A</v>
      </c>
      <c r="S14" s="20">
        <f>IFERROR(__xludf.DUMMYFUNCTION("""COMPUTED_VALUE"""),0.062732688)</f>
        <v>0.062732688</v>
      </c>
      <c r="T14" s="20">
        <f>IFERROR(__xludf.DUMMYFUNCTION("""COMPUTED_VALUE"""),0.015014562)</f>
        <v>0.015014562</v>
      </c>
      <c r="U14" s="20">
        <f>IFERROR(__xludf.DUMMYFUNCTION("""COMPUTED_VALUE"""),0.110648746)</f>
        <v>0.110648746</v>
      </c>
      <c r="V14" s="20">
        <f>IFERROR(__xludf.DUMMYFUNCTION("""COMPUTED_VALUE"""),0.811604004)</f>
        <v>0.811604004</v>
      </c>
      <c r="W14" s="20"/>
      <c r="X14" s="20"/>
      <c r="Y14" s="20"/>
      <c r="Z14" s="20"/>
    </row>
    <row r="15">
      <c r="A15" s="20" t="str">
        <f>IFERROR(__xludf.DUMMYFUNCTION("""COMPUTED_VALUE"""),"s017")</f>
        <v>s017</v>
      </c>
      <c r="B15" s="20" t="str">
        <f>IFERROR(__xludf.DUMMYFUNCTION("""COMPUTED_VALUE"""),"wgs")</f>
        <v>wgs</v>
      </c>
      <c r="C15" s="20" t="str">
        <f>IFERROR(__xludf.DUMMYFUNCTION("""COMPUTED_VALUE"""),"OF758")</f>
        <v>OF758</v>
      </c>
      <c r="D15" s="20" t="str">
        <f>IFERROR(__xludf.DUMMYFUNCTION("""COMPUTED_VALUE"""),"OF758")</f>
        <v>OF758</v>
      </c>
      <c r="E15" s="20" t="str">
        <f>IFERROR(__xludf.DUMMYFUNCTION("""COMPUTED_VALUE"""),"no")</f>
        <v>no</v>
      </c>
      <c r="F15" s="20">
        <f>IFERROR(__xludf.DUMMYFUNCTION("""COMPUTED_VALUE"""),17.0)</f>
        <v>17</v>
      </c>
      <c r="G15" s="20"/>
      <c r="H15" s="20">
        <f>IFERROR(__xludf.DUMMYFUNCTION("""COMPUTED_VALUE"""),2.4782166E7)</f>
        <v>24782166</v>
      </c>
      <c r="I15" s="20">
        <f>IFERROR(__xludf.DUMMYFUNCTION("""COMPUTED_VALUE"""),1.685472E7)</f>
        <v>16854720</v>
      </c>
      <c r="J15" s="19">
        <f>IFERROR(__xludf.DUMMYFUNCTION("""COMPUTED_VALUE"""),0.6801148858416977)</f>
        <v>0.6801148858</v>
      </c>
      <c r="K15" s="20">
        <f>IFERROR(__xludf.DUMMYFUNCTION("""COMPUTED_VALUE"""),883.0)</f>
        <v>883</v>
      </c>
      <c r="L15" s="20"/>
      <c r="M15" s="20"/>
      <c r="N15" s="20" t="str">
        <f>IFERROR(__xludf.DUMMYFUNCTION("""COMPUTED_VALUE"""),"N")</f>
        <v>N</v>
      </c>
      <c r="O15" s="20"/>
      <c r="P15" s="20"/>
      <c r="Q15" s="20" t="str">
        <f>IFERROR(__xludf.DUMMYFUNCTION("""COMPUTED_VALUE"""),"2015")</f>
        <v>2015</v>
      </c>
      <c r="R15" s="20"/>
      <c r="S15" s="20">
        <f>IFERROR(__xludf.DUMMYFUNCTION("""COMPUTED_VALUE"""),0.020163566)</f>
        <v>0.020163566</v>
      </c>
      <c r="T15" s="20">
        <f>IFERROR(__xludf.DUMMYFUNCTION("""COMPUTED_VALUE"""),0.003724409)</f>
        <v>0.003724409</v>
      </c>
      <c r="U15" s="20">
        <f>IFERROR(__xludf.DUMMYFUNCTION("""COMPUTED_VALUE"""),0.021722572)</f>
        <v>0.021722572</v>
      </c>
      <c r="V15" s="20">
        <f>IFERROR(__xludf.DUMMYFUNCTION("""COMPUTED_VALUE"""),0.954389452)</f>
        <v>0.954389452</v>
      </c>
      <c r="W15" s="20"/>
      <c r="X15" s="20"/>
      <c r="Y15" s="20"/>
      <c r="Z15" s="20"/>
    </row>
    <row r="16">
      <c r="A16" s="20" t="str">
        <f>IFERROR(__xludf.DUMMYFUNCTION("""COMPUTED_VALUE"""),"s018")</f>
        <v>s018</v>
      </c>
      <c r="B16" s="20" t="str">
        <f>IFERROR(__xludf.DUMMYFUNCTION("""COMPUTED_VALUE"""),"wgs")</f>
        <v>wgs</v>
      </c>
      <c r="C16" s="20" t="str">
        <f>IFERROR(__xludf.DUMMYFUNCTION("""COMPUTED_VALUE"""),"OF1")</f>
        <v>OF1</v>
      </c>
      <c r="D16" s="20" t="str">
        <f>IFERROR(__xludf.DUMMYFUNCTION("""COMPUTED_VALUE"""),"OF1")</f>
        <v>OF1</v>
      </c>
      <c r="E16" s="20" t="str">
        <f>IFERROR(__xludf.DUMMYFUNCTION("""COMPUTED_VALUE"""),"no")</f>
        <v>no</v>
      </c>
      <c r="F16" s="20">
        <f>IFERROR(__xludf.DUMMYFUNCTION("""COMPUTED_VALUE"""),18.0)</f>
        <v>18</v>
      </c>
      <c r="G16" s="20"/>
      <c r="H16" s="20">
        <f>IFERROR(__xludf.DUMMYFUNCTION("""COMPUTED_VALUE"""),2.4500744E7)</f>
        <v>24500744</v>
      </c>
      <c r="I16" s="20">
        <f>IFERROR(__xludf.DUMMYFUNCTION("""COMPUTED_VALUE"""),1.8511451E7)</f>
        <v>18511451</v>
      </c>
      <c r="J16" s="19">
        <f>IFERROR(__xludf.DUMMYFUNCTION("""COMPUTED_VALUE"""),0.7555464846292015)</f>
        <v>0.7555464846</v>
      </c>
      <c r="K16" s="20">
        <f>IFERROR(__xludf.DUMMYFUNCTION("""COMPUTED_VALUE"""),685.0)</f>
        <v>685</v>
      </c>
      <c r="L16" s="20"/>
      <c r="M16" s="20" t="str">
        <f>IFERROR(__xludf.DUMMYFUNCTION("""COMPUTED_VALUE"""),"KWN")</f>
        <v>KWN</v>
      </c>
      <c r="N16" s="20" t="str">
        <f>IFERROR(__xludf.DUMMYFUNCTION("""COMPUTED_VALUE"""),"N")</f>
        <v>N</v>
      </c>
      <c r="O16" s="20">
        <f>IFERROR(__xludf.DUMMYFUNCTION("""COMPUTED_VALUE"""),24.55107)</f>
        <v>24.55107</v>
      </c>
      <c r="P16" s="20">
        <f>IFERROR(__xludf.DUMMYFUNCTION("""COMPUTED_VALUE"""),-81.80805)</f>
        <v>-81.80805</v>
      </c>
      <c r="Q16" s="20" t="str">
        <f>IFERROR(__xludf.DUMMYFUNCTION("""COMPUTED_VALUE"""),"2010-2017")</f>
        <v>2010-2017</v>
      </c>
      <c r="R16" s="20" t="str">
        <f>IFERROR(__xludf.DUMMYFUNCTION("""COMPUTED_VALUE"""),"Mote")</f>
        <v>Mote</v>
      </c>
      <c r="S16" s="20">
        <f>IFERROR(__xludf.DUMMYFUNCTION("""COMPUTED_VALUE"""),0.045339628)</f>
        <v>0.045339628</v>
      </c>
      <c r="T16" s="20">
        <f>IFERROR(__xludf.DUMMYFUNCTION("""COMPUTED_VALUE"""),0.00689331)</f>
        <v>0.00689331</v>
      </c>
      <c r="U16" s="20">
        <f>IFERROR(__xludf.DUMMYFUNCTION("""COMPUTED_VALUE"""),0.053052048)</f>
        <v>0.053052048</v>
      </c>
      <c r="V16" s="20">
        <f>IFERROR(__xludf.DUMMYFUNCTION("""COMPUTED_VALUE"""),0.894715014)</f>
        <v>0.894715014</v>
      </c>
      <c r="W16" s="20"/>
      <c r="X16" s="20"/>
      <c r="Y16" s="20"/>
      <c r="Z16" s="20"/>
    </row>
    <row r="17">
      <c r="A17" s="20" t="str">
        <f>IFERROR(__xludf.DUMMYFUNCTION("""COMPUTED_VALUE"""),"s019")</f>
        <v>s019</v>
      </c>
      <c r="B17" s="20" t="str">
        <f>IFERROR(__xludf.DUMMYFUNCTION("""COMPUTED_VALUE"""),"wgs")</f>
        <v>wgs</v>
      </c>
      <c r="C17" s="20" t="str">
        <f>IFERROR(__xludf.DUMMYFUNCTION("""COMPUTED_VALUE"""),"S31")</f>
        <v>S31</v>
      </c>
      <c r="D17" s="20" t="str">
        <f>IFERROR(__xludf.DUMMYFUNCTION("""COMPUTED_VALUE"""),"S31")</f>
        <v>S31</v>
      </c>
      <c r="E17" s="20" t="str">
        <f>IFERROR(__xludf.DUMMYFUNCTION("""COMPUTED_VALUE"""),"no")</f>
        <v>no</v>
      </c>
      <c r="F17" s="20">
        <f>IFERROR(__xludf.DUMMYFUNCTION("""COMPUTED_VALUE"""),19.0)</f>
        <v>19</v>
      </c>
      <c r="G17" s="20"/>
      <c r="H17" s="20">
        <f>IFERROR(__xludf.DUMMYFUNCTION("""COMPUTED_VALUE"""),2.4386411E7)</f>
        <v>24386411</v>
      </c>
      <c r="I17" s="20">
        <f>IFERROR(__xludf.DUMMYFUNCTION("""COMPUTED_VALUE"""),8314031.0)</f>
        <v>8314031</v>
      </c>
      <c r="J17" s="19">
        <f>IFERROR(__xludf.DUMMYFUNCTION("""COMPUTED_VALUE"""),0.34092884762747583)</f>
        <v>0.3409288476</v>
      </c>
      <c r="K17" s="20">
        <f>IFERROR(__xludf.DUMMYFUNCTION("""COMPUTED_VALUE"""),3333.0)</f>
        <v>3333</v>
      </c>
      <c r="L17" s="20"/>
      <c r="M17" s="20"/>
      <c r="N17" s="20" t="str">
        <f>IFERROR(__xludf.DUMMYFUNCTION("""COMPUTED_VALUE"""),"N")</f>
        <v>N</v>
      </c>
      <c r="O17" s="20"/>
      <c r="P17" s="20"/>
      <c r="Q17" s="20" t="str">
        <f>IFERROR(__xludf.DUMMYFUNCTION("""COMPUTED_VALUE"""),"2015")</f>
        <v>2015</v>
      </c>
      <c r="R17" s="20"/>
      <c r="S17" s="20">
        <f>IFERROR(__xludf.DUMMYFUNCTION("""COMPUTED_VALUE"""),0.030682511)</f>
        <v>0.030682511</v>
      </c>
      <c r="T17" s="20">
        <f>IFERROR(__xludf.DUMMYFUNCTION("""COMPUTED_VALUE"""),0.006562578)</f>
        <v>0.006562578</v>
      </c>
      <c r="U17" s="20">
        <f>IFERROR(__xludf.DUMMYFUNCTION("""COMPUTED_VALUE"""),0.062866275)</f>
        <v>0.062866275</v>
      </c>
      <c r="V17" s="20">
        <f>IFERROR(__xludf.DUMMYFUNCTION("""COMPUTED_VALUE"""),0.899888636)</f>
        <v>0.899888636</v>
      </c>
      <c r="W17" s="20"/>
      <c r="X17" s="20"/>
      <c r="Y17" s="20"/>
      <c r="Z17" s="20"/>
    </row>
    <row r="18">
      <c r="A18" s="20" t="str">
        <f>IFERROR(__xludf.DUMMYFUNCTION("""COMPUTED_VALUE"""),"s020")</f>
        <v>s020</v>
      </c>
      <c r="B18" s="20" t="str">
        <f>IFERROR(__xludf.DUMMYFUNCTION("""COMPUTED_VALUE"""),"wgs")</f>
        <v>wgs</v>
      </c>
      <c r="C18" s="20" t="str">
        <f>IFERROR(__xludf.DUMMYFUNCTION("""COMPUTED_VALUE"""),"15-71")</f>
        <v>15-71</v>
      </c>
      <c r="D18" s="20" t="str">
        <f>IFERROR(__xludf.DUMMYFUNCTION("""COMPUTED_VALUE"""),"15-71")</f>
        <v>15-71</v>
      </c>
      <c r="E18" s="20" t="str">
        <f>IFERROR(__xludf.DUMMYFUNCTION("""COMPUTED_VALUE"""),"no")</f>
        <v>no</v>
      </c>
      <c r="F18" s="20">
        <f>IFERROR(__xludf.DUMMYFUNCTION("""COMPUTED_VALUE"""),20.0)</f>
        <v>20</v>
      </c>
      <c r="G18" s="20"/>
      <c r="H18" s="20">
        <f>IFERROR(__xludf.DUMMYFUNCTION("""COMPUTED_VALUE"""),2.5065122E7)</f>
        <v>25065122</v>
      </c>
      <c r="I18" s="20">
        <f>IFERROR(__xludf.DUMMYFUNCTION("""COMPUTED_VALUE"""),7353428.0)</f>
        <v>7353428</v>
      </c>
      <c r="J18" s="19">
        <f>IFERROR(__xludf.DUMMYFUNCTION("""COMPUTED_VALUE"""),0.29337291875140287)</f>
        <v>0.2933729188</v>
      </c>
      <c r="K18" s="20">
        <f>IFERROR(__xludf.DUMMYFUNCTION("""COMPUTED_VALUE"""),3877.0)</f>
        <v>3877</v>
      </c>
      <c r="L18" s="20"/>
      <c r="M18" s="20" t="str">
        <f>IFERROR(__xludf.DUMMYFUNCTION("""COMPUTED_VALUE"""),"#N/A")</f>
        <v>#N/A</v>
      </c>
      <c r="N18" s="20" t="str">
        <f>IFERROR(__xludf.DUMMYFUNCTION("""COMPUTED_VALUE"""),"#N/A")</f>
        <v>#N/A</v>
      </c>
      <c r="O18" s="20"/>
      <c r="P18" s="20"/>
      <c r="Q18" s="20" t="str">
        <f>IFERROR(__xludf.DUMMYFUNCTION("""COMPUTED_VALUE"""),"#N/A")</f>
        <v>#N/A</v>
      </c>
      <c r="R18" s="20" t="str">
        <f>IFERROR(__xludf.DUMMYFUNCTION("""COMPUTED_VALUE"""),"#N/A")</f>
        <v>#N/A</v>
      </c>
      <c r="S18" s="20">
        <f>IFERROR(__xludf.DUMMYFUNCTION("""COMPUTED_VALUE"""),0.149628685)</f>
        <v>0.149628685</v>
      </c>
      <c r="T18" s="20">
        <f>IFERROR(__xludf.DUMMYFUNCTION("""COMPUTED_VALUE"""),0.035203894)</f>
        <v>0.035203894</v>
      </c>
      <c r="U18" s="20">
        <f>IFERROR(__xludf.DUMMYFUNCTION("""COMPUTED_VALUE"""),0.399522941)</f>
        <v>0.399522941</v>
      </c>
      <c r="V18" s="20">
        <f>IFERROR(__xludf.DUMMYFUNCTION("""COMPUTED_VALUE"""),0.41564448)</f>
        <v>0.41564448</v>
      </c>
      <c r="W18" s="20"/>
      <c r="X18" s="20"/>
      <c r="Y18" s="20"/>
      <c r="Z18" s="20"/>
    </row>
    <row r="19">
      <c r="A19" s="20" t="str">
        <f>IFERROR(__xludf.DUMMYFUNCTION("""COMPUTED_VALUE"""),"s021")</f>
        <v>s021</v>
      </c>
      <c r="B19" s="20" t="str">
        <f>IFERROR(__xludf.DUMMYFUNCTION("""COMPUTED_VALUE"""),"wgs")</f>
        <v>wgs</v>
      </c>
      <c r="C19" s="20" t="str">
        <f>IFERROR(__xludf.DUMMYFUNCTION("""COMPUTED_VALUE"""),"OF232")</f>
        <v>OF232</v>
      </c>
      <c r="D19" s="20" t="str">
        <f>IFERROR(__xludf.DUMMYFUNCTION("""COMPUTED_VALUE"""),"OF232")</f>
        <v>OF232</v>
      </c>
      <c r="E19" s="20" t="str">
        <f>IFERROR(__xludf.DUMMYFUNCTION("""COMPUTED_VALUE"""),"no")</f>
        <v>no</v>
      </c>
      <c r="F19" s="20">
        <f>IFERROR(__xludf.DUMMYFUNCTION("""COMPUTED_VALUE"""),21.0)</f>
        <v>21</v>
      </c>
      <c r="G19" s="20"/>
      <c r="H19" s="20">
        <f>IFERROR(__xludf.DUMMYFUNCTION("""COMPUTED_VALUE"""),2.6907837E7)</f>
        <v>26907837</v>
      </c>
      <c r="I19" s="20">
        <f>IFERROR(__xludf.DUMMYFUNCTION("""COMPUTED_VALUE"""),1.6798946E7)</f>
        <v>16798946</v>
      </c>
      <c r="J19" s="19">
        <f>IFERROR(__xludf.DUMMYFUNCTION("""COMPUTED_VALUE"""),0.6243142471838223)</f>
        <v>0.6243142472</v>
      </c>
      <c r="K19" s="20">
        <f>IFERROR(__xludf.DUMMYFUNCTION("""COMPUTED_VALUE"""),879.0)</f>
        <v>879</v>
      </c>
      <c r="L19" s="20"/>
      <c r="M19" s="20" t="str">
        <f>IFERROR(__xludf.DUMMYFUNCTION("""COMPUTED_VALUE"""),"H")</f>
        <v>H</v>
      </c>
      <c r="N19" s="20" t="str">
        <f>IFERROR(__xludf.DUMMYFUNCTION("""COMPUTED_VALUE"""),"N")</f>
        <v>N</v>
      </c>
      <c r="O19" s="20">
        <f>IFERROR(__xludf.DUMMYFUNCTION("""COMPUTED_VALUE"""),25.139367)</f>
        <v>25.139367</v>
      </c>
      <c r="P19" s="20">
        <f>IFERROR(__xludf.DUMMYFUNCTION("""COMPUTED_VALUE"""),-80.294017)</f>
        <v>-80.294017</v>
      </c>
      <c r="Q19" s="20" t="str">
        <f>IFERROR(__xludf.DUMMYFUNCTION("""COMPUTED_VALUE"""),"2015 batch")</f>
        <v>2015 batch</v>
      </c>
      <c r="R19" s="20" t="str">
        <f>IFERROR(__xludf.DUMMYFUNCTION("""COMPUTED_VALUE"""),"Margaret Miller")</f>
        <v>Margaret Miller</v>
      </c>
      <c r="S19" s="20">
        <f>IFERROR(__xludf.DUMMYFUNCTION("""COMPUTED_VALUE"""),0.062974014)</f>
        <v>0.062974014</v>
      </c>
      <c r="T19" s="20">
        <f>IFERROR(__xludf.DUMMYFUNCTION("""COMPUTED_VALUE"""),0.011219916)</f>
        <v>0.011219916</v>
      </c>
      <c r="U19" s="20">
        <f>IFERROR(__xludf.DUMMYFUNCTION("""COMPUTED_VALUE"""),0.110679688)</f>
        <v>0.110679688</v>
      </c>
      <c r="V19" s="20">
        <f>IFERROR(__xludf.DUMMYFUNCTION("""COMPUTED_VALUE"""),0.815126382)</f>
        <v>0.815126382</v>
      </c>
      <c r="W19" s="20"/>
      <c r="X19" s="20"/>
      <c r="Y19" s="20"/>
      <c r="Z19" s="20"/>
    </row>
    <row r="20">
      <c r="A20" s="20" t="str">
        <f>IFERROR(__xludf.DUMMYFUNCTION("""COMPUTED_VALUE"""),"s022")</f>
        <v>s022</v>
      </c>
      <c r="B20" s="20" t="str">
        <f>IFERROR(__xludf.DUMMYFUNCTION("""COMPUTED_VALUE"""),"wgs")</f>
        <v>wgs</v>
      </c>
      <c r="C20" s="20" t="str">
        <f>IFERROR(__xludf.DUMMYFUNCTION("""COMPUTED_VALUE"""),"OF434")</f>
        <v>OF434</v>
      </c>
      <c r="D20" s="20" t="str">
        <f>IFERROR(__xludf.DUMMYFUNCTION("""COMPUTED_VALUE"""),"OF434")</f>
        <v>OF434</v>
      </c>
      <c r="E20" s="20" t="str">
        <f>IFERROR(__xludf.DUMMYFUNCTION("""COMPUTED_VALUE"""),"no")</f>
        <v>no</v>
      </c>
      <c r="F20" s="20">
        <f>IFERROR(__xludf.DUMMYFUNCTION("""COMPUTED_VALUE"""),22.0)</f>
        <v>22</v>
      </c>
      <c r="G20" s="20"/>
      <c r="H20" s="20">
        <f>IFERROR(__xludf.DUMMYFUNCTION("""COMPUTED_VALUE"""),2.5174675E7)</f>
        <v>25174675</v>
      </c>
      <c r="I20" s="20">
        <f>IFERROR(__xludf.DUMMYFUNCTION("""COMPUTED_VALUE"""),1.5974479E7)</f>
        <v>15974479</v>
      </c>
      <c r="J20" s="19">
        <f>IFERROR(__xludf.DUMMYFUNCTION("""COMPUTED_VALUE"""),0.634545589962929)</f>
        <v>0.63454559</v>
      </c>
      <c r="K20" s="20">
        <f>IFERROR(__xludf.DUMMYFUNCTION("""COMPUTED_VALUE"""),1028.0)</f>
        <v>1028</v>
      </c>
      <c r="L20" s="20"/>
      <c r="M20" s="20" t="str">
        <f>IFERROR(__xludf.DUMMYFUNCTION("""COMPUTED_VALUE"""),"H")</f>
        <v>H</v>
      </c>
      <c r="N20" s="20" t="str">
        <f>IFERROR(__xludf.DUMMYFUNCTION("""COMPUTED_VALUE"""),"N")</f>
        <v>N</v>
      </c>
      <c r="O20" s="20">
        <f>IFERROR(__xludf.DUMMYFUNCTION("""COMPUTED_VALUE"""),25.139367)</f>
        <v>25.139367</v>
      </c>
      <c r="P20" s="20">
        <f>IFERROR(__xludf.DUMMYFUNCTION("""COMPUTED_VALUE"""),-80.294017)</f>
        <v>-80.294017</v>
      </c>
      <c r="Q20" s="20" t="str">
        <f>IFERROR(__xludf.DUMMYFUNCTION("""COMPUTED_VALUE"""),"2015 batch")</f>
        <v>2015 batch</v>
      </c>
      <c r="R20" s="20" t="str">
        <f>IFERROR(__xludf.DUMMYFUNCTION("""COMPUTED_VALUE"""),"Margaret Miller")</f>
        <v>Margaret Miller</v>
      </c>
      <c r="S20" s="20">
        <f>IFERROR(__xludf.DUMMYFUNCTION("""COMPUTED_VALUE"""),0.078021985)</f>
        <v>0.078021985</v>
      </c>
      <c r="T20" s="20">
        <f>IFERROR(__xludf.DUMMYFUNCTION("""COMPUTED_VALUE"""),0.012957972)</f>
        <v>0.012957972</v>
      </c>
      <c r="U20" s="20">
        <f>IFERROR(__xludf.DUMMYFUNCTION("""COMPUTED_VALUE"""),0.069291952)</f>
        <v>0.069291952</v>
      </c>
      <c r="V20" s="20">
        <f>IFERROR(__xludf.DUMMYFUNCTION("""COMPUTED_VALUE"""),0.839728091)</f>
        <v>0.839728091</v>
      </c>
      <c r="W20" s="20"/>
      <c r="X20" s="20"/>
      <c r="Y20" s="20"/>
      <c r="Z20" s="20"/>
    </row>
    <row r="21">
      <c r="A21" s="20" t="str">
        <f>IFERROR(__xludf.DUMMYFUNCTION("""COMPUTED_VALUE"""),"s023")</f>
        <v>s023</v>
      </c>
      <c r="B21" s="20" t="str">
        <f>IFERROR(__xludf.DUMMYFUNCTION("""COMPUTED_VALUE"""),"wgs")</f>
        <v>wgs</v>
      </c>
      <c r="C21" s="20" t="str">
        <f>IFERROR(__xludf.DUMMYFUNCTION("""COMPUTED_VALUE"""),"OF22")</f>
        <v>OF22</v>
      </c>
      <c r="D21" s="20" t="str">
        <f>IFERROR(__xludf.DUMMYFUNCTION("""COMPUTED_VALUE"""),"OF22")</f>
        <v>OF22</v>
      </c>
      <c r="E21" s="20" t="str">
        <f>IFERROR(__xludf.DUMMYFUNCTION("""COMPUTED_VALUE"""),"no")</f>
        <v>no</v>
      </c>
      <c r="F21" s="20">
        <f>IFERROR(__xludf.DUMMYFUNCTION("""COMPUTED_VALUE"""),23.0)</f>
        <v>23</v>
      </c>
      <c r="G21" s="20"/>
      <c r="H21" s="20">
        <f>IFERROR(__xludf.DUMMYFUNCTION("""COMPUTED_VALUE"""),2.5116195E7)</f>
        <v>25116195</v>
      </c>
      <c r="I21" s="20">
        <f>IFERROR(__xludf.DUMMYFUNCTION("""COMPUTED_VALUE"""),7892961.0)</f>
        <v>7892961</v>
      </c>
      <c r="J21" s="19">
        <f>IFERROR(__xludf.DUMMYFUNCTION("""COMPUTED_VALUE"""),0.3142578324463558)</f>
        <v>0.3142578324</v>
      </c>
      <c r="K21" s="20">
        <f>IFERROR(__xludf.DUMMYFUNCTION("""COMPUTED_VALUE"""),3467.0)</f>
        <v>3467</v>
      </c>
      <c r="L21" s="20"/>
      <c r="M21" s="20" t="str">
        <f>IFERROR(__xludf.DUMMYFUNCTION("""COMPUTED_VALUE"""),"KWN")</f>
        <v>KWN</v>
      </c>
      <c r="N21" s="20" t="str">
        <f>IFERROR(__xludf.DUMMYFUNCTION("""COMPUTED_VALUE"""),"N")</f>
        <v>N</v>
      </c>
      <c r="O21" s="20">
        <f>IFERROR(__xludf.DUMMYFUNCTION("""COMPUTED_VALUE"""),24.55107)</f>
        <v>24.55107</v>
      </c>
      <c r="P21" s="20">
        <f>IFERROR(__xludf.DUMMYFUNCTION("""COMPUTED_VALUE"""),-81.80805)</f>
        <v>-81.80805</v>
      </c>
      <c r="Q21" s="20" t="str">
        <f>IFERROR(__xludf.DUMMYFUNCTION("""COMPUTED_VALUE"""),"2010-2017")</f>
        <v>2010-2017</v>
      </c>
      <c r="R21" s="20" t="str">
        <f>IFERROR(__xludf.DUMMYFUNCTION("""COMPUTED_VALUE"""),"Mote")</f>
        <v>Mote</v>
      </c>
      <c r="S21" s="20">
        <f>IFERROR(__xludf.DUMMYFUNCTION("""COMPUTED_VALUE"""),0.073612626)</f>
        <v>0.073612626</v>
      </c>
      <c r="T21" s="20">
        <f>IFERROR(__xludf.DUMMYFUNCTION("""COMPUTED_VALUE"""),0.012391119)</f>
        <v>0.012391119</v>
      </c>
      <c r="U21" s="20">
        <f>IFERROR(__xludf.DUMMYFUNCTION("""COMPUTED_VALUE"""),0.197870468)</f>
        <v>0.197870468</v>
      </c>
      <c r="V21" s="20">
        <f>IFERROR(__xludf.DUMMYFUNCTION("""COMPUTED_VALUE"""),0.716125787)</f>
        <v>0.716125787</v>
      </c>
      <c r="W21" s="20"/>
      <c r="X21" s="20"/>
      <c r="Y21" s="20"/>
      <c r="Z21" s="20"/>
    </row>
    <row r="22">
      <c r="A22" s="20" t="str">
        <f>IFERROR(__xludf.DUMMYFUNCTION("""COMPUTED_VALUE"""),"s024")</f>
        <v>s024</v>
      </c>
      <c r="B22" s="20" t="str">
        <f>IFERROR(__xludf.DUMMYFUNCTION("""COMPUTED_VALUE"""),"wgs")</f>
        <v>wgs</v>
      </c>
      <c r="C22" s="20" t="str">
        <f>IFERROR(__xludf.DUMMYFUNCTION("""COMPUTED_VALUE"""),"15-350")</f>
        <v>15-350</v>
      </c>
      <c r="D22" s="20" t="str">
        <f>IFERROR(__xludf.DUMMYFUNCTION("""COMPUTED_VALUE"""),"15-350")</f>
        <v>15-350</v>
      </c>
      <c r="E22" s="20" t="str">
        <f>IFERROR(__xludf.DUMMYFUNCTION("""COMPUTED_VALUE"""),"no")</f>
        <v>no</v>
      </c>
      <c r="F22" s="20">
        <f>IFERROR(__xludf.DUMMYFUNCTION("""COMPUTED_VALUE"""),24.0)</f>
        <v>24</v>
      </c>
      <c r="G22" s="20"/>
      <c r="H22" s="20">
        <f>IFERROR(__xludf.DUMMYFUNCTION("""COMPUTED_VALUE"""),2.6028876E7)</f>
        <v>26028876</v>
      </c>
      <c r="I22" s="20">
        <f>IFERROR(__xludf.DUMMYFUNCTION("""COMPUTED_VALUE"""),1.9006396E7)</f>
        <v>19006396</v>
      </c>
      <c r="J22" s="19">
        <f>IFERROR(__xludf.DUMMYFUNCTION("""COMPUTED_VALUE"""),0.7302042546900603)</f>
        <v>0.7302042547</v>
      </c>
      <c r="K22" s="20">
        <f>IFERROR(__xludf.DUMMYFUNCTION("""COMPUTED_VALUE"""),724.0)</f>
        <v>724</v>
      </c>
      <c r="L22" s="20"/>
      <c r="M22" s="20" t="str">
        <f>IFERROR(__xludf.DUMMYFUNCTION("""COMPUTED_VALUE"""),"H")</f>
        <v>H</v>
      </c>
      <c r="N22" s="20" t="str">
        <f>IFERROR(__xludf.DUMMYFUNCTION("""COMPUTED_VALUE"""),"N")</f>
        <v>N</v>
      </c>
      <c r="O22" s="20">
        <f>IFERROR(__xludf.DUMMYFUNCTION("""COMPUTED_VALUE"""),25.139367)</f>
        <v>25.139367</v>
      </c>
      <c r="P22" s="20">
        <f>IFERROR(__xludf.DUMMYFUNCTION("""COMPUTED_VALUE"""),-80.294017)</f>
        <v>-80.294017</v>
      </c>
      <c r="Q22" s="20" t="str">
        <f>IFERROR(__xludf.DUMMYFUNCTION("""COMPUTED_VALUE"""),"2015 batch")</f>
        <v>2015 batch</v>
      </c>
      <c r="R22" s="20" t="str">
        <f>IFERROR(__xludf.DUMMYFUNCTION("""COMPUTED_VALUE"""),"Margaret Miller")</f>
        <v>Margaret Miller</v>
      </c>
      <c r="S22" s="20">
        <f>IFERROR(__xludf.DUMMYFUNCTION("""COMPUTED_VALUE"""),0.061268651)</f>
        <v>0.061268651</v>
      </c>
      <c r="T22" s="20">
        <f>IFERROR(__xludf.DUMMYFUNCTION("""COMPUTED_VALUE"""),0.010072908)</f>
        <v>0.010072908</v>
      </c>
      <c r="U22" s="20">
        <f>IFERROR(__xludf.DUMMYFUNCTION("""COMPUTED_VALUE"""),0.06366151)</f>
        <v>0.06366151</v>
      </c>
      <c r="V22" s="20">
        <f>IFERROR(__xludf.DUMMYFUNCTION("""COMPUTED_VALUE"""),0.864996932)</f>
        <v>0.864996932</v>
      </c>
      <c r="W22" s="20"/>
      <c r="X22" s="20"/>
      <c r="Y22" s="20"/>
      <c r="Z22" s="20"/>
    </row>
    <row r="23">
      <c r="A23" s="20" t="str">
        <f>IFERROR(__xludf.DUMMYFUNCTION("""COMPUTED_VALUE"""),"s025")</f>
        <v>s025</v>
      </c>
      <c r="B23" s="20" t="str">
        <f>IFERROR(__xludf.DUMMYFUNCTION("""COMPUTED_VALUE"""),"wgs")</f>
        <v>wgs</v>
      </c>
      <c r="C23" s="20" t="str">
        <f>IFERROR(__xludf.DUMMYFUNCTION("""COMPUTED_VALUE"""),"OF701")</f>
        <v>OF701</v>
      </c>
      <c r="D23" s="20" t="str">
        <f>IFERROR(__xludf.DUMMYFUNCTION("""COMPUTED_VALUE"""),"OF701")</f>
        <v>OF701</v>
      </c>
      <c r="E23" s="20" t="str">
        <f>IFERROR(__xludf.DUMMYFUNCTION("""COMPUTED_VALUE"""),"no")</f>
        <v>no</v>
      </c>
      <c r="F23" s="20">
        <f>IFERROR(__xludf.DUMMYFUNCTION("""COMPUTED_VALUE"""),25.0)</f>
        <v>25</v>
      </c>
      <c r="G23" s="20"/>
      <c r="H23" s="20">
        <f>IFERROR(__xludf.DUMMYFUNCTION("""COMPUTED_VALUE"""),2.6749521E7)</f>
        <v>26749521</v>
      </c>
      <c r="I23" s="20">
        <f>IFERROR(__xludf.DUMMYFUNCTION("""COMPUTED_VALUE"""),1.6594225E7)</f>
        <v>16594225</v>
      </c>
      <c r="J23" s="19">
        <f>IFERROR(__xludf.DUMMYFUNCTION("""COMPUTED_VALUE"""),0.6203559682433192)</f>
        <v>0.6203559682</v>
      </c>
      <c r="K23" s="20">
        <f>IFERROR(__xludf.DUMMYFUNCTION("""COMPUTED_VALUE"""),962.0)</f>
        <v>962</v>
      </c>
      <c r="L23" s="20"/>
      <c r="M23" s="20" t="str">
        <f>IFERROR(__xludf.DUMMYFUNCTION("""COMPUTED_VALUE"""),"H")</f>
        <v>H</v>
      </c>
      <c r="N23" s="20" t="str">
        <f>IFERROR(__xludf.DUMMYFUNCTION("""COMPUTED_VALUE"""),"Y")</f>
        <v>Y</v>
      </c>
      <c r="O23" s="20">
        <f>IFERROR(__xludf.DUMMYFUNCTION("""COMPUTED_VALUE"""),25.139367)</f>
        <v>25.139367</v>
      </c>
      <c r="P23" s="20">
        <f>IFERROR(__xludf.DUMMYFUNCTION("""COMPUTED_VALUE"""),-80.294017)</f>
        <v>-80.294017</v>
      </c>
      <c r="Q23" s="20" t="str">
        <f>IFERROR(__xludf.DUMMYFUNCTION("""COMPUTED_VALUE"""),"2015")</f>
        <v>2015</v>
      </c>
      <c r="R23" s="20" t="str">
        <f>IFERROR(__xludf.DUMMYFUNCTION("""COMPUTED_VALUE"""),"Margaret Miller")</f>
        <v>Margaret Miller</v>
      </c>
      <c r="S23" s="20">
        <f>IFERROR(__xludf.DUMMYFUNCTION("""COMPUTED_VALUE"""),0.12054271)</f>
        <v>0.12054271</v>
      </c>
      <c r="T23" s="20">
        <f>IFERROR(__xludf.DUMMYFUNCTION("""COMPUTED_VALUE"""),0.069656287)</f>
        <v>0.069656287</v>
      </c>
      <c r="U23" s="20">
        <f>IFERROR(__xludf.DUMMYFUNCTION("""COMPUTED_VALUE"""),0.224270648)</f>
        <v>0.224270648</v>
      </c>
      <c r="V23" s="20">
        <f>IFERROR(__xludf.DUMMYFUNCTION("""COMPUTED_VALUE"""),0.585530356)</f>
        <v>0.585530356</v>
      </c>
      <c r="W23" s="20"/>
      <c r="X23" s="20"/>
      <c r="Y23" s="20"/>
      <c r="Z23" s="20"/>
    </row>
    <row r="24">
      <c r="A24" s="20" t="str">
        <f>IFERROR(__xludf.DUMMYFUNCTION("""COMPUTED_VALUE"""),"s026")</f>
        <v>s026</v>
      </c>
      <c r="B24" s="20" t="str">
        <f>IFERROR(__xludf.DUMMYFUNCTION("""COMPUTED_VALUE"""),"wgs")</f>
        <v>wgs</v>
      </c>
      <c r="C24" s="20" t="str">
        <f>IFERROR(__xludf.DUMMYFUNCTION("""COMPUTED_VALUE"""),"OF684")</f>
        <v>OF684</v>
      </c>
      <c r="D24" s="20" t="str">
        <f>IFERROR(__xludf.DUMMYFUNCTION("""COMPUTED_VALUE"""),"OF684")</f>
        <v>OF684</v>
      </c>
      <c r="E24" s="20" t="str">
        <f>IFERROR(__xludf.DUMMYFUNCTION("""COMPUTED_VALUE"""),"no")</f>
        <v>no</v>
      </c>
      <c r="F24" s="20">
        <f>IFERROR(__xludf.DUMMYFUNCTION("""COMPUTED_VALUE"""),26.0)</f>
        <v>26</v>
      </c>
      <c r="G24" s="20"/>
      <c r="H24" s="20">
        <f>IFERROR(__xludf.DUMMYFUNCTION("""COMPUTED_VALUE"""),2.4362732E7)</f>
        <v>24362732</v>
      </c>
      <c r="I24" s="20">
        <f>IFERROR(__xludf.DUMMYFUNCTION("""COMPUTED_VALUE"""),9492579.0)</f>
        <v>9492579</v>
      </c>
      <c r="J24" s="19">
        <f>IFERROR(__xludf.DUMMYFUNCTION("""COMPUTED_VALUE"""),0.38963524287834383)</f>
        <v>0.3896352429</v>
      </c>
      <c r="K24" s="20">
        <f>IFERROR(__xludf.DUMMYFUNCTION("""COMPUTED_VALUE"""),3875.0)</f>
        <v>3875</v>
      </c>
      <c r="L24" s="20"/>
      <c r="M24" s="20" t="str">
        <f>IFERROR(__xludf.DUMMYFUNCTION("""COMPUTED_VALUE"""),"H")</f>
        <v>H</v>
      </c>
      <c r="N24" s="20" t="str">
        <f>IFERROR(__xludf.DUMMYFUNCTION("""COMPUTED_VALUE"""),"Y")</f>
        <v>Y</v>
      </c>
      <c r="O24" s="20">
        <f>IFERROR(__xludf.DUMMYFUNCTION("""COMPUTED_VALUE"""),25.139367)</f>
        <v>25.139367</v>
      </c>
      <c r="P24" s="20">
        <f>IFERROR(__xludf.DUMMYFUNCTION("""COMPUTED_VALUE"""),-80.294017)</f>
        <v>-80.294017</v>
      </c>
      <c r="Q24" s="20" t="str">
        <f>IFERROR(__xludf.DUMMYFUNCTION("""COMPUTED_VALUE"""),"2015")</f>
        <v>2015</v>
      </c>
      <c r="R24" s="20" t="str">
        <f>IFERROR(__xludf.DUMMYFUNCTION("""COMPUTED_VALUE"""),"Margaret Miller")</f>
        <v>Margaret Miller</v>
      </c>
      <c r="S24" s="20">
        <f>IFERROR(__xludf.DUMMYFUNCTION("""COMPUTED_VALUE"""),0.16059293)</f>
        <v>0.16059293</v>
      </c>
      <c r="T24" s="20">
        <f>IFERROR(__xludf.DUMMYFUNCTION("""COMPUTED_VALUE"""),0.067186719)</f>
        <v>0.067186719</v>
      </c>
      <c r="U24" s="20">
        <f>IFERROR(__xludf.DUMMYFUNCTION("""COMPUTED_VALUE"""),0.348991067)</f>
        <v>0.348991067</v>
      </c>
      <c r="V24" s="20">
        <f>IFERROR(__xludf.DUMMYFUNCTION("""COMPUTED_VALUE"""),0.423229284)</f>
        <v>0.423229284</v>
      </c>
      <c r="W24" s="20"/>
      <c r="X24" s="20"/>
      <c r="Y24" s="20"/>
      <c r="Z24" s="20"/>
    </row>
    <row r="25">
      <c r="A25" s="20" t="str">
        <f>IFERROR(__xludf.DUMMYFUNCTION("""COMPUTED_VALUE"""),"s027")</f>
        <v>s027</v>
      </c>
      <c r="B25" s="20" t="str">
        <f>IFERROR(__xludf.DUMMYFUNCTION("""COMPUTED_VALUE"""),"wgs")</f>
        <v>wgs</v>
      </c>
      <c r="C25" s="20" t="str">
        <f>IFERROR(__xludf.DUMMYFUNCTION("""COMPUTED_VALUE"""),"OF5")</f>
        <v>OF5</v>
      </c>
      <c r="D25" s="20" t="str">
        <f>IFERROR(__xludf.DUMMYFUNCTION("""COMPUTED_VALUE"""),"OF5")</f>
        <v>OF5</v>
      </c>
      <c r="E25" s="20" t="str">
        <f>IFERROR(__xludf.DUMMYFUNCTION("""COMPUTED_VALUE"""),"no")</f>
        <v>no</v>
      </c>
      <c r="F25" s="20">
        <f>IFERROR(__xludf.DUMMYFUNCTION("""COMPUTED_VALUE"""),27.0)</f>
        <v>27</v>
      </c>
      <c r="G25" s="20"/>
      <c r="H25" s="20">
        <f>IFERROR(__xludf.DUMMYFUNCTION("""COMPUTED_VALUE"""),2.5120802E7)</f>
        <v>25120802</v>
      </c>
      <c r="I25" s="20">
        <f>IFERROR(__xludf.DUMMYFUNCTION("""COMPUTED_VALUE"""),1.8918386E7)</f>
        <v>18918386</v>
      </c>
      <c r="J25" s="19">
        <f>IFERROR(__xludf.DUMMYFUNCTION("""COMPUTED_VALUE"""),0.7530964178611813)</f>
        <v>0.7530964179</v>
      </c>
      <c r="K25" s="20">
        <f>IFERROR(__xludf.DUMMYFUNCTION("""COMPUTED_VALUE"""),971.0)</f>
        <v>971</v>
      </c>
      <c r="L25" s="20"/>
      <c r="M25" s="20" t="str">
        <f>IFERROR(__xludf.DUMMYFUNCTION("""COMPUTED_VALUE"""),"KWN")</f>
        <v>KWN</v>
      </c>
      <c r="N25" s="20" t="str">
        <f>IFERROR(__xludf.DUMMYFUNCTION("""COMPUTED_VALUE"""),"N")</f>
        <v>N</v>
      </c>
      <c r="O25" s="20">
        <f>IFERROR(__xludf.DUMMYFUNCTION("""COMPUTED_VALUE"""),24.55107)</f>
        <v>24.55107</v>
      </c>
      <c r="P25" s="20">
        <f>IFERROR(__xludf.DUMMYFUNCTION("""COMPUTED_VALUE"""),-81.80805)</f>
        <v>-81.80805</v>
      </c>
      <c r="Q25" s="20" t="str">
        <f>IFERROR(__xludf.DUMMYFUNCTION("""COMPUTED_VALUE"""),"2010-2017")</f>
        <v>2010-2017</v>
      </c>
      <c r="R25" s="20" t="str">
        <f>IFERROR(__xludf.DUMMYFUNCTION("""COMPUTED_VALUE"""),"Mote")</f>
        <v>Mote</v>
      </c>
      <c r="S25" s="20">
        <f>IFERROR(__xludf.DUMMYFUNCTION("""COMPUTED_VALUE"""),0.016169976)</f>
        <v>0.016169976</v>
      </c>
      <c r="T25" s="20">
        <f>IFERROR(__xludf.DUMMYFUNCTION("""COMPUTED_VALUE"""),0.002562259)</f>
        <v>0.002562259</v>
      </c>
      <c r="U25" s="20">
        <f>IFERROR(__xludf.DUMMYFUNCTION("""COMPUTED_VALUE"""),0.01236356)</f>
        <v>0.01236356</v>
      </c>
      <c r="V25" s="20">
        <f>IFERROR(__xludf.DUMMYFUNCTION("""COMPUTED_VALUE"""),0.968904205)</f>
        <v>0.968904205</v>
      </c>
      <c r="W25" s="20"/>
      <c r="X25" s="20"/>
      <c r="Y25" s="20"/>
      <c r="Z25" s="20"/>
    </row>
    <row r="26">
      <c r="A26" s="20" t="str">
        <f>IFERROR(__xludf.DUMMYFUNCTION("""COMPUTED_VALUE"""),"s028")</f>
        <v>s028</v>
      </c>
      <c r="B26" s="20" t="str">
        <f>IFERROR(__xludf.DUMMYFUNCTION("""COMPUTED_VALUE"""),"wgs")</f>
        <v>wgs</v>
      </c>
      <c r="C26" s="20" t="str">
        <f>IFERROR(__xludf.DUMMYFUNCTION("""COMPUTED_VALUE"""),"OF793")</f>
        <v>OF793</v>
      </c>
      <c r="D26" s="20" t="str">
        <f>IFERROR(__xludf.DUMMYFUNCTION("""COMPUTED_VALUE"""),"OF793")</f>
        <v>OF793</v>
      </c>
      <c r="E26" s="20" t="str">
        <f>IFERROR(__xludf.DUMMYFUNCTION("""COMPUTED_VALUE"""),"no")</f>
        <v>no</v>
      </c>
      <c r="F26" s="20">
        <f>IFERROR(__xludf.DUMMYFUNCTION("""COMPUTED_VALUE"""),28.0)</f>
        <v>28</v>
      </c>
      <c r="G26" s="20"/>
      <c r="H26" s="20">
        <f>IFERROR(__xludf.DUMMYFUNCTION("""COMPUTED_VALUE"""),1.9399521E7)</f>
        <v>19399521</v>
      </c>
      <c r="I26" s="20">
        <f>IFERROR(__xludf.DUMMYFUNCTION("""COMPUTED_VALUE"""),1.0719912E7)</f>
        <v>10719912</v>
      </c>
      <c r="J26" s="19">
        <f>IFERROR(__xludf.DUMMYFUNCTION("""COMPUTED_VALUE"""),0.5525864272628175)</f>
        <v>0.5525864273</v>
      </c>
      <c r="K26" s="20">
        <f>IFERROR(__xludf.DUMMYFUNCTION("""COMPUTED_VALUE"""),3154.0)</f>
        <v>3154</v>
      </c>
      <c r="L26" s="20"/>
      <c r="M26" s="20" t="str">
        <f>IFERROR(__xludf.DUMMYFUNCTION("""COMPUTED_VALUE"""),"#N/A")</f>
        <v>#N/A</v>
      </c>
      <c r="N26" s="20" t="str">
        <f>IFERROR(__xludf.DUMMYFUNCTION("""COMPUTED_VALUE"""),"#N/A")</f>
        <v>#N/A</v>
      </c>
      <c r="O26" s="20"/>
      <c r="P26" s="20"/>
      <c r="Q26" s="20" t="str">
        <f>IFERROR(__xludf.DUMMYFUNCTION("""COMPUTED_VALUE"""),"#N/A")</f>
        <v>#N/A</v>
      </c>
      <c r="R26" s="20" t="str">
        <f>IFERROR(__xludf.DUMMYFUNCTION("""COMPUTED_VALUE"""),"#N/A")</f>
        <v>#N/A</v>
      </c>
      <c r="S26" s="20">
        <f>IFERROR(__xludf.DUMMYFUNCTION("""COMPUTED_VALUE"""),0.12450524)</f>
        <v>0.12450524</v>
      </c>
      <c r="T26" s="20">
        <f>IFERROR(__xludf.DUMMYFUNCTION("""COMPUTED_VALUE"""),0.026583745)</f>
        <v>0.026583745</v>
      </c>
      <c r="U26" s="20">
        <f>IFERROR(__xludf.DUMMYFUNCTION("""COMPUTED_VALUE"""),0.167475031)</f>
        <v>0.167475031</v>
      </c>
      <c r="V26" s="20">
        <f>IFERROR(__xludf.DUMMYFUNCTION("""COMPUTED_VALUE"""),0.681435984)</f>
        <v>0.681435984</v>
      </c>
      <c r="W26" s="20"/>
      <c r="X26" s="20"/>
      <c r="Y26" s="20"/>
      <c r="Z26" s="20"/>
    </row>
    <row r="27">
      <c r="A27" s="20" t="str">
        <f>IFERROR(__xludf.DUMMYFUNCTION("""COMPUTED_VALUE"""),"s029")</f>
        <v>s029</v>
      </c>
      <c r="B27" s="20" t="str">
        <f>IFERROR(__xludf.DUMMYFUNCTION("""COMPUTED_VALUE"""),"wgs")</f>
        <v>wgs</v>
      </c>
      <c r="C27" s="20" t="str">
        <f>IFERROR(__xludf.DUMMYFUNCTION("""COMPUTED_VALUE"""),"15-358")</f>
        <v>15-358</v>
      </c>
      <c r="D27" s="20" t="str">
        <f>IFERROR(__xludf.DUMMYFUNCTION("""COMPUTED_VALUE"""),"15-358")</f>
        <v>15-358</v>
      </c>
      <c r="E27" s="20" t="str">
        <f>IFERROR(__xludf.DUMMYFUNCTION("""COMPUTED_VALUE"""),"no")</f>
        <v>no</v>
      </c>
      <c r="F27" s="20">
        <f>IFERROR(__xludf.DUMMYFUNCTION("""COMPUTED_VALUE"""),29.0)</f>
        <v>29</v>
      </c>
      <c r="G27" s="20"/>
      <c r="H27" s="20">
        <f>IFERROR(__xludf.DUMMYFUNCTION("""COMPUTED_VALUE"""),2.2797232E7)</f>
        <v>22797232</v>
      </c>
      <c r="I27" s="20">
        <f>IFERROR(__xludf.DUMMYFUNCTION("""COMPUTED_VALUE"""),6359796.0)</f>
        <v>6359796</v>
      </c>
      <c r="J27" s="19">
        <f>IFERROR(__xludf.DUMMYFUNCTION("""COMPUTED_VALUE"""),0.27897228926739875)</f>
        <v>0.2789722893</v>
      </c>
      <c r="K27" s="20">
        <f>IFERROR(__xludf.DUMMYFUNCTION("""COMPUTED_VALUE"""),4791.0)</f>
        <v>4791</v>
      </c>
      <c r="L27" s="20"/>
      <c r="M27" s="20" t="str">
        <f>IFERROR(__xludf.DUMMYFUNCTION("""COMPUTED_VALUE"""),"H")</f>
        <v>H</v>
      </c>
      <c r="N27" s="20" t="str">
        <f>IFERROR(__xludf.DUMMYFUNCTION("""COMPUTED_VALUE"""),"N")</f>
        <v>N</v>
      </c>
      <c r="O27" s="20">
        <f>IFERROR(__xludf.DUMMYFUNCTION("""COMPUTED_VALUE"""),25.139367)</f>
        <v>25.139367</v>
      </c>
      <c r="P27" s="20">
        <f>IFERROR(__xludf.DUMMYFUNCTION("""COMPUTED_VALUE"""),-80.294017)</f>
        <v>-80.294017</v>
      </c>
      <c r="Q27" s="20" t="str">
        <f>IFERROR(__xludf.DUMMYFUNCTION("""COMPUTED_VALUE"""),"2015 batch")</f>
        <v>2015 batch</v>
      </c>
      <c r="R27" s="20" t="str">
        <f>IFERROR(__xludf.DUMMYFUNCTION("""COMPUTED_VALUE"""),"Margaret Miller")</f>
        <v>Margaret Miller</v>
      </c>
      <c r="S27" s="20">
        <f>IFERROR(__xludf.DUMMYFUNCTION("""COMPUTED_VALUE"""),0.196378223)</f>
        <v>0.196378223</v>
      </c>
      <c r="T27" s="20">
        <f>IFERROR(__xludf.DUMMYFUNCTION("""COMPUTED_VALUE"""),0.048482596)</f>
        <v>0.048482596</v>
      </c>
      <c r="U27" s="20">
        <f>IFERROR(__xludf.DUMMYFUNCTION("""COMPUTED_VALUE"""),0.224137489)</f>
        <v>0.224137489</v>
      </c>
      <c r="V27" s="20">
        <f>IFERROR(__xludf.DUMMYFUNCTION("""COMPUTED_VALUE"""),0.531001692)</f>
        <v>0.531001692</v>
      </c>
      <c r="W27" s="20"/>
      <c r="X27" s="20"/>
      <c r="Y27" s="20"/>
      <c r="Z27" s="20"/>
    </row>
    <row r="28">
      <c r="A28" s="20" t="str">
        <f>IFERROR(__xludf.DUMMYFUNCTION("""COMPUTED_VALUE"""),"s030")</f>
        <v>s030</v>
      </c>
      <c r="B28" s="20" t="str">
        <f>IFERROR(__xludf.DUMMYFUNCTION("""COMPUTED_VALUE"""),"wgs")</f>
        <v>wgs</v>
      </c>
      <c r="C28" s="20" t="str">
        <f>IFERROR(__xludf.DUMMYFUNCTION("""COMPUTED_VALUE"""),"OF592")</f>
        <v>OF592</v>
      </c>
      <c r="D28" s="20" t="str">
        <f>IFERROR(__xludf.DUMMYFUNCTION("""COMPUTED_VALUE"""),"OF687")</f>
        <v>OF687</v>
      </c>
      <c r="E28" s="20" t="str">
        <f>IFERROR(__xludf.DUMMYFUNCTION("""COMPUTED_VALUE"""),"no")</f>
        <v>no</v>
      </c>
      <c r="F28" s="20">
        <f>IFERROR(__xludf.DUMMYFUNCTION("""COMPUTED_VALUE"""),30.0)</f>
        <v>30</v>
      </c>
      <c r="G28" s="20"/>
      <c r="H28" s="20">
        <f>IFERROR(__xludf.DUMMYFUNCTION("""COMPUTED_VALUE"""),2.1133994E7)</f>
        <v>21133994</v>
      </c>
      <c r="I28" s="20">
        <f>IFERROR(__xludf.DUMMYFUNCTION("""COMPUTED_VALUE"""),1.176812E7)</f>
        <v>11768120</v>
      </c>
      <c r="J28" s="19">
        <f>IFERROR(__xludf.DUMMYFUNCTION("""COMPUTED_VALUE"""),0.5568336964607825)</f>
        <v>0.5568336965</v>
      </c>
      <c r="K28" s="20">
        <f>IFERROR(__xludf.DUMMYFUNCTION("""COMPUTED_VALUE"""),2288.0)</f>
        <v>2288</v>
      </c>
      <c r="L28" s="20"/>
      <c r="M28" s="20" t="str">
        <f>IFERROR(__xludf.DUMMYFUNCTION("""COMPUTED_VALUE"""),"H")</f>
        <v>H</v>
      </c>
      <c r="N28" s="20" t="str">
        <f>IFERROR(__xludf.DUMMYFUNCTION("""COMPUTED_VALUE"""),"N")</f>
        <v>N</v>
      </c>
      <c r="O28" s="20">
        <f>IFERROR(__xludf.DUMMYFUNCTION("""COMPUTED_VALUE"""),25.139367)</f>
        <v>25.139367</v>
      </c>
      <c r="P28" s="20">
        <f>IFERROR(__xludf.DUMMYFUNCTION("""COMPUTED_VALUE"""),-80.294017)</f>
        <v>-80.294017</v>
      </c>
      <c r="Q28" s="20" t="str">
        <f>IFERROR(__xludf.DUMMYFUNCTION("""COMPUTED_VALUE"""),"2015 batch")</f>
        <v>2015 batch</v>
      </c>
      <c r="R28" s="20" t="str">
        <f>IFERROR(__xludf.DUMMYFUNCTION("""COMPUTED_VALUE"""),"Margaret Miller")</f>
        <v>Margaret Miller</v>
      </c>
      <c r="S28" s="20">
        <f>IFERROR(__xludf.DUMMYFUNCTION("""COMPUTED_VALUE"""),0.091203995)</f>
        <v>0.091203995</v>
      </c>
      <c r="T28" s="20">
        <f>IFERROR(__xludf.DUMMYFUNCTION("""COMPUTED_VALUE"""),0.024503021)</f>
        <v>0.024503021</v>
      </c>
      <c r="U28" s="20">
        <f>IFERROR(__xludf.DUMMYFUNCTION("""COMPUTED_VALUE"""),0.155953266)</f>
        <v>0.155953266</v>
      </c>
      <c r="V28" s="20">
        <f>IFERROR(__xludf.DUMMYFUNCTION("""COMPUTED_VALUE"""),0.728339718)</f>
        <v>0.728339718</v>
      </c>
      <c r="W28" s="20"/>
      <c r="X28" s="20"/>
      <c r="Y28" s="20"/>
      <c r="Z28" s="20"/>
    </row>
    <row r="29">
      <c r="A29" s="20" t="str">
        <f>IFERROR(__xludf.DUMMYFUNCTION("""COMPUTED_VALUE"""),"s031")</f>
        <v>s031</v>
      </c>
      <c r="B29" s="20" t="str">
        <f>IFERROR(__xludf.DUMMYFUNCTION("""COMPUTED_VALUE"""),"wgs")</f>
        <v>wgs</v>
      </c>
      <c r="C29" s="20" t="str">
        <f>IFERROR(__xludf.DUMMYFUNCTION("""COMPUTED_VALUE"""),"15-431")</f>
        <v>15-431</v>
      </c>
      <c r="D29" s="20" t="str">
        <f>IFERROR(__xludf.DUMMYFUNCTION("""COMPUTED_VALUE"""),"15-431")</f>
        <v>15-431</v>
      </c>
      <c r="E29" s="20" t="str">
        <f>IFERROR(__xludf.DUMMYFUNCTION("""COMPUTED_VALUE"""),"no")</f>
        <v>no</v>
      </c>
      <c r="F29" s="20">
        <f>IFERROR(__xludf.DUMMYFUNCTION("""COMPUTED_VALUE"""),31.0)</f>
        <v>31</v>
      </c>
      <c r="G29" s="20"/>
      <c r="H29" s="20">
        <f>IFERROR(__xludf.DUMMYFUNCTION("""COMPUTED_VALUE"""),1.9761108E7)</f>
        <v>19761108</v>
      </c>
      <c r="I29" s="20">
        <f>IFERROR(__xludf.DUMMYFUNCTION("""COMPUTED_VALUE"""),1.1309894E7)</f>
        <v>11309894</v>
      </c>
      <c r="J29" s="19">
        <f>IFERROR(__xludf.DUMMYFUNCTION("""COMPUTED_VALUE"""),0.572330964437824)</f>
        <v>0.5723309644</v>
      </c>
      <c r="K29" s="20">
        <f>IFERROR(__xludf.DUMMYFUNCTION("""COMPUTED_VALUE"""),2649.0)</f>
        <v>2649</v>
      </c>
      <c r="L29" s="20"/>
      <c r="M29" s="20" t="str">
        <f>IFERROR(__xludf.DUMMYFUNCTION("""COMPUTED_VALUE"""),"#N/A")</f>
        <v>#N/A</v>
      </c>
      <c r="N29" s="20" t="str">
        <f>IFERROR(__xludf.DUMMYFUNCTION("""COMPUTED_VALUE"""),"#N/A")</f>
        <v>#N/A</v>
      </c>
      <c r="O29" s="20"/>
      <c r="P29" s="20"/>
      <c r="Q29" s="20" t="str">
        <f>IFERROR(__xludf.DUMMYFUNCTION("""COMPUTED_VALUE"""),"#N/A")</f>
        <v>#N/A</v>
      </c>
      <c r="R29" s="20" t="str">
        <f>IFERROR(__xludf.DUMMYFUNCTION("""COMPUTED_VALUE"""),"#N/A")</f>
        <v>#N/A</v>
      </c>
      <c r="S29" s="20">
        <f>IFERROR(__xludf.DUMMYFUNCTION("""COMPUTED_VALUE"""),0.118484624)</f>
        <v>0.118484624</v>
      </c>
      <c r="T29" s="20">
        <f>IFERROR(__xludf.DUMMYFUNCTION("""COMPUTED_VALUE"""),0.037697386)</f>
        <v>0.037697386</v>
      </c>
      <c r="U29" s="20">
        <f>IFERROR(__xludf.DUMMYFUNCTION("""COMPUTED_VALUE"""),0.172876834)</f>
        <v>0.172876834</v>
      </c>
      <c r="V29" s="20">
        <f>IFERROR(__xludf.DUMMYFUNCTION("""COMPUTED_VALUE"""),0.670941157)</f>
        <v>0.670941157</v>
      </c>
      <c r="W29" s="20"/>
      <c r="X29" s="20"/>
      <c r="Y29" s="20"/>
      <c r="Z29" s="20"/>
    </row>
    <row r="30">
      <c r="A30" s="20" t="str">
        <f>IFERROR(__xludf.DUMMYFUNCTION("""COMPUTED_VALUE"""),"s032")</f>
        <v>s032</v>
      </c>
      <c r="B30" s="20" t="str">
        <f>IFERROR(__xludf.DUMMYFUNCTION("""COMPUTED_VALUE"""),"wgs")</f>
        <v>wgs</v>
      </c>
      <c r="C30" s="20" t="str">
        <f>IFERROR(__xludf.DUMMYFUNCTION("""COMPUTED_VALUE"""),"OF566")</f>
        <v>OF566</v>
      </c>
      <c r="D30" s="20" t="str">
        <f>IFERROR(__xludf.DUMMYFUNCTION("""COMPUTED_VALUE"""),"OF662")</f>
        <v>OF662</v>
      </c>
      <c r="E30" s="20" t="str">
        <f>IFERROR(__xludf.DUMMYFUNCTION("""COMPUTED_VALUE"""),"no")</f>
        <v>no</v>
      </c>
      <c r="F30" s="20">
        <f>IFERROR(__xludf.DUMMYFUNCTION("""COMPUTED_VALUE"""),32.0)</f>
        <v>32</v>
      </c>
      <c r="G30" s="20"/>
      <c r="H30" s="20">
        <f>IFERROR(__xludf.DUMMYFUNCTION("""COMPUTED_VALUE"""),2.7111915E7)</f>
        <v>27111915</v>
      </c>
      <c r="I30" s="20">
        <f>IFERROR(__xludf.DUMMYFUNCTION("""COMPUTED_VALUE"""),2.0273728E7)</f>
        <v>20273728</v>
      </c>
      <c r="J30" s="19">
        <f>IFERROR(__xludf.DUMMYFUNCTION("""COMPUTED_VALUE"""),0.7477792697417354)</f>
        <v>0.7477792697</v>
      </c>
      <c r="K30" s="20">
        <f>IFERROR(__xludf.DUMMYFUNCTION("""COMPUTED_VALUE"""),808.0)</f>
        <v>808</v>
      </c>
      <c r="L30" s="20"/>
      <c r="M30" s="20" t="str">
        <f>IFERROR(__xludf.DUMMYFUNCTION("""COMPUTED_VALUE"""),"H")</f>
        <v>H</v>
      </c>
      <c r="N30" s="20" t="str">
        <f>IFERROR(__xludf.DUMMYFUNCTION("""COMPUTED_VALUE"""),"N")</f>
        <v>N</v>
      </c>
      <c r="O30" s="20">
        <f>IFERROR(__xludf.DUMMYFUNCTION("""COMPUTED_VALUE"""),25.139367)</f>
        <v>25.139367</v>
      </c>
      <c r="P30" s="20">
        <f>IFERROR(__xludf.DUMMYFUNCTION("""COMPUTED_VALUE"""),-80.294017)</f>
        <v>-80.294017</v>
      </c>
      <c r="Q30" s="20" t="str">
        <f>IFERROR(__xludf.DUMMYFUNCTION("""COMPUTED_VALUE"""),"2015 batch")</f>
        <v>2015 batch</v>
      </c>
      <c r="R30" s="20" t="str">
        <f>IFERROR(__xludf.DUMMYFUNCTION("""COMPUTED_VALUE"""),"Margaret Miller")</f>
        <v>Margaret Miller</v>
      </c>
      <c r="S30" s="20">
        <f>IFERROR(__xludf.DUMMYFUNCTION("""COMPUTED_VALUE"""),0.10894416)</f>
        <v>0.10894416</v>
      </c>
      <c r="T30" s="20">
        <f>IFERROR(__xludf.DUMMYFUNCTION("""COMPUTED_VALUE"""),0.021354911)</f>
        <v>0.021354911</v>
      </c>
      <c r="U30" s="20">
        <f>IFERROR(__xludf.DUMMYFUNCTION("""COMPUTED_VALUE"""),0.143391747)</f>
        <v>0.143391747</v>
      </c>
      <c r="V30" s="20">
        <f>IFERROR(__xludf.DUMMYFUNCTION("""COMPUTED_VALUE"""),0.726309182)</f>
        <v>0.726309182</v>
      </c>
      <c r="W30" s="20"/>
      <c r="X30" s="20"/>
      <c r="Y30" s="20"/>
      <c r="Z30" s="20"/>
    </row>
    <row r="31">
      <c r="A31" s="20" t="str">
        <f>IFERROR(__xludf.DUMMYFUNCTION("""COMPUTED_VALUE"""),"s033")</f>
        <v>s033</v>
      </c>
      <c r="B31" s="20" t="str">
        <f>IFERROR(__xludf.DUMMYFUNCTION("""COMPUTED_VALUE"""),"wgs")</f>
        <v>wgs</v>
      </c>
      <c r="C31" s="20" t="str">
        <f>IFERROR(__xludf.DUMMYFUNCTION("""COMPUTED_VALUE"""),"OF569")</f>
        <v>OF569</v>
      </c>
      <c r="D31" s="20" t="str">
        <f>IFERROR(__xludf.DUMMYFUNCTION("""COMPUTED_VALUE"""),"OF677")</f>
        <v>OF677</v>
      </c>
      <c r="E31" s="20" t="str">
        <f>IFERROR(__xludf.DUMMYFUNCTION("""COMPUTED_VALUE"""),"no")</f>
        <v>no</v>
      </c>
      <c r="F31" s="20">
        <f>IFERROR(__xludf.DUMMYFUNCTION("""COMPUTED_VALUE"""),33.0)</f>
        <v>33</v>
      </c>
      <c r="G31" s="20"/>
      <c r="H31" s="20">
        <f>IFERROR(__xludf.DUMMYFUNCTION("""COMPUTED_VALUE"""),2.5479325E7)</f>
        <v>25479325</v>
      </c>
      <c r="I31" s="20">
        <f>IFERROR(__xludf.DUMMYFUNCTION("""COMPUTED_VALUE"""),1.7666515E7)</f>
        <v>17666515</v>
      </c>
      <c r="J31" s="19">
        <f>IFERROR(__xludf.DUMMYFUNCTION("""COMPUTED_VALUE"""),0.693366680632238)</f>
        <v>0.6933666806</v>
      </c>
      <c r="K31" s="20">
        <f>IFERROR(__xludf.DUMMYFUNCTION("""COMPUTED_VALUE"""),992.0)</f>
        <v>992</v>
      </c>
      <c r="L31" s="20"/>
      <c r="M31" s="20" t="str">
        <f>IFERROR(__xludf.DUMMYFUNCTION("""COMPUTED_VALUE"""),"H")</f>
        <v>H</v>
      </c>
      <c r="N31" s="20" t="str">
        <f>IFERROR(__xludf.DUMMYFUNCTION("""COMPUTED_VALUE"""),"N")</f>
        <v>N</v>
      </c>
      <c r="O31" s="20">
        <f>IFERROR(__xludf.DUMMYFUNCTION("""COMPUTED_VALUE"""),25.139367)</f>
        <v>25.139367</v>
      </c>
      <c r="P31" s="20">
        <f>IFERROR(__xludf.DUMMYFUNCTION("""COMPUTED_VALUE"""),-80.294017)</f>
        <v>-80.294017</v>
      </c>
      <c r="Q31" s="20" t="str">
        <f>IFERROR(__xludf.DUMMYFUNCTION("""COMPUTED_VALUE"""),"2015 batch")</f>
        <v>2015 batch</v>
      </c>
      <c r="R31" s="20" t="str">
        <f>IFERROR(__xludf.DUMMYFUNCTION("""COMPUTED_VALUE"""),"Margaret Miller")</f>
        <v>Margaret Miller</v>
      </c>
      <c r="S31" s="20">
        <f>IFERROR(__xludf.DUMMYFUNCTION("""COMPUTED_VALUE"""),0.101461521)</f>
        <v>0.101461521</v>
      </c>
      <c r="T31" s="20">
        <f>IFERROR(__xludf.DUMMYFUNCTION("""COMPUTED_VALUE"""),0.022197706)</f>
        <v>0.022197706</v>
      </c>
      <c r="U31" s="20">
        <f>IFERROR(__xludf.DUMMYFUNCTION("""COMPUTED_VALUE"""),0.123980238)</f>
        <v>0.123980238</v>
      </c>
      <c r="V31" s="20">
        <f>IFERROR(__xludf.DUMMYFUNCTION("""COMPUTED_VALUE"""),0.752360536)</f>
        <v>0.752360536</v>
      </c>
      <c r="W31" s="20"/>
      <c r="X31" s="20"/>
      <c r="Y31" s="20"/>
      <c r="Z31" s="20"/>
    </row>
    <row r="32">
      <c r="A32" s="20" t="str">
        <f>IFERROR(__xludf.DUMMYFUNCTION("""COMPUTED_VALUE"""),"s034")</f>
        <v>s034</v>
      </c>
      <c r="B32" s="20" t="str">
        <f>IFERROR(__xludf.DUMMYFUNCTION("""COMPUTED_VALUE"""),"wgs")</f>
        <v>wgs</v>
      </c>
      <c r="C32" s="20" t="str">
        <f>IFERROR(__xludf.DUMMYFUNCTION("""COMPUTED_VALUE"""),"OF32")</f>
        <v>OF32</v>
      </c>
      <c r="D32" s="20" t="str">
        <f>IFERROR(__xludf.DUMMYFUNCTION("""COMPUTED_VALUE"""),"OF32")</f>
        <v>OF32</v>
      </c>
      <c r="E32" s="20" t="str">
        <f>IFERROR(__xludf.DUMMYFUNCTION("""COMPUTED_VALUE"""),"no")</f>
        <v>no</v>
      </c>
      <c r="F32" s="20">
        <f>IFERROR(__xludf.DUMMYFUNCTION("""COMPUTED_VALUE"""),34.0)</f>
        <v>34</v>
      </c>
      <c r="G32" s="20"/>
      <c r="H32" s="20">
        <f>IFERROR(__xludf.DUMMYFUNCTION("""COMPUTED_VALUE"""),2.2655636E7)</f>
        <v>22655636</v>
      </c>
      <c r="I32" s="20">
        <f>IFERROR(__xludf.DUMMYFUNCTION("""COMPUTED_VALUE"""),1.134913E7)</f>
        <v>11349130</v>
      </c>
      <c r="J32" s="19">
        <f>IFERROR(__xludf.DUMMYFUNCTION("""COMPUTED_VALUE"""),0.5009406930796381)</f>
        <v>0.5009406931</v>
      </c>
      <c r="K32" s="20">
        <f>IFERROR(__xludf.DUMMYFUNCTION("""COMPUTED_VALUE"""),2521.0)</f>
        <v>2521</v>
      </c>
      <c r="L32" s="20"/>
      <c r="M32" s="20" t="str">
        <f>IFERROR(__xludf.DUMMYFUNCTION("""COMPUTED_VALUE"""),"#N/A")</f>
        <v>#N/A</v>
      </c>
      <c r="N32" s="20" t="str">
        <f>IFERROR(__xludf.DUMMYFUNCTION("""COMPUTED_VALUE"""),"#N/A")</f>
        <v>#N/A</v>
      </c>
      <c r="O32" s="20"/>
      <c r="P32" s="20"/>
      <c r="Q32" s="20" t="str">
        <f>IFERROR(__xludf.DUMMYFUNCTION("""COMPUTED_VALUE"""),"#N/A")</f>
        <v>#N/A</v>
      </c>
      <c r="R32" s="20" t="str">
        <f>IFERROR(__xludf.DUMMYFUNCTION("""COMPUTED_VALUE"""),"#N/A")</f>
        <v>#N/A</v>
      </c>
      <c r="S32" s="20">
        <f>IFERROR(__xludf.DUMMYFUNCTION("""COMPUTED_VALUE"""),0.061787856)</f>
        <v>0.061787856</v>
      </c>
      <c r="T32" s="20">
        <f>IFERROR(__xludf.DUMMYFUNCTION("""COMPUTED_VALUE"""),0.009034183)</f>
        <v>0.009034183</v>
      </c>
      <c r="U32" s="20">
        <f>IFERROR(__xludf.DUMMYFUNCTION("""COMPUTED_VALUE"""),0.109740667)</f>
        <v>0.109740667</v>
      </c>
      <c r="V32" s="20">
        <f>IFERROR(__xludf.DUMMYFUNCTION("""COMPUTED_VALUE"""),0.819437294)</f>
        <v>0.819437294</v>
      </c>
      <c r="W32" s="20"/>
      <c r="X32" s="20"/>
      <c r="Y32" s="20"/>
      <c r="Z32" s="20"/>
    </row>
    <row r="33">
      <c r="A33" s="20" t="str">
        <f>IFERROR(__xludf.DUMMYFUNCTION("""COMPUTED_VALUE"""),"s035")</f>
        <v>s035</v>
      </c>
      <c r="B33" s="20" t="str">
        <f>IFERROR(__xludf.DUMMYFUNCTION("""COMPUTED_VALUE"""),"wgs")</f>
        <v>wgs</v>
      </c>
      <c r="C33" s="20" t="str">
        <f>IFERROR(__xludf.DUMMYFUNCTION("""COMPUTED_VALUE"""),"OF745")</f>
        <v>OF745</v>
      </c>
      <c r="D33" s="20" t="str">
        <f>IFERROR(__xludf.DUMMYFUNCTION("""COMPUTED_VALUE"""),"OF745")</f>
        <v>OF745</v>
      </c>
      <c r="E33" s="20" t="str">
        <f>IFERROR(__xludf.DUMMYFUNCTION("""COMPUTED_VALUE"""),"no")</f>
        <v>no</v>
      </c>
      <c r="F33" s="20">
        <f>IFERROR(__xludf.DUMMYFUNCTION("""COMPUTED_VALUE"""),35.0)</f>
        <v>35</v>
      </c>
      <c r="G33" s="20"/>
      <c r="H33" s="20">
        <f>IFERROR(__xludf.DUMMYFUNCTION("""COMPUTED_VALUE"""),1.9603998E7)</f>
        <v>19603998</v>
      </c>
      <c r="I33" s="20">
        <f>IFERROR(__xludf.DUMMYFUNCTION("""COMPUTED_VALUE"""),1.2427078E7)</f>
        <v>12427078</v>
      </c>
      <c r="J33" s="19">
        <f>IFERROR(__xludf.DUMMYFUNCTION("""COMPUTED_VALUE"""),0.633905288094806)</f>
        <v>0.6339052881</v>
      </c>
      <c r="K33" s="20">
        <f>IFERROR(__xludf.DUMMYFUNCTION("""COMPUTED_VALUE"""),1918.0)</f>
        <v>1918</v>
      </c>
      <c r="L33" s="20"/>
      <c r="M33" s="20"/>
      <c r="N33" s="20" t="str">
        <f>IFERROR(__xludf.DUMMYFUNCTION("""COMPUTED_VALUE"""),"N")</f>
        <v>N</v>
      </c>
      <c r="O33" s="20"/>
      <c r="P33" s="20"/>
      <c r="Q33" s="20" t="str">
        <f>IFERROR(__xludf.DUMMYFUNCTION("""COMPUTED_VALUE"""),"2015")</f>
        <v>2015</v>
      </c>
      <c r="R33" s="20"/>
      <c r="S33" s="20">
        <f>IFERROR(__xludf.DUMMYFUNCTION("""COMPUTED_VALUE"""),0.08927161)</f>
        <v>0.08927161</v>
      </c>
      <c r="T33" s="20">
        <f>IFERROR(__xludf.DUMMYFUNCTION("""COMPUTED_VALUE"""),0.016578909)</f>
        <v>0.016578909</v>
      </c>
      <c r="U33" s="20">
        <f>IFERROR(__xludf.DUMMYFUNCTION("""COMPUTED_VALUE"""),0.123434986)</f>
        <v>0.123434986</v>
      </c>
      <c r="V33" s="20">
        <f>IFERROR(__xludf.DUMMYFUNCTION("""COMPUTED_VALUE"""),0.770714495)</f>
        <v>0.770714495</v>
      </c>
      <c r="W33" s="20"/>
      <c r="X33" s="20"/>
      <c r="Y33" s="20"/>
      <c r="Z33" s="20"/>
    </row>
    <row r="34">
      <c r="A34" s="20" t="str">
        <f>IFERROR(__xludf.DUMMYFUNCTION("""COMPUTED_VALUE"""),"s036")</f>
        <v>s036</v>
      </c>
      <c r="B34" s="20" t="str">
        <f>IFERROR(__xludf.DUMMYFUNCTION("""COMPUTED_VALUE"""),"wgs")</f>
        <v>wgs</v>
      </c>
      <c r="C34" s="20" t="str">
        <f>IFERROR(__xludf.DUMMYFUNCTION("""COMPUTED_VALUE"""),"GB29")</f>
        <v>GB29</v>
      </c>
      <c r="D34" s="20" t="str">
        <f>IFERROR(__xludf.DUMMYFUNCTION("""COMPUTED_VALUE"""),"GB29")</f>
        <v>GB29</v>
      </c>
      <c r="E34" s="20" t="str">
        <f>IFERROR(__xludf.DUMMYFUNCTION("""COMPUTED_VALUE"""),"no")</f>
        <v>no</v>
      </c>
      <c r="F34" s="20">
        <f>IFERROR(__xludf.DUMMYFUNCTION("""COMPUTED_VALUE"""),36.0)</f>
        <v>36</v>
      </c>
      <c r="G34" s="20"/>
      <c r="H34" s="20">
        <f>IFERROR(__xludf.DUMMYFUNCTION("""COMPUTED_VALUE"""),2.5675607E7)</f>
        <v>25675607</v>
      </c>
      <c r="I34" s="20">
        <f>IFERROR(__xludf.DUMMYFUNCTION("""COMPUTED_VALUE"""),1.9162797E7)</f>
        <v>19162797</v>
      </c>
      <c r="J34" s="19">
        <f>IFERROR(__xludf.DUMMYFUNCTION("""COMPUTED_VALUE"""),0.7463425110066532)</f>
        <v>0.746342511</v>
      </c>
      <c r="K34" s="20">
        <f>IFERROR(__xludf.DUMMYFUNCTION("""COMPUTED_VALUE"""),735.0)</f>
        <v>735</v>
      </c>
      <c r="L34" s="20"/>
      <c r="M34" s="20" t="str">
        <f>IFERROR(__xludf.DUMMYFUNCTION("""COMPUTED_VALUE"""),"#N/A")</f>
        <v>#N/A</v>
      </c>
      <c r="N34" s="20" t="str">
        <f>IFERROR(__xludf.DUMMYFUNCTION("""COMPUTED_VALUE"""),"#N/A")</f>
        <v>#N/A</v>
      </c>
      <c r="O34" s="20"/>
      <c r="P34" s="20"/>
      <c r="Q34" s="20" t="str">
        <f>IFERROR(__xludf.DUMMYFUNCTION("""COMPUTED_VALUE"""),"#N/A")</f>
        <v>#N/A</v>
      </c>
      <c r="R34" s="20" t="str">
        <f>IFERROR(__xludf.DUMMYFUNCTION("""COMPUTED_VALUE"""),"#N/A")</f>
        <v>#N/A</v>
      </c>
      <c r="S34" s="20">
        <f>IFERROR(__xludf.DUMMYFUNCTION("""COMPUTED_VALUE"""),0.061604725)</f>
        <v>0.061604725</v>
      </c>
      <c r="T34" s="20">
        <f>IFERROR(__xludf.DUMMYFUNCTION("""COMPUTED_VALUE"""),0.009149487)</f>
        <v>0.009149487</v>
      </c>
      <c r="U34" s="20">
        <f>IFERROR(__xludf.DUMMYFUNCTION("""COMPUTED_VALUE"""),0.067631497)</f>
        <v>0.067631497</v>
      </c>
      <c r="V34" s="20">
        <f>IFERROR(__xludf.DUMMYFUNCTION("""COMPUTED_VALUE"""),0.861614291)</f>
        <v>0.861614291</v>
      </c>
      <c r="W34" s="20"/>
      <c r="X34" s="20"/>
      <c r="Y34" s="20"/>
      <c r="Z34" s="20"/>
    </row>
    <row r="35">
      <c r="A35" s="20" t="str">
        <f>IFERROR(__xludf.DUMMYFUNCTION("""COMPUTED_VALUE"""),"s037")</f>
        <v>s037</v>
      </c>
      <c r="B35" s="20" t="str">
        <f>IFERROR(__xludf.DUMMYFUNCTION("""COMPUTED_VALUE"""),"wgs")</f>
        <v>wgs</v>
      </c>
      <c r="C35" s="20" t="str">
        <f>IFERROR(__xludf.DUMMYFUNCTION("""COMPUTED_VALUE"""),"OF680")</f>
        <v>OF680</v>
      </c>
      <c r="D35" s="20" t="str">
        <f>IFERROR(__xludf.DUMMYFUNCTION("""COMPUTED_VALUE"""),"OF680")</f>
        <v>OF680</v>
      </c>
      <c r="E35" s="20" t="str">
        <f>IFERROR(__xludf.DUMMYFUNCTION("""COMPUTED_VALUE"""),"no")</f>
        <v>no</v>
      </c>
      <c r="F35" s="20">
        <f>IFERROR(__xludf.DUMMYFUNCTION("""COMPUTED_VALUE"""),37.0)</f>
        <v>37</v>
      </c>
      <c r="G35" s="20"/>
      <c r="H35" s="20">
        <f>IFERROR(__xludf.DUMMYFUNCTION("""COMPUTED_VALUE"""),2.4785352E7)</f>
        <v>24785352</v>
      </c>
      <c r="I35" s="20">
        <f>IFERROR(__xludf.DUMMYFUNCTION("""COMPUTED_VALUE"""),1.5597711E7)</f>
        <v>15597711</v>
      </c>
      <c r="J35" s="19">
        <f>IFERROR(__xludf.DUMMYFUNCTION("""COMPUTED_VALUE"""),0.6293116595640844)</f>
        <v>0.6293116596</v>
      </c>
      <c r="K35" s="20">
        <f>IFERROR(__xludf.DUMMYFUNCTION("""COMPUTED_VALUE"""),971.0)</f>
        <v>971</v>
      </c>
      <c r="L35" s="20"/>
      <c r="M35" s="20" t="str">
        <f>IFERROR(__xludf.DUMMYFUNCTION("""COMPUTED_VALUE"""),"H")</f>
        <v>H</v>
      </c>
      <c r="N35" s="20" t="str">
        <f>IFERROR(__xludf.DUMMYFUNCTION("""COMPUTED_VALUE"""),"Y")</f>
        <v>Y</v>
      </c>
      <c r="O35" s="20">
        <f>IFERROR(__xludf.DUMMYFUNCTION("""COMPUTED_VALUE"""),25.139367)</f>
        <v>25.139367</v>
      </c>
      <c r="P35" s="20">
        <f>IFERROR(__xludf.DUMMYFUNCTION("""COMPUTED_VALUE"""),-80.294017)</f>
        <v>-80.294017</v>
      </c>
      <c r="Q35" s="20" t="str">
        <f>IFERROR(__xludf.DUMMYFUNCTION("""COMPUTED_VALUE"""),"2015")</f>
        <v>2015</v>
      </c>
      <c r="R35" s="20" t="str">
        <f>IFERROR(__xludf.DUMMYFUNCTION("""COMPUTED_VALUE"""),"Margaret Miller")</f>
        <v>Margaret Miller</v>
      </c>
      <c r="S35" s="20">
        <f>IFERROR(__xludf.DUMMYFUNCTION("""COMPUTED_VALUE"""),0.066793746)</f>
        <v>0.066793746</v>
      </c>
      <c r="T35" s="20">
        <f>IFERROR(__xludf.DUMMYFUNCTION("""COMPUTED_VALUE"""),0.009115556)</f>
        <v>0.009115556</v>
      </c>
      <c r="U35" s="20">
        <f>IFERROR(__xludf.DUMMYFUNCTION("""COMPUTED_VALUE"""),0.056834574)</f>
        <v>0.056834574</v>
      </c>
      <c r="V35" s="20">
        <f>IFERROR(__xludf.DUMMYFUNCTION("""COMPUTED_VALUE"""),0.867256124)</f>
        <v>0.867256124</v>
      </c>
      <c r="W35" s="20"/>
      <c r="X35" s="20"/>
      <c r="Y35" s="20"/>
      <c r="Z35" s="20"/>
    </row>
    <row r="36">
      <c r="A36" s="20" t="str">
        <f>IFERROR(__xludf.DUMMYFUNCTION("""COMPUTED_VALUE"""),"s038")</f>
        <v>s038</v>
      </c>
      <c r="B36" s="20" t="str">
        <f>IFERROR(__xludf.DUMMYFUNCTION("""COMPUTED_VALUE"""),"wgs")</f>
        <v>wgs</v>
      </c>
      <c r="C36" s="20" t="str">
        <f>IFERROR(__xludf.DUMMYFUNCTION("""COMPUTED_VALUE"""),"OF705")</f>
        <v>OF705</v>
      </c>
      <c r="D36" s="20" t="str">
        <f>IFERROR(__xludf.DUMMYFUNCTION("""COMPUTED_VALUE"""),"OF705")</f>
        <v>OF705</v>
      </c>
      <c r="E36" s="20" t="str">
        <f>IFERROR(__xludf.DUMMYFUNCTION("""COMPUTED_VALUE"""),"no")</f>
        <v>no</v>
      </c>
      <c r="F36" s="20">
        <f>IFERROR(__xludf.DUMMYFUNCTION("""COMPUTED_VALUE"""),38.0)</f>
        <v>38</v>
      </c>
      <c r="G36" s="20"/>
      <c r="H36" s="20">
        <f>IFERROR(__xludf.DUMMYFUNCTION("""COMPUTED_VALUE"""),2.4842654E7)</f>
        <v>24842654</v>
      </c>
      <c r="I36" s="20">
        <f>IFERROR(__xludf.DUMMYFUNCTION("""COMPUTED_VALUE"""),1.7849205E7)</f>
        <v>17849205</v>
      </c>
      <c r="J36" s="19">
        <f>IFERROR(__xludf.DUMMYFUNCTION("""COMPUTED_VALUE"""),0.7184902627553401)</f>
        <v>0.7184902628</v>
      </c>
      <c r="K36" s="20">
        <f>IFERROR(__xludf.DUMMYFUNCTION("""COMPUTED_VALUE"""),739.0)</f>
        <v>739</v>
      </c>
      <c r="L36" s="20"/>
      <c r="M36" s="20" t="str">
        <f>IFERROR(__xludf.DUMMYFUNCTION("""COMPUTED_VALUE"""),"H")</f>
        <v>H</v>
      </c>
      <c r="N36" s="20" t="str">
        <f>IFERROR(__xludf.DUMMYFUNCTION("""COMPUTED_VALUE"""),"Y")</f>
        <v>Y</v>
      </c>
      <c r="O36" s="20">
        <f>IFERROR(__xludf.DUMMYFUNCTION("""COMPUTED_VALUE"""),25.139367)</f>
        <v>25.139367</v>
      </c>
      <c r="P36" s="20">
        <f>IFERROR(__xludf.DUMMYFUNCTION("""COMPUTED_VALUE"""),-80.294017)</f>
        <v>-80.294017</v>
      </c>
      <c r="Q36" s="20" t="str">
        <f>IFERROR(__xludf.DUMMYFUNCTION("""COMPUTED_VALUE"""),"2015")</f>
        <v>2015</v>
      </c>
      <c r="R36" s="20" t="str">
        <f>IFERROR(__xludf.DUMMYFUNCTION("""COMPUTED_VALUE"""),"Margaret Miller")</f>
        <v>Margaret Miller</v>
      </c>
      <c r="S36" s="20">
        <f>IFERROR(__xludf.DUMMYFUNCTION("""COMPUTED_VALUE"""),0.090178122)</f>
        <v>0.090178122</v>
      </c>
      <c r="T36" s="20">
        <f>IFERROR(__xludf.DUMMYFUNCTION("""COMPUTED_VALUE"""),0.015045319)</f>
        <v>0.015045319</v>
      </c>
      <c r="U36" s="20">
        <f>IFERROR(__xludf.DUMMYFUNCTION("""COMPUTED_VALUE"""),0.119275403)</f>
        <v>0.119275403</v>
      </c>
      <c r="V36" s="20">
        <f>IFERROR(__xludf.DUMMYFUNCTION("""COMPUTED_VALUE"""),0.775501155)</f>
        <v>0.775501155</v>
      </c>
      <c r="W36" s="20"/>
      <c r="X36" s="20"/>
      <c r="Y36" s="20"/>
      <c r="Z36" s="20"/>
    </row>
    <row r="37">
      <c r="A37" s="20" t="str">
        <f>IFERROR(__xludf.DUMMYFUNCTION("""COMPUTED_VALUE"""),"s039")</f>
        <v>s039</v>
      </c>
      <c r="B37" s="20" t="str">
        <f>IFERROR(__xludf.DUMMYFUNCTION("""COMPUTED_VALUE"""),"wgs")</f>
        <v>wgs</v>
      </c>
      <c r="C37" s="20" t="str">
        <f>IFERROR(__xludf.DUMMYFUNCTION("""COMPUTED_VALUE"""),"GB6")</f>
        <v>GB6</v>
      </c>
      <c r="D37" s="20" t="str">
        <f>IFERROR(__xludf.DUMMYFUNCTION("""COMPUTED_VALUE"""),"GB6")</f>
        <v>GB6</v>
      </c>
      <c r="E37" s="20" t="str">
        <f>IFERROR(__xludf.DUMMYFUNCTION("""COMPUTED_VALUE"""),"no")</f>
        <v>no</v>
      </c>
      <c r="F37" s="20">
        <f>IFERROR(__xludf.DUMMYFUNCTION("""COMPUTED_VALUE"""),39.0)</f>
        <v>39</v>
      </c>
      <c r="G37" s="20"/>
      <c r="H37" s="20">
        <f>IFERROR(__xludf.DUMMYFUNCTION("""COMPUTED_VALUE"""),2.4702523E7)</f>
        <v>24702523</v>
      </c>
      <c r="I37" s="20">
        <f>IFERROR(__xludf.DUMMYFUNCTION("""COMPUTED_VALUE"""),1.7582095E7)</f>
        <v>17582095</v>
      </c>
      <c r="J37" s="19">
        <f>IFERROR(__xludf.DUMMYFUNCTION("""COMPUTED_VALUE"""),0.7117530059581363)</f>
        <v>0.711753006</v>
      </c>
      <c r="K37" s="20">
        <f>IFERROR(__xludf.DUMMYFUNCTION("""COMPUTED_VALUE"""),1039.0)</f>
        <v>1039</v>
      </c>
      <c r="L37" s="20"/>
      <c r="M37" s="20" t="str">
        <f>IFERROR(__xludf.DUMMYFUNCTION("""COMPUTED_VALUE"""),"#N/A")</f>
        <v>#N/A</v>
      </c>
      <c r="N37" s="20" t="str">
        <f>IFERROR(__xludf.DUMMYFUNCTION("""COMPUTED_VALUE"""),"#N/A")</f>
        <v>#N/A</v>
      </c>
      <c r="O37" s="20"/>
      <c r="P37" s="20"/>
      <c r="Q37" s="20" t="str">
        <f>IFERROR(__xludf.DUMMYFUNCTION("""COMPUTED_VALUE"""),"#N/A")</f>
        <v>#N/A</v>
      </c>
      <c r="R37" s="20" t="str">
        <f>IFERROR(__xludf.DUMMYFUNCTION("""COMPUTED_VALUE"""),"#N/A")</f>
        <v>#N/A</v>
      </c>
      <c r="S37" s="20">
        <f>IFERROR(__xludf.DUMMYFUNCTION("""COMPUTED_VALUE"""),0.060215701)</f>
        <v>0.060215701</v>
      </c>
      <c r="T37" s="20">
        <f>IFERROR(__xludf.DUMMYFUNCTION("""COMPUTED_VALUE"""),0.011062334)</f>
        <v>0.011062334</v>
      </c>
      <c r="U37" s="20">
        <f>IFERROR(__xludf.DUMMYFUNCTION("""COMPUTED_VALUE"""),0.054170453)</f>
        <v>0.054170453</v>
      </c>
      <c r="V37" s="20">
        <f>IFERROR(__xludf.DUMMYFUNCTION("""COMPUTED_VALUE"""),0.874551513)</f>
        <v>0.874551513</v>
      </c>
      <c r="W37" s="20"/>
      <c r="X37" s="20"/>
      <c r="Y37" s="20"/>
      <c r="Z37" s="20"/>
    </row>
    <row r="38">
      <c r="A38" s="20" t="str">
        <f>IFERROR(__xludf.DUMMYFUNCTION("""COMPUTED_VALUE"""),"s041")</f>
        <v>s041</v>
      </c>
      <c r="B38" s="20" t="str">
        <f>IFERROR(__xludf.DUMMYFUNCTION("""COMPUTED_VALUE"""),"wgs")</f>
        <v>wgs</v>
      </c>
      <c r="C38" s="20" t="str">
        <f>IFERROR(__xludf.DUMMYFUNCTION("""COMPUTED_VALUE"""),"AE5")</f>
        <v>AE5</v>
      </c>
      <c r="D38" s="20" t="str">
        <f>IFERROR(__xludf.DUMMYFUNCTION("""COMPUTED_VALUE"""),"AE5")</f>
        <v>AE5</v>
      </c>
      <c r="E38" s="20" t="str">
        <f>IFERROR(__xludf.DUMMYFUNCTION("""COMPUTED_VALUE"""),"no")</f>
        <v>no</v>
      </c>
      <c r="F38" s="20">
        <f>IFERROR(__xludf.DUMMYFUNCTION("""COMPUTED_VALUE"""),130.0)</f>
        <v>130</v>
      </c>
      <c r="G38" s="20"/>
      <c r="H38" s="20">
        <f>IFERROR(__xludf.DUMMYFUNCTION("""COMPUTED_VALUE"""),2.871338E7)</f>
        <v>28713380</v>
      </c>
      <c r="I38" s="20">
        <f>IFERROR(__xludf.DUMMYFUNCTION("""COMPUTED_VALUE"""),2.19578E7)</f>
        <v>21957800</v>
      </c>
      <c r="J38" s="19">
        <f>IFERROR(__xludf.DUMMYFUNCTION("""COMPUTED_VALUE"""),0.764723623620765)</f>
        <v>0.7647236236</v>
      </c>
      <c r="K38" s="20">
        <f>IFERROR(__xludf.DUMMYFUNCTION("""COMPUTED_VALUE"""),600.0)</f>
        <v>600</v>
      </c>
      <c r="L38" s="20"/>
      <c r="M38" s="20" t="str">
        <f>IFERROR(__xludf.DUMMYFUNCTION("""COMPUTED_VALUE"""),"#N/A")</f>
        <v>#N/A</v>
      </c>
      <c r="N38" s="20" t="str">
        <f>IFERROR(__xludf.DUMMYFUNCTION("""COMPUTED_VALUE"""),"#N/A")</f>
        <v>#N/A</v>
      </c>
      <c r="O38" s="20"/>
      <c r="P38" s="20"/>
      <c r="Q38" s="20" t="str">
        <f>IFERROR(__xludf.DUMMYFUNCTION("""COMPUTED_VALUE"""),"#N/A")</f>
        <v>#N/A</v>
      </c>
      <c r="R38" s="20" t="str">
        <f>IFERROR(__xludf.DUMMYFUNCTION("""COMPUTED_VALUE"""),"#N/A")</f>
        <v>#N/A</v>
      </c>
      <c r="S38" s="20">
        <f>IFERROR(__xludf.DUMMYFUNCTION("""COMPUTED_VALUE"""),0.053808809)</f>
        <v>0.053808809</v>
      </c>
      <c r="T38" s="20">
        <f>IFERROR(__xludf.DUMMYFUNCTION("""COMPUTED_VALUE"""),0.008051243)</f>
        <v>0.008051243</v>
      </c>
      <c r="U38" s="20">
        <f>IFERROR(__xludf.DUMMYFUNCTION("""COMPUTED_VALUE"""),0.056326285)</f>
        <v>0.056326285</v>
      </c>
      <c r="V38" s="20">
        <f>IFERROR(__xludf.DUMMYFUNCTION("""COMPUTED_VALUE"""),0.881813664)</f>
        <v>0.881813664</v>
      </c>
      <c r="W38" s="20"/>
      <c r="X38" s="20"/>
      <c r="Y38" s="20"/>
      <c r="Z38" s="20"/>
    </row>
    <row r="39">
      <c r="A39" s="20" t="str">
        <f>IFERROR(__xludf.DUMMYFUNCTION("""COMPUTED_VALUE"""),"s042")</f>
        <v>s042</v>
      </c>
      <c r="B39" s="20" t="str">
        <f>IFERROR(__xludf.DUMMYFUNCTION("""COMPUTED_VALUE"""),"wgs")</f>
        <v>wgs</v>
      </c>
      <c r="C39" s="20" t="str">
        <f>IFERROR(__xludf.DUMMYFUNCTION("""COMPUTED_VALUE"""),"GB8")</f>
        <v>GB8</v>
      </c>
      <c r="D39" s="20" t="str">
        <f>IFERROR(__xludf.DUMMYFUNCTION("""COMPUTED_VALUE"""),"GB8")</f>
        <v>GB8</v>
      </c>
      <c r="E39" s="20" t="str">
        <f>IFERROR(__xludf.DUMMYFUNCTION("""COMPUTED_VALUE"""),"no")</f>
        <v>no</v>
      </c>
      <c r="F39" s="20">
        <f>IFERROR(__xludf.DUMMYFUNCTION("""COMPUTED_VALUE"""),42.0)</f>
        <v>42</v>
      </c>
      <c r="G39" s="20"/>
      <c r="H39" s="20">
        <f>IFERROR(__xludf.DUMMYFUNCTION("""COMPUTED_VALUE"""),2.7212395E7)</f>
        <v>27212395</v>
      </c>
      <c r="I39" s="20">
        <f>IFERROR(__xludf.DUMMYFUNCTION("""COMPUTED_VALUE"""),1.37585E7)</f>
        <v>13758500</v>
      </c>
      <c r="J39" s="19">
        <f>IFERROR(__xludf.DUMMYFUNCTION("""COMPUTED_VALUE"""),0.50559680616131)</f>
        <v>0.5055968062</v>
      </c>
      <c r="K39" s="20">
        <f>IFERROR(__xludf.DUMMYFUNCTION("""COMPUTED_VALUE"""),1289.0)</f>
        <v>1289</v>
      </c>
      <c r="L39" s="20"/>
      <c r="M39" s="20" t="str">
        <f>IFERROR(__xludf.DUMMYFUNCTION("""COMPUTED_VALUE"""),"#N/A")</f>
        <v>#N/A</v>
      </c>
      <c r="N39" s="20" t="str">
        <f>IFERROR(__xludf.DUMMYFUNCTION("""COMPUTED_VALUE"""),"#N/A")</f>
        <v>#N/A</v>
      </c>
      <c r="O39" s="20"/>
      <c r="P39" s="20"/>
      <c r="Q39" s="20" t="str">
        <f>IFERROR(__xludf.DUMMYFUNCTION("""COMPUTED_VALUE"""),"#N/A")</f>
        <v>#N/A</v>
      </c>
      <c r="R39" s="20" t="str">
        <f>IFERROR(__xludf.DUMMYFUNCTION("""COMPUTED_VALUE"""),"#N/A")</f>
        <v>#N/A</v>
      </c>
      <c r="S39" s="20">
        <f>IFERROR(__xludf.DUMMYFUNCTION("""COMPUTED_VALUE"""),0.115544468)</f>
        <v>0.115544468</v>
      </c>
      <c r="T39" s="20">
        <f>IFERROR(__xludf.DUMMYFUNCTION("""COMPUTED_VALUE"""),0.014471293)</f>
        <v>0.014471293</v>
      </c>
      <c r="U39" s="20">
        <f>IFERROR(__xludf.DUMMYFUNCTION("""COMPUTED_VALUE"""),0.100355382)</f>
        <v>0.100355382</v>
      </c>
      <c r="V39" s="20">
        <f>IFERROR(__xludf.DUMMYFUNCTION("""COMPUTED_VALUE"""),0.769628856)</f>
        <v>0.769628856</v>
      </c>
      <c r="W39" s="20"/>
      <c r="X39" s="20"/>
      <c r="Y39" s="20"/>
      <c r="Z39" s="20"/>
    </row>
    <row r="40">
      <c r="A40" s="20" t="str">
        <f>IFERROR(__xludf.DUMMYFUNCTION("""COMPUTED_VALUE"""),"s043")</f>
        <v>s043</v>
      </c>
      <c r="B40" s="20" t="str">
        <f>IFERROR(__xludf.DUMMYFUNCTION("""COMPUTED_VALUE"""),"wgs")</f>
        <v>wgs</v>
      </c>
      <c r="C40" s="20" t="str">
        <f>IFERROR(__xludf.DUMMYFUNCTION("""COMPUTED_VALUE"""),"GB24")</f>
        <v>GB24</v>
      </c>
      <c r="D40" s="20" t="str">
        <f>IFERROR(__xludf.DUMMYFUNCTION("""COMPUTED_VALUE"""),"GB24")</f>
        <v>GB24</v>
      </c>
      <c r="E40" s="20" t="str">
        <f>IFERROR(__xludf.DUMMYFUNCTION("""COMPUTED_VALUE"""),"no")</f>
        <v>no</v>
      </c>
      <c r="F40" s="20">
        <f>IFERROR(__xludf.DUMMYFUNCTION("""COMPUTED_VALUE"""),43.0)</f>
        <v>43</v>
      </c>
      <c r="G40" s="20"/>
      <c r="H40" s="20">
        <f>IFERROR(__xludf.DUMMYFUNCTION("""COMPUTED_VALUE"""),2.5857916E7)</f>
        <v>25857916</v>
      </c>
      <c r="I40" s="20">
        <f>IFERROR(__xludf.DUMMYFUNCTION("""COMPUTED_VALUE"""),6722310.0)</f>
        <v>6722310</v>
      </c>
      <c r="J40" s="19">
        <f>IFERROR(__xludf.DUMMYFUNCTION("""COMPUTED_VALUE"""),0.25997106650048674)</f>
        <v>0.2599710665</v>
      </c>
      <c r="K40" s="20">
        <f>IFERROR(__xludf.DUMMYFUNCTION("""COMPUTED_VALUE"""),3865.0)</f>
        <v>3865</v>
      </c>
      <c r="L40" s="20"/>
      <c r="M40" s="20" t="str">
        <f>IFERROR(__xludf.DUMMYFUNCTION("""COMPUTED_VALUE"""),"#N/A")</f>
        <v>#N/A</v>
      </c>
      <c r="N40" s="20" t="str">
        <f>IFERROR(__xludf.DUMMYFUNCTION("""COMPUTED_VALUE"""),"#N/A")</f>
        <v>#N/A</v>
      </c>
      <c r="O40" s="20"/>
      <c r="P40" s="20"/>
      <c r="Q40" s="20" t="str">
        <f>IFERROR(__xludf.DUMMYFUNCTION("""COMPUTED_VALUE"""),"#N/A")</f>
        <v>#N/A</v>
      </c>
      <c r="R40" s="20" t="str">
        <f>IFERROR(__xludf.DUMMYFUNCTION("""COMPUTED_VALUE"""),"#N/A")</f>
        <v>#N/A</v>
      </c>
      <c r="S40" s="20">
        <f>IFERROR(__xludf.DUMMYFUNCTION("""COMPUTED_VALUE"""),0.090373856)</f>
        <v>0.090373856</v>
      </c>
      <c r="T40" s="20">
        <f>IFERROR(__xludf.DUMMYFUNCTION("""COMPUTED_VALUE"""),0.011688424)</f>
        <v>0.011688424</v>
      </c>
      <c r="U40" s="20">
        <f>IFERROR(__xludf.DUMMYFUNCTION("""COMPUTED_VALUE"""),0.048862601)</f>
        <v>0.048862601</v>
      </c>
      <c r="V40" s="20">
        <f>IFERROR(__xludf.DUMMYFUNCTION("""COMPUTED_VALUE"""),0.849075118)</f>
        <v>0.849075118</v>
      </c>
      <c r="W40" s="20"/>
      <c r="X40" s="20"/>
      <c r="Y40" s="20"/>
      <c r="Z40" s="20"/>
    </row>
    <row r="41">
      <c r="A41" s="20" t="str">
        <f>IFERROR(__xludf.DUMMYFUNCTION("""COMPUTED_VALUE"""),"s045")</f>
        <v>s045</v>
      </c>
      <c r="B41" s="20" t="str">
        <f>IFERROR(__xludf.DUMMYFUNCTION("""COMPUTED_VALUE"""),"wgs")</f>
        <v>wgs</v>
      </c>
      <c r="C41" s="20" t="str">
        <f>IFERROR(__xludf.DUMMYFUNCTION("""COMPUTED_VALUE"""),"OF464")</f>
        <v>OF464</v>
      </c>
      <c r="D41" s="20" t="str">
        <f>IFERROR(__xludf.DUMMYFUNCTION("""COMPUTED_VALUE"""),"OF464")</f>
        <v>OF464</v>
      </c>
      <c r="E41" s="20" t="str">
        <f>IFERROR(__xludf.DUMMYFUNCTION("""COMPUTED_VALUE"""),"no")</f>
        <v>no</v>
      </c>
      <c r="F41" s="20">
        <f>IFERROR(__xludf.DUMMYFUNCTION("""COMPUTED_VALUE"""),45.0)</f>
        <v>45</v>
      </c>
      <c r="G41" s="20"/>
      <c r="H41" s="20">
        <f>IFERROR(__xludf.DUMMYFUNCTION("""COMPUTED_VALUE"""),2.7815296E7)</f>
        <v>27815296</v>
      </c>
      <c r="I41" s="20">
        <f>IFERROR(__xludf.DUMMYFUNCTION("""COMPUTED_VALUE"""),2630529.0)</f>
        <v>2630529</v>
      </c>
      <c r="J41" s="19">
        <f>IFERROR(__xludf.DUMMYFUNCTION("""COMPUTED_VALUE"""),0.09457131069178627)</f>
        <v>0.09457131069</v>
      </c>
      <c r="K41" s="20">
        <f>IFERROR(__xludf.DUMMYFUNCTION("""COMPUTED_VALUE"""),5052.0)</f>
        <v>5052</v>
      </c>
      <c r="L41" s="20"/>
      <c r="M41" s="20" t="str">
        <f>IFERROR(__xludf.DUMMYFUNCTION("""COMPUTED_VALUE"""),"H")</f>
        <v>H</v>
      </c>
      <c r="N41" s="20" t="str">
        <f>IFERROR(__xludf.DUMMYFUNCTION("""COMPUTED_VALUE"""),"N")</f>
        <v>N</v>
      </c>
      <c r="O41" s="20">
        <f>IFERROR(__xludf.DUMMYFUNCTION("""COMPUTED_VALUE"""),25.139367)</f>
        <v>25.139367</v>
      </c>
      <c r="P41" s="20">
        <f>IFERROR(__xludf.DUMMYFUNCTION("""COMPUTED_VALUE"""),-80.294017)</f>
        <v>-80.294017</v>
      </c>
      <c r="Q41" s="20" t="str">
        <f>IFERROR(__xludf.DUMMYFUNCTION("""COMPUTED_VALUE"""),"2015 batch")</f>
        <v>2015 batch</v>
      </c>
      <c r="R41" s="20" t="str">
        <f>IFERROR(__xludf.DUMMYFUNCTION("""COMPUTED_VALUE"""),"Margaret Miller")</f>
        <v>Margaret Miller</v>
      </c>
      <c r="S41" s="20">
        <f>IFERROR(__xludf.DUMMYFUNCTION("""COMPUTED_VALUE"""),0.104575114)</f>
        <v>0.104575114</v>
      </c>
      <c r="T41" s="20">
        <f>IFERROR(__xludf.DUMMYFUNCTION("""COMPUTED_VALUE"""),0.015595939)</f>
        <v>0.015595939</v>
      </c>
      <c r="U41" s="20">
        <f>IFERROR(__xludf.DUMMYFUNCTION("""COMPUTED_VALUE"""),0.318321798)</f>
        <v>0.318321798</v>
      </c>
      <c r="V41" s="20">
        <f>IFERROR(__xludf.DUMMYFUNCTION("""COMPUTED_VALUE"""),0.56150715)</f>
        <v>0.56150715</v>
      </c>
      <c r="W41" s="20"/>
      <c r="X41" s="20"/>
      <c r="Y41" s="20"/>
      <c r="Z41" s="20"/>
    </row>
    <row r="42">
      <c r="A42" s="20" t="str">
        <f>IFERROR(__xludf.DUMMYFUNCTION("""COMPUTED_VALUE"""),"s046")</f>
        <v>s046</v>
      </c>
      <c r="B42" s="20" t="str">
        <f>IFERROR(__xludf.DUMMYFUNCTION("""COMPUTED_VALUE"""),"wgs")</f>
        <v>wgs</v>
      </c>
      <c r="C42" s="20" t="str">
        <f>IFERROR(__xludf.DUMMYFUNCTION("""COMPUTED_VALUE"""),"OF700")</f>
        <v>OF700</v>
      </c>
      <c r="D42" s="20" t="str">
        <f>IFERROR(__xludf.DUMMYFUNCTION("""COMPUTED_VALUE"""),"OF700")</f>
        <v>OF700</v>
      </c>
      <c r="E42" s="20" t="str">
        <f>IFERROR(__xludf.DUMMYFUNCTION("""COMPUTED_VALUE"""),"no")</f>
        <v>no</v>
      </c>
      <c r="F42" s="20">
        <f>IFERROR(__xludf.DUMMYFUNCTION("""COMPUTED_VALUE"""),46.0)</f>
        <v>46</v>
      </c>
      <c r="G42" s="20"/>
      <c r="H42" s="20">
        <f>IFERROR(__xludf.DUMMYFUNCTION("""COMPUTED_VALUE"""),2.0448667E7)</f>
        <v>20448667</v>
      </c>
      <c r="I42" s="20">
        <f>IFERROR(__xludf.DUMMYFUNCTION("""COMPUTED_VALUE"""),1.6314006E7)</f>
        <v>16314006</v>
      </c>
      <c r="J42" s="19">
        <f>IFERROR(__xludf.DUMMYFUNCTION("""COMPUTED_VALUE"""),0.7978029081308821)</f>
        <v>0.7978029081</v>
      </c>
      <c r="K42" s="20">
        <f>IFERROR(__xludf.DUMMYFUNCTION("""COMPUTED_VALUE"""),1198.0)</f>
        <v>1198</v>
      </c>
      <c r="L42" s="20"/>
      <c r="M42" s="20" t="str">
        <f>IFERROR(__xludf.DUMMYFUNCTION("""COMPUTED_VALUE"""),"H")</f>
        <v>H</v>
      </c>
      <c r="N42" s="20" t="str">
        <f>IFERROR(__xludf.DUMMYFUNCTION("""COMPUTED_VALUE"""),"Y")</f>
        <v>Y</v>
      </c>
      <c r="O42" s="20">
        <f>IFERROR(__xludf.DUMMYFUNCTION("""COMPUTED_VALUE"""),25.139367)</f>
        <v>25.139367</v>
      </c>
      <c r="P42" s="20">
        <f>IFERROR(__xludf.DUMMYFUNCTION("""COMPUTED_VALUE"""),-80.294017)</f>
        <v>-80.294017</v>
      </c>
      <c r="Q42" s="20" t="str">
        <f>IFERROR(__xludf.DUMMYFUNCTION("""COMPUTED_VALUE"""),"2015")</f>
        <v>2015</v>
      </c>
      <c r="R42" s="20" t="str">
        <f>IFERROR(__xludf.DUMMYFUNCTION("""COMPUTED_VALUE"""),"Margaret Miller")</f>
        <v>Margaret Miller</v>
      </c>
      <c r="S42" s="20">
        <f>IFERROR(__xludf.DUMMYFUNCTION("""COMPUTED_VALUE"""),0.08234219)</f>
        <v>0.08234219</v>
      </c>
      <c r="T42" s="20">
        <f>IFERROR(__xludf.DUMMYFUNCTION("""COMPUTED_VALUE"""),0.012897483)</f>
        <v>0.012897483</v>
      </c>
      <c r="U42" s="20">
        <f>IFERROR(__xludf.DUMMYFUNCTION("""COMPUTED_VALUE"""),0.088033371)</f>
        <v>0.088033371</v>
      </c>
      <c r="V42" s="20">
        <f>IFERROR(__xludf.DUMMYFUNCTION("""COMPUTED_VALUE"""),0.816726956)</f>
        <v>0.816726956</v>
      </c>
      <c r="W42" s="20"/>
      <c r="X42" s="20"/>
      <c r="Y42" s="20"/>
      <c r="Z42" s="20"/>
    </row>
    <row r="43">
      <c r="A43" s="20" t="str">
        <f>IFERROR(__xludf.DUMMYFUNCTION("""COMPUTED_VALUE"""),"s047")</f>
        <v>s047</v>
      </c>
      <c r="B43" s="20" t="str">
        <f>IFERROR(__xludf.DUMMYFUNCTION("""COMPUTED_VALUE"""),"wgs")</f>
        <v>wgs</v>
      </c>
      <c r="C43" s="20" t="str">
        <f>IFERROR(__xludf.DUMMYFUNCTION("""COMPUTED_VALUE"""),"UK 36")</f>
        <v>UK 36</v>
      </c>
      <c r="D43" s="20" t="str">
        <f>IFERROR(__xludf.DUMMYFUNCTION("""COMPUTED_VALUE"""),"UK 36")</f>
        <v>UK 36</v>
      </c>
      <c r="E43" s="20" t="str">
        <f>IFERROR(__xludf.DUMMYFUNCTION("""COMPUTED_VALUE"""),"no")</f>
        <v>no</v>
      </c>
      <c r="F43" s="20">
        <f>IFERROR(__xludf.DUMMYFUNCTION("""COMPUTED_VALUE"""),47.0)</f>
        <v>47</v>
      </c>
      <c r="G43" s="20"/>
      <c r="H43" s="20">
        <f>IFERROR(__xludf.DUMMYFUNCTION("""COMPUTED_VALUE"""),2.232935E7)</f>
        <v>22329350</v>
      </c>
      <c r="I43" s="20">
        <f>IFERROR(__xludf.DUMMYFUNCTION("""COMPUTED_VALUE"""),1.4715424E7)</f>
        <v>14715424</v>
      </c>
      <c r="J43" s="19">
        <f>IFERROR(__xludf.DUMMYFUNCTION("""COMPUTED_VALUE"""),0.6590171232033176)</f>
        <v>0.6590171232</v>
      </c>
      <c r="K43" s="20">
        <f>IFERROR(__xludf.DUMMYFUNCTION("""COMPUTED_VALUE"""),1333.0)</f>
        <v>1333</v>
      </c>
      <c r="L43" s="20"/>
      <c r="M43" s="20" t="str">
        <f>IFERROR(__xludf.DUMMYFUNCTION("""COMPUTED_VALUE"""),"#N/A")</f>
        <v>#N/A</v>
      </c>
      <c r="N43" s="20" t="str">
        <f>IFERROR(__xludf.DUMMYFUNCTION("""COMPUTED_VALUE"""),"#N/A")</f>
        <v>#N/A</v>
      </c>
      <c r="O43" s="20"/>
      <c r="P43" s="20"/>
      <c r="Q43" s="20" t="str">
        <f>IFERROR(__xludf.DUMMYFUNCTION("""COMPUTED_VALUE"""),"#N/A")</f>
        <v>#N/A</v>
      </c>
      <c r="R43" s="20" t="str">
        <f>IFERROR(__xludf.DUMMYFUNCTION("""COMPUTED_VALUE"""),"#N/A")</f>
        <v>#N/A</v>
      </c>
      <c r="S43" s="20">
        <f>IFERROR(__xludf.DUMMYFUNCTION("""COMPUTED_VALUE"""),0.146850691)</f>
        <v>0.146850691</v>
      </c>
      <c r="T43" s="20">
        <f>IFERROR(__xludf.DUMMYFUNCTION("""COMPUTED_VALUE"""),0.577795152)</f>
        <v>0.577795152</v>
      </c>
      <c r="U43" s="20">
        <f>IFERROR(__xludf.DUMMYFUNCTION("""COMPUTED_VALUE"""),0.198824558)</f>
        <v>0.198824558</v>
      </c>
      <c r="V43" s="20">
        <f>IFERROR(__xludf.DUMMYFUNCTION("""COMPUTED_VALUE"""),0.076529598)</f>
        <v>0.076529598</v>
      </c>
      <c r="W43" s="20"/>
      <c r="X43" s="20"/>
      <c r="Y43" s="20"/>
      <c r="Z43" s="20"/>
    </row>
    <row r="44">
      <c r="A44" s="20" t="str">
        <f>IFERROR(__xludf.DUMMYFUNCTION("""COMPUTED_VALUE"""),"s048")</f>
        <v>s048</v>
      </c>
      <c r="B44" s="20" t="str">
        <f>IFERROR(__xludf.DUMMYFUNCTION("""COMPUTED_VALUE"""),"wgs")</f>
        <v>wgs</v>
      </c>
      <c r="C44" s="20" t="str">
        <f>IFERROR(__xludf.DUMMYFUNCTION("""COMPUTED_VALUE"""),"OF263")</f>
        <v>OF263</v>
      </c>
      <c r="D44" s="20" t="str">
        <f>IFERROR(__xludf.DUMMYFUNCTION("""COMPUTED_VALUE"""),"OF263")</f>
        <v>OF263</v>
      </c>
      <c r="E44" s="20" t="str">
        <f>IFERROR(__xludf.DUMMYFUNCTION("""COMPUTED_VALUE"""),"no")</f>
        <v>no</v>
      </c>
      <c r="F44" s="20">
        <f>IFERROR(__xludf.DUMMYFUNCTION("""COMPUTED_VALUE"""),48.0)</f>
        <v>48</v>
      </c>
      <c r="G44" s="20"/>
      <c r="H44" s="20">
        <f>IFERROR(__xludf.DUMMYFUNCTION("""COMPUTED_VALUE"""),1.9510706E7)</f>
        <v>19510706</v>
      </c>
      <c r="I44" s="20">
        <f>IFERROR(__xludf.DUMMYFUNCTION("""COMPUTED_VALUE"""),1.5084478E7)</f>
        <v>15084478</v>
      </c>
      <c r="J44" s="19">
        <f>IFERROR(__xludf.DUMMYFUNCTION("""COMPUTED_VALUE"""),0.773138501497588)</f>
        <v>0.7731385015</v>
      </c>
      <c r="K44" s="20">
        <f>IFERROR(__xludf.DUMMYFUNCTION("""COMPUTED_VALUE"""),1337.0)</f>
        <v>1337</v>
      </c>
      <c r="L44" s="20"/>
      <c r="M44" s="20" t="str">
        <f>IFERROR(__xludf.DUMMYFUNCTION("""COMPUTED_VALUE"""),"H")</f>
        <v>H</v>
      </c>
      <c r="N44" s="20" t="str">
        <f>IFERROR(__xludf.DUMMYFUNCTION("""COMPUTED_VALUE"""),"N")</f>
        <v>N</v>
      </c>
      <c r="O44" s="20">
        <f>IFERROR(__xludf.DUMMYFUNCTION("""COMPUTED_VALUE"""),25.139367)</f>
        <v>25.139367</v>
      </c>
      <c r="P44" s="20">
        <f>IFERROR(__xludf.DUMMYFUNCTION("""COMPUTED_VALUE"""),-80.294017)</f>
        <v>-80.294017</v>
      </c>
      <c r="Q44" s="20" t="str">
        <f>IFERROR(__xludf.DUMMYFUNCTION("""COMPUTED_VALUE"""),"2015 batch")</f>
        <v>2015 batch</v>
      </c>
      <c r="R44" s="20" t="str">
        <f>IFERROR(__xludf.DUMMYFUNCTION("""COMPUTED_VALUE"""),"Margaret Miller")</f>
        <v>Margaret Miller</v>
      </c>
      <c r="S44" s="20">
        <f>IFERROR(__xludf.DUMMYFUNCTION("""COMPUTED_VALUE"""),0.055882938)</f>
        <v>0.055882938</v>
      </c>
      <c r="T44" s="20">
        <f>IFERROR(__xludf.DUMMYFUNCTION("""COMPUTED_VALUE"""),0.009541885)</f>
        <v>0.009541885</v>
      </c>
      <c r="U44" s="20">
        <f>IFERROR(__xludf.DUMMYFUNCTION("""COMPUTED_VALUE"""),0.06010745)</f>
        <v>0.06010745</v>
      </c>
      <c r="V44" s="20">
        <f>IFERROR(__xludf.DUMMYFUNCTION("""COMPUTED_VALUE"""),0.874467727)</f>
        <v>0.874467727</v>
      </c>
      <c r="W44" s="20"/>
      <c r="X44" s="20"/>
      <c r="Y44" s="20"/>
      <c r="Z44" s="20"/>
    </row>
    <row r="45">
      <c r="A45" s="20" t="str">
        <f>IFERROR(__xludf.DUMMYFUNCTION("""COMPUTED_VALUE"""),"s049")</f>
        <v>s049</v>
      </c>
      <c r="B45" s="20" t="str">
        <f>IFERROR(__xludf.DUMMYFUNCTION("""COMPUTED_VALUE"""),"wgs")</f>
        <v>wgs</v>
      </c>
      <c r="C45" s="20" t="str">
        <f>IFERROR(__xludf.DUMMYFUNCTION("""COMPUTED_VALUE"""),"OF416")</f>
        <v>OF416</v>
      </c>
      <c r="D45" s="20" t="str">
        <f>IFERROR(__xludf.DUMMYFUNCTION("""COMPUTED_VALUE"""),"OF416")</f>
        <v>OF416</v>
      </c>
      <c r="E45" s="20" t="str">
        <f>IFERROR(__xludf.DUMMYFUNCTION("""COMPUTED_VALUE"""),"no")</f>
        <v>no</v>
      </c>
      <c r="F45" s="20">
        <f>IFERROR(__xludf.DUMMYFUNCTION("""COMPUTED_VALUE"""),49.0)</f>
        <v>49</v>
      </c>
      <c r="G45" s="20"/>
      <c r="H45" s="20">
        <f>IFERROR(__xludf.DUMMYFUNCTION("""COMPUTED_VALUE"""),2.6113998E7)</f>
        <v>26113998</v>
      </c>
      <c r="I45" s="20">
        <f>IFERROR(__xludf.DUMMYFUNCTION("""COMPUTED_VALUE"""),1.7324087E7)</f>
        <v>17324087</v>
      </c>
      <c r="J45" s="19">
        <f>IFERROR(__xludf.DUMMYFUNCTION("""COMPUTED_VALUE"""),0.6634023254501283)</f>
        <v>0.6634023255</v>
      </c>
      <c r="K45" s="20">
        <f>IFERROR(__xludf.DUMMYFUNCTION("""COMPUTED_VALUE"""),1093.0)</f>
        <v>1093</v>
      </c>
      <c r="L45" s="20"/>
      <c r="M45" s="20" t="str">
        <f>IFERROR(__xludf.DUMMYFUNCTION("""COMPUTED_VALUE"""),"H")</f>
        <v>H</v>
      </c>
      <c r="N45" s="20" t="str">
        <f>IFERROR(__xludf.DUMMYFUNCTION("""COMPUTED_VALUE"""),"N")</f>
        <v>N</v>
      </c>
      <c r="O45" s="20">
        <f>IFERROR(__xludf.DUMMYFUNCTION("""COMPUTED_VALUE"""),25.139367)</f>
        <v>25.139367</v>
      </c>
      <c r="P45" s="20">
        <f>IFERROR(__xludf.DUMMYFUNCTION("""COMPUTED_VALUE"""),-80.294017)</f>
        <v>-80.294017</v>
      </c>
      <c r="Q45" s="20" t="str">
        <f>IFERROR(__xludf.DUMMYFUNCTION("""COMPUTED_VALUE"""),"2015 batch")</f>
        <v>2015 batch</v>
      </c>
      <c r="R45" s="20" t="str">
        <f>IFERROR(__xludf.DUMMYFUNCTION("""COMPUTED_VALUE"""),"Margaret Miller")</f>
        <v>Margaret Miller</v>
      </c>
      <c r="S45" s="20">
        <f>IFERROR(__xludf.DUMMYFUNCTION("""COMPUTED_VALUE"""),0.111532899)</f>
        <v>0.111532899</v>
      </c>
      <c r="T45" s="20">
        <f>IFERROR(__xludf.DUMMYFUNCTION("""COMPUTED_VALUE"""),0.026838501)</f>
        <v>0.026838501</v>
      </c>
      <c r="U45" s="20">
        <f>IFERROR(__xludf.DUMMYFUNCTION("""COMPUTED_VALUE"""),0.158994726)</f>
        <v>0.158994726</v>
      </c>
      <c r="V45" s="20">
        <f>IFERROR(__xludf.DUMMYFUNCTION("""COMPUTED_VALUE"""),0.702633874)</f>
        <v>0.702633874</v>
      </c>
      <c r="W45" s="20"/>
      <c r="X45" s="20"/>
      <c r="Y45" s="20"/>
      <c r="Z45" s="20"/>
    </row>
    <row r="46">
      <c r="A46" s="20" t="str">
        <f>IFERROR(__xludf.DUMMYFUNCTION("""COMPUTED_VALUE"""),"s050")</f>
        <v>s050</v>
      </c>
      <c r="B46" s="20" t="str">
        <f>IFERROR(__xludf.DUMMYFUNCTION("""COMPUTED_VALUE"""),"wgs")</f>
        <v>wgs</v>
      </c>
      <c r="C46" s="20" t="str">
        <f>IFERROR(__xludf.DUMMYFUNCTION("""COMPUTED_VALUE"""),"OF126")</f>
        <v>OF126</v>
      </c>
      <c r="D46" s="20" t="str">
        <f>IFERROR(__xludf.DUMMYFUNCTION("""COMPUTED_VALUE"""),"OF126")</f>
        <v>OF126</v>
      </c>
      <c r="E46" s="20" t="str">
        <f>IFERROR(__xludf.DUMMYFUNCTION("""COMPUTED_VALUE"""),"no")</f>
        <v>no</v>
      </c>
      <c r="F46" s="20">
        <f>IFERROR(__xludf.DUMMYFUNCTION("""COMPUTED_VALUE"""),50.0)</f>
        <v>50</v>
      </c>
      <c r="G46" s="20"/>
      <c r="H46" s="20">
        <f>IFERROR(__xludf.DUMMYFUNCTION("""COMPUTED_VALUE"""),2.4525263E7)</f>
        <v>24525263</v>
      </c>
      <c r="I46" s="20">
        <f>IFERROR(__xludf.DUMMYFUNCTION("""COMPUTED_VALUE"""),5101247.0)</f>
        <v>5101247</v>
      </c>
      <c r="J46" s="19">
        <f>IFERROR(__xludf.DUMMYFUNCTION("""COMPUTED_VALUE"""),0.20799968587492823)</f>
        <v>0.2079996859</v>
      </c>
      <c r="K46" s="20">
        <f>IFERROR(__xludf.DUMMYFUNCTION("""COMPUTED_VALUE"""),5579.0)</f>
        <v>5579</v>
      </c>
      <c r="L46" s="20"/>
      <c r="M46" s="20" t="str">
        <f>IFERROR(__xludf.DUMMYFUNCTION("""COMPUTED_VALUE"""),"KWN")</f>
        <v>KWN</v>
      </c>
      <c r="N46" s="20" t="str">
        <f>IFERROR(__xludf.DUMMYFUNCTION("""COMPUTED_VALUE"""),"N")</f>
        <v>N</v>
      </c>
      <c r="O46" s="20">
        <f>IFERROR(__xludf.DUMMYFUNCTION("""COMPUTED_VALUE"""),24.55107)</f>
        <v>24.55107</v>
      </c>
      <c r="P46" s="20">
        <f>IFERROR(__xludf.DUMMYFUNCTION("""COMPUTED_VALUE"""),-81.80805)</f>
        <v>-81.80805</v>
      </c>
      <c r="Q46" s="20" t="str">
        <f>IFERROR(__xludf.DUMMYFUNCTION("""COMPUTED_VALUE"""),"2010-2017")</f>
        <v>2010-2017</v>
      </c>
      <c r="R46" s="20" t="str">
        <f>IFERROR(__xludf.DUMMYFUNCTION("""COMPUTED_VALUE"""),"Mote")</f>
        <v>Mote</v>
      </c>
      <c r="S46" s="20">
        <f>IFERROR(__xludf.DUMMYFUNCTION("""COMPUTED_VALUE"""),0.14752555)</f>
        <v>0.14752555</v>
      </c>
      <c r="T46" s="20">
        <f>IFERROR(__xludf.DUMMYFUNCTION("""COMPUTED_VALUE"""),0.057789968)</f>
        <v>0.057789968</v>
      </c>
      <c r="U46" s="20">
        <f>IFERROR(__xludf.DUMMYFUNCTION("""COMPUTED_VALUE"""),0.241090261)</f>
        <v>0.241090261</v>
      </c>
      <c r="V46" s="20">
        <f>IFERROR(__xludf.DUMMYFUNCTION("""COMPUTED_VALUE"""),0.553594221)</f>
        <v>0.553594221</v>
      </c>
      <c r="W46" s="20"/>
      <c r="X46" s="20"/>
      <c r="Y46" s="20"/>
      <c r="Z46" s="20"/>
    </row>
    <row r="47">
      <c r="A47" s="20" t="str">
        <f>IFERROR(__xludf.DUMMYFUNCTION("""COMPUTED_VALUE"""),"s051")</f>
        <v>s051</v>
      </c>
      <c r="B47" s="20" t="str">
        <f>IFERROR(__xludf.DUMMYFUNCTION("""COMPUTED_VALUE"""),"wgs")</f>
        <v>wgs</v>
      </c>
      <c r="C47" s="20" t="str">
        <f>IFERROR(__xludf.DUMMYFUNCTION("""COMPUTED_VALUE"""),"OF649")</f>
        <v>OF649</v>
      </c>
      <c r="D47" s="20" t="str">
        <f>IFERROR(__xludf.DUMMYFUNCTION("""COMPUTED_VALUE"""),"OF649")</f>
        <v>OF649</v>
      </c>
      <c r="E47" s="20" t="str">
        <f>IFERROR(__xludf.DUMMYFUNCTION("""COMPUTED_VALUE"""),"no")</f>
        <v>no</v>
      </c>
      <c r="F47" s="20">
        <f>IFERROR(__xludf.DUMMYFUNCTION("""COMPUTED_VALUE"""),51.0)</f>
        <v>51</v>
      </c>
      <c r="G47" s="20"/>
      <c r="H47" s="20">
        <f>IFERROR(__xludf.DUMMYFUNCTION("""COMPUTED_VALUE"""),2.6254692E7)</f>
        <v>26254692</v>
      </c>
      <c r="I47" s="20">
        <f>IFERROR(__xludf.DUMMYFUNCTION("""COMPUTED_VALUE"""),1.0245328E7)</f>
        <v>10245328</v>
      </c>
      <c r="J47" s="19">
        <f>IFERROR(__xludf.DUMMYFUNCTION("""COMPUTED_VALUE"""),0.390228458974114)</f>
        <v>0.390228459</v>
      </c>
      <c r="K47" s="20">
        <f>IFERROR(__xludf.DUMMYFUNCTION("""COMPUTED_VALUE"""),2648.0)</f>
        <v>2648</v>
      </c>
      <c r="L47" s="20"/>
      <c r="M47" s="20"/>
      <c r="N47" s="20" t="str">
        <f>IFERROR(__xludf.DUMMYFUNCTION("""COMPUTED_VALUE"""),"N")</f>
        <v>N</v>
      </c>
      <c r="O47" s="20"/>
      <c r="P47" s="20"/>
      <c r="Q47" s="20"/>
      <c r="R47" s="20"/>
      <c r="S47" s="20">
        <f>IFERROR(__xludf.DUMMYFUNCTION("""COMPUTED_VALUE"""),0.16657595)</f>
        <v>0.16657595</v>
      </c>
      <c r="T47" s="20">
        <f>IFERROR(__xludf.DUMMYFUNCTION("""COMPUTED_VALUE"""),0.025368376)</f>
        <v>0.025368376</v>
      </c>
      <c r="U47" s="20">
        <f>IFERROR(__xludf.DUMMYFUNCTION("""COMPUTED_VALUE"""),0.135404922)</f>
        <v>0.135404922</v>
      </c>
      <c r="V47" s="20">
        <f>IFERROR(__xludf.DUMMYFUNCTION("""COMPUTED_VALUE"""),0.672650752)</f>
        <v>0.672650752</v>
      </c>
      <c r="W47" s="20"/>
      <c r="X47" s="20"/>
      <c r="Y47" s="20"/>
      <c r="Z47" s="20"/>
    </row>
    <row r="48">
      <c r="A48" s="20" t="str">
        <f>IFERROR(__xludf.DUMMYFUNCTION("""COMPUTED_VALUE"""),"s052")</f>
        <v>s052</v>
      </c>
      <c r="B48" s="20" t="str">
        <f>IFERROR(__xludf.DUMMYFUNCTION("""COMPUTED_VALUE"""),"wgs")</f>
        <v>wgs</v>
      </c>
      <c r="C48" s="20" t="str">
        <f>IFERROR(__xludf.DUMMYFUNCTION("""COMPUTED_VALUE"""),"OF687")</f>
        <v>OF687</v>
      </c>
      <c r="D48" s="20" t="str">
        <f>IFERROR(__xludf.DUMMYFUNCTION("""COMPUTED_VALUE"""),"OF687")</f>
        <v>OF687</v>
      </c>
      <c r="E48" s="20" t="str">
        <f>IFERROR(__xludf.DUMMYFUNCTION("""COMPUTED_VALUE"""),"no")</f>
        <v>no</v>
      </c>
      <c r="F48" s="20">
        <f>IFERROR(__xludf.DUMMYFUNCTION("""COMPUTED_VALUE"""),52.0)</f>
        <v>52</v>
      </c>
      <c r="G48" s="20"/>
      <c r="H48" s="20">
        <f>IFERROR(__xludf.DUMMYFUNCTION("""COMPUTED_VALUE"""),2.4342148E7)</f>
        <v>24342148</v>
      </c>
      <c r="I48" s="20">
        <f>IFERROR(__xludf.DUMMYFUNCTION("""COMPUTED_VALUE"""),9346901.0)</f>
        <v>9346901</v>
      </c>
      <c r="J48" s="19">
        <f>IFERROR(__xludf.DUMMYFUNCTION("""COMPUTED_VALUE"""),0.3839801236932747)</f>
        <v>0.3839801237</v>
      </c>
      <c r="K48" s="20">
        <f>IFERROR(__xludf.DUMMYFUNCTION("""COMPUTED_VALUE"""),3073.0)</f>
        <v>3073</v>
      </c>
      <c r="L48" s="20"/>
      <c r="M48" s="20" t="str">
        <f>IFERROR(__xludf.DUMMYFUNCTION("""COMPUTED_VALUE"""),"H")</f>
        <v>H</v>
      </c>
      <c r="N48" s="20" t="str">
        <f>IFERROR(__xludf.DUMMYFUNCTION("""COMPUTED_VALUE"""),"Y")</f>
        <v>Y</v>
      </c>
      <c r="O48" s="20">
        <f>IFERROR(__xludf.DUMMYFUNCTION("""COMPUTED_VALUE"""),25.139367)</f>
        <v>25.139367</v>
      </c>
      <c r="P48" s="20">
        <f>IFERROR(__xludf.DUMMYFUNCTION("""COMPUTED_VALUE"""),-80.294017)</f>
        <v>-80.294017</v>
      </c>
      <c r="Q48" s="20" t="str">
        <f>IFERROR(__xludf.DUMMYFUNCTION("""COMPUTED_VALUE"""),"2015")</f>
        <v>2015</v>
      </c>
      <c r="R48" s="20" t="str">
        <f>IFERROR(__xludf.DUMMYFUNCTION("""COMPUTED_VALUE"""),"Margaret Miller")</f>
        <v>Margaret Miller</v>
      </c>
      <c r="S48" s="20">
        <f>IFERROR(__xludf.DUMMYFUNCTION("""COMPUTED_VALUE"""),0.108304026)</f>
        <v>0.108304026</v>
      </c>
      <c r="T48" s="20">
        <f>IFERROR(__xludf.DUMMYFUNCTION("""COMPUTED_VALUE"""),0.02359877)</f>
        <v>0.02359877</v>
      </c>
      <c r="U48" s="20">
        <f>IFERROR(__xludf.DUMMYFUNCTION("""COMPUTED_VALUE"""),0.341358161)</f>
        <v>0.341358161</v>
      </c>
      <c r="V48" s="20">
        <f>IFERROR(__xludf.DUMMYFUNCTION("""COMPUTED_VALUE"""),0.526739043)</f>
        <v>0.526739043</v>
      </c>
      <c r="W48" s="20"/>
      <c r="X48" s="20"/>
      <c r="Y48" s="20"/>
      <c r="Z48" s="20"/>
    </row>
    <row r="49">
      <c r="A49" s="20" t="str">
        <f>IFERROR(__xludf.DUMMYFUNCTION("""COMPUTED_VALUE"""),"s053")</f>
        <v>s053</v>
      </c>
      <c r="B49" s="20" t="str">
        <f>IFERROR(__xludf.DUMMYFUNCTION("""COMPUTED_VALUE"""),"wgs")</f>
        <v>wgs</v>
      </c>
      <c r="C49" s="20" t="str">
        <f>IFERROR(__xludf.DUMMYFUNCTION("""COMPUTED_VALUE"""),"OF2")</f>
        <v>OF2</v>
      </c>
      <c r="D49" s="20" t="str">
        <f>IFERROR(__xludf.DUMMYFUNCTION("""COMPUTED_VALUE"""),"OF2")</f>
        <v>OF2</v>
      </c>
      <c r="E49" s="20" t="str">
        <f>IFERROR(__xludf.DUMMYFUNCTION("""COMPUTED_VALUE"""),"no")</f>
        <v>no</v>
      </c>
      <c r="F49" s="20">
        <f>IFERROR(__xludf.DUMMYFUNCTION("""COMPUTED_VALUE"""),53.0)</f>
        <v>53</v>
      </c>
      <c r="G49" s="20"/>
      <c r="H49" s="20">
        <f>IFERROR(__xludf.DUMMYFUNCTION("""COMPUTED_VALUE"""),2.4793932E7)</f>
        <v>24793932</v>
      </c>
      <c r="I49" s="20">
        <f>IFERROR(__xludf.DUMMYFUNCTION("""COMPUTED_VALUE"""),1.4023303E7)</f>
        <v>14023303</v>
      </c>
      <c r="J49" s="19">
        <f>IFERROR(__xludf.DUMMYFUNCTION("""COMPUTED_VALUE"""),0.5655941542470956)</f>
        <v>0.5655941542</v>
      </c>
      <c r="K49" s="20">
        <f>IFERROR(__xludf.DUMMYFUNCTION("""COMPUTED_VALUE"""),7901.0)</f>
        <v>7901</v>
      </c>
      <c r="L49" s="20"/>
      <c r="M49" s="20" t="str">
        <f>IFERROR(__xludf.DUMMYFUNCTION("""COMPUTED_VALUE"""),"#N/A")</f>
        <v>#N/A</v>
      </c>
      <c r="N49" s="20" t="str">
        <f>IFERROR(__xludf.DUMMYFUNCTION("""COMPUTED_VALUE"""),"#N/A")</f>
        <v>#N/A</v>
      </c>
      <c r="O49" s="20"/>
      <c r="P49" s="20"/>
      <c r="Q49" s="20" t="str">
        <f>IFERROR(__xludf.DUMMYFUNCTION("""COMPUTED_VALUE"""),"#N/A")</f>
        <v>#N/A</v>
      </c>
      <c r="R49" s="20" t="str">
        <f>IFERROR(__xludf.DUMMYFUNCTION("""COMPUTED_VALUE"""),"#N/A")</f>
        <v>#N/A</v>
      </c>
      <c r="S49" s="20">
        <f>IFERROR(__xludf.DUMMYFUNCTION("""COMPUTED_VALUE"""),0.050468529)</f>
        <v>0.050468529</v>
      </c>
      <c r="T49" s="20">
        <f>IFERROR(__xludf.DUMMYFUNCTION("""COMPUTED_VALUE"""),0.016646463)</f>
        <v>0.016646463</v>
      </c>
      <c r="U49" s="20">
        <f>IFERROR(__xludf.DUMMYFUNCTION("""COMPUTED_VALUE"""),0.045530448)</f>
        <v>0.045530448</v>
      </c>
      <c r="V49" s="20">
        <f>IFERROR(__xludf.DUMMYFUNCTION("""COMPUTED_VALUE"""),0.88735456)</f>
        <v>0.88735456</v>
      </c>
      <c r="W49" s="20"/>
      <c r="X49" s="20"/>
      <c r="Y49" s="20"/>
      <c r="Z49" s="20"/>
    </row>
    <row r="50">
      <c r="A50" s="20" t="str">
        <f>IFERROR(__xludf.DUMMYFUNCTION("""COMPUTED_VALUE"""),"s054")</f>
        <v>s054</v>
      </c>
      <c r="B50" s="20" t="str">
        <f>IFERROR(__xludf.DUMMYFUNCTION("""COMPUTED_VALUE"""),"wgs")</f>
        <v>wgs</v>
      </c>
      <c r="C50" s="20" t="str">
        <f>IFERROR(__xludf.DUMMYFUNCTION("""COMPUTED_VALUE"""),"1-OF-4")</f>
        <v>1-OF-4</v>
      </c>
      <c r="D50" s="20" t="str">
        <f>IFERROR(__xludf.DUMMYFUNCTION("""COMPUTED_VALUE"""),"1-OF-4")</f>
        <v>1-OF-4</v>
      </c>
      <c r="E50" s="20" t="str">
        <f>IFERROR(__xludf.DUMMYFUNCTION("""COMPUTED_VALUE"""),"no")</f>
        <v>no</v>
      </c>
      <c r="F50" s="20">
        <f>IFERROR(__xludf.DUMMYFUNCTION("""COMPUTED_VALUE"""),54.0)</f>
        <v>54</v>
      </c>
      <c r="G50" s="20"/>
      <c r="H50" s="20">
        <f>IFERROR(__xludf.DUMMYFUNCTION("""COMPUTED_VALUE"""),1.9635726E7)</f>
        <v>19635726</v>
      </c>
      <c r="I50" s="20">
        <f>IFERROR(__xludf.DUMMYFUNCTION("""COMPUTED_VALUE"""),1.5215833E7)</f>
        <v>15215833</v>
      </c>
      <c r="J50" s="19">
        <f>IFERROR(__xludf.DUMMYFUNCTION("""COMPUTED_VALUE"""),0.774905547164388)</f>
        <v>0.7749055472</v>
      </c>
      <c r="K50" s="20">
        <f>IFERROR(__xludf.DUMMYFUNCTION("""COMPUTED_VALUE"""),1365.0)</f>
        <v>1365</v>
      </c>
      <c r="L50" s="20"/>
      <c r="M50" s="20" t="str">
        <f>IFERROR(__xludf.DUMMYFUNCTION("""COMPUTED_VALUE"""),"KWN")</f>
        <v>KWN</v>
      </c>
      <c r="N50" s="20" t="str">
        <f>IFERROR(__xludf.DUMMYFUNCTION("""COMPUTED_VALUE"""),"N")</f>
        <v>N</v>
      </c>
      <c r="O50" s="20">
        <f>IFERROR(__xludf.DUMMYFUNCTION("""COMPUTED_VALUE"""),24.55107)</f>
        <v>24.55107</v>
      </c>
      <c r="P50" s="20">
        <f>IFERROR(__xludf.DUMMYFUNCTION("""COMPUTED_VALUE"""),-81.80805)</f>
        <v>-81.80805</v>
      </c>
      <c r="Q50" s="20" t="str">
        <f>IFERROR(__xludf.DUMMYFUNCTION("""COMPUTED_VALUE"""),"2010-2017")</f>
        <v>2010-2017</v>
      </c>
      <c r="R50" s="20" t="str">
        <f>IFERROR(__xludf.DUMMYFUNCTION("""COMPUTED_VALUE"""),"Mote")</f>
        <v>Mote</v>
      </c>
      <c r="S50" s="20">
        <f>IFERROR(__xludf.DUMMYFUNCTION("""COMPUTED_VALUE"""),0.143181905)</f>
        <v>0.143181905</v>
      </c>
      <c r="T50" s="20">
        <f>IFERROR(__xludf.DUMMYFUNCTION("""COMPUTED_VALUE"""),0.029127542)</f>
        <v>0.029127542</v>
      </c>
      <c r="U50" s="20">
        <f>IFERROR(__xludf.DUMMYFUNCTION("""COMPUTED_VALUE"""),0.184071469)</f>
        <v>0.184071469</v>
      </c>
      <c r="V50" s="20">
        <f>IFERROR(__xludf.DUMMYFUNCTION("""COMPUTED_VALUE"""),0.643619084)</f>
        <v>0.643619084</v>
      </c>
      <c r="W50" s="20"/>
      <c r="X50" s="20"/>
      <c r="Y50" s="20"/>
      <c r="Z50" s="20"/>
    </row>
    <row r="51">
      <c r="A51" s="20" t="str">
        <f>IFERROR(__xludf.DUMMYFUNCTION("""COMPUTED_VALUE"""),"s056")</f>
        <v>s056</v>
      </c>
      <c r="B51" s="20" t="str">
        <f>IFERROR(__xludf.DUMMYFUNCTION("""COMPUTED_VALUE"""),"wgs")</f>
        <v>wgs</v>
      </c>
      <c r="C51" s="20" t="str">
        <f>IFERROR(__xludf.DUMMYFUNCTION("""COMPUTED_VALUE"""),"OF354")</f>
        <v>OF354</v>
      </c>
      <c r="D51" s="20" t="str">
        <f>IFERROR(__xludf.DUMMYFUNCTION("""COMPUTED_VALUE"""),"OF354")</f>
        <v>OF354</v>
      </c>
      <c r="E51" s="20" t="str">
        <f>IFERROR(__xludf.DUMMYFUNCTION("""COMPUTED_VALUE"""),"no")</f>
        <v>no</v>
      </c>
      <c r="F51" s="20">
        <f>IFERROR(__xludf.DUMMYFUNCTION("""COMPUTED_VALUE"""),56.0)</f>
        <v>56</v>
      </c>
      <c r="G51" s="20"/>
      <c r="H51" s="20">
        <f>IFERROR(__xludf.DUMMYFUNCTION("""COMPUTED_VALUE"""),2.4515031E7)</f>
        <v>24515031</v>
      </c>
      <c r="I51" s="20">
        <f>IFERROR(__xludf.DUMMYFUNCTION("""COMPUTED_VALUE"""),1.6290786E7)</f>
        <v>16290786</v>
      </c>
      <c r="J51" s="19">
        <f>IFERROR(__xludf.DUMMYFUNCTION("""COMPUTED_VALUE"""),0.6645223495740226)</f>
        <v>0.6645223496</v>
      </c>
      <c r="K51" s="20">
        <f>IFERROR(__xludf.DUMMYFUNCTION("""COMPUTED_VALUE"""),956.0)</f>
        <v>956</v>
      </c>
      <c r="L51" s="20"/>
      <c r="M51" s="20" t="str">
        <f>IFERROR(__xludf.DUMMYFUNCTION("""COMPUTED_VALUE"""),"H")</f>
        <v>H</v>
      </c>
      <c r="N51" s="20" t="str">
        <f>IFERROR(__xludf.DUMMYFUNCTION("""COMPUTED_VALUE"""),"N")</f>
        <v>N</v>
      </c>
      <c r="O51" s="20">
        <f>IFERROR(__xludf.DUMMYFUNCTION("""COMPUTED_VALUE"""),25.139367)</f>
        <v>25.139367</v>
      </c>
      <c r="P51" s="20">
        <f>IFERROR(__xludf.DUMMYFUNCTION("""COMPUTED_VALUE"""),-80.294017)</f>
        <v>-80.294017</v>
      </c>
      <c r="Q51" s="20" t="str">
        <f>IFERROR(__xludf.DUMMYFUNCTION("""COMPUTED_VALUE"""),"2015 batch")</f>
        <v>2015 batch</v>
      </c>
      <c r="R51" s="20" t="str">
        <f>IFERROR(__xludf.DUMMYFUNCTION("""COMPUTED_VALUE"""),"Margaret Miller")</f>
        <v>Margaret Miller</v>
      </c>
      <c r="S51" s="20">
        <f>IFERROR(__xludf.DUMMYFUNCTION("""COMPUTED_VALUE"""),0.101570359)</f>
        <v>0.101570359</v>
      </c>
      <c r="T51" s="20">
        <f>IFERROR(__xludf.DUMMYFUNCTION("""COMPUTED_VALUE"""),0.020748704)</f>
        <v>0.020748704</v>
      </c>
      <c r="U51" s="20">
        <f>IFERROR(__xludf.DUMMYFUNCTION("""COMPUTED_VALUE"""),0.125985794)</f>
        <v>0.125985794</v>
      </c>
      <c r="V51" s="20">
        <f>IFERROR(__xludf.DUMMYFUNCTION("""COMPUTED_VALUE"""),0.751695143)</f>
        <v>0.751695143</v>
      </c>
      <c r="W51" s="20"/>
      <c r="X51" s="20"/>
      <c r="Y51" s="20"/>
      <c r="Z51" s="20"/>
    </row>
    <row r="52">
      <c r="A52" s="20" t="str">
        <f>IFERROR(__xludf.DUMMYFUNCTION("""COMPUTED_VALUE"""),"s058")</f>
        <v>s058</v>
      </c>
      <c r="B52" s="20" t="str">
        <f>IFERROR(__xludf.DUMMYFUNCTION("""COMPUTED_VALUE"""),"wgs")</f>
        <v>wgs</v>
      </c>
      <c r="C52" s="20" t="str">
        <f>IFERROR(__xludf.DUMMYFUNCTION("""COMPUTED_VALUE"""),"OF3")</f>
        <v>OF3</v>
      </c>
      <c r="D52" s="20" t="str">
        <f>IFERROR(__xludf.DUMMYFUNCTION("""COMPUTED_VALUE"""),"OF3")</f>
        <v>OF3</v>
      </c>
      <c r="E52" s="20" t="str">
        <f>IFERROR(__xludf.DUMMYFUNCTION("""COMPUTED_VALUE"""),"no")</f>
        <v>no</v>
      </c>
      <c r="F52" s="20">
        <f>IFERROR(__xludf.DUMMYFUNCTION("""COMPUTED_VALUE"""),58.0)</f>
        <v>58</v>
      </c>
      <c r="G52" s="20"/>
      <c r="H52" s="20">
        <f>IFERROR(__xludf.DUMMYFUNCTION("""COMPUTED_VALUE"""),2.5653466E7)</f>
        <v>25653466</v>
      </c>
      <c r="I52" s="20">
        <f>IFERROR(__xludf.DUMMYFUNCTION("""COMPUTED_VALUE"""),4302407.0)</f>
        <v>4302407</v>
      </c>
      <c r="J52" s="19">
        <f>IFERROR(__xludf.DUMMYFUNCTION("""COMPUTED_VALUE"""),0.16771250325394627)</f>
        <v>0.1677125033</v>
      </c>
      <c r="K52" s="20">
        <f>IFERROR(__xludf.DUMMYFUNCTION("""COMPUTED_VALUE"""),5650.0)</f>
        <v>5650</v>
      </c>
      <c r="L52" s="20"/>
      <c r="M52" s="20" t="str">
        <f>IFERROR(__xludf.DUMMYFUNCTION("""COMPUTED_VALUE"""),"KWN")</f>
        <v>KWN</v>
      </c>
      <c r="N52" s="20" t="str">
        <f>IFERROR(__xludf.DUMMYFUNCTION("""COMPUTED_VALUE"""),"N")</f>
        <v>N</v>
      </c>
      <c r="O52" s="20">
        <f>IFERROR(__xludf.DUMMYFUNCTION("""COMPUTED_VALUE"""),24.55107)</f>
        <v>24.55107</v>
      </c>
      <c r="P52" s="20">
        <f>IFERROR(__xludf.DUMMYFUNCTION("""COMPUTED_VALUE"""),-81.80805)</f>
        <v>-81.80805</v>
      </c>
      <c r="Q52" s="20" t="str">
        <f>IFERROR(__xludf.DUMMYFUNCTION("""COMPUTED_VALUE"""),"2010-2017")</f>
        <v>2010-2017</v>
      </c>
      <c r="R52" s="20" t="str">
        <f>IFERROR(__xludf.DUMMYFUNCTION("""COMPUTED_VALUE"""),"Mote")</f>
        <v>Mote</v>
      </c>
      <c r="S52" s="20">
        <f>IFERROR(__xludf.DUMMYFUNCTION("""COMPUTED_VALUE"""),0.098576137)</f>
        <v>0.098576137</v>
      </c>
      <c r="T52" s="20">
        <f>IFERROR(__xludf.DUMMYFUNCTION("""COMPUTED_VALUE"""),0.01269757)</f>
        <v>0.01269757</v>
      </c>
      <c r="U52" s="20">
        <f>IFERROR(__xludf.DUMMYFUNCTION("""COMPUTED_VALUE"""),0.135600464)</f>
        <v>0.135600464</v>
      </c>
      <c r="V52" s="20">
        <f>IFERROR(__xludf.DUMMYFUNCTION("""COMPUTED_VALUE"""),0.75312583)</f>
        <v>0.75312583</v>
      </c>
      <c r="W52" s="20"/>
      <c r="X52" s="20"/>
      <c r="Y52" s="20"/>
      <c r="Z52" s="20"/>
    </row>
    <row r="53">
      <c r="A53" s="20" t="str">
        <f>IFERROR(__xludf.DUMMYFUNCTION("""COMPUTED_VALUE"""),"s059")</f>
        <v>s059</v>
      </c>
      <c r="B53" s="20" t="str">
        <f>IFERROR(__xludf.DUMMYFUNCTION("""COMPUTED_VALUE"""),"wgs")</f>
        <v>wgs</v>
      </c>
      <c r="C53" s="20" t="str">
        <f>IFERROR(__xludf.DUMMYFUNCTION("""COMPUTED_VALUE"""),"F7")</f>
        <v>F7</v>
      </c>
      <c r="D53" s="20" t="str">
        <f>IFERROR(__xludf.DUMMYFUNCTION("""COMPUTED_VALUE"""),"F7")</f>
        <v>F7</v>
      </c>
      <c r="E53" s="20" t="str">
        <f>IFERROR(__xludf.DUMMYFUNCTION("""COMPUTED_VALUE"""),"no")</f>
        <v>no</v>
      </c>
      <c r="F53" s="20">
        <f>IFERROR(__xludf.DUMMYFUNCTION("""COMPUTED_VALUE"""),59.0)</f>
        <v>59</v>
      </c>
      <c r="G53" s="20"/>
      <c r="H53" s="20">
        <f>IFERROR(__xludf.DUMMYFUNCTION("""COMPUTED_VALUE"""),2.5889437E7)</f>
        <v>25889437</v>
      </c>
      <c r="I53" s="20">
        <f>IFERROR(__xludf.DUMMYFUNCTION("""COMPUTED_VALUE"""),5480508.0)</f>
        <v>5480508</v>
      </c>
      <c r="J53" s="19">
        <f>IFERROR(__xludf.DUMMYFUNCTION("""COMPUTED_VALUE"""),0.21168896025046818)</f>
        <v>0.2116889603</v>
      </c>
      <c r="K53" s="20">
        <f>IFERROR(__xludf.DUMMYFUNCTION("""COMPUTED_VALUE"""),5182.0)</f>
        <v>5182</v>
      </c>
      <c r="L53" s="20"/>
      <c r="M53" s="20" t="str">
        <f>IFERROR(__xludf.DUMMYFUNCTION("""COMPUTED_VALUE"""),"KWN")</f>
        <v>KWN</v>
      </c>
      <c r="N53" s="20" t="str">
        <f>IFERROR(__xludf.DUMMYFUNCTION("""COMPUTED_VALUE"""),"N")</f>
        <v>N</v>
      </c>
      <c r="O53" s="20">
        <f>IFERROR(__xludf.DUMMYFUNCTION("""COMPUTED_VALUE"""),24.55107)</f>
        <v>24.55107</v>
      </c>
      <c r="P53" s="20">
        <f>IFERROR(__xludf.DUMMYFUNCTION("""COMPUTED_VALUE"""),-81.80805)</f>
        <v>-81.80805</v>
      </c>
      <c r="Q53" s="20" t="str">
        <f>IFERROR(__xludf.DUMMYFUNCTION("""COMPUTED_VALUE"""),"2010-2017")</f>
        <v>2010-2017</v>
      </c>
      <c r="R53" s="20" t="str">
        <f>IFERROR(__xludf.DUMMYFUNCTION("""COMPUTED_VALUE"""),"Mote")</f>
        <v>Mote</v>
      </c>
      <c r="S53" s="20">
        <f>IFERROR(__xludf.DUMMYFUNCTION("""COMPUTED_VALUE"""),0.065150318)</f>
        <v>0.065150318</v>
      </c>
      <c r="T53" s="20">
        <f>IFERROR(__xludf.DUMMYFUNCTION("""COMPUTED_VALUE"""),0.007481685)</f>
        <v>0.007481685</v>
      </c>
      <c r="U53" s="20">
        <f>IFERROR(__xludf.DUMMYFUNCTION("""COMPUTED_VALUE"""),0.078798979)</f>
        <v>0.078798979</v>
      </c>
      <c r="V53" s="20">
        <f>IFERROR(__xludf.DUMMYFUNCTION("""COMPUTED_VALUE"""),0.848569018)</f>
        <v>0.848569018</v>
      </c>
      <c r="W53" s="20"/>
      <c r="X53" s="20"/>
      <c r="Y53" s="20"/>
      <c r="Z53" s="20"/>
    </row>
    <row r="54">
      <c r="A54" s="20" t="str">
        <f>IFERROR(__xludf.DUMMYFUNCTION("""COMPUTED_VALUE"""),"s060")</f>
        <v>s060</v>
      </c>
      <c r="B54" s="20" t="str">
        <f>IFERROR(__xludf.DUMMYFUNCTION("""COMPUTED_VALUE"""),"wgs")</f>
        <v>wgs</v>
      </c>
      <c r="C54" s="20" t="str">
        <f>IFERROR(__xludf.DUMMYFUNCTION("""COMPUTED_VALUE"""),"S335")</f>
        <v>S335</v>
      </c>
      <c r="D54" s="20" t="str">
        <f>IFERROR(__xludf.DUMMYFUNCTION("""COMPUTED_VALUE"""),"S335")</f>
        <v>S335</v>
      </c>
      <c r="E54" s="20" t="str">
        <f>IFERROR(__xludf.DUMMYFUNCTION("""COMPUTED_VALUE"""),"no")</f>
        <v>no</v>
      </c>
      <c r="F54" s="20">
        <f>IFERROR(__xludf.DUMMYFUNCTION("""COMPUTED_VALUE"""),60.0)</f>
        <v>60</v>
      </c>
      <c r="G54" s="20"/>
      <c r="H54" s="20">
        <f>IFERROR(__xludf.DUMMYFUNCTION("""COMPUTED_VALUE"""),2.4545365E7)</f>
        <v>24545365</v>
      </c>
      <c r="I54" s="20">
        <f>IFERROR(__xludf.DUMMYFUNCTION("""COMPUTED_VALUE"""),8856509.0)</f>
        <v>8856509</v>
      </c>
      <c r="J54" s="19">
        <f>IFERROR(__xludf.DUMMYFUNCTION("""COMPUTED_VALUE"""),0.36082205336934287)</f>
        <v>0.3608220534</v>
      </c>
      <c r="K54" s="20">
        <f>IFERROR(__xludf.DUMMYFUNCTION("""COMPUTED_VALUE"""),3324.0)</f>
        <v>3324</v>
      </c>
      <c r="L54" s="20"/>
      <c r="M54" s="20" t="str">
        <f>IFERROR(__xludf.DUMMYFUNCTION("""COMPUTED_VALUE"""),"H")</f>
        <v>H</v>
      </c>
      <c r="N54" s="20" t="str">
        <f>IFERROR(__xludf.DUMMYFUNCTION("""COMPUTED_VALUE"""),"N")</f>
        <v>N</v>
      </c>
      <c r="O54" s="20">
        <f>IFERROR(__xludf.DUMMYFUNCTION("""COMPUTED_VALUE"""),25.139367)</f>
        <v>25.139367</v>
      </c>
      <c r="P54" s="20">
        <f>IFERROR(__xludf.DUMMYFUNCTION("""COMPUTED_VALUE"""),-80.294017)</f>
        <v>-80.294017</v>
      </c>
      <c r="Q54" s="20" t="str">
        <f>IFERROR(__xludf.DUMMYFUNCTION("""COMPUTED_VALUE"""),"2015 batch")</f>
        <v>2015 batch</v>
      </c>
      <c r="R54" s="20" t="str">
        <f>IFERROR(__xludf.DUMMYFUNCTION("""COMPUTED_VALUE"""),"Margaret Miller")</f>
        <v>Margaret Miller</v>
      </c>
      <c r="S54" s="20">
        <f>IFERROR(__xludf.DUMMYFUNCTION("""COMPUTED_VALUE"""),0.098649943)</f>
        <v>0.098649943</v>
      </c>
      <c r="T54" s="20">
        <f>IFERROR(__xludf.DUMMYFUNCTION("""COMPUTED_VALUE"""),0.019870511)</f>
        <v>0.019870511</v>
      </c>
      <c r="U54" s="20">
        <f>IFERROR(__xludf.DUMMYFUNCTION("""COMPUTED_VALUE"""),0.122248352)</f>
        <v>0.122248352</v>
      </c>
      <c r="V54" s="20">
        <f>IFERROR(__xludf.DUMMYFUNCTION("""COMPUTED_VALUE"""),0.759231194)</f>
        <v>0.759231194</v>
      </c>
      <c r="W54" s="20"/>
      <c r="X54" s="20"/>
      <c r="Y54" s="20"/>
      <c r="Z54" s="20"/>
    </row>
    <row r="55">
      <c r="A55" s="20" t="str">
        <f>IFERROR(__xludf.DUMMYFUNCTION("""COMPUTED_VALUE"""),"s061")</f>
        <v>s061</v>
      </c>
      <c r="B55" s="20" t="str">
        <f>IFERROR(__xludf.DUMMYFUNCTION("""COMPUTED_VALUE"""),"wgs")</f>
        <v>wgs</v>
      </c>
      <c r="C55" s="20" t="str">
        <f>IFERROR(__xludf.DUMMYFUNCTION("""COMPUTED_VALUE"""),"OF483")</f>
        <v>OF483</v>
      </c>
      <c r="D55" s="20" t="str">
        <f>IFERROR(__xludf.DUMMYFUNCTION("""COMPUTED_VALUE"""),"OF483")</f>
        <v>OF483</v>
      </c>
      <c r="E55" s="20" t="str">
        <f>IFERROR(__xludf.DUMMYFUNCTION("""COMPUTED_VALUE"""),"no")</f>
        <v>no</v>
      </c>
      <c r="F55" s="20">
        <f>IFERROR(__xludf.DUMMYFUNCTION("""COMPUTED_VALUE"""),61.0)</f>
        <v>61</v>
      </c>
      <c r="G55" s="20"/>
      <c r="H55" s="20">
        <f>IFERROR(__xludf.DUMMYFUNCTION("""COMPUTED_VALUE"""),2.673768E7)</f>
        <v>26737680</v>
      </c>
      <c r="I55" s="20">
        <f>IFERROR(__xludf.DUMMYFUNCTION("""COMPUTED_VALUE"""),1.7525835E7)</f>
        <v>17525835</v>
      </c>
      <c r="J55" s="19">
        <f>IFERROR(__xludf.DUMMYFUNCTION("""COMPUTED_VALUE"""),0.6554732871363559)</f>
        <v>0.6554732871</v>
      </c>
      <c r="K55" s="20">
        <f>IFERROR(__xludf.DUMMYFUNCTION("""COMPUTED_VALUE"""),897.0)</f>
        <v>897</v>
      </c>
      <c r="L55" s="20"/>
      <c r="M55" s="20" t="str">
        <f>IFERROR(__xludf.DUMMYFUNCTION("""COMPUTED_VALUE"""),"H")</f>
        <v>H</v>
      </c>
      <c r="N55" s="20" t="str">
        <f>IFERROR(__xludf.DUMMYFUNCTION("""COMPUTED_VALUE"""),"N")</f>
        <v>N</v>
      </c>
      <c r="O55" s="20">
        <f>IFERROR(__xludf.DUMMYFUNCTION("""COMPUTED_VALUE"""),25.139367)</f>
        <v>25.139367</v>
      </c>
      <c r="P55" s="20">
        <f>IFERROR(__xludf.DUMMYFUNCTION("""COMPUTED_VALUE"""),-80.294017)</f>
        <v>-80.294017</v>
      </c>
      <c r="Q55" s="20" t="str">
        <f>IFERROR(__xludf.DUMMYFUNCTION("""COMPUTED_VALUE"""),"2015 batch")</f>
        <v>2015 batch</v>
      </c>
      <c r="R55" s="20" t="str">
        <f>IFERROR(__xludf.DUMMYFUNCTION("""COMPUTED_VALUE"""),"Margaret Miller")</f>
        <v>Margaret Miller</v>
      </c>
      <c r="S55" s="20">
        <f>IFERROR(__xludf.DUMMYFUNCTION("""COMPUTED_VALUE"""),0.046317747)</f>
        <v>0.046317747</v>
      </c>
      <c r="T55" s="20">
        <f>IFERROR(__xludf.DUMMYFUNCTION("""COMPUTED_VALUE"""),0.007528632)</f>
        <v>0.007528632</v>
      </c>
      <c r="U55" s="20">
        <f>IFERROR(__xludf.DUMMYFUNCTION("""COMPUTED_VALUE"""),0.051288805)</f>
        <v>0.051288805</v>
      </c>
      <c r="V55" s="20">
        <f>IFERROR(__xludf.DUMMYFUNCTION("""COMPUTED_VALUE"""),0.894864816)</f>
        <v>0.894864816</v>
      </c>
      <c r="W55" s="20"/>
      <c r="X55" s="20"/>
      <c r="Y55" s="20"/>
      <c r="Z55" s="20"/>
    </row>
    <row r="56">
      <c r="A56" s="20" t="str">
        <f>IFERROR(__xludf.DUMMYFUNCTION("""COMPUTED_VALUE"""),"s062")</f>
        <v>s062</v>
      </c>
      <c r="B56" s="20" t="str">
        <f>IFERROR(__xludf.DUMMYFUNCTION("""COMPUTED_VALUE"""),"wgs")</f>
        <v>wgs</v>
      </c>
      <c r="C56" s="20" t="str">
        <f>IFERROR(__xludf.DUMMYFUNCTION("""COMPUTED_VALUE"""),"GB3")</f>
        <v>GB3</v>
      </c>
      <c r="D56" s="20" t="str">
        <f>IFERROR(__xludf.DUMMYFUNCTION("""COMPUTED_VALUE"""),"GB3")</f>
        <v>GB3</v>
      </c>
      <c r="E56" s="20" t="str">
        <f>IFERROR(__xludf.DUMMYFUNCTION("""COMPUTED_VALUE"""),"no")</f>
        <v>no</v>
      </c>
      <c r="F56" s="20">
        <f>IFERROR(__xludf.DUMMYFUNCTION("""COMPUTED_VALUE"""),62.0)</f>
        <v>62</v>
      </c>
      <c r="G56" s="20"/>
      <c r="H56" s="20">
        <f>IFERROR(__xludf.DUMMYFUNCTION("""COMPUTED_VALUE"""),2.658343E7)</f>
        <v>26583430</v>
      </c>
      <c r="I56" s="20">
        <f>IFERROR(__xludf.DUMMYFUNCTION("""COMPUTED_VALUE"""),2.1692712E7)</f>
        <v>21692712</v>
      </c>
      <c r="J56" s="19">
        <f>IFERROR(__xludf.DUMMYFUNCTION("""COMPUTED_VALUE"""),0.8160238163397274)</f>
        <v>0.8160238163</v>
      </c>
      <c r="K56" s="20">
        <f>IFERROR(__xludf.DUMMYFUNCTION("""COMPUTED_VALUE"""),757.0)</f>
        <v>757</v>
      </c>
      <c r="L56" s="20"/>
      <c r="M56" s="20" t="str">
        <f>IFERROR(__xludf.DUMMYFUNCTION("""COMPUTED_VALUE"""),"#N/A")</f>
        <v>#N/A</v>
      </c>
      <c r="N56" s="20" t="str">
        <f>IFERROR(__xludf.DUMMYFUNCTION("""COMPUTED_VALUE"""),"#N/A")</f>
        <v>#N/A</v>
      </c>
      <c r="O56" s="20"/>
      <c r="P56" s="20"/>
      <c r="Q56" s="20" t="str">
        <f>IFERROR(__xludf.DUMMYFUNCTION("""COMPUTED_VALUE"""),"#N/A")</f>
        <v>#N/A</v>
      </c>
      <c r="R56" s="20" t="str">
        <f>IFERROR(__xludf.DUMMYFUNCTION("""COMPUTED_VALUE"""),"#N/A")</f>
        <v>#N/A</v>
      </c>
      <c r="S56" s="20">
        <f>IFERROR(__xludf.DUMMYFUNCTION("""COMPUTED_VALUE"""),0.090038212)</f>
        <v>0.090038212</v>
      </c>
      <c r="T56" s="20">
        <f>IFERROR(__xludf.DUMMYFUNCTION("""COMPUTED_VALUE"""),0.015634899)</f>
        <v>0.015634899</v>
      </c>
      <c r="U56" s="20">
        <f>IFERROR(__xludf.DUMMYFUNCTION("""COMPUTED_VALUE"""),0.095239842)</f>
        <v>0.095239842</v>
      </c>
      <c r="V56" s="20">
        <f>IFERROR(__xludf.DUMMYFUNCTION("""COMPUTED_VALUE"""),0.799087047)</f>
        <v>0.799087047</v>
      </c>
      <c r="W56" s="20"/>
      <c r="X56" s="20"/>
      <c r="Y56" s="20"/>
      <c r="Z56" s="20"/>
    </row>
    <row r="57">
      <c r="A57" s="20" t="str">
        <f>IFERROR(__xludf.DUMMYFUNCTION("""COMPUTED_VALUE"""),"s063")</f>
        <v>s063</v>
      </c>
      <c r="B57" s="20" t="str">
        <f>IFERROR(__xludf.DUMMYFUNCTION("""COMPUTED_VALUE"""),"wgs")</f>
        <v>wgs</v>
      </c>
      <c r="C57" s="20" t="str">
        <f>IFERROR(__xludf.DUMMYFUNCTION("""COMPUTED_VALUE"""),"OF46")</f>
        <v>OF46</v>
      </c>
      <c r="D57" s="20" t="str">
        <f>IFERROR(__xludf.DUMMYFUNCTION("""COMPUTED_VALUE"""),"OF46")</f>
        <v>OF46</v>
      </c>
      <c r="E57" s="20" t="str">
        <f>IFERROR(__xludf.DUMMYFUNCTION("""COMPUTED_VALUE"""),"no")</f>
        <v>no</v>
      </c>
      <c r="F57" s="20">
        <f>IFERROR(__xludf.DUMMYFUNCTION("""COMPUTED_VALUE"""),63.0)</f>
        <v>63</v>
      </c>
      <c r="G57" s="20"/>
      <c r="H57" s="20">
        <f>IFERROR(__xludf.DUMMYFUNCTION("""COMPUTED_VALUE"""),2.469772E7)</f>
        <v>24697720</v>
      </c>
      <c r="I57" s="20">
        <f>IFERROR(__xludf.DUMMYFUNCTION("""COMPUTED_VALUE"""),6701417.0)</f>
        <v>6701417</v>
      </c>
      <c r="J57" s="19">
        <f>IFERROR(__xludf.DUMMYFUNCTION("""COMPUTED_VALUE"""),0.27133747568601474)</f>
        <v>0.2713374757</v>
      </c>
      <c r="K57" s="20">
        <f>IFERROR(__xludf.DUMMYFUNCTION("""COMPUTED_VALUE"""),4436.0)</f>
        <v>4436</v>
      </c>
      <c r="L57" s="20"/>
      <c r="M57" s="20" t="str">
        <f>IFERROR(__xludf.DUMMYFUNCTION("""COMPUTED_VALUE"""),"KWN")</f>
        <v>KWN</v>
      </c>
      <c r="N57" s="20" t="str">
        <f>IFERROR(__xludf.DUMMYFUNCTION("""COMPUTED_VALUE"""),"N")</f>
        <v>N</v>
      </c>
      <c r="O57" s="20">
        <f>IFERROR(__xludf.DUMMYFUNCTION("""COMPUTED_VALUE"""),24.55107)</f>
        <v>24.55107</v>
      </c>
      <c r="P57" s="20">
        <f>IFERROR(__xludf.DUMMYFUNCTION("""COMPUTED_VALUE"""),-81.80805)</f>
        <v>-81.80805</v>
      </c>
      <c r="Q57" s="20" t="str">
        <f>IFERROR(__xludf.DUMMYFUNCTION("""COMPUTED_VALUE"""),"2010-2017")</f>
        <v>2010-2017</v>
      </c>
      <c r="R57" s="20" t="str">
        <f>IFERROR(__xludf.DUMMYFUNCTION("""COMPUTED_VALUE"""),"Mote")</f>
        <v>Mote</v>
      </c>
      <c r="S57" s="20">
        <f>IFERROR(__xludf.DUMMYFUNCTION("""COMPUTED_VALUE"""),0.077837603)</f>
        <v>0.077837603</v>
      </c>
      <c r="T57" s="20">
        <f>IFERROR(__xludf.DUMMYFUNCTION("""COMPUTED_VALUE"""),0.009253148)</f>
        <v>0.009253148</v>
      </c>
      <c r="U57" s="20">
        <f>IFERROR(__xludf.DUMMYFUNCTION("""COMPUTED_VALUE"""),0.053538862)</f>
        <v>0.053538862</v>
      </c>
      <c r="V57" s="20">
        <f>IFERROR(__xludf.DUMMYFUNCTION("""COMPUTED_VALUE"""),0.859370386)</f>
        <v>0.859370386</v>
      </c>
      <c r="W57" s="20"/>
      <c r="X57" s="20"/>
      <c r="Y57" s="20"/>
      <c r="Z57" s="20"/>
    </row>
    <row r="58">
      <c r="A58" s="20" t="str">
        <f>IFERROR(__xludf.DUMMYFUNCTION("""COMPUTED_VALUE"""),"s064")</f>
        <v>s064</v>
      </c>
      <c r="B58" s="20" t="str">
        <f>IFERROR(__xludf.DUMMYFUNCTION("""COMPUTED_VALUE"""),"wgs")</f>
        <v>wgs</v>
      </c>
      <c r="C58" s="20" t="str">
        <f>IFERROR(__xludf.DUMMYFUNCTION("""COMPUTED_VALUE"""),"GB27")</f>
        <v>GB27</v>
      </c>
      <c r="D58" s="20" t="str">
        <f>IFERROR(__xludf.DUMMYFUNCTION("""COMPUTED_VALUE"""),"GB27")</f>
        <v>GB27</v>
      </c>
      <c r="E58" s="20" t="str">
        <f>IFERROR(__xludf.DUMMYFUNCTION("""COMPUTED_VALUE"""),"no")</f>
        <v>no</v>
      </c>
      <c r="F58" s="20">
        <f>IFERROR(__xludf.DUMMYFUNCTION("""COMPUTED_VALUE"""),64.0)</f>
        <v>64</v>
      </c>
      <c r="G58" s="20"/>
      <c r="H58" s="20">
        <f>IFERROR(__xludf.DUMMYFUNCTION("""COMPUTED_VALUE"""),2.6633402E7)</f>
        <v>26633402</v>
      </c>
      <c r="I58" s="20">
        <f>IFERROR(__xludf.DUMMYFUNCTION("""COMPUTED_VALUE"""),8652428.0)</f>
        <v>8652428</v>
      </c>
      <c r="J58" s="19">
        <f>IFERROR(__xludf.DUMMYFUNCTION("""COMPUTED_VALUE"""),0.32487130258462665)</f>
        <v>0.3248713026</v>
      </c>
      <c r="K58" s="20">
        <f>IFERROR(__xludf.DUMMYFUNCTION("""COMPUTED_VALUE"""),3298.0)</f>
        <v>3298</v>
      </c>
      <c r="L58" s="20"/>
      <c r="M58" s="20" t="str">
        <f>IFERROR(__xludf.DUMMYFUNCTION("""COMPUTED_VALUE"""),"#N/A")</f>
        <v>#N/A</v>
      </c>
      <c r="N58" s="20" t="str">
        <f>IFERROR(__xludf.DUMMYFUNCTION("""COMPUTED_VALUE"""),"#N/A")</f>
        <v>#N/A</v>
      </c>
      <c r="O58" s="20"/>
      <c r="P58" s="20"/>
      <c r="Q58" s="20" t="str">
        <f>IFERROR(__xludf.DUMMYFUNCTION("""COMPUTED_VALUE"""),"#N/A")</f>
        <v>#N/A</v>
      </c>
      <c r="R58" s="20" t="str">
        <f>IFERROR(__xludf.DUMMYFUNCTION("""COMPUTED_VALUE"""),"#N/A")</f>
        <v>#N/A</v>
      </c>
      <c r="S58" s="20">
        <f>IFERROR(__xludf.DUMMYFUNCTION("""COMPUTED_VALUE"""),0.057557752)</f>
        <v>0.057557752</v>
      </c>
      <c r="T58" s="20">
        <f>IFERROR(__xludf.DUMMYFUNCTION("""COMPUTED_VALUE"""),0.010268099)</f>
        <v>0.010268099</v>
      </c>
      <c r="U58" s="20">
        <f>IFERROR(__xludf.DUMMYFUNCTION("""COMPUTED_VALUE"""),0.044741705)</f>
        <v>0.044741705</v>
      </c>
      <c r="V58" s="20">
        <f>IFERROR(__xludf.DUMMYFUNCTION("""COMPUTED_VALUE"""),0.887432445)</f>
        <v>0.887432445</v>
      </c>
      <c r="W58" s="20"/>
      <c r="X58" s="20"/>
      <c r="Y58" s="20"/>
      <c r="Z58" s="20"/>
    </row>
    <row r="59">
      <c r="A59" s="20" t="str">
        <f>IFERROR(__xludf.DUMMYFUNCTION("""COMPUTED_VALUE"""),"s067")</f>
        <v>s067</v>
      </c>
      <c r="B59" s="20" t="str">
        <f>IFERROR(__xludf.DUMMYFUNCTION("""COMPUTED_VALUE"""),"wgs")</f>
        <v>wgs</v>
      </c>
      <c r="C59" s="20" t="str">
        <f>IFERROR(__xludf.DUMMYFUNCTION("""COMPUTED_VALUE"""),"OF97")</f>
        <v>OF97</v>
      </c>
      <c r="D59" s="20" t="str">
        <f>IFERROR(__xludf.DUMMYFUNCTION("""COMPUTED_VALUE"""),"OF97")</f>
        <v>OF97</v>
      </c>
      <c r="E59" s="20" t="str">
        <f>IFERROR(__xludf.DUMMYFUNCTION("""COMPUTED_VALUE"""),"no")</f>
        <v>no</v>
      </c>
      <c r="F59" s="20">
        <f>IFERROR(__xludf.DUMMYFUNCTION("""COMPUTED_VALUE"""),67.0)</f>
        <v>67</v>
      </c>
      <c r="G59" s="20"/>
      <c r="H59" s="20">
        <f>IFERROR(__xludf.DUMMYFUNCTION("""COMPUTED_VALUE"""),2.6569985E7)</f>
        <v>26569985</v>
      </c>
      <c r="I59" s="20">
        <f>IFERROR(__xludf.DUMMYFUNCTION("""COMPUTED_VALUE"""),2.0667225E7)</f>
        <v>20667225</v>
      </c>
      <c r="J59" s="19">
        <f>IFERROR(__xludf.DUMMYFUNCTION("""COMPUTED_VALUE"""),0.7778410488376264)</f>
        <v>0.7778410488</v>
      </c>
      <c r="K59" s="20">
        <f>IFERROR(__xludf.DUMMYFUNCTION("""COMPUTED_VALUE"""),765.0)</f>
        <v>765</v>
      </c>
      <c r="L59" s="20"/>
      <c r="M59" s="20" t="str">
        <f>IFERROR(__xludf.DUMMYFUNCTION("""COMPUTED_VALUE"""),"Wonderland2")</f>
        <v>Wonderland2</v>
      </c>
      <c r="N59" s="20" t="str">
        <f>IFERROR(__xludf.DUMMYFUNCTION("""COMPUTED_VALUE"""),"Y")</f>
        <v>Y</v>
      </c>
      <c r="O59" s="20">
        <f>IFERROR(__xludf.DUMMYFUNCTION("""COMPUTED_VALUE"""),24.55994)</f>
        <v>24.55994</v>
      </c>
      <c r="P59" s="20">
        <f>IFERROR(__xludf.DUMMYFUNCTION("""COMPUTED_VALUE"""),-81.50162)</f>
        <v>-81.50162</v>
      </c>
      <c r="Q59" s="20" t="str">
        <f>IFERROR(__xludf.DUMMYFUNCTION("""COMPUTED_VALUE"""),"12.15.2020")</f>
        <v>12.15.2020</v>
      </c>
      <c r="R59" s="20" t="str">
        <f>IFERROR(__xludf.DUMMYFUNCTION("""COMPUTED_VALUE"""),"Mote")</f>
        <v>Mote</v>
      </c>
      <c r="S59" s="20">
        <f>IFERROR(__xludf.DUMMYFUNCTION("""COMPUTED_VALUE"""),0.062724518)</f>
        <v>0.062724518</v>
      </c>
      <c r="T59" s="20">
        <f>IFERROR(__xludf.DUMMYFUNCTION("""COMPUTED_VALUE"""),0.007039882)</f>
        <v>0.007039882</v>
      </c>
      <c r="U59" s="20">
        <f>IFERROR(__xludf.DUMMYFUNCTION("""COMPUTED_VALUE"""),0.052534775)</f>
        <v>0.052534775</v>
      </c>
      <c r="V59" s="20">
        <f>IFERROR(__xludf.DUMMYFUNCTION("""COMPUTED_VALUE"""),0.877700824)</f>
        <v>0.877700824</v>
      </c>
      <c r="W59" s="20"/>
      <c r="X59" s="20"/>
      <c r="Y59" s="20"/>
      <c r="Z59" s="20"/>
    </row>
    <row r="60">
      <c r="A60" s="20" t="str">
        <f>IFERROR(__xludf.DUMMYFUNCTION("""COMPUTED_VALUE"""),"s068")</f>
        <v>s068</v>
      </c>
      <c r="B60" s="20" t="str">
        <f>IFERROR(__xludf.DUMMYFUNCTION("""COMPUTED_VALUE"""),"wgs")</f>
        <v>wgs</v>
      </c>
      <c r="C60" s="20" t="str">
        <f>IFERROR(__xludf.DUMMYFUNCTION("""COMPUTED_VALUE"""),"M36")</f>
        <v>M36</v>
      </c>
      <c r="D60" s="20" t="str">
        <f>IFERROR(__xludf.DUMMYFUNCTION("""COMPUTED_VALUE"""),"M36")</f>
        <v>M36</v>
      </c>
      <c r="E60" s="20" t="str">
        <f>IFERROR(__xludf.DUMMYFUNCTION("""COMPUTED_VALUE"""),"no")</f>
        <v>no</v>
      </c>
      <c r="F60" s="20">
        <f>IFERROR(__xludf.DUMMYFUNCTION("""COMPUTED_VALUE"""),68.0)</f>
        <v>68</v>
      </c>
      <c r="G60" s="20"/>
      <c r="H60" s="20">
        <f>IFERROR(__xludf.DUMMYFUNCTION("""COMPUTED_VALUE"""),2.5762604E7)</f>
        <v>25762604</v>
      </c>
      <c r="I60" s="20">
        <f>IFERROR(__xludf.DUMMYFUNCTION("""COMPUTED_VALUE"""),1.7587728E7)</f>
        <v>17587728</v>
      </c>
      <c r="J60" s="19">
        <f>IFERROR(__xludf.DUMMYFUNCTION("""COMPUTED_VALUE"""),0.6826844056602352)</f>
        <v>0.6826844057</v>
      </c>
      <c r="K60" s="20">
        <f>IFERROR(__xludf.DUMMYFUNCTION("""COMPUTED_VALUE"""),873.0)</f>
        <v>873</v>
      </c>
      <c r="L60" s="20"/>
      <c r="M60" s="20" t="str">
        <f>IFERROR(__xludf.DUMMYFUNCTION("""COMPUTED_VALUE"""),"#N/A")</f>
        <v>#N/A</v>
      </c>
      <c r="N60" s="20" t="str">
        <f>IFERROR(__xludf.DUMMYFUNCTION("""COMPUTED_VALUE"""),"#N/A")</f>
        <v>#N/A</v>
      </c>
      <c r="O60" s="20"/>
      <c r="P60" s="20"/>
      <c r="Q60" s="20" t="str">
        <f>IFERROR(__xludf.DUMMYFUNCTION("""COMPUTED_VALUE"""),"#N/A")</f>
        <v>#N/A</v>
      </c>
      <c r="R60" s="20" t="str">
        <f>IFERROR(__xludf.DUMMYFUNCTION("""COMPUTED_VALUE"""),"#N/A")</f>
        <v>#N/A</v>
      </c>
      <c r="S60" s="20">
        <f>IFERROR(__xludf.DUMMYFUNCTION("""COMPUTED_VALUE"""),0.088364192)</f>
        <v>0.088364192</v>
      </c>
      <c r="T60" s="20">
        <f>IFERROR(__xludf.DUMMYFUNCTION("""COMPUTED_VALUE"""),0.010529269)</f>
        <v>0.010529269</v>
      </c>
      <c r="U60" s="20">
        <f>IFERROR(__xludf.DUMMYFUNCTION("""COMPUTED_VALUE"""),0.116897326)</f>
        <v>0.116897326</v>
      </c>
      <c r="V60" s="20">
        <f>IFERROR(__xludf.DUMMYFUNCTION("""COMPUTED_VALUE"""),0.784209214)</f>
        <v>0.784209214</v>
      </c>
      <c r="W60" s="20"/>
      <c r="X60" s="20"/>
      <c r="Y60" s="20"/>
      <c r="Z60" s="20"/>
    </row>
    <row r="61">
      <c r="A61" s="20" t="str">
        <f>IFERROR(__xludf.DUMMYFUNCTION("""COMPUTED_VALUE"""),"s069")</f>
        <v>s069</v>
      </c>
      <c r="B61" s="20" t="str">
        <f>IFERROR(__xludf.DUMMYFUNCTION("""COMPUTED_VALUE"""),"wgs")</f>
        <v>wgs</v>
      </c>
      <c r="C61" s="20" t="str">
        <f>IFERROR(__xludf.DUMMYFUNCTION("""COMPUTED_VALUE"""),"M16")</f>
        <v>M16</v>
      </c>
      <c r="D61" s="20" t="str">
        <f>IFERROR(__xludf.DUMMYFUNCTION("""COMPUTED_VALUE"""),"M16")</f>
        <v>M16</v>
      </c>
      <c r="E61" s="20" t="str">
        <f>IFERROR(__xludf.DUMMYFUNCTION("""COMPUTED_VALUE"""),"no")</f>
        <v>no</v>
      </c>
      <c r="F61" s="20">
        <f>IFERROR(__xludf.DUMMYFUNCTION("""COMPUTED_VALUE"""),69.0)</f>
        <v>69</v>
      </c>
      <c r="G61" s="20"/>
      <c r="H61" s="20">
        <f>IFERROR(__xludf.DUMMYFUNCTION("""COMPUTED_VALUE"""),2.8821577E7)</f>
        <v>28821577</v>
      </c>
      <c r="I61" s="20">
        <f>IFERROR(__xludf.DUMMYFUNCTION("""COMPUTED_VALUE"""),2.3813942E7)</f>
        <v>23813942</v>
      </c>
      <c r="J61" s="19">
        <f>IFERROR(__xludf.DUMMYFUNCTION("""COMPUTED_VALUE"""),0.8262539555000755)</f>
        <v>0.8262539555</v>
      </c>
      <c r="K61" s="20">
        <f>IFERROR(__xludf.DUMMYFUNCTION("""COMPUTED_VALUE"""),584.0)</f>
        <v>584</v>
      </c>
      <c r="L61" s="20"/>
      <c r="M61" s="20" t="str">
        <f>IFERROR(__xludf.DUMMYFUNCTION("""COMPUTED_VALUE"""),"#N/A")</f>
        <v>#N/A</v>
      </c>
      <c r="N61" s="20" t="str">
        <f>IFERROR(__xludf.DUMMYFUNCTION("""COMPUTED_VALUE"""),"#N/A")</f>
        <v>#N/A</v>
      </c>
      <c r="O61" s="20"/>
      <c r="P61" s="20"/>
      <c r="Q61" s="20" t="str">
        <f>IFERROR(__xludf.DUMMYFUNCTION("""COMPUTED_VALUE"""),"#N/A")</f>
        <v>#N/A</v>
      </c>
      <c r="R61" s="20" t="str">
        <f>IFERROR(__xludf.DUMMYFUNCTION("""COMPUTED_VALUE"""),"#N/A")</f>
        <v>#N/A</v>
      </c>
      <c r="S61" s="20">
        <f>IFERROR(__xludf.DUMMYFUNCTION("""COMPUTED_VALUE"""),0.150103449)</f>
        <v>0.150103449</v>
      </c>
      <c r="T61" s="20">
        <f>IFERROR(__xludf.DUMMYFUNCTION("""COMPUTED_VALUE"""),0.017364774)</f>
        <v>0.017364774</v>
      </c>
      <c r="U61" s="20">
        <f>IFERROR(__xludf.DUMMYFUNCTION("""COMPUTED_VALUE"""),0.144102051)</f>
        <v>0.144102051</v>
      </c>
      <c r="V61" s="20">
        <f>IFERROR(__xludf.DUMMYFUNCTION("""COMPUTED_VALUE"""),0.688429726)</f>
        <v>0.688429726</v>
      </c>
      <c r="W61" s="20"/>
      <c r="X61" s="20"/>
      <c r="Y61" s="20"/>
      <c r="Z61" s="20"/>
    </row>
    <row r="62">
      <c r="A62" s="20" t="str">
        <f>IFERROR(__xludf.DUMMYFUNCTION("""COMPUTED_VALUE"""),"s070")</f>
        <v>s070</v>
      </c>
      <c r="B62" s="20" t="str">
        <f>IFERROR(__xludf.DUMMYFUNCTION("""COMPUTED_VALUE"""),"wgs")</f>
        <v>wgs</v>
      </c>
      <c r="C62" s="20" t="str">
        <f>IFERROR(__xludf.DUMMYFUNCTION("""COMPUTED_VALUE"""),"M3")</f>
        <v>M3</v>
      </c>
      <c r="D62" s="20" t="str">
        <f>IFERROR(__xludf.DUMMYFUNCTION("""COMPUTED_VALUE"""),"M3")</f>
        <v>M3</v>
      </c>
      <c r="E62" s="20" t="str">
        <f>IFERROR(__xludf.DUMMYFUNCTION("""COMPUTED_VALUE"""),"no")</f>
        <v>no</v>
      </c>
      <c r="F62" s="20">
        <f>IFERROR(__xludf.DUMMYFUNCTION("""COMPUTED_VALUE"""),70.0)</f>
        <v>70</v>
      </c>
      <c r="G62" s="20"/>
      <c r="H62" s="20">
        <f>IFERROR(__xludf.DUMMYFUNCTION("""COMPUTED_VALUE"""),1.9188777E7)</f>
        <v>19188777</v>
      </c>
      <c r="I62" s="20">
        <f>IFERROR(__xludf.DUMMYFUNCTION("""COMPUTED_VALUE"""),1.3754696E7)</f>
        <v>13754696</v>
      </c>
      <c r="J62" s="19">
        <f>IFERROR(__xludf.DUMMYFUNCTION("""COMPUTED_VALUE"""),0.7168094141695429)</f>
        <v>0.7168094142</v>
      </c>
      <c r="K62" s="20">
        <f>IFERROR(__xludf.DUMMYFUNCTION("""COMPUTED_VALUE"""),1940.0)</f>
        <v>1940</v>
      </c>
      <c r="L62" s="20"/>
      <c r="M62" s="20" t="str">
        <f>IFERROR(__xludf.DUMMYFUNCTION("""COMPUTED_VALUE"""),"#N/A")</f>
        <v>#N/A</v>
      </c>
      <c r="N62" s="20" t="str">
        <f>IFERROR(__xludf.DUMMYFUNCTION("""COMPUTED_VALUE"""),"#N/A")</f>
        <v>#N/A</v>
      </c>
      <c r="O62" s="20"/>
      <c r="P62" s="20"/>
      <c r="Q62" s="20" t="str">
        <f>IFERROR(__xludf.DUMMYFUNCTION("""COMPUTED_VALUE"""),"#N/A")</f>
        <v>#N/A</v>
      </c>
      <c r="R62" s="20" t="str">
        <f>IFERROR(__xludf.DUMMYFUNCTION("""COMPUTED_VALUE"""),"#N/A")</f>
        <v>#N/A</v>
      </c>
      <c r="S62" s="20">
        <f>IFERROR(__xludf.DUMMYFUNCTION("""COMPUTED_VALUE"""),0.135412521)</f>
        <v>0.135412521</v>
      </c>
      <c r="T62" s="20">
        <f>IFERROR(__xludf.DUMMYFUNCTION("""COMPUTED_VALUE"""),0.026529823)</f>
        <v>0.026529823</v>
      </c>
      <c r="U62" s="20">
        <f>IFERROR(__xludf.DUMMYFUNCTION("""COMPUTED_VALUE"""),0.179873657)</f>
        <v>0.179873657</v>
      </c>
      <c r="V62" s="20">
        <f>IFERROR(__xludf.DUMMYFUNCTION("""COMPUTED_VALUE"""),0.658183999)</f>
        <v>0.658183999</v>
      </c>
      <c r="W62" s="20"/>
      <c r="X62" s="20"/>
      <c r="Y62" s="20"/>
      <c r="Z62" s="20"/>
    </row>
    <row r="63">
      <c r="A63" s="20" t="str">
        <f>IFERROR(__xludf.DUMMYFUNCTION("""COMPUTED_VALUE"""),"s071")</f>
        <v>s071</v>
      </c>
      <c r="B63" s="20" t="str">
        <f>IFERROR(__xludf.DUMMYFUNCTION("""COMPUTED_VALUE"""),"wgs")</f>
        <v>wgs</v>
      </c>
      <c r="C63" s="20" t="str">
        <f>IFERROR(__xludf.DUMMYFUNCTION("""COMPUTED_VALUE"""),"M17")</f>
        <v>M17</v>
      </c>
      <c r="D63" s="20" t="str">
        <f>IFERROR(__xludf.DUMMYFUNCTION("""COMPUTED_VALUE"""),"M17")</f>
        <v>M17</v>
      </c>
      <c r="E63" s="20" t="str">
        <f>IFERROR(__xludf.DUMMYFUNCTION("""COMPUTED_VALUE"""),"no")</f>
        <v>no</v>
      </c>
      <c r="F63" s="20">
        <f>IFERROR(__xludf.DUMMYFUNCTION("""COMPUTED_VALUE"""),71.0)</f>
        <v>71</v>
      </c>
      <c r="G63" s="20"/>
      <c r="H63" s="20">
        <f>IFERROR(__xludf.DUMMYFUNCTION("""COMPUTED_VALUE"""),1.9413289E7)</f>
        <v>19413289</v>
      </c>
      <c r="I63" s="20">
        <f>IFERROR(__xludf.DUMMYFUNCTION("""COMPUTED_VALUE"""),1.3969505E7)</f>
        <v>13969505</v>
      </c>
      <c r="J63" s="19">
        <f>IFERROR(__xludf.DUMMYFUNCTION("""COMPUTED_VALUE"""),0.7195846618262367)</f>
        <v>0.7195846618</v>
      </c>
      <c r="K63" s="20">
        <f>IFERROR(__xludf.DUMMYFUNCTION("""COMPUTED_VALUE"""),1376.0)</f>
        <v>1376</v>
      </c>
      <c r="L63" s="20"/>
      <c r="M63" s="20" t="str">
        <f>IFERROR(__xludf.DUMMYFUNCTION("""COMPUTED_VALUE"""),"#N/A")</f>
        <v>#N/A</v>
      </c>
      <c r="N63" s="20" t="str">
        <f>IFERROR(__xludf.DUMMYFUNCTION("""COMPUTED_VALUE"""),"#N/A")</f>
        <v>#N/A</v>
      </c>
      <c r="O63" s="20"/>
      <c r="P63" s="20"/>
      <c r="Q63" s="20" t="str">
        <f>IFERROR(__xludf.DUMMYFUNCTION("""COMPUTED_VALUE"""),"#N/A")</f>
        <v>#N/A</v>
      </c>
      <c r="R63" s="20" t="str">
        <f>IFERROR(__xludf.DUMMYFUNCTION("""COMPUTED_VALUE"""),"#N/A")</f>
        <v>#N/A</v>
      </c>
      <c r="S63" s="20">
        <f>IFERROR(__xludf.DUMMYFUNCTION("""COMPUTED_VALUE"""),0.07182664)</f>
        <v>0.07182664</v>
      </c>
      <c r="T63" s="20">
        <f>IFERROR(__xludf.DUMMYFUNCTION("""COMPUTED_VALUE"""),0.010185603)</f>
        <v>0.010185603</v>
      </c>
      <c r="U63" s="20">
        <f>IFERROR(__xludf.DUMMYFUNCTION("""COMPUTED_VALUE"""),0.074286916)</f>
        <v>0.074286916</v>
      </c>
      <c r="V63" s="20">
        <f>IFERROR(__xludf.DUMMYFUNCTION("""COMPUTED_VALUE"""),0.84370084)</f>
        <v>0.84370084</v>
      </c>
      <c r="W63" s="20"/>
      <c r="X63" s="20"/>
      <c r="Y63" s="20"/>
      <c r="Z63" s="20"/>
    </row>
    <row r="64">
      <c r="A64" s="20" t="str">
        <f>IFERROR(__xludf.DUMMYFUNCTION("""COMPUTED_VALUE"""),"s073")</f>
        <v>s073</v>
      </c>
      <c r="B64" s="20" t="str">
        <f>IFERROR(__xludf.DUMMYFUNCTION("""COMPUTED_VALUE"""),"wgs")</f>
        <v>wgs</v>
      </c>
      <c r="C64" s="20" t="str">
        <f>IFERROR(__xludf.DUMMYFUNCTION("""COMPUTED_VALUE"""),"M32")</f>
        <v>M32</v>
      </c>
      <c r="D64" s="20" t="str">
        <f>IFERROR(__xludf.DUMMYFUNCTION("""COMPUTED_VALUE"""),"M32")</f>
        <v>M32</v>
      </c>
      <c r="E64" s="20" t="str">
        <f>IFERROR(__xludf.DUMMYFUNCTION("""COMPUTED_VALUE"""),"no")</f>
        <v>no</v>
      </c>
      <c r="F64" s="20">
        <f>IFERROR(__xludf.DUMMYFUNCTION("""COMPUTED_VALUE"""),73.0)</f>
        <v>73</v>
      </c>
      <c r="G64" s="20"/>
      <c r="H64" s="20">
        <f>IFERROR(__xludf.DUMMYFUNCTION("""COMPUTED_VALUE"""),2.06736E7)</f>
        <v>20673600</v>
      </c>
      <c r="I64" s="20">
        <f>IFERROR(__xludf.DUMMYFUNCTION("""COMPUTED_VALUE"""),1.44448E7)</f>
        <v>14444800</v>
      </c>
      <c r="J64" s="19">
        <f>IFERROR(__xludf.DUMMYFUNCTION("""COMPUTED_VALUE"""),0.6987075303769058)</f>
        <v>0.6987075304</v>
      </c>
      <c r="K64" s="20">
        <f>IFERROR(__xludf.DUMMYFUNCTION("""COMPUTED_VALUE"""),1268.0)</f>
        <v>1268</v>
      </c>
      <c r="L64" s="20"/>
      <c r="M64" s="20" t="str">
        <f>IFERROR(__xludf.DUMMYFUNCTION("""COMPUTED_VALUE"""),"#N/A")</f>
        <v>#N/A</v>
      </c>
      <c r="N64" s="20" t="str">
        <f>IFERROR(__xludf.DUMMYFUNCTION("""COMPUTED_VALUE"""),"#N/A")</f>
        <v>#N/A</v>
      </c>
      <c r="O64" s="20"/>
      <c r="P64" s="20"/>
      <c r="Q64" s="20" t="str">
        <f>IFERROR(__xludf.DUMMYFUNCTION("""COMPUTED_VALUE"""),"#N/A")</f>
        <v>#N/A</v>
      </c>
      <c r="R64" s="20" t="str">
        <f>IFERROR(__xludf.DUMMYFUNCTION("""COMPUTED_VALUE"""),"#N/A")</f>
        <v>#N/A</v>
      </c>
      <c r="S64" s="20">
        <f>IFERROR(__xludf.DUMMYFUNCTION("""COMPUTED_VALUE"""),0.066101233)</f>
        <v>0.066101233</v>
      </c>
      <c r="T64" s="20">
        <f>IFERROR(__xludf.DUMMYFUNCTION("""COMPUTED_VALUE"""),0.013480917)</f>
        <v>0.013480917</v>
      </c>
      <c r="U64" s="20">
        <f>IFERROR(__xludf.DUMMYFUNCTION("""COMPUTED_VALUE"""),0.078942981)</f>
        <v>0.078942981</v>
      </c>
      <c r="V64" s="20">
        <f>IFERROR(__xludf.DUMMYFUNCTION("""COMPUTED_VALUE"""),0.84147487)</f>
        <v>0.84147487</v>
      </c>
      <c r="W64" s="20"/>
      <c r="X64" s="20"/>
      <c r="Y64" s="20"/>
      <c r="Z64" s="20"/>
    </row>
    <row r="65">
      <c r="A65" s="20" t="str">
        <f>IFERROR(__xludf.DUMMYFUNCTION("""COMPUTED_VALUE"""),"s074")</f>
        <v>s074</v>
      </c>
      <c r="B65" s="20" t="str">
        <f>IFERROR(__xludf.DUMMYFUNCTION("""COMPUTED_VALUE"""),"wgs")</f>
        <v>wgs</v>
      </c>
      <c r="C65" s="20" t="str">
        <f>IFERROR(__xludf.DUMMYFUNCTION("""COMPUTED_VALUE"""),"M26")</f>
        <v>M26</v>
      </c>
      <c r="D65" s="20" t="str">
        <f>IFERROR(__xludf.DUMMYFUNCTION("""COMPUTED_VALUE"""),"M26")</f>
        <v>M26</v>
      </c>
      <c r="E65" s="20" t="str">
        <f>IFERROR(__xludf.DUMMYFUNCTION("""COMPUTED_VALUE"""),"no")</f>
        <v>no</v>
      </c>
      <c r="F65" s="20">
        <f>IFERROR(__xludf.DUMMYFUNCTION("""COMPUTED_VALUE"""),74.0)</f>
        <v>74</v>
      </c>
      <c r="G65" s="20"/>
      <c r="H65" s="20">
        <f>IFERROR(__xludf.DUMMYFUNCTION("""COMPUTED_VALUE"""),2.4434674E7)</f>
        <v>24434674</v>
      </c>
      <c r="I65" s="20">
        <f>IFERROR(__xludf.DUMMYFUNCTION("""COMPUTED_VALUE"""),1.3196358E7)</f>
        <v>13196358</v>
      </c>
      <c r="J65" s="19">
        <f>IFERROR(__xludf.DUMMYFUNCTION("""COMPUTED_VALUE"""),0.5400668738203751)</f>
        <v>0.5400668738</v>
      </c>
      <c r="K65" s="20">
        <f>IFERROR(__xludf.DUMMYFUNCTION("""COMPUTED_VALUE"""),2531.0)</f>
        <v>2531</v>
      </c>
      <c r="L65" s="20"/>
      <c r="M65" s="20" t="str">
        <f>IFERROR(__xludf.DUMMYFUNCTION("""COMPUTED_VALUE"""),"#N/A")</f>
        <v>#N/A</v>
      </c>
      <c r="N65" s="20" t="str">
        <f>IFERROR(__xludf.DUMMYFUNCTION("""COMPUTED_VALUE"""),"#N/A")</f>
        <v>#N/A</v>
      </c>
      <c r="O65" s="20"/>
      <c r="P65" s="20"/>
      <c r="Q65" s="20" t="str">
        <f>IFERROR(__xludf.DUMMYFUNCTION("""COMPUTED_VALUE"""),"#N/A")</f>
        <v>#N/A</v>
      </c>
      <c r="R65" s="20" t="str">
        <f>IFERROR(__xludf.DUMMYFUNCTION("""COMPUTED_VALUE"""),"#N/A")</f>
        <v>#N/A</v>
      </c>
      <c r="S65" s="20">
        <f>IFERROR(__xludf.DUMMYFUNCTION("""COMPUTED_VALUE"""),0.097277521)</f>
        <v>0.097277521</v>
      </c>
      <c r="T65" s="20">
        <f>IFERROR(__xludf.DUMMYFUNCTION("""COMPUTED_VALUE"""),0.016204262)</f>
        <v>0.016204262</v>
      </c>
      <c r="U65" s="20">
        <f>IFERROR(__xludf.DUMMYFUNCTION("""COMPUTED_VALUE"""),0.113474361)</f>
        <v>0.113474361</v>
      </c>
      <c r="V65" s="20">
        <f>IFERROR(__xludf.DUMMYFUNCTION("""COMPUTED_VALUE"""),0.773043856)</f>
        <v>0.773043856</v>
      </c>
      <c r="W65" s="20"/>
      <c r="X65" s="20"/>
      <c r="Y65" s="20"/>
      <c r="Z65" s="20"/>
    </row>
    <row r="66">
      <c r="A66" s="20" t="str">
        <f>IFERROR(__xludf.DUMMYFUNCTION("""COMPUTED_VALUE"""),"s076")</f>
        <v>s076</v>
      </c>
      <c r="B66" s="20" t="str">
        <f>IFERROR(__xludf.DUMMYFUNCTION("""COMPUTED_VALUE"""),"wgs")</f>
        <v>wgs</v>
      </c>
      <c r="C66" s="20" t="str">
        <f>IFERROR(__xludf.DUMMYFUNCTION("""COMPUTED_VALUE"""),"OF101")</f>
        <v>OF101</v>
      </c>
      <c r="D66" s="20" t="str">
        <f>IFERROR(__xludf.DUMMYFUNCTION("""COMPUTED_VALUE"""),"OF101")</f>
        <v>OF101</v>
      </c>
      <c r="E66" s="20" t="str">
        <f>IFERROR(__xludf.DUMMYFUNCTION("""COMPUTED_VALUE"""),"no")</f>
        <v>no</v>
      </c>
      <c r="F66" s="20">
        <f>IFERROR(__xludf.DUMMYFUNCTION("""COMPUTED_VALUE"""),76.0)</f>
        <v>76</v>
      </c>
      <c r="G66" s="20"/>
      <c r="H66" s="20">
        <f>IFERROR(__xludf.DUMMYFUNCTION("""COMPUTED_VALUE"""),2.6672251E7)</f>
        <v>26672251</v>
      </c>
      <c r="I66" s="20">
        <f>IFERROR(__xludf.DUMMYFUNCTION("""COMPUTED_VALUE"""),2.0813581E7)</f>
        <v>20813581</v>
      </c>
      <c r="J66" s="19">
        <f>IFERROR(__xludf.DUMMYFUNCTION("""COMPUTED_VALUE"""),0.7803458733198034)</f>
        <v>0.7803458733</v>
      </c>
      <c r="K66" s="20">
        <f>IFERROR(__xludf.DUMMYFUNCTION("""COMPUTED_VALUE"""),756.0)</f>
        <v>756</v>
      </c>
      <c r="L66" s="20"/>
      <c r="M66" s="20" t="str">
        <f>IFERROR(__xludf.DUMMYFUNCTION("""COMPUTED_VALUE"""),"#N/A")</f>
        <v>#N/A</v>
      </c>
      <c r="N66" s="20" t="str">
        <f>IFERROR(__xludf.DUMMYFUNCTION("""COMPUTED_VALUE"""),"#N/A")</f>
        <v>#N/A</v>
      </c>
      <c r="O66" s="20"/>
      <c r="P66" s="20"/>
      <c r="Q66" s="20" t="str">
        <f>IFERROR(__xludf.DUMMYFUNCTION("""COMPUTED_VALUE"""),"#N/A")</f>
        <v>#N/A</v>
      </c>
      <c r="R66" s="20" t="str">
        <f>IFERROR(__xludf.DUMMYFUNCTION("""COMPUTED_VALUE"""),"#N/A")</f>
        <v>#N/A</v>
      </c>
      <c r="S66" s="20">
        <f>IFERROR(__xludf.DUMMYFUNCTION("""COMPUTED_VALUE"""),0.138425907)</f>
        <v>0.138425907</v>
      </c>
      <c r="T66" s="20">
        <f>IFERROR(__xludf.DUMMYFUNCTION("""COMPUTED_VALUE"""),0.022280255)</f>
        <v>0.022280255</v>
      </c>
      <c r="U66" s="20">
        <f>IFERROR(__xludf.DUMMYFUNCTION("""COMPUTED_VALUE"""),0.162088707)</f>
        <v>0.162088707</v>
      </c>
      <c r="V66" s="20">
        <f>IFERROR(__xludf.DUMMYFUNCTION("""COMPUTED_VALUE"""),0.677205131)</f>
        <v>0.677205131</v>
      </c>
      <c r="W66" s="20"/>
      <c r="X66" s="20"/>
      <c r="Y66" s="20"/>
      <c r="Z66" s="20"/>
    </row>
    <row r="67">
      <c r="A67" s="20" t="str">
        <f>IFERROR(__xludf.DUMMYFUNCTION("""COMPUTED_VALUE"""),"s077")</f>
        <v>s077</v>
      </c>
      <c r="B67" s="20" t="str">
        <f>IFERROR(__xludf.DUMMYFUNCTION("""COMPUTED_VALUE"""),"wgs")</f>
        <v>wgs</v>
      </c>
      <c r="C67" s="20" t="str">
        <f>IFERROR(__xludf.DUMMYFUNCTION("""COMPUTED_VALUE"""),"S378")</f>
        <v>S378</v>
      </c>
      <c r="D67" s="20" t="str">
        <f>IFERROR(__xludf.DUMMYFUNCTION("""COMPUTED_VALUE"""),"S378")</f>
        <v>S378</v>
      </c>
      <c r="E67" s="20" t="str">
        <f>IFERROR(__xludf.DUMMYFUNCTION("""COMPUTED_VALUE"""),"no")</f>
        <v>no</v>
      </c>
      <c r="F67" s="20">
        <f>IFERROR(__xludf.DUMMYFUNCTION("""COMPUTED_VALUE"""),77.0)</f>
        <v>77</v>
      </c>
      <c r="G67" s="20"/>
      <c r="H67" s="20">
        <f>IFERROR(__xludf.DUMMYFUNCTION("""COMPUTED_VALUE"""),2.5881213E7)</f>
        <v>25881213</v>
      </c>
      <c r="I67" s="20">
        <f>IFERROR(__xludf.DUMMYFUNCTION("""COMPUTED_VALUE"""),1.0370725E7)</f>
        <v>10370725</v>
      </c>
      <c r="J67" s="19">
        <f>IFERROR(__xludf.DUMMYFUNCTION("""COMPUTED_VALUE"""),0.4007047505849127)</f>
        <v>0.4007047506</v>
      </c>
      <c r="K67" s="20">
        <f>IFERROR(__xludf.DUMMYFUNCTION("""COMPUTED_VALUE"""),2021.0)</f>
        <v>2021</v>
      </c>
      <c r="L67" s="20"/>
      <c r="M67" s="20" t="str">
        <f>IFERROR(__xludf.DUMMYFUNCTION("""COMPUTED_VALUE"""),"H")</f>
        <v>H</v>
      </c>
      <c r="N67" s="20" t="str">
        <f>IFERROR(__xludf.DUMMYFUNCTION("""COMPUTED_VALUE"""),"N")</f>
        <v>N</v>
      </c>
      <c r="O67" s="20">
        <f>IFERROR(__xludf.DUMMYFUNCTION("""COMPUTED_VALUE"""),25.139367)</f>
        <v>25.139367</v>
      </c>
      <c r="P67" s="20">
        <f>IFERROR(__xludf.DUMMYFUNCTION("""COMPUTED_VALUE"""),-80.294017)</f>
        <v>-80.294017</v>
      </c>
      <c r="Q67" s="20" t="str">
        <f>IFERROR(__xludf.DUMMYFUNCTION("""COMPUTED_VALUE"""),"2015 batch")</f>
        <v>2015 batch</v>
      </c>
      <c r="R67" s="20" t="str">
        <f>IFERROR(__xludf.DUMMYFUNCTION("""COMPUTED_VALUE"""),"Margaret Miller")</f>
        <v>Margaret Miller</v>
      </c>
      <c r="S67" s="20">
        <f>IFERROR(__xludf.DUMMYFUNCTION("""COMPUTED_VALUE"""),0.064095205)</f>
        <v>0.064095205</v>
      </c>
      <c r="T67" s="20">
        <f>IFERROR(__xludf.DUMMYFUNCTION("""COMPUTED_VALUE"""),0.009282855)</f>
        <v>0.009282855</v>
      </c>
      <c r="U67" s="20">
        <f>IFERROR(__xludf.DUMMYFUNCTION("""COMPUTED_VALUE"""),0.055265708)</f>
        <v>0.055265708</v>
      </c>
      <c r="V67" s="20">
        <f>IFERROR(__xludf.DUMMYFUNCTION("""COMPUTED_VALUE"""),0.871356233)</f>
        <v>0.871356233</v>
      </c>
      <c r="W67" s="20"/>
      <c r="X67" s="20"/>
      <c r="Y67" s="20"/>
      <c r="Z67" s="20"/>
    </row>
    <row r="68">
      <c r="A68" s="20" t="str">
        <f>IFERROR(__xludf.DUMMYFUNCTION("""COMPUTED_VALUE"""),"s078")</f>
        <v>s078</v>
      </c>
      <c r="B68" s="20" t="str">
        <f>IFERROR(__xludf.DUMMYFUNCTION("""COMPUTED_VALUE"""),"wgs")</f>
        <v>wgs</v>
      </c>
      <c r="C68" s="20" t="str">
        <f>IFERROR(__xludf.DUMMYFUNCTION("""COMPUTED_VALUE"""),"GB2")</f>
        <v>GB2</v>
      </c>
      <c r="D68" s="20" t="str">
        <f>IFERROR(__xludf.DUMMYFUNCTION("""COMPUTED_VALUE"""),"GB2")</f>
        <v>GB2</v>
      </c>
      <c r="E68" s="20" t="str">
        <f>IFERROR(__xludf.DUMMYFUNCTION("""COMPUTED_VALUE"""),"no")</f>
        <v>no</v>
      </c>
      <c r="F68" s="20">
        <f>IFERROR(__xludf.DUMMYFUNCTION("""COMPUTED_VALUE"""),135.0)</f>
        <v>135</v>
      </c>
      <c r="G68" s="20"/>
      <c r="H68" s="20">
        <f>IFERROR(__xludf.DUMMYFUNCTION("""COMPUTED_VALUE"""),2.6171115E7)</f>
        <v>26171115</v>
      </c>
      <c r="I68" s="20">
        <f>IFERROR(__xludf.DUMMYFUNCTION("""COMPUTED_VALUE"""),1.9771017E7)</f>
        <v>19771017</v>
      </c>
      <c r="J68" s="19">
        <f>IFERROR(__xludf.DUMMYFUNCTION("""COMPUTED_VALUE"""),0.7554518407030041)</f>
        <v>0.7554518407</v>
      </c>
      <c r="K68" s="20">
        <f>IFERROR(__xludf.DUMMYFUNCTION("""COMPUTED_VALUE"""),737.0)</f>
        <v>737</v>
      </c>
      <c r="L68" s="20"/>
      <c r="M68" s="20" t="str">
        <f>IFERROR(__xludf.DUMMYFUNCTION("""COMPUTED_VALUE"""),"#N/A")</f>
        <v>#N/A</v>
      </c>
      <c r="N68" s="20" t="str">
        <f>IFERROR(__xludf.DUMMYFUNCTION("""COMPUTED_VALUE"""),"#N/A")</f>
        <v>#N/A</v>
      </c>
      <c r="O68" s="20"/>
      <c r="P68" s="20"/>
      <c r="Q68" s="20" t="str">
        <f>IFERROR(__xludf.DUMMYFUNCTION("""COMPUTED_VALUE"""),"#N/A")</f>
        <v>#N/A</v>
      </c>
      <c r="R68" s="20" t="str">
        <f>IFERROR(__xludf.DUMMYFUNCTION("""COMPUTED_VALUE"""),"#N/A")</f>
        <v>#N/A</v>
      </c>
      <c r="S68" s="20">
        <f>IFERROR(__xludf.DUMMYFUNCTION("""COMPUTED_VALUE"""),0.056104667)</f>
        <v>0.056104667</v>
      </c>
      <c r="T68" s="20">
        <f>IFERROR(__xludf.DUMMYFUNCTION("""COMPUTED_VALUE"""),0.009291208)</f>
        <v>0.009291208</v>
      </c>
      <c r="U68" s="20">
        <f>IFERROR(__xludf.DUMMYFUNCTION("""COMPUTED_VALUE"""),0.050518435)</f>
        <v>0.050518435</v>
      </c>
      <c r="V68" s="20">
        <f>IFERROR(__xludf.DUMMYFUNCTION("""COMPUTED_VALUE"""),0.88408569)</f>
        <v>0.88408569</v>
      </c>
      <c r="W68" s="20"/>
      <c r="X68" s="20"/>
      <c r="Y68" s="20"/>
      <c r="Z68" s="20"/>
    </row>
    <row r="69">
      <c r="A69" s="20" t="str">
        <f>IFERROR(__xludf.DUMMYFUNCTION("""COMPUTED_VALUE"""),"s079")</f>
        <v>s079</v>
      </c>
      <c r="B69" s="20" t="str">
        <f>IFERROR(__xludf.DUMMYFUNCTION("""COMPUTED_VALUE"""),"wgs")</f>
        <v>wgs</v>
      </c>
      <c r="C69" s="20" t="str">
        <f>IFERROR(__xludf.DUMMYFUNCTION("""COMPUTED_VALUE"""),"GB31")</f>
        <v>GB31</v>
      </c>
      <c r="D69" s="20" t="str">
        <f>IFERROR(__xludf.DUMMYFUNCTION("""COMPUTED_VALUE"""),"GB31")</f>
        <v>GB31</v>
      </c>
      <c r="E69" s="20" t="str">
        <f>IFERROR(__xludf.DUMMYFUNCTION("""COMPUTED_VALUE"""),"no")</f>
        <v>no</v>
      </c>
      <c r="F69" s="20">
        <f>IFERROR(__xludf.DUMMYFUNCTION("""COMPUTED_VALUE"""),79.0)</f>
        <v>79</v>
      </c>
      <c r="G69" s="20"/>
      <c r="H69" s="20">
        <f>IFERROR(__xludf.DUMMYFUNCTION("""COMPUTED_VALUE"""),2.7696744E7)</f>
        <v>27696744</v>
      </c>
      <c r="I69" s="20">
        <f>IFERROR(__xludf.DUMMYFUNCTION("""COMPUTED_VALUE"""),1.7733655E7)</f>
        <v>17733655</v>
      </c>
      <c r="J69" s="19">
        <f>IFERROR(__xludf.DUMMYFUNCTION("""COMPUTED_VALUE"""),0.6402794133490926)</f>
        <v>0.6402794133</v>
      </c>
      <c r="K69" s="20">
        <f>IFERROR(__xludf.DUMMYFUNCTION("""COMPUTED_VALUE"""),865.0)</f>
        <v>865</v>
      </c>
      <c r="L69" s="20"/>
      <c r="M69" s="20" t="str">
        <f>IFERROR(__xludf.DUMMYFUNCTION("""COMPUTED_VALUE"""),"#N/A")</f>
        <v>#N/A</v>
      </c>
      <c r="N69" s="20" t="str">
        <f>IFERROR(__xludf.DUMMYFUNCTION("""COMPUTED_VALUE"""),"#N/A")</f>
        <v>#N/A</v>
      </c>
      <c r="O69" s="20"/>
      <c r="P69" s="20"/>
      <c r="Q69" s="20" t="str">
        <f>IFERROR(__xludf.DUMMYFUNCTION("""COMPUTED_VALUE"""),"#N/A")</f>
        <v>#N/A</v>
      </c>
      <c r="R69" s="20" t="str">
        <f>IFERROR(__xludf.DUMMYFUNCTION("""COMPUTED_VALUE"""),"#N/A")</f>
        <v>#N/A</v>
      </c>
      <c r="S69" s="20">
        <f>IFERROR(__xludf.DUMMYFUNCTION("""COMPUTED_VALUE"""),0.067956754)</f>
        <v>0.067956754</v>
      </c>
      <c r="T69" s="20">
        <f>IFERROR(__xludf.DUMMYFUNCTION("""COMPUTED_VALUE"""),0.01010984)</f>
        <v>0.01010984</v>
      </c>
      <c r="U69" s="20">
        <f>IFERROR(__xludf.DUMMYFUNCTION("""COMPUTED_VALUE"""),0.077712922)</f>
        <v>0.077712922</v>
      </c>
      <c r="V69" s="20">
        <f>IFERROR(__xludf.DUMMYFUNCTION("""COMPUTED_VALUE"""),0.844220484)</f>
        <v>0.844220484</v>
      </c>
      <c r="W69" s="20"/>
      <c r="X69" s="20"/>
      <c r="Y69" s="20"/>
      <c r="Z69" s="20"/>
    </row>
    <row r="70">
      <c r="A70" s="20" t="str">
        <f>IFERROR(__xludf.DUMMYFUNCTION("""COMPUTED_VALUE"""),"s080")</f>
        <v>s080</v>
      </c>
      <c r="B70" s="20" t="str">
        <f>IFERROR(__xludf.DUMMYFUNCTION("""COMPUTED_VALUE"""),"wgs")</f>
        <v>wgs</v>
      </c>
      <c r="C70" s="20" t="str">
        <f>IFERROR(__xludf.DUMMYFUNCTION("""COMPUTED_VALUE"""),"F-1-A")</f>
        <v>F-1-A</v>
      </c>
      <c r="D70" s="20" t="str">
        <f>IFERROR(__xludf.DUMMYFUNCTION("""COMPUTED_VALUE"""),"F-1-A")</f>
        <v>F-1-A</v>
      </c>
      <c r="E70" s="20" t="str">
        <f>IFERROR(__xludf.DUMMYFUNCTION("""COMPUTED_VALUE"""),"no")</f>
        <v>no</v>
      </c>
      <c r="F70" s="20">
        <f>IFERROR(__xludf.DUMMYFUNCTION("""COMPUTED_VALUE"""),80.0)</f>
        <v>80</v>
      </c>
      <c r="G70" s="20"/>
      <c r="H70" s="20">
        <f>IFERROR(__xludf.DUMMYFUNCTION("""COMPUTED_VALUE"""),2.505958E7)</f>
        <v>25059580</v>
      </c>
      <c r="I70" s="20">
        <f>IFERROR(__xludf.DUMMYFUNCTION("""COMPUTED_VALUE"""),1.9749602E7)</f>
        <v>19749602</v>
      </c>
      <c r="J70" s="19">
        <f>IFERROR(__xludf.DUMMYFUNCTION("""COMPUTED_VALUE"""),0.7881058660999107)</f>
        <v>0.7881058661</v>
      </c>
      <c r="K70" s="20">
        <f>IFERROR(__xludf.DUMMYFUNCTION("""COMPUTED_VALUE"""),790.0)</f>
        <v>790</v>
      </c>
      <c r="L70" s="20"/>
      <c r="M70" s="20" t="str">
        <f>IFERROR(__xludf.DUMMYFUNCTION("""COMPUTED_VALUE"""),"#N/A")</f>
        <v>#N/A</v>
      </c>
      <c r="N70" s="20" t="str">
        <f>IFERROR(__xludf.DUMMYFUNCTION("""COMPUTED_VALUE"""),"#N/A")</f>
        <v>#N/A</v>
      </c>
      <c r="O70" s="20"/>
      <c r="P70" s="20"/>
      <c r="Q70" s="20" t="str">
        <f>IFERROR(__xludf.DUMMYFUNCTION("""COMPUTED_VALUE"""),"#N/A")</f>
        <v>#N/A</v>
      </c>
      <c r="R70" s="20" t="str">
        <f>IFERROR(__xludf.DUMMYFUNCTION("""COMPUTED_VALUE"""),"#N/A")</f>
        <v>#N/A</v>
      </c>
      <c r="S70" s="20">
        <f>IFERROR(__xludf.DUMMYFUNCTION("""COMPUTED_VALUE"""),0.048868315)</f>
        <v>0.048868315</v>
      </c>
      <c r="T70" s="20">
        <f>IFERROR(__xludf.DUMMYFUNCTION("""COMPUTED_VALUE"""),0.006614234)</f>
        <v>0.006614234</v>
      </c>
      <c r="U70" s="20">
        <f>IFERROR(__xludf.DUMMYFUNCTION("""COMPUTED_VALUE"""),0.041297279)</f>
        <v>0.041297279</v>
      </c>
      <c r="V70" s="20">
        <f>IFERROR(__xludf.DUMMYFUNCTION("""COMPUTED_VALUE"""),0.903220171)</f>
        <v>0.903220171</v>
      </c>
      <c r="W70" s="20"/>
      <c r="X70" s="20"/>
      <c r="Y70" s="20"/>
      <c r="Z70" s="20"/>
    </row>
    <row r="71">
      <c r="A71" s="20" t="str">
        <f>IFERROR(__xludf.DUMMYFUNCTION("""COMPUTED_VALUE"""),"s083")</f>
        <v>s083</v>
      </c>
      <c r="B71" s="20" t="str">
        <f>IFERROR(__xludf.DUMMYFUNCTION("""COMPUTED_VALUE"""),"wgs")</f>
        <v>wgs</v>
      </c>
      <c r="C71" s="20" t="str">
        <f>IFERROR(__xludf.DUMMYFUNCTION("""COMPUTED_VALUE"""),"AE10")</f>
        <v>AE10</v>
      </c>
      <c r="D71" s="20" t="str">
        <f>IFERROR(__xludf.DUMMYFUNCTION("""COMPUTED_VALUE"""),"AE10")</f>
        <v>AE10</v>
      </c>
      <c r="E71" s="20" t="str">
        <f>IFERROR(__xludf.DUMMYFUNCTION("""COMPUTED_VALUE"""),"no")</f>
        <v>no</v>
      </c>
      <c r="F71" s="20">
        <f>IFERROR(__xludf.DUMMYFUNCTION("""COMPUTED_VALUE"""),83.0)</f>
        <v>83</v>
      </c>
      <c r="G71" s="20"/>
      <c r="H71" s="20">
        <f>IFERROR(__xludf.DUMMYFUNCTION("""COMPUTED_VALUE"""),1.9691251E7)</f>
        <v>19691251</v>
      </c>
      <c r="I71" s="20">
        <f>IFERROR(__xludf.DUMMYFUNCTION("""COMPUTED_VALUE"""),9116994.0)</f>
        <v>9116994</v>
      </c>
      <c r="J71" s="19">
        <f>IFERROR(__xludf.DUMMYFUNCTION("""COMPUTED_VALUE"""),0.4629971960643841)</f>
        <v>0.4629971961</v>
      </c>
      <c r="K71" s="20">
        <f>IFERROR(__xludf.DUMMYFUNCTION("""COMPUTED_VALUE"""),35110.0)</f>
        <v>35110</v>
      </c>
      <c r="L71" s="20"/>
      <c r="M71" s="20" t="str">
        <f>IFERROR(__xludf.DUMMYFUNCTION("""COMPUTED_VALUE"""),"#N/A")</f>
        <v>#N/A</v>
      </c>
      <c r="N71" s="20" t="str">
        <f>IFERROR(__xludf.DUMMYFUNCTION("""COMPUTED_VALUE"""),"#N/A")</f>
        <v>#N/A</v>
      </c>
      <c r="O71" s="20"/>
      <c r="P71" s="20"/>
      <c r="Q71" s="20" t="str">
        <f>IFERROR(__xludf.DUMMYFUNCTION("""COMPUTED_VALUE"""),"#N/A")</f>
        <v>#N/A</v>
      </c>
      <c r="R71" s="20" t="str">
        <f>IFERROR(__xludf.DUMMYFUNCTION("""COMPUTED_VALUE"""),"#N/A")</f>
        <v>#N/A</v>
      </c>
      <c r="S71" s="20">
        <f>IFERROR(__xludf.DUMMYFUNCTION("""COMPUTED_VALUE"""),0.064015957)</f>
        <v>0.064015957</v>
      </c>
      <c r="T71" s="20">
        <f>IFERROR(__xludf.DUMMYFUNCTION("""COMPUTED_VALUE"""),0.02278655)</f>
        <v>0.02278655</v>
      </c>
      <c r="U71" s="20">
        <f>IFERROR(__xludf.DUMMYFUNCTION("""COMPUTED_VALUE"""),0.039649199)</f>
        <v>0.039649199</v>
      </c>
      <c r="V71" s="20">
        <f>IFERROR(__xludf.DUMMYFUNCTION("""COMPUTED_VALUE"""),0.873548293)</f>
        <v>0.873548293</v>
      </c>
      <c r="W71" s="20"/>
      <c r="X71" s="20"/>
      <c r="Y71" s="20"/>
      <c r="Z71" s="20"/>
    </row>
    <row r="72">
      <c r="A72" s="20" t="str">
        <f>IFERROR(__xludf.DUMMYFUNCTION("""COMPUTED_VALUE"""),"s084")</f>
        <v>s084</v>
      </c>
      <c r="B72" s="20" t="str">
        <f>IFERROR(__xludf.DUMMYFUNCTION("""COMPUTED_VALUE"""),"wgs")</f>
        <v>wgs</v>
      </c>
      <c r="C72" s="20" t="str">
        <f>IFERROR(__xludf.DUMMYFUNCTION("""COMPUTED_VALUE"""),"OF56")</f>
        <v>OF56</v>
      </c>
      <c r="D72" s="20" t="str">
        <f>IFERROR(__xludf.DUMMYFUNCTION("""COMPUTED_VALUE"""),"OF657")</f>
        <v>OF657</v>
      </c>
      <c r="E72" s="20" t="str">
        <f>IFERROR(__xludf.DUMMYFUNCTION("""COMPUTED_VALUE"""),"no")</f>
        <v>no</v>
      </c>
      <c r="F72" s="20">
        <f>IFERROR(__xludf.DUMMYFUNCTION("""COMPUTED_VALUE"""),84.0)</f>
        <v>84</v>
      </c>
      <c r="G72" s="20"/>
      <c r="H72" s="20">
        <f>IFERROR(__xludf.DUMMYFUNCTION("""COMPUTED_VALUE"""),2.6256106E7)</f>
        <v>26256106</v>
      </c>
      <c r="I72" s="20">
        <f>IFERROR(__xludf.DUMMYFUNCTION("""COMPUTED_VALUE"""),1.0148188E7)</f>
        <v>10148188</v>
      </c>
      <c r="J72" s="19">
        <f>IFERROR(__xludf.DUMMYFUNCTION("""COMPUTED_VALUE"""),0.3865077327155824)</f>
        <v>0.3865077327</v>
      </c>
      <c r="K72" s="20">
        <f>IFERROR(__xludf.DUMMYFUNCTION("""COMPUTED_VALUE"""),2398.0)</f>
        <v>2398</v>
      </c>
      <c r="L72" s="20"/>
      <c r="M72" s="20" t="str">
        <f>IFERROR(__xludf.DUMMYFUNCTION("""COMPUTED_VALUE"""),"KWN")</f>
        <v>KWN</v>
      </c>
      <c r="N72" s="20" t="str">
        <f>IFERROR(__xludf.DUMMYFUNCTION("""COMPUTED_VALUE"""),"N")</f>
        <v>N</v>
      </c>
      <c r="O72" s="20">
        <f>IFERROR(__xludf.DUMMYFUNCTION("""COMPUTED_VALUE"""),24.55107)</f>
        <v>24.55107</v>
      </c>
      <c r="P72" s="20">
        <f>IFERROR(__xludf.DUMMYFUNCTION("""COMPUTED_VALUE"""),-81.80805)</f>
        <v>-81.80805</v>
      </c>
      <c r="Q72" s="20" t="str">
        <f>IFERROR(__xludf.DUMMYFUNCTION("""COMPUTED_VALUE"""),"2010-2017")</f>
        <v>2010-2017</v>
      </c>
      <c r="R72" s="20" t="str">
        <f>IFERROR(__xludf.DUMMYFUNCTION("""COMPUTED_VALUE"""),"Mote")</f>
        <v>Mote</v>
      </c>
      <c r="S72" s="20">
        <f>IFERROR(__xludf.DUMMYFUNCTION("""COMPUTED_VALUE"""),0.056667217)</f>
        <v>0.056667217</v>
      </c>
      <c r="T72" s="20">
        <f>IFERROR(__xludf.DUMMYFUNCTION("""COMPUTED_VALUE"""),0.010320735)</f>
        <v>0.010320735</v>
      </c>
      <c r="U72" s="20">
        <f>IFERROR(__xludf.DUMMYFUNCTION("""COMPUTED_VALUE"""),0.110583705)</f>
        <v>0.110583705</v>
      </c>
      <c r="V72" s="20">
        <f>IFERROR(__xludf.DUMMYFUNCTION("""COMPUTED_VALUE"""),0.822428344)</f>
        <v>0.822428344</v>
      </c>
      <c r="W72" s="20"/>
      <c r="X72" s="20"/>
      <c r="Y72" s="20"/>
      <c r="Z72" s="20"/>
    </row>
    <row r="73">
      <c r="A73" s="20" t="str">
        <f>IFERROR(__xludf.DUMMYFUNCTION("""COMPUTED_VALUE"""),"s085")</f>
        <v>s085</v>
      </c>
      <c r="B73" s="20" t="str">
        <f>IFERROR(__xludf.DUMMYFUNCTION("""COMPUTED_VALUE"""),"wgs")</f>
        <v>wgs</v>
      </c>
      <c r="C73" s="20" t="str">
        <f>IFERROR(__xludf.DUMMYFUNCTION("""COMPUTED_VALUE"""),"15-349")</f>
        <v>15-349</v>
      </c>
      <c r="D73" s="20" t="str">
        <f>IFERROR(__xludf.DUMMYFUNCTION("""COMPUTED_VALUE"""),"15-349")</f>
        <v>15-349</v>
      </c>
      <c r="E73" s="20" t="str">
        <f>IFERROR(__xludf.DUMMYFUNCTION("""COMPUTED_VALUE"""),"no")</f>
        <v>no</v>
      </c>
      <c r="F73" s="20">
        <f>IFERROR(__xludf.DUMMYFUNCTION("""COMPUTED_VALUE"""),85.0)</f>
        <v>85</v>
      </c>
      <c r="G73" s="20"/>
      <c r="H73" s="20">
        <f>IFERROR(__xludf.DUMMYFUNCTION("""COMPUTED_VALUE"""),2.602469E7)</f>
        <v>26024690</v>
      </c>
      <c r="I73" s="20">
        <f>IFERROR(__xludf.DUMMYFUNCTION("""COMPUTED_VALUE"""),1.0563977E7)</f>
        <v>10563977</v>
      </c>
      <c r="J73" s="19">
        <f>IFERROR(__xludf.DUMMYFUNCTION("""COMPUTED_VALUE"""),0.40592133854428236)</f>
        <v>0.4059213385</v>
      </c>
      <c r="K73" s="20">
        <f>IFERROR(__xludf.DUMMYFUNCTION("""COMPUTED_VALUE"""),2241.0)</f>
        <v>2241</v>
      </c>
      <c r="L73" s="20"/>
      <c r="M73" s="20" t="str">
        <f>IFERROR(__xludf.DUMMYFUNCTION("""COMPUTED_VALUE"""),"H")</f>
        <v>H</v>
      </c>
      <c r="N73" s="20" t="str">
        <f>IFERROR(__xludf.DUMMYFUNCTION("""COMPUTED_VALUE"""),"N")</f>
        <v>N</v>
      </c>
      <c r="O73" s="20">
        <f>IFERROR(__xludf.DUMMYFUNCTION("""COMPUTED_VALUE"""),25.139367)</f>
        <v>25.139367</v>
      </c>
      <c r="P73" s="20">
        <f>IFERROR(__xludf.DUMMYFUNCTION("""COMPUTED_VALUE"""),-80.294017)</f>
        <v>-80.294017</v>
      </c>
      <c r="Q73" s="20" t="str">
        <f>IFERROR(__xludf.DUMMYFUNCTION("""COMPUTED_VALUE"""),"2015 batch")</f>
        <v>2015 batch</v>
      </c>
      <c r="R73" s="20" t="str">
        <f>IFERROR(__xludf.DUMMYFUNCTION("""COMPUTED_VALUE"""),"Margaret Miller")</f>
        <v>Margaret Miller</v>
      </c>
      <c r="S73" s="20">
        <f>IFERROR(__xludf.DUMMYFUNCTION("""COMPUTED_VALUE"""),0.08405783)</f>
        <v>0.08405783</v>
      </c>
      <c r="T73" s="20">
        <f>IFERROR(__xludf.DUMMYFUNCTION("""COMPUTED_VALUE"""),0.014770679)</f>
        <v>0.014770679</v>
      </c>
      <c r="U73" s="20">
        <f>IFERROR(__xludf.DUMMYFUNCTION("""COMPUTED_VALUE"""),0.124263032)</f>
        <v>0.124263032</v>
      </c>
      <c r="V73" s="20">
        <f>IFERROR(__xludf.DUMMYFUNCTION("""COMPUTED_VALUE"""),0.776908459)</f>
        <v>0.776908459</v>
      </c>
      <c r="W73" s="20"/>
      <c r="X73" s="20"/>
      <c r="Y73" s="20"/>
      <c r="Z73" s="20"/>
    </row>
    <row r="74">
      <c r="A74" s="20" t="str">
        <f>IFERROR(__xludf.DUMMYFUNCTION("""COMPUTED_VALUE"""),"s086")</f>
        <v>s086</v>
      </c>
      <c r="B74" s="20" t="str">
        <f>IFERROR(__xludf.DUMMYFUNCTION("""COMPUTED_VALUE"""),"wgs")</f>
        <v>wgs</v>
      </c>
      <c r="C74" s="20" t="str">
        <f>IFERROR(__xludf.DUMMYFUNCTION("""COMPUTED_VALUE"""),"OF635")</f>
        <v>OF635</v>
      </c>
      <c r="D74" s="20" t="str">
        <f>IFERROR(__xludf.DUMMYFUNCTION("""COMPUTED_VALUE"""),"OF635")</f>
        <v>OF635</v>
      </c>
      <c r="E74" s="20" t="str">
        <f>IFERROR(__xludf.DUMMYFUNCTION("""COMPUTED_VALUE"""),"no")</f>
        <v>no</v>
      </c>
      <c r="F74" s="20">
        <f>IFERROR(__xludf.DUMMYFUNCTION("""COMPUTED_VALUE"""),86.0)</f>
        <v>86</v>
      </c>
      <c r="G74" s="20"/>
      <c r="H74" s="20">
        <f>IFERROR(__xludf.DUMMYFUNCTION("""COMPUTED_VALUE"""),2.891508E7)</f>
        <v>28915080</v>
      </c>
      <c r="I74" s="20">
        <f>IFERROR(__xludf.DUMMYFUNCTION("""COMPUTED_VALUE"""),1.847024E7)</f>
        <v>18470240</v>
      </c>
      <c r="J74" s="19">
        <f>IFERROR(__xludf.DUMMYFUNCTION("""COMPUTED_VALUE"""),0.6387753379897272)</f>
        <v>0.638775338</v>
      </c>
      <c r="K74" s="20">
        <f>IFERROR(__xludf.DUMMYFUNCTION("""COMPUTED_VALUE"""),839.0)</f>
        <v>839</v>
      </c>
      <c r="L74" s="20"/>
      <c r="M74" s="20" t="str">
        <f>IFERROR(__xludf.DUMMYFUNCTION("""COMPUTED_VALUE"""),"H")</f>
        <v>H</v>
      </c>
      <c r="N74" s="20" t="str">
        <f>IFERROR(__xludf.DUMMYFUNCTION("""COMPUTED_VALUE"""),"N")</f>
        <v>N</v>
      </c>
      <c r="O74" s="20">
        <f>IFERROR(__xludf.DUMMYFUNCTION("""COMPUTED_VALUE"""),25.139367)</f>
        <v>25.139367</v>
      </c>
      <c r="P74" s="20">
        <f>IFERROR(__xludf.DUMMYFUNCTION("""COMPUTED_VALUE"""),-80.294017)</f>
        <v>-80.294017</v>
      </c>
      <c r="Q74" s="20" t="str">
        <f>IFERROR(__xludf.DUMMYFUNCTION("""COMPUTED_VALUE"""),"2015 batch")</f>
        <v>2015 batch</v>
      </c>
      <c r="R74" s="20" t="str">
        <f>IFERROR(__xludf.DUMMYFUNCTION("""COMPUTED_VALUE"""),"Margaret Miller")</f>
        <v>Margaret Miller</v>
      </c>
      <c r="S74" s="20">
        <f>IFERROR(__xludf.DUMMYFUNCTION("""COMPUTED_VALUE"""),0.076457289)</f>
        <v>0.076457289</v>
      </c>
      <c r="T74" s="20">
        <f>IFERROR(__xludf.DUMMYFUNCTION("""COMPUTED_VALUE"""),0.013796562)</f>
        <v>0.013796562</v>
      </c>
      <c r="U74" s="20">
        <f>IFERROR(__xludf.DUMMYFUNCTION("""COMPUTED_VALUE"""),0.150850226)</f>
        <v>0.150850226</v>
      </c>
      <c r="V74" s="20">
        <f>IFERROR(__xludf.DUMMYFUNCTION("""COMPUTED_VALUE"""),0.758895923)</f>
        <v>0.758895923</v>
      </c>
      <c r="W74" s="20"/>
      <c r="X74" s="20"/>
      <c r="Y74" s="20"/>
      <c r="Z74" s="20"/>
    </row>
    <row r="75">
      <c r="A75" s="20" t="str">
        <f>IFERROR(__xludf.DUMMYFUNCTION("""COMPUTED_VALUE"""),"s087")</f>
        <v>s087</v>
      </c>
      <c r="B75" s="20" t="str">
        <f>IFERROR(__xludf.DUMMYFUNCTION("""COMPUTED_VALUE"""),"wgs")</f>
        <v>wgs</v>
      </c>
      <c r="C75" s="20" t="str">
        <f>IFERROR(__xludf.DUMMYFUNCTION("""COMPUTED_VALUE"""),"GB13")</f>
        <v>GB13</v>
      </c>
      <c r="D75" s="20" t="str">
        <f>IFERROR(__xludf.DUMMYFUNCTION("""COMPUTED_VALUE"""),"GB13")</f>
        <v>GB13</v>
      </c>
      <c r="E75" s="20" t="str">
        <f>IFERROR(__xludf.DUMMYFUNCTION("""COMPUTED_VALUE"""),"no")</f>
        <v>no</v>
      </c>
      <c r="F75" s="20">
        <f>IFERROR(__xludf.DUMMYFUNCTION("""COMPUTED_VALUE"""),137.0)</f>
        <v>137</v>
      </c>
      <c r="G75" s="20"/>
      <c r="H75" s="20">
        <f>IFERROR(__xludf.DUMMYFUNCTION("""COMPUTED_VALUE"""),2.7072411E7)</f>
        <v>27072411</v>
      </c>
      <c r="I75" s="20">
        <f>IFERROR(__xludf.DUMMYFUNCTION("""COMPUTED_VALUE"""),2.1531889E7)</f>
        <v>21531889</v>
      </c>
      <c r="J75" s="19">
        <f>IFERROR(__xludf.DUMMYFUNCTION("""COMPUTED_VALUE"""),0.7953443452081161)</f>
        <v>0.7953443452</v>
      </c>
      <c r="K75" s="20">
        <f>IFERROR(__xludf.DUMMYFUNCTION("""COMPUTED_VALUE"""),729.0)</f>
        <v>729</v>
      </c>
      <c r="L75" s="20"/>
      <c r="M75" s="20" t="str">
        <f>IFERROR(__xludf.DUMMYFUNCTION("""COMPUTED_VALUE"""),"KWN")</f>
        <v>KWN</v>
      </c>
      <c r="N75" s="20" t="str">
        <f>IFERROR(__xludf.DUMMYFUNCTION("""COMPUTED_VALUE"""),"N")</f>
        <v>N</v>
      </c>
      <c r="O75" s="20">
        <f>IFERROR(__xludf.DUMMYFUNCTION("""COMPUTED_VALUE"""),24.55107)</f>
        <v>24.55107</v>
      </c>
      <c r="P75" s="20">
        <f>IFERROR(__xludf.DUMMYFUNCTION("""COMPUTED_VALUE"""),-81.80805)</f>
        <v>-81.80805</v>
      </c>
      <c r="Q75" s="20" t="str">
        <f>IFERROR(__xludf.DUMMYFUNCTION("""COMPUTED_VALUE"""),"2010-2017")</f>
        <v>2010-2017</v>
      </c>
      <c r="R75" s="20" t="str">
        <f>IFERROR(__xludf.DUMMYFUNCTION("""COMPUTED_VALUE"""),"Mote")</f>
        <v>Mote</v>
      </c>
      <c r="S75" s="20">
        <f>IFERROR(__xludf.DUMMYFUNCTION("""COMPUTED_VALUE"""),0.057828245)</f>
        <v>0.057828245</v>
      </c>
      <c r="T75" s="20">
        <f>IFERROR(__xludf.DUMMYFUNCTION("""COMPUTED_VALUE"""),0.008835933)</f>
        <v>0.008835933</v>
      </c>
      <c r="U75" s="20">
        <f>IFERROR(__xludf.DUMMYFUNCTION("""COMPUTED_VALUE"""),0.063849835)</f>
        <v>0.063849835</v>
      </c>
      <c r="V75" s="20">
        <f>IFERROR(__xludf.DUMMYFUNCTION("""COMPUTED_VALUE"""),0.869485987)</f>
        <v>0.869485987</v>
      </c>
      <c r="W75" s="20"/>
      <c r="X75" s="20"/>
      <c r="Y75" s="20"/>
      <c r="Z75" s="20"/>
    </row>
    <row r="76">
      <c r="A76" s="20" t="str">
        <f>IFERROR(__xludf.DUMMYFUNCTION("""COMPUTED_VALUE"""),"s088")</f>
        <v>s088</v>
      </c>
      <c r="B76" s="20" t="str">
        <f>IFERROR(__xludf.DUMMYFUNCTION("""COMPUTED_VALUE"""),"wgs")</f>
        <v>wgs</v>
      </c>
      <c r="C76" s="20" t="str">
        <f>IFERROR(__xludf.DUMMYFUNCTION("""COMPUTED_VALUE"""),"F12")</f>
        <v>F12</v>
      </c>
      <c r="D76" s="20" t="str">
        <f>IFERROR(__xludf.DUMMYFUNCTION("""COMPUTED_VALUE"""),"F12")</f>
        <v>F12</v>
      </c>
      <c r="E76" s="20" t="str">
        <f>IFERROR(__xludf.DUMMYFUNCTION("""COMPUTED_VALUE"""),"no")</f>
        <v>no</v>
      </c>
      <c r="F76" s="20">
        <f>IFERROR(__xludf.DUMMYFUNCTION("""COMPUTED_VALUE"""),12.0)</f>
        <v>12</v>
      </c>
      <c r="G76" s="20"/>
      <c r="H76" s="20">
        <f>IFERROR(__xludf.DUMMYFUNCTION("""COMPUTED_VALUE"""),2.6739426E7)</f>
        <v>26739426</v>
      </c>
      <c r="I76" s="20">
        <f>IFERROR(__xludf.DUMMYFUNCTION("""COMPUTED_VALUE"""),2.1190829E7)</f>
        <v>21190829</v>
      </c>
      <c r="J76" s="19">
        <f>IFERROR(__xludf.DUMMYFUNCTION("""COMPUTED_VALUE"""),0.7924937880117546)</f>
        <v>0.792493788</v>
      </c>
      <c r="K76" s="20">
        <f>IFERROR(__xludf.DUMMYFUNCTION("""COMPUTED_VALUE"""),756.0)</f>
        <v>756</v>
      </c>
      <c r="L76" s="20"/>
      <c r="M76" s="20" t="str">
        <f>IFERROR(__xludf.DUMMYFUNCTION("""COMPUTED_VALUE"""),"KWN")</f>
        <v>KWN</v>
      </c>
      <c r="N76" s="20" t="str">
        <f>IFERROR(__xludf.DUMMYFUNCTION("""COMPUTED_VALUE"""),"N")</f>
        <v>N</v>
      </c>
      <c r="O76" s="20">
        <f>IFERROR(__xludf.DUMMYFUNCTION("""COMPUTED_VALUE"""),24.55107)</f>
        <v>24.55107</v>
      </c>
      <c r="P76" s="20">
        <f>IFERROR(__xludf.DUMMYFUNCTION("""COMPUTED_VALUE"""),-81.80805)</f>
        <v>-81.80805</v>
      </c>
      <c r="Q76" s="20" t="str">
        <f>IFERROR(__xludf.DUMMYFUNCTION("""COMPUTED_VALUE"""),"2010-2017")</f>
        <v>2010-2017</v>
      </c>
      <c r="R76" s="20" t="str">
        <f>IFERROR(__xludf.DUMMYFUNCTION("""COMPUTED_VALUE"""),"Mote")</f>
        <v>Mote</v>
      </c>
      <c r="S76" s="20">
        <f>IFERROR(__xludf.DUMMYFUNCTION("""COMPUTED_VALUE"""),0.057071694)</f>
        <v>0.057071694</v>
      </c>
      <c r="T76" s="20">
        <f>IFERROR(__xludf.DUMMYFUNCTION("""COMPUTED_VALUE"""),0.008040638)</f>
        <v>0.008040638</v>
      </c>
      <c r="U76" s="20">
        <f>IFERROR(__xludf.DUMMYFUNCTION("""COMPUTED_VALUE"""),0.05460068)</f>
        <v>0.05460068</v>
      </c>
      <c r="V76" s="20">
        <f>IFERROR(__xludf.DUMMYFUNCTION("""COMPUTED_VALUE"""),0.880286988)</f>
        <v>0.880286988</v>
      </c>
      <c r="W76" s="20"/>
      <c r="X76" s="20"/>
      <c r="Y76" s="20"/>
      <c r="Z76" s="20"/>
    </row>
    <row r="77">
      <c r="A77" s="20" t="str">
        <f>IFERROR(__xludf.DUMMYFUNCTION("""COMPUTED_VALUE"""),"s089")</f>
        <v>s089</v>
      </c>
      <c r="B77" s="20" t="str">
        <f>IFERROR(__xludf.DUMMYFUNCTION("""COMPUTED_VALUE"""),"wgs")</f>
        <v>wgs</v>
      </c>
      <c r="C77" s="20" t="str">
        <f>IFERROR(__xludf.DUMMYFUNCTION("""COMPUTED_VALUE"""),"OF554")</f>
        <v>OF554</v>
      </c>
      <c r="D77" s="20" t="str">
        <f>IFERROR(__xludf.DUMMYFUNCTION("""COMPUTED_VALUE"""),"OF654")</f>
        <v>OF654</v>
      </c>
      <c r="E77" s="20" t="str">
        <f>IFERROR(__xludf.DUMMYFUNCTION("""COMPUTED_VALUE"""),"no")</f>
        <v>no</v>
      </c>
      <c r="F77" s="20">
        <f>IFERROR(__xludf.DUMMYFUNCTION("""COMPUTED_VALUE"""),89.0)</f>
        <v>89</v>
      </c>
      <c r="G77" s="20"/>
      <c r="H77" s="20">
        <f>IFERROR(__xludf.DUMMYFUNCTION("""COMPUTED_VALUE"""),1.9159488E7)</f>
        <v>19159488</v>
      </c>
      <c r="I77" s="20">
        <f>IFERROR(__xludf.DUMMYFUNCTION("""COMPUTED_VALUE"""),1.0886349E7)</f>
        <v>10886349</v>
      </c>
      <c r="J77" s="19">
        <f>IFERROR(__xludf.DUMMYFUNCTION("""COMPUTED_VALUE"""),0.5681962378117829)</f>
        <v>0.5681962378</v>
      </c>
      <c r="K77" s="20">
        <f>IFERROR(__xludf.DUMMYFUNCTION("""COMPUTED_VALUE"""),2393.0)</f>
        <v>2393</v>
      </c>
      <c r="L77" s="20"/>
      <c r="M77" s="20" t="str">
        <f>IFERROR(__xludf.DUMMYFUNCTION("""COMPUTED_VALUE"""),"H")</f>
        <v>H</v>
      </c>
      <c r="N77" s="20" t="str">
        <f>IFERROR(__xludf.DUMMYFUNCTION("""COMPUTED_VALUE"""),"N")</f>
        <v>N</v>
      </c>
      <c r="O77" s="20">
        <f>IFERROR(__xludf.DUMMYFUNCTION("""COMPUTED_VALUE"""),25.139367)</f>
        <v>25.139367</v>
      </c>
      <c r="P77" s="20">
        <f>IFERROR(__xludf.DUMMYFUNCTION("""COMPUTED_VALUE"""),-80.294017)</f>
        <v>-80.294017</v>
      </c>
      <c r="Q77" s="20" t="str">
        <f>IFERROR(__xludf.DUMMYFUNCTION("""COMPUTED_VALUE"""),"2015 batch")</f>
        <v>2015 batch</v>
      </c>
      <c r="R77" s="20" t="str">
        <f>IFERROR(__xludf.DUMMYFUNCTION("""COMPUTED_VALUE"""),"Margaret Miller")</f>
        <v>Margaret Miller</v>
      </c>
      <c r="S77" s="20">
        <f>IFERROR(__xludf.DUMMYFUNCTION("""COMPUTED_VALUE"""),0.074284534)</f>
        <v>0.074284534</v>
      </c>
      <c r="T77" s="20">
        <f>IFERROR(__xludf.DUMMYFUNCTION("""COMPUTED_VALUE"""),0.010402089)</f>
        <v>0.010402089</v>
      </c>
      <c r="U77" s="20">
        <f>IFERROR(__xludf.DUMMYFUNCTION("""COMPUTED_VALUE"""),0.194061182)</f>
        <v>0.194061182</v>
      </c>
      <c r="V77" s="20">
        <f>IFERROR(__xludf.DUMMYFUNCTION("""COMPUTED_VALUE"""),0.721252195)</f>
        <v>0.721252195</v>
      </c>
      <c r="W77" s="20"/>
      <c r="X77" s="20"/>
      <c r="Y77" s="20"/>
      <c r="Z77" s="20"/>
    </row>
    <row r="78">
      <c r="A78" s="20" t="str">
        <f>IFERROR(__xludf.DUMMYFUNCTION("""COMPUTED_VALUE"""),"s090")</f>
        <v>s090</v>
      </c>
      <c r="B78" s="20" t="str">
        <f>IFERROR(__xludf.DUMMYFUNCTION("""COMPUTED_VALUE"""),"wgs")</f>
        <v>wgs</v>
      </c>
      <c r="C78" s="20" t="str">
        <f>IFERROR(__xludf.DUMMYFUNCTION("""COMPUTED_VALUE"""),"GB21")</f>
        <v>GB21</v>
      </c>
      <c r="D78" s="20" t="str">
        <f>IFERROR(__xludf.DUMMYFUNCTION("""COMPUTED_VALUE"""),"GB21")</f>
        <v>GB21</v>
      </c>
      <c r="E78" s="20" t="str">
        <f>IFERROR(__xludf.DUMMYFUNCTION("""COMPUTED_VALUE"""),"no")</f>
        <v>no</v>
      </c>
      <c r="F78" s="20">
        <f>IFERROR(__xludf.DUMMYFUNCTION("""COMPUTED_VALUE"""),90.0)</f>
        <v>90</v>
      </c>
      <c r="G78" s="20"/>
      <c r="H78" s="20">
        <f>IFERROR(__xludf.DUMMYFUNCTION("""COMPUTED_VALUE"""),2.7282941E7)</f>
        <v>27282941</v>
      </c>
      <c r="I78" s="20">
        <f>IFERROR(__xludf.DUMMYFUNCTION("""COMPUTED_VALUE"""),1.2685388E7)</f>
        <v>12685388</v>
      </c>
      <c r="J78" s="19">
        <f>IFERROR(__xludf.DUMMYFUNCTION("""COMPUTED_VALUE"""),0.46495676547480713)</f>
        <v>0.4649567655</v>
      </c>
      <c r="K78" s="20">
        <f>IFERROR(__xludf.DUMMYFUNCTION("""COMPUTED_VALUE"""),1729.0)</f>
        <v>1729</v>
      </c>
      <c r="L78" s="20"/>
      <c r="M78" s="20" t="str">
        <f>IFERROR(__xludf.DUMMYFUNCTION("""COMPUTED_VALUE"""),"#N/A")</f>
        <v>#N/A</v>
      </c>
      <c r="N78" s="20" t="str">
        <f>IFERROR(__xludf.DUMMYFUNCTION("""COMPUTED_VALUE"""),"#N/A")</f>
        <v>#N/A</v>
      </c>
      <c r="O78" s="20"/>
      <c r="P78" s="20"/>
      <c r="Q78" s="20" t="str">
        <f>IFERROR(__xludf.DUMMYFUNCTION("""COMPUTED_VALUE"""),"#N/A")</f>
        <v>#N/A</v>
      </c>
      <c r="R78" s="20" t="str">
        <f>IFERROR(__xludf.DUMMYFUNCTION("""COMPUTED_VALUE"""),"#N/A")</f>
        <v>#N/A</v>
      </c>
      <c r="S78" s="20">
        <f>IFERROR(__xludf.DUMMYFUNCTION("""COMPUTED_VALUE"""),0.054191564)</f>
        <v>0.054191564</v>
      </c>
      <c r="T78" s="20">
        <f>IFERROR(__xludf.DUMMYFUNCTION("""COMPUTED_VALUE"""),0.007955935)</f>
        <v>0.007955935</v>
      </c>
      <c r="U78" s="20">
        <f>IFERROR(__xludf.DUMMYFUNCTION("""COMPUTED_VALUE"""),0.049689385)</f>
        <v>0.049689385</v>
      </c>
      <c r="V78" s="20">
        <f>IFERROR(__xludf.DUMMYFUNCTION("""COMPUTED_VALUE"""),0.888163116)</f>
        <v>0.888163116</v>
      </c>
      <c r="W78" s="20"/>
      <c r="X78" s="20"/>
      <c r="Y78" s="20"/>
      <c r="Z78" s="20"/>
    </row>
    <row r="79">
      <c r="A79" s="20" t="str">
        <f>IFERROR(__xludf.DUMMYFUNCTION("""COMPUTED_VALUE"""),"s092")</f>
        <v>s092</v>
      </c>
      <c r="B79" s="20" t="str">
        <f>IFERROR(__xludf.DUMMYFUNCTION("""COMPUTED_VALUE"""),"wgs")</f>
        <v>wgs</v>
      </c>
      <c r="C79" s="20" t="str">
        <f>IFERROR(__xludf.DUMMYFUNCTION("""COMPUTED_VALUE"""),"OF457")</f>
        <v>OF457</v>
      </c>
      <c r="D79" s="20" t="str">
        <f>IFERROR(__xludf.DUMMYFUNCTION("""COMPUTED_VALUE"""),"OF457")</f>
        <v>OF457</v>
      </c>
      <c r="E79" s="20" t="str">
        <f>IFERROR(__xludf.DUMMYFUNCTION("""COMPUTED_VALUE"""),"no")</f>
        <v>no</v>
      </c>
      <c r="F79" s="20">
        <f>IFERROR(__xludf.DUMMYFUNCTION("""COMPUTED_VALUE"""),92.0)</f>
        <v>92</v>
      </c>
      <c r="G79" s="20"/>
      <c r="H79" s="20">
        <f>IFERROR(__xludf.DUMMYFUNCTION("""COMPUTED_VALUE"""),1.9458483E7)</f>
        <v>19458483</v>
      </c>
      <c r="I79" s="20">
        <f>IFERROR(__xludf.DUMMYFUNCTION("""COMPUTED_VALUE"""),1.0014233E7)</f>
        <v>10014233</v>
      </c>
      <c r="J79" s="19">
        <f>IFERROR(__xludf.DUMMYFUNCTION("""COMPUTED_VALUE"""),0.5146461314584493)</f>
        <v>0.5146461315</v>
      </c>
      <c r="K79" s="20">
        <f>IFERROR(__xludf.DUMMYFUNCTION("""COMPUTED_VALUE"""),2587.0)</f>
        <v>2587</v>
      </c>
      <c r="L79" s="20"/>
      <c r="M79" s="20" t="str">
        <f>IFERROR(__xludf.DUMMYFUNCTION("""COMPUTED_VALUE"""),"H")</f>
        <v>H</v>
      </c>
      <c r="N79" s="20" t="str">
        <f>IFERROR(__xludf.DUMMYFUNCTION("""COMPUTED_VALUE"""),"Y")</f>
        <v>Y</v>
      </c>
      <c r="O79" s="20">
        <f>IFERROR(__xludf.DUMMYFUNCTION("""COMPUTED_VALUE"""),25.139367)</f>
        <v>25.139367</v>
      </c>
      <c r="P79" s="20">
        <f>IFERROR(__xludf.DUMMYFUNCTION("""COMPUTED_VALUE"""),-80.294017)</f>
        <v>-80.294017</v>
      </c>
      <c r="Q79" s="20" t="str">
        <f>IFERROR(__xludf.DUMMYFUNCTION("""COMPUTED_VALUE"""),"2015 batch")</f>
        <v>2015 batch</v>
      </c>
      <c r="R79" s="20" t="str">
        <f>IFERROR(__xludf.DUMMYFUNCTION("""COMPUTED_VALUE"""),"Margaret Miller")</f>
        <v>Margaret Miller</v>
      </c>
      <c r="S79" s="20">
        <f>IFERROR(__xludf.DUMMYFUNCTION("""COMPUTED_VALUE"""),0.057044609)</f>
        <v>0.057044609</v>
      </c>
      <c r="T79" s="20">
        <f>IFERROR(__xludf.DUMMYFUNCTION("""COMPUTED_VALUE"""),0.010083272)</f>
        <v>0.010083272</v>
      </c>
      <c r="U79" s="20">
        <f>IFERROR(__xludf.DUMMYFUNCTION("""COMPUTED_VALUE"""),0.156799164)</f>
        <v>0.156799164</v>
      </c>
      <c r="V79" s="20">
        <f>IFERROR(__xludf.DUMMYFUNCTION("""COMPUTED_VALUE"""),0.776072956)</f>
        <v>0.776072956</v>
      </c>
      <c r="W79" s="20"/>
      <c r="X79" s="20"/>
      <c r="Y79" s="20"/>
      <c r="Z79" s="20"/>
    </row>
    <row r="80">
      <c r="A80" s="20" t="str">
        <f>IFERROR(__xludf.DUMMYFUNCTION("""COMPUTED_VALUE"""),"s093")</f>
        <v>s093</v>
      </c>
      <c r="B80" s="20" t="str">
        <f>IFERROR(__xludf.DUMMYFUNCTION("""COMPUTED_VALUE"""),"wgs")</f>
        <v>wgs</v>
      </c>
      <c r="C80" s="20" t="str">
        <f>IFERROR(__xludf.DUMMYFUNCTION("""COMPUTED_VALUE"""),"GB26")</f>
        <v>GB26</v>
      </c>
      <c r="D80" s="20" t="str">
        <f>IFERROR(__xludf.DUMMYFUNCTION("""COMPUTED_VALUE"""),"GB26")</f>
        <v>GB26</v>
      </c>
      <c r="E80" s="20" t="str">
        <f>IFERROR(__xludf.DUMMYFUNCTION("""COMPUTED_VALUE"""),"no")</f>
        <v>no</v>
      </c>
      <c r="F80" s="20">
        <f>IFERROR(__xludf.DUMMYFUNCTION("""COMPUTED_VALUE"""),93.0)</f>
        <v>93</v>
      </c>
      <c r="G80" s="20"/>
      <c r="H80" s="20">
        <f>IFERROR(__xludf.DUMMYFUNCTION("""COMPUTED_VALUE"""),2.0796685E7)</f>
        <v>20796685</v>
      </c>
      <c r="I80" s="20">
        <f>IFERROR(__xludf.DUMMYFUNCTION("""COMPUTED_VALUE"""),1.0838362E7)</f>
        <v>10838362</v>
      </c>
      <c r="J80" s="19">
        <f>IFERROR(__xludf.DUMMYFUNCTION("""COMPUTED_VALUE"""),0.5211581557349164)</f>
        <v>0.5211581557</v>
      </c>
      <c r="K80" s="20">
        <f>IFERROR(__xludf.DUMMYFUNCTION("""COMPUTED_VALUE"""),2374.0)</f>
        <v>2374</v>
      </c>
      <c r="L80" s="20"/>
      <c r="M80" s="20" t="str">
        <f>IFERROR(__xludf.DUMMYFUNCTION("""COMPUTED_VALUE"""),"#N/A")</f>
        <v>#N/A</v>
      </c>
      <c r="N80" s="20" t="str">
        <f>IFERROR(__xludf.DUMMYFUNCTION("""COMPUTED_VALUE"""),"#N/A")</f>
        <v>#N/A</v>
      </c>
      <c r="O80" s="20"/>
      <c r="P80" s="20"/>
      <c r="Q80" s="20" t="str">
        <f>IFERROR(__xludf.DUMMYFUNCTION("""COMPUTED_VALUE"""),"#N/A")</f>
        <v>#N/A</v>
      </c>
      <c r="R80" s="20" t="str">
        <f>IFERROR(__xludf.DUMMYFUNCTION("""COMPUTED_VALUE"""),"#N/A")</f>
        <v>#N/A</v>
      </c>
      <c r="S80" s="20">
        <f>IFERROR(__xludf.DUMMYFUNCTION("""COMPUTED_VALUE"""),0.078215819)</f>
        <v>0.078215819</v>
      </c>
      <c r="T80" s="20">
        <f>IFERROR(__xludf.DUMMYFUNCTION("""COMPUTED_VALUE"""),0.013838861)</f>
        <v>0.013838861</v>
      </c>
      <c r="U80" s="20">
        <f>IFERROR(__xludf.DUMMYFUNCTION("""COMPUTED_VALUE"""),0.106128534)</f>
        <v>0.106128534</v>
      </c>
      <c r="V80" s="20">
        <f>IFERROR(__xludf.DUMMYFUNCTION("""COMPUTED_VALUE"""),0.801816787)</f>
        <v>0.801816787</v>
      </c>
      <c r="W80" s="20"/>
      <c r="X80" s="20"/>
      <c r="Y80" s="20"/>
      <c r="Z80" s="20"/>
    </row>
    <row r="81">
      <c r="A81" s="20" t="str">
        <f>IFERROR(__xludf.DUMMYFUNCTION("""COMPUTED_VALUE"""),"s094")</f>
        <v>s094</v>
      </c>
      <c r="B81" s="20" t="str">
        <f>IFERROR(__xludf.DUMMYFUNCTION("""COMPUTED_VALUE"""),"wgs")</f>
        <v>wgs</v>
      </c>
      <c r="C81" s="20" t="str">
        <f>IFERROR(__xludf.DUMMYFUNCTION("""COMPUTED_VALUE"""),"OF200")</f>
        <v>OF200</v>
      </c>
      <c r="D81" s="20" t="str">
        <f>IFERROR(__xludf.DUMMYFUNCTION("""COMPUTED_VALUE"""),"OF200")</f>
        <v>OF200</v>
      </c>
      <c r="E81" s="20" t="str">
        <f>IFERROR(__xludf.DUMMYFUNCTION("""COMPUTED_VALUE"""),"no")</f>
        <v>no</v>
      </c>
      <c r="F81" s="20">
        <f>IFERROR(__xludf.DUMMYFUNCTION("""COMPUTED_VALUE"""),94.0)</f>
        <v>94</v>
      </c>
      <c r="G81" s="20"/>
      <c r="H81" s="20">
        <f>IFERROR(__xludf.DUMMYFUNCTION("""COMPUTED_VALUE"""),2.8902594E7)</f>
        <v>28902594</v>
      </c>
      <c r="I81" s="20">
        <f>IFERROR(__xludf.DUMMYFUNCTION("""COMPUTED_VALUE"""),1.919698E7)</f>
        <v>19196980</v>
      </c>
      <c r="J81" s="19">
        <f>IFERROR(__xludf.DUMMYFUNCTION("""COMPUTED_VALUE"""),0.6641957465824694)</f>
        <v>0.6641957466</v>
      </c>
      <c r="K81" s="20">
        <f>IFERROR(__xludf.DUMMYFUNCTION("""COMPUTED_VALUE"""),789.0)</f>
        <v>789</v>
      </c>
      <c r="L81" s="20"/>
      <c r="M81" s="20" t="str">
        <f>IFERROR(__xludf.DUMMYFUNCTION("""COMPUTED_VALUE"""),"H")</f>
        <v>H</v>
      </c>
      <c r="N81" s="20" t="str">
        <f>IFERROR(__xludf.DUMMYFUNCTION("""COMPUTED_VALUE"""),"N")</f>
        <v>N</v>
      </c>
      <c r="O81" s="20">
        <f>IFERROR(__xludf.DUMMYFUNCTION("""COMPUTED_VALUE"""),25.139367)</f>
        <v>25.139367</v>
      </c>
      <c r="P81" s="20">
        <f>IFERROR(__xludf.DUMMYFUNCTION("""COMPUTED_VALUE"""),-80.294017)</f>
        <v>-80.294017</v>
      </c>
      <c r="Q81" s="20" t="str">
        <f>IFERROR(__xludf.DUMMYFUNCTION("""COMPUTED_VALUE"""),"2015 batch")</f>
        <v>2015 batch</v>
      </c>
      <c r="R81" s="20" t="str">
        <f>IFERROR(__xludf.DUMMYFUNCTION("""COMPUTED_VALUE"""),"Margaret Miller")</f>
        <v>Margaret Miller</v>
      </c>
      <c r="S81" s="20">
        <f>IFERROR(__xludf.DUMMYFUNCTION("""COMPUTED_VALUE"""),0.094473692)</f>
        <v>0.094473692</v>
      </c>
      <c r="T81" s="20">
        <f>IFERROR(__xludf.DUMMYFUNCTION("""COMPUTED_VALUE"""),0.01275684)</f>
        <v>0.01275684</v>
      </c>
      <c r="U81" s="20">
        <f>IFERROR(__xludf.DUMMYFUNCTION("""COMPUTED_VALUE"""),0.11326839)</f>
        <v>0.11326839</v>
      </c>
      <c r="V81" s="20">
        <f>IFERROR(__xludf.DUMMYFUNCTION("""COMPUTED_VALUE"""),0.779501078)</f>
        <v>0.779501078</v>
      </c>
      <c r="W81" s="20"/>
      <c r="X81" s="20"/>
      <c r="Y81" s="20"/>
      <c r="Z81" s="20"/>
    </row>
    <row r="82">
      <c r="A82" s="20" t="str">
        <f>IFERROR(__xludf.DUMMYFUNCTION("""COMPUTED_VALUE"""),"s095")</f>
        <v>s095</v>
      </c>
      <c r="B82" s="20" t="str">
        <f>IFERROR(__xludf.DUMMYFUNCTION("""COMPUTED_VALUE"""),"wgs")</f>
        <v>wgs</v>
      </c>
      <c r="C82" s="20" t="str">
        <f>IFERROR(__xludf.DUMMYFUNCTION("""COMPUTED_VALUE"""),"OF509")</f>
        <v>OF509</v>
      </c>
      <c r="D82" s="20" t="str">
        <f>IFERROR(__xludf.DUMMYFUNCTION("""COMPUTED_VALUE"""),"OF509")</f>
        <v>OF509</v>
      </c>
      <c r="E82" s="20" t="str">
        <f>IFERROR(__xludf.DUMMYFUNCTION("""COMPUTED_VALUE"""),"no")</f>
        <v>no</v>
      </c>
      <c r="F82" s="20">
        <f>IFERROR(__xludf.DUMMYFUNCTION("""COMPUTED_VALUE"""),95.0)</f>
        <v>95</v>
      </c>
      <c r="G82" s="20"/>
      <c r="H82" s="20">
        <f>IFERROR(__xludf.DUMMYFUNCTION("""COMPUTED_VALUE"""),2.5823278E7)</f>
        <v>25823278</v>
      </c>
      <c r="I82" s="20">
        <f>IFERROR(__xludf.DUMMYFUNCTION("""COMPUTED_VALUE"""),1.1449484E7)</f>
        <v>11449484</v>
      </c>
      <c r="J82" s="19">
        <f>IFERROR(__xludf.DUMMYFUNCTION("""COMPUTED_VALUE"""),0.4433784122991667)</f>
        <v>0.4433784123</v>
      </c>
      <c r="K82" s="20">
        <f>IFERROR(__xludf.DUMMYFUNCTION("""COMPUTED_VALUE"""),2299.0)</f>
        <v>2299</v>
      </c>
      <c r="L82" s="20"/>
      <c r="M82" s="20" t="str">
        <f>IFERROR(__xludf.DUMMYFUNCTION("""COMPUTED_VALUE"""),"H")</f>
        <v>H</v>
      </c>
      <c r="N82" s="20" t="str">
        <f>IFERROR(__xludf.DUMMYFUNCTION("""COMPUTED_VALUE"""),"N")</f>
        <v>N</v>
      </c>
      <c r="O82" s="20">
        <f>IFERROR(__xludf.DUMMYFUNCTION("""COMPUTED_VALUE"""),25.139367)</f>
        <v>25.139367</v>
      </c>
      <c r="P82" s="20">
        <f>IFERROR(__xludf.DUMMYFUNCTION("""COMPUTED_VALUE"""),-80.294017)</f>
        <v>-80.294017</v>
      </c>
      <c r="Q82" s="20" t="str">
        <f>IFERROR(__xludf.DUMMYFUNCTION("""COMPUTED_VALUE"""),"2015 batch")</f>
        <v>2015 batch</v>
      </c>
      <c r="R82" s="20" t="str">
        <f>IFERROR(__xludf.DUMMYFUNCTION("""COMPUTED_VALUE"""),"Margaret Miller")</f>
        <v>Margaret Miller</v>
      </c>
      <c r="S82" s="20">
        <f>IFERROR(__xludf.DUMMYFUNCTION("""COMPUTED_VALUE"""),0.07942582)</f>
        <v>0.07942582</v>
      </c>
      <c r="T82" s="20">
        <f>IFERROR(__xludf.DUMMYFUNCTION("""COMPUTED_VALUE"""),0.01733319)</f>
        <v>0.01733319</v>
      </c>
      <c r="U82" s="20">
        <f>IFERROR(__xludf.DUMMYFUNCTION("""COMPUTED_VALUE"""),0.20775035)</f>
        <v>0.20775035</v>
      </c>
      <c r="V82" s="20">
        <f>IFERROR(__xludf.DUMMYFUNCTION("""COMPUTED_VALUE"""),0.69549064)</f>
        <v>0.69549064</v>
      </c>
      <c r="W82" s="20"/>
      <c r="X82" s="20"/>
      <c r="Y82" s="20"/>
      <c r="Z82" s="20"/>
    </row>
    <row r="83">
      <c r="A83" s="20" t="str">
        <f>IFERROR(__xludf.DUMMYFUNCTION("""COMPUTED_VALUE"""),"s096")</f>
        <v>s096</v>
      </c>
      <c r="B83" s="20" t="str">
        <f>IFERROR(__xludf.DUMMYFUNCTION("""COMPUTED_VALUE"""),"wgs")</f>
        <v>wgs</v>
      </c>
      <c r="C83" s="20" t="str">
        <f>IFERROR(__xludf.DUMMYFUNCTION("""COMPUTED_VALUE"""),"OF453")</f>
        <v>OF453</v>
      </c>
      <c r="D83" s="20" t="str">
        <f>IFERROR(__xludf.DUMMYFUNCTION("""COMPUTED_VALUE"""),"OF453")</f>
        <v>OF453</v>
      </c>
      <c r="E83" s="20" t="str">
        <f>IFERROR(__xludf.DUMMYFUNCTION("""COMPUTED_VALUE"""),"no")</f>
        <v>no</v>
      </c>
      <c r="F83" s="20">
        <f>IFERROR(__xludf.DUMMYFUNCTION("""COMPUTED_VALUE"""),96.0)</f>
        <v>96</v>
      </c>
      <c r="G83" s="20"/>
      <c r="H83" s="20">
        <f>IFERROR(__xludf.DUMMYFUNCTION("""COMPUTED_VALUE"""),2.6631561E7)</f>
        <v>26631561</v>
      </c>
      <c r="I83" s="20">
        <f>IFERROR(__xludf.DUMMYFUNCTION("""COMPUTED_VALUE"""),2.0819534E7)</f>
        <v>20819534</v>
      </c>
      <c r="J83" s="19">
        <f>IFERROR(__xludf.DUMMYFUNCTION("""COMPUTED_VALUE"""),0.7817616849421631)</f>
        <v>0.7817616849</v>
      </c>
      <c r="K83" s="20">
        <f>IFERROR(__xludf.DUMMYFUNCTION("""COMPUTED_VALUE"""),756.0)</f>
        <v>756</v>
      </c>
      <c r="L83" s="20"/>
      <c r="M83" s="20" t="str">
        <f>IFERROR(__xludf.DUMMYFUNCTION("""COMPUTED_VALUE"""),"H")</f>
        <v>H</v>
      </c>
      <c r="N83" s="20" t="str">
        <f>IFERROR(__xludf.DUMMYFUNCTION("""COMPUTED_VALUE"""),"N")</f>
        <v>N</v>
      </c>
      <c r="O83" s="20">
        <f>IFERROR(__xludf.DUMMYFUNCTION("""COMPUTED_VALUE"""),25.139367)</f>
        <v>25.139367</v>
      </c>
      <c r="P83" s="20">
        <f>IFERROR(__xludf.DUMMYFUNCTION("""COMPUTED_VALUE"""),-80.294017)</f>
        <v>-80.294017</v>
      </c>
      <c r="Q83" s="20" t="str">
        <f>IFERROR(__xludf.DUMMYFUNCTION("""COMPUTED_VALUE"""),"2015 batch")</f>
        <v>2015 batch</v>
      </c>
      <c r="R83" s="20" t="str">
        <f>IFERROR(__xludf.DUMMYFUNCTION("""COMPUTED_VALUE"""),"Margaret Miller")</f>
        <v>Margaret Miller</v>
      </c>
      <c r="S83" s="20">
        <f>IFERROR(__xludf.DUMMYFUNCTION("""COMPUTED_VALUE"""),0.117935654)</f>
        <v>0.117935654</v>
      </c>
      <c r="T83" s="20">
        <f>IFERROR(__xludf.DUMMYFUNCTION("""COMPUTED_VALUE"""),0.032453978)</f>
        <v>0.032453978</v>
      </c>
      <c r="U83" s="20">
        <f>IFERROR(__xludf.DUMMYFUNCTION("""COMPUTED_VALUE"""),0.093468038)</f>
        <v>0.093468038</v>
      </c>
      <c r="V83" s="20">
        <f>IFERROR(__xludf.DUMMYFUNCTION("""COMPUTED_VALUE"""),0.756142331)</f>
        <v>0.756142331</v>
      </c>
      <c r="W83" s="20"/>
      <c r="X83" s="20"/>
      <c r="Y83" s="20"/>
      <c r="Z83" s="20"/>
    </row>
    <row r="84">
      <c r="A84" s="20" t="str">
        <f>IFERROR(__xludf.DUMMYFUNCTION("""COMPUTED_VALUE"""),"s097")</f>
        <v>s097</v>
      </c>
      <c r="B84" s="20" t="str">
        <f>IFERROR(__xludf.DUMMYFUNCTION("""COMPUTED_VALUE"""),"wgs")</f>
        <v>wgs</v>
      </c>
      <c r="C84" s="20" t="str">
        <f>IFERROR(__xludf.DUMMYFUNCTION("""COMPUTED_VALUE"""),"15-155")</f>
        <v>15-155</v>
      </c>
      <c r="D84" s="20" t="str">
        <f>IFERROR(__xludf.DUMMYFUNCTION("""COMPUTED_VALUE"""),"15-155")</f>
        <v>15-155</v>
      </c>
      <c r="E84" s="20" t="str">
        <f>IFERROR(__xludf.DUMMYFUNCTION("""COMPUTED_VALUE"""),"no")</f>
        <v>no</v>
      </c>
      <c r="F84" s="20">
        <f>IFERROR(__xludf.DUMMYFUNCTION("""COMPUTED_VALUE"""),97.0)</f>
        <v>97</v>
      </c>
      <c r="G84" s="20"/>
      <c r="H84" s="20">
        <f>IFERROR(__xludf.DUMMYFUNCTION("""COMPUTED_VALUE"""),2.5318967E7)</f>
        <v>25318967</v>
      </c>
      <c r="I84" s="20">
        <f>IFERROR(__xludf.DUMMYFUNCTION("""COMPUTED_VALUE"""),1.1690937E7)</f>
        <v>11690937</v>
      </c>
      <c r="J84" s="19">
        <f>IFERROR(__xludf.DUMMYFUNCTION("""COMPUTED_VALUE"""),0.4617462078922888)</f>
        <v>0.4617462079</v>
      </c>
      <c r="K84" s="20">
        <f>IFERROR(__xludf.DUMMYFUNCTION("""COMPUTED_VALUE"""),1942.0)</f>
        <v>1942</v>
      </c>
      <c r="L84" s="20"/>
      <c r="M84" s="20" t="str">
        <f>IFERROR(__xludf.DUMMYFUNCTION("""COMPUTED_VALUE"""),"H")</f>
        <v>H</v>
      </c>
      <c r="N84" s="20" t="str">
        <f>IFERROR(__xludf.DUMMYFUNCTION("""COMPUTED_VALUE"""),"N")</f>
        <v>N</v>
      </c>
      <c r="O84" s="20">
        <f>IFERROR(__xludf.DUMMYFUNCTION("""COMPUTED_VALUE"""),25.139367)</f>
        <v>25.139367</v>
      </c>
      <c r="P84" s="20">
        <f>IFERROR(__xludf.DUMMYFUNCTION("""COMPUTED_VALUE"""),-80.294017)</f>
        <v>-80.294017</v>
      </c>
      <c r="Q84" s="20" t="str">
        <f>IFERROR(__xludf.DUMMYFUNCTION("""COMPUTED_VALUE"""),"2015 batch")</f>
        <v>2015 batch</v>
      </c>
      <c r="R84" s="20" t="str">
        <f>IFERROR(__xludf.DUMMYFUNCTION("""COMPUTED_VALUE"""),"Margaret Miller")</f>
        <v>Margaret Miller</v>
      </c>
      <c r="S84" s="20">
        <f>IFERROR(__xludf.DUMMYFUNCTION("""COMPUTED_VALUE"""),0.081343917)</f>
        <v>0.081343917</v>
      </c>
      <c r="T84" s="20">
        <f>IFERROR(__xludf.DUMMYFUNCTION("""COMPUTED_VALUE"""),0.011301938)</f>
        <v>0.011301938</v>
      </c>
      <c r="U84" s="20">
        <f>IFERROR(__xludf.DUMMYFUNCTION("""COMPUTED_VALUE"""),0.123063464)</f>
        <v>0.123063464</v>
      </c>
      <c r="V84" s="20">
        <f>IFERROR(__xludf.DUMMYFUNCTION("""COMPUTED_VALUE"""),0.784290681)</f>
        <v>0.784290681</v>
      </c>
      <c r="W84" s="20"/>
      <c r="X84" s="20"/>
      <c r="Y84" s="20"/>
      <c r="Z84" s="20"/>
    </row>
    <row r="85">
      <c r="A85" s="20" t="str">
        <f>IFERROR(__xludf.DUMMYFUNCTION("""COMPUTED_VALUE"""),"s098")</f>
        <v>s098</v>
      </c>
      <c r="B85" s="20" t="str">
        <f>IFERROR(__xludf.DUMMYFUNCTION("""COMPUTED_VALUE"""),"wgs")</f>
        <v>wgs</v>
      </c>
      <c r="C85" s="20" t="str">
        <f>IFERROR(__xludf.DUMMYFUNCTION("""COMPUTED_VALUE"""),"OF677")</f>
        <v>OF677</v>
      </c>
      <c r="D85" s="20" t="str">
        <f>IFERROR(__xludf.DUMMYFUNCTION("""COMPUTED_VALUE"""),"OF677")</f>
        <v>OF677</v>
      </c>
      <c r="E85" s="20" t="str">
        <f>IFERROR(__xludf.DUMMYFUNCTION("""COMPUTED_VALUE"""),"no")</f>
        <v>no</v>
      </c>
      <c r="F85" s="20">
        <f>IFERROR(__xludf.DUMMYFUNCTION("""COMPUTED_VALUE"""),98.0)</f>
        <v>98</v>
      </c>
      <c r="G85" s="20"/>
      <c r="H85" s="20">
        <f>IFERROR(__xludf.DUMMYFUNCTION("""COMPUTED_VALUE"""),2.0693463E7)</f>
        <v>20693463</v>
      </c>
      <c r="I85" s="20">
        <f>IFERROR(__xludf.DUMMYFUNCTION("""COMPUTED_VALUE"""),1.5679687E7)</f>
        <v>15679687</v>
      </c>
      <c r="J85" s="19">
        <f>IFERROR(__xludf.DUMMYFUNCTION("""COMPUTED_VALUE"""),0.7577120852126104)</f>
        <v>0.7577120852</v>
      </c>
      <c r="K85" s="20">
        <f>IFERROR(__xludf.DUMMYFUNCTION("""COMPUTED_VALUE"""),1186.0)</f>
        <v>1186</v>
      </c>
      <c r="L85" s="20"/>
      <c r="M85" s="20" t="str">
        <f>IFERROR(__xludf.DUMMYFUNCTION("""COMPUTED_VALUE"""),"H")</f>
        <v>H</v>
      </c>
      <c r="N85" s="20" t="str">
        <f>IFERROR(__xludf.DUMMYFUNCTION("""COMPUTED_VALUE"""),"N")</f>
        <v>N</v>
      </c>
      <c r="O85" s="20">
        <f>IFERROR(__xludf.DUMMYFUNCTION("""COMPUTED_VALUE"""),25.139367)</f>
        <v>25.139367</v>
      </c>
      <c r="P85" s="20">
        <f>IFERROR(__xludf.DUMMYFUNCTION("""COMPUTED_VALUE"""),-80.294017)</f>
        <v>-80.294017</v>
      </c>
      <c r="Q85" s="20" t="str">
        <f>IFERROR(__xludf.DUMMYFUNCTION("""COMPUTED_VALUE"""),"2015")</f>
        <v>2015</v>
      </c>
      <c r="R85" s="20" t="str">
        <f>IFERROR(__xludf.DUMMYFUNCTION("""COMPUTED_VALUE"""),"Margaret Miller")</f>
        <v>Margaret Miller</v>
      </c>
      <c r="S85" s="20">
        <f>IFERROR(__xludf.DUMMYFUNCTION("""COMPUTED_VALUE"""),0.098776154)</f>
        <v>0.098776154</v>
      </c>
      <c r="T85" s="20">
        <f>IFERROR(__xludf.DUMMYFUNCTION("""COMPUTED_VALUE"""),0.015757267)</f>
        <v>0.015757267</v>
      </c>
      <c r="U85" s="20">
        <f>IFERROR(__xludf.DUMMYFUNCTION("""COMPUTED_VALUE"""),0.105798794)</f>
        <v>0.105798794</v>
      </c>
      <c r="V85" s="20">
        <f>IFERROR(__xludf.DUMMYFUNCTION("""COMPUTED_VALUE"""),0.779667785)</f>
        <v>0.779667785</v>
      </c>
      <c r="W85" s="20"/>
      <c r="X85" s="20"/>
      <c r="Y85" s="20"/>
      <c r="Z85" s="20"/>
    </row>
    <row r="86">
      <c r="A86" s="20" t="str">
        <f>IFERROR(__xludf.DUMMYFUNCTION("""COMPUTED_VALUE"""),"s099")</f>
        <v>s099</v>
      </c>
      <c r="B86" s="20" t="str">
        <f>IFERROR(__xludf.DUMMYFUNCTION("""COMPUTED_VALUE"""),"wgs")</f>
        <v>wgs</v>
      </c>
      <c r="C86" s="20" t="str">
        <f>IFERROR(__xludf.DUMMYFUNCTION("""COMPUTED_VALUE"""),"OF373")</f>
        <v>OF373</v>
      </c>
      <c r="D86" s="20" t="str">
        <f>IFERROR(__xludf.DUMMYFUNCTION("""COMPUTED_VALUE"""),"OF373")</f>
        <v>OF373</v>
      </c>
      <c r="E86" s="20" t="str">
        <f>IFERROR(__xludf.DUMMYFUNCTION("""COMPUTED_VALUE"""),"no")</f>
        <v>no</v>
      </c>
      <c r="F86" s="20">
        <f>IFERROR(__xludf.DUMMYFUNCTION("""COMPUTED_VALUE"""),99.0)</f>
        <v>99</v>
      </c>
      <c r="G86" s="20"/>
      <c r="H86" s="20">
        <f>IFERROR(__xludf.DUMMYFUNCTION("""COMPUTED_VALUE"""),2.5819395E7)</f>
        <v>25819395</v>
      </c>
      <c r="I86" s="20">
        <f>IFERROR(__xludf.DUMMYFUNCTION("""COMPUTED_VALUE"""),1.7209955E7)</f>
        <v>17209955</v>
      </c>
      <c r="J86" s="19">
        <f>IFERROR(__xludf.DUMMYFUNCTION("""COMPUTED_VALUE"""),0.6665514432077126)</f>
        <v>0.6665514432</v>
      </c>
      <c r="K86" s="20">
        <f>IFERROR(__xludf.DUMMYFUNCTION("""COMPUTED_VALUE"""),20121.0)</f>
        <v>20121</v>
      </c>
      <c r="L86" s="20"/>
      <c r="M86" s="20" t="str">
        <f>IFERROR(__xludf.DUMMYFUNCTION("""COMPUTED_VALUE"""),"#N/A")</f>
        <v>#N/A</v>
      </c>
      <c r="N86" s="20" t="str">
        <f>IFERROR(__xludf.DUMMYFUNCTION("""COMPUTED_VALUE"""),"#N/A")</f>
        <v>#N/A</v>
      </c>
      <c r="O86" s="20"/>
      <c r="P86" s="20"/>
      <c r="Q86" s="20" t="str">
        <f>IFERROR(__xludf.DUMMYFUNCTION("""COMPUTED_VALUE"""),"#N/A")</f>
        <v>#N/A</v>
      </c>
      <c r="R86" s="20" t="str">
        <f>IFERROR(__xludf.DUMMYFUNCTION("""COMPUTED_VALUE"""),"#N/A")</f>
        <v>#N/A</v>
      </c>
      <c r="S86" s="20">
        <f>IFERROR(__xludf.DUMMYFUNCTION("""COMPUTED_VALUE"""),0.19787519)</f>
        <v>0.19787519</v>
      </c>
      <c r="T86" s="20">
        <f>IFERROR(__xludf.DUMMYFUNCTION("""COMPUTED_VALUE"""),0.032270443)</f>
        <v>0.032270443</v>
      </c>
      <c r="U86" s="20">
        <f>IFERROR(__xludf.DUMMYFUNCTION("""COMPUTED_VALUE"""),0.247476348)</f>
        <v>0.247476348</v>
      </c>
      <c r="V86" s="20">
        <f>IFERROR(__xludf.DUMMYFUNCTION("""COMPUTED_VALUE"""),0.522378019)</f>
        <v>0.522378019</v>
      </c>
      <c r="W86" s="20"/>
      <c r="X86" s="20"/>
      <c r="Y86" s="20"/>
      <c r="Z86" s="20"/>
    </row>
    <row r="87">
      <c r="A87" s="20" t="str">
        <f>IFERROR(__xludf.DUMMYFUNCTION("""COMPUTED_VALUE"""),"s100")</f>
        <v>s100</v>
      </c>
      <c r="B87" s="20" t="str">
        <f>IFERROR(__xludf.DUMMYFUNCTION("""COMPUTED_VALUE"""),"wgs")</f>
        <v>wgs</v>
      </c>
      <c r="C87" s="20" t="str">
        <f>IFERROR(__xludf.DUMMYFUNCTION("""COMPUTED_VALUE"""),"15-111")</f>
        <v>15-111</v>
      </c>
      <c r="D87" s="20" t="str">
        <f>IFERROR(__xludf.DUMMYFUNCTION("""COMPUTED_VALUE"""),"15-111")</f>
        <v>15-111</v>
      </c>
      <c r="E87" s="20" t="str">
        <f>IFERROR(__xludf.DUMMYFUNCTION("""COMPUTED_VALUE"""),"no")</f>
        <v>no</v>
      </c>
      <c r="F87" s="20">
        <f>IFERROR(__xludf.DUMMYFUNCTION("""COMPUTED_VALUE"""),100.0)</f>
        <v>100</v>
      </c>
      <c r="G87" s="20"/>
      <c r="H87" s="20">
        <f>IFERROR(__xludf.DUMMYFUNCTION("""COMPUTED_VALUE"""),2.6366235E7)</f>
        <v>26366235</v>
      </c>
      <c r="I87" s="20">
        <f>IFERROR(__xludf.DUMMYFUNCTION("""COMPUTED_VALUE"""),2.0565702E7)</f>
        <v>20565702</v>
      </c>
      <c r="J87" s="19">
        <f>IFERROR(__xludf.DUMMYFUNCTION("""COMPUTED_VALUE"""),0.7800014677863563)</f>
        <v>0.7800014678</v>
      </c>
      <c r="K87" s="20">
        <f>IFERROR(__xludf.DUMMYFUNCTION("""COMPUTED_VALUE"""),792.0)</f>
        <v>792</v>
      </c>
      <c r="L87" s="20"/>
      <c r="M87" s="20" t="str">
        <f>IFERROR(__xludf.DUMMYFUNCTION("""COMPUTED_VALUE"""),"H")</f>
        <v>H</v>
      </c>
      <c r="N87" s="20" t="str">
        <f>IFERROR(__xludf.DUMMYFUNCTION("""COMPUTED_VALUE"""),"N")</f>
        <v>N</v>
      </c>
      <c r="O87" s="20">
        <f>IFERROR(__xludf.DUMMYFUNCTION("""COMPUTED_VALUE"""),25.139367)</f>
        <v>25.139367</v>
      </c>
      <c r="P87" s="20">
        <f>IFERROR(__xludf.DUMMYFUNCTION("""COMPUTED_VALUE"""),-80.294017)</f>
        <v>-80.294017</v>
      </c>
      <c r="Q87" s="20" t="str">
        <f>IFERROR(__xludf.DUMMYFUNCTION("""COMPUTED_VALUE"""),"2015 batch")</f>
        <v>2015 batch</v>
      </c>
      <c r="R87" s="20" t="str">
        <f>IFERROR(__xludf.DUMMYFUNCTION("""COMPUTED_VALUE"""),"Margaret Miller")</f>
        <v>Margaret Miller</v>
      </c>
      <c r="S87" s="20">
        <f>IFERROR(__xludf.DUMMYFUNCTION("""COMPUTED_VALUE"""),0.060086443)</f>
        <v>0.060086443</v>
      </c>
      <c r="T87" s="20">
        <f>IFERROR(__xludf.DUMMYFUNCTION("""COMPUTED_VALUE"""),0.009990292)</f>
        <v>0.009990292</v>
      </c>
      <c r="U87" s="20">
        <f>IFERROR(__xludf.DUMMYFUNCTION("""COMPUTED_VALUE"""),0.06544836)</f>
        <v>0.06544836</v>
      </c>
      <c r="V87" s="20">
        <f>IFERROR(__xludf.DUMMYFUNCTION("""COMPUTED_VALUE"""),0.864474904)</f>
        <v>0.864474904</v>
      </c>
      <c r="W87" s="20"/>
      <c r="X87" s="20"/>
      <c r="Y87" s="20"/>
      <c r="Z87" s="20"/>
    </row>
    <row r="88">
      <c r="A88" s="20" t="str">
        <f>IFERROR(__xludf.DUMMYFUNCTION("""COMPUTED_VALUE"""),"s101")</f>
        <v>s101</v>
      </c>
      <c r="B88" s="20" t="str">
        <f>IFERROR(__xludf.DUMMYFUNCTION("""COMPUTED_VALUE"""),"wgs")</f>
        <v>wgs</v>
      </c>
      <c r="C88" s="20" t="str">
        <f>IFERROR(__xludf.DUMMYFUNCTION("""COMPUTED_VALUE"""),"OF602")</f>
        <v>OF602</v>
      </c>
      <c r="D88" s="20" t="str">
        <f>IFERROR(__xludf.DUMMYFUNCTION("""COMPUTED_VALUE"""),"OF689")</f>
        <v>OF689</v>
      </c>
      <c r="E88" s="20" t="str">
        <f>IFERROR(__xludf.DUMMYFUNCTION("""COMPUTED_VALUE"""),"no")</f>
        <v>no</v>
      </c>
      <c r="F88" s="20">
        <f>IFERROR(__xludf.DUMMYFUNCTION("""COMPUTED_VALUE"""),101.0)</f>
        <v>101</v>
      </c>
      <c r="G88" s="20"/>
      <c r="H88" s="20">
        <f>IFERROR(__xludf.DUMMYFUNCTION("""COMPUTED_VALUE"""),2.891715E7)</f>
        <v>28917150</v>
      </c>
      <c r="I88" s="20">
        <f>IFERROR(__xludf.DUMMYFUNCTION("""COMPUTED_VALUE"""),2.3422132E7)</f>
        <v>23422132</v>
      </c>
      <c r="J88" s="19">
        <f>IFERROR(__xludf.DUMMYFUNCTION("""COMPUTED_VALUE"""),0.8099737353093234)</f>
        <v>0.8099737353</v>
      </c>
      <c r="K88" s="20">
        <f>IFERROR(__xludf.DUMMYFUNCTION("""COMPUTED_VALUE"""),572.0)</f>
        <v>572</v>
      </c>
      <c r="L88" s="20"/>
      <c r="M88" s="20" t="str">
        <f>IFERROR(__xludf.DUMMYFUNCTION("""COMPUTED_VALUE"""),"H")</f>
        <v>H</v>
      </c>
      <c r="N88" s="20" t="str">
        <f>IFERROR(__xludf.DUMMYFUNCTION("""COMPUTED_VALUE"""),"N")</f>
        <v>N</v>
      </c>
      <c r="O88" s="20">
        <f>IFERROR(__xludf.DUMMYFUNCTION("""COMPUTED_VALUE"""),25.139367)</f>
        <v>25.139367</v>
      </c>
      <c r="P88" s="20">
        <f>IFERROR(__xludf.DUMMYFUNCTION("""COMPUTED_VALUE"""),-80.294017)</f>
        <v>-80.294017</v>
      </c>
      <c r="Q88" s="20" t="str">
        <f>IFERROR(__xludf.DUMMYFUNCTION("""COMPUTED_VALUE"""),"2015 batch")</f>
        <v>2015 batch</v>
      </c>
      <c r="R88" s="20" t="str">
        <f>IFERROR(__xludf.DUMMYFUNCTION("""COMPUTED_VALUE"""),"Margaret Miller")</f>
        <v>Margaret Miller</v>
      </c>
      <c r="S88" s="20">
        <f>IFERROR(__xludf.DUMMYFUNCTION("""COMPUTED_VALUE"""),0.068425846)</f>
        <v>0.068425846</v>
      </c>
      <c r="T88" s="20">
        <f>IFERROR(__xludf.DUMMYFUNCTION("""COMPUTED_VALUE"""),0.017315435)</f>
        <v>0.017315435</v>
      </c>
      <c r="U88" s="20">
        <f>IFERROR(__xludf.DUMMYFUNCTION("""COMPUTED_VALUE"""),0.079638063)</f>
        <v>0.079638063</v>
      </c>
      <c r="V88" s="20">
        <f>IFERROR(__xludf.DUMMYFUNCTION("""COMPUTED_VALUE"""),0.834620656)</f>
        <v>0.834620656</v>
      </c>
      <c r="W88" s="20"/>
      <c r="X88" s="20"/>
      <c r="Y88" s="20"/>
      <c r="Z88" s="20"/>
    </row>
    <row r="89">
      <c r="A89" s="20" t="str">
        <f>IFERROR(__xludf.DUMMYFUNCTION("""COMPUTED_VALUE"""),"s102")</f>
        <v>s102</v>
      </c>
      <c r="B89" s="20" t="str">
        <f>IFERROR(__xludf.DUMMYFUNCTION("""COMPUTED_VALUE"""),"wgs")</f>
        <v>wgs</v>
      </c>
      <c r="C89" s="20" t="str">
        <f>IFERROR(__xludf.DUMMYFUNCTION("""COMPUTED_VALUE"""),"OF679")</f>
        <v>OF679</v>
      </c>
      <c r="D89" s="20" t="str">
        <f>IFERROR(__xludf.DUMMYFUNCTION("""COMPUTED_VALUE"""),"OF679")</f>
        <v>OF679</v>
      </c>
      <c r="E89" s="20" t="str">
        <f>IFERROR(__xludf.DUMMYFUNCTION("""COMPUTED_VALUE"""),"no")</f>
        <v>no</v>
      </c>
      <c r="F89" s="20">
        <f>IFERROR(__xludf.DUMMYFUNCTION("""COMPUTED_VALUE"""),102.0)</f>
        <v>102</v>
      </c>
      <c r="G89" s="20"/>
      <c r="H89" s="20">
        <f>IFERROR(__xludf.DUMMYFUNCTION("""COMPUTED_VALUE"""),2.45295E7)</f>
        <v>24529500</v>
      </c>
      <c r="I89" s="20">
        <f>IFERROR(__xludf.DUMMYFUNCTION("""COMPUTED_VALUE"""),1.9812354E7)</f>
        <v>19812354</v>
      </c>
      <c r="J89" s="19">
        <f>IFERROR(__xludf.DUMMYFUNCTION("""COMPUTED_VALUE"""),0.8076949795144622)</f>
        <v>0.8076949795</v>
      </c>
      <c r="K89" s="20">
        <f>IFERROR(__xludf.DUMMYFUNCTION("""COMPUTED_VALUE"""),692.0)</f>
        <v>692</v>
      </c>
      <c r="L89" s="20"/>
      <c r="M89" s="20" t="str">
        <f>IFERROR(__xludf.DUMMYFUNCTION("""COMPUTED_VALUE"""),"H")</f>
        <v>H</v>
      </c>
      <c r="N89" s="20" t="str">
        <f>IFERROR(__xludf.DUMMYFUNCTION("""COMPUTED_VALUE"""),"Y")</f>
        <v>Y</v>
      </c>
      <c r="O89" s="20">
        <f>IFERROR(__xludf.DUMMYFUNCTION("""COMPUTED_VALUE"""),25.139367)</f>
        <v>25.139367</v>
      </c>
      <c r="P89" s="20">
        <f>IFERROR(__xludf.DUMMYFUNCTION("""COMPUTED_VALUE"""),-80.294017)</f>
        <v>-80.294017</v>
      </c>
      <c r="Q89" s="20" t="str">
        <f>IFERROR(__xludf.DUMMYFUNCTION("""COMPUTED_VALUE"""),"2015")</f>
        <v>2015</v>
      </c>
      <c r="R89" s="20" t="str">
        <f>IFERROR(__xludf.DUMMYFUNCTION("""COMPUTED_VALUE"""),"Margaret Miller")</f>
        <v>Margaret Miller</v>
      </c>
      <c r="S89" s="20">
        <f>IFERROR(__xludf.DUMMYFUNCTION("""COMPUTED_VALUE"""),0.035367318)</f>
        <v>0.035367318</v>
      </c>
      <c r="T89" s="20">
        <f>IFERROR(__xludf.DUMMYFUNCTION("""COMPUTED_VALUE"""),0.005706164)</f>
        <v>0.005706164</v>
      </c>
      <c r="U89" s="20">
        <f>IFERROR(__xludf.DUMMYFUNCTION("""COMPUTED_VALUE"""),0.035180668)</f>
        <v>0.035180668</v>
      </c>
      <c r="V89" s="20">
        <f>IFERROR(__xludf.DUMMYFUNCTION("""COMPUTED_VALUE"""),0.92374585)</f>
        <v>0.92374585</v>
      </c>
      <c r="W89" s="20"/>
      <c r="X89" s="20"/>
      <c r="Y89" s="20"/>
      <c r="Z89" s="20"/>
    </row>
    <row r="90">
      <c r="A90" s="20" t="str">
        <f>IFERROR(__xludf.DUMMYFUNCTION("""COMPUTED_VALUE"""),"s103")</f>
        <v>s103</v>
      </c>
      <c r="B90" s="20" t="str">
        <f>IFERROR(__xludf.DUMMYFUNCTION("""COMPUTED_VALUE"""),"wgs")</f>
        <v>wgs</v>
      </c>
      <c r="C90" s="20" t="str">
        <f>IFERROR(__xludf.DUMMYFUNCTION("""COMPUTED_VALUE"""),"OF696")</f>
        <v>OF696</v>
      </c>
      <c r="D90" s="20" t="str">
        <f>IFERROR(__xludf.DUMMYFUNCTION("""COMPUTED_VALUE"""),"OF696")</f>
        <v>OF696</v>
      </c>
      <c r="E90" s="20" t="str">
        <f>IFERROR(__xludf.DUMMYFUNCTION("""COMPUTED_VALUE"""),"no")</f>
        <v>no</v>
      </c>
      <c r="F90" s="20">
        <f>IFERROR(__xludf.DUMMYFUNCTION("""COMPUTED_VALUE"""),103.0)</f>
        <v>103</v>
      </c>
      <c r="G90" s="20"/>
      <c r="H90" s="20">
        <f>IFERROR(__xludf.DUMMYFUNCTION("""COMPUTED_VALUE"""),2.5632545E7)</f>
        <v>25632545</v>
      </c>
      <c r="I90" s="20">
        <f>IFERROR(__xludf.DUMMYFUNCTION("""COMPUTED_VALUE"""),2.0646747E7)</f>
        <v>20646747</v>
      </c>
      <c r="J90" s="19">
        <f>IFERROR(__xludf.DUMMYFUNCTION("""COMPUTED_VALUE"""),0.8054895446394418)</f>
        <v>0.8054895446</v>
      </c>
      <c r="K90" s="20">
        <f>IFERROR(__xludf.DUMMYFUNCTION("""COMPUTED_VALUE"""),748.0)</f>
        <v>748</v>
      </c>
      <c r="L90" s="20"/>
      <c r="M90" s="20" t="str">
        <f>IFERROR(__xludf.DUMMYFUNCTION("""COMPUTED_VALUE"""),"H")</f>
        <v>H</v>
      </c>
      <c r="N90" s="20" t="str">
        <f>IFERROR(__xludf.DUMMYFUNCTION("""COMPUTED_VALUE"""),"Y")</f>
        <v>Y</v>
      </c>
      <c r="O90" s="20">
        <f>IFERROR(__xludf.DUMMYFUNCTION("""COMPUTED_VALUE"""),25.139367)</f>
        <v>25.139367</v>
      </c>
      <c r="P90" s="20">
        <f>IFERROR(__xludf.DUMMYFUNCTION("""COMPUTED_VALUE"""),-80.294017)</f>
        <v>-80.294017</v>
      </c>
      <c r="Q90" s="20" t="str">
        <f>IFERROR(__xludf.DUMMYFUNCTION("""COMPUTED_VALUE"""),"2015")</f>
        <v>2015</v>
      </c>
      <c r="R90" s="20" t="str">
        <f>IFERROR(__xludf.DUMMYFUNCTION("""COMPUTED_VALUE"""),"Margaret Miller")</f>
        <v>Margaret Miller</v>
      </c>
      <c r="S90" s="20">
        <f>IFERROR(__xludf.DUMMYFUNCTION("""COMPUTED_VALUE"""),0.045782882)</f>
        <v>0.045782882</v>
      </c>
      <c r="T90" s="20">
        <f>IFERROR(__xludf.DUMMYFUNCTION("""COMPUTED_VALUE"""),0.007046622)</f>
        <v>0.007046622</v>
      </c>
      <c r="U90" s="20">
        <f>IFERROR(__xludf.DUMMYFUNCTION("""COMPUTED_VALUE"""),0.041924609)</f>
        <v>0.041924609</v>
      </c>
      <c r="V90" s="20">
        <f>IFERROR(__xludf.DUMMYFUNCTION("""COMPUTED_VALUE"""),0.905245887)</f>
        <v>0.905245887</v>
      </c>
      <c r="W90" s="20"/>
      <c r="X90" s="20"/>
      <c r="Y90" s="20"/>
      <c r="Z90" s="20"/>
    </row>
    <row r="91">
      <c r="A91" s="20" t="str">
        <f>IFERROR(__xludf.DUMMYFUNCTION("""COMPUTED_VALUE"""),"s104")</f>
        <v>s104</v>
      </c>
      <c r="B91" s="20" t="str">
        <f>IFERROR(__xludf.DUMMYFUNCTION("""COMPUTED_VALUE"""),"wgs")</f>
        <v>wgs</v>
      </c>
      <c r="C91" s="20" t="str">
        <f>IFERROR(__xludf.DUMMYFUNCTION("""COMPUTED_VALUE"""),"OF628")</f>
        <v>OF628</v>
      </c>
      <c r="D91" s="20" t="str">
        <f>IFERROR(__xludf.DUMMYFUNCTION("""COMPUTED_VALUE"""),"OF628")</f>
        <v>OF628</v>
      </c>
      <c r="E91" s="20" t="str">
        <f>IFERROR(__xludf.DUMMYFUNCTION("""COMPUTED_VALUE"""),"no")</f>
        <v>no</v>
      </c>
      <c r="F91" s="20">
        <f>IFERROR(__xludf.DUMMYFUNCTION("""COMPUTED_VALUE"""),104.0)</f>
        <v>104</v>
      </c>
      <c r="G91" s="20"/>
      <c r="H91" s="20">
        <f>IFERROR(__xludf.DUMMYFUNCTION("""COMPUTED_VALUE"""),2.5204447E7)</f>
        <v>25204447</v>
      </c>
      <c r="I91" s="20">
        <f>IFERROR(__xludf.DUMMYFUNCTION("""COMPUTED_VALUE"""),1.8814825E7)</f>
        <v>18814825</v>
      </c>
      <c r="J91" s="19">
        <f>IFERROR(__xludf.DUMMYFUNCTION("""COMPUTED_VALUE"""),0.746488308194185)</f>
        <v>0.7464883082</v>
      </c>
      <c r="K91" s="20">
        <f>IFERROR(__xludf.DUMMYFUNCTION("""COMPUTED_VALUE"""),733.0)</f>
        <v>733</v>
      </c>
      <c r="L91" s="20"/>
      <c r="M91" s="20" t="str">
        <f>IFERROR(__xludf.DUMMYFUNCTION("""COMPUTED_VALUE"""),"H")</f>
        <v>H</v>
      </c>
      <c r="N91" s="20" t="str">
        <f>IFERROR(__xludf.DUMMYFUNCTION("""COMPUTED_VALUE"""),"N")</f>
        <v>N</v>
      </c>
      <c r="O91" s="20">
        <f>IFERROR(__xludf.DUMMYFUNCTION("""COMPUTED_VALUE"""),25.139367)</f>
        <v>25.139367</v>
      </c>
      <c r="P91" s="20">
        <f>IFERROR(__xludf.DUMMYFUNCTION("""COMPUTED_VALUE"""),-80.294017)</f>
        <v>-80.294017</v>
      </c>
      <c r="Q91" s="20" t="str">
        <f>IFERROR(__xludf.DUMMYFUNCTION("""COMPUTED_VALUE"""),"2015 batch")</f>
        <v>2015 batch</v>
      </c>
      <c r="R91" s="20" t="str">
        <f>IFERROR(__xludf.DUMMYFUNCTION("""COMPUTED_VALUE"""),"Margaret Miller")</f>
        <v>Margaret Miller</v>
      </c>
      <c r="S91" s="20">
        <f>IFERROR(__xludf.DUMMYFUNCTION("""COMPUTED_VALUE"""),0.066995917)</f>
        <v>0.066995917</v>
      </c>
      <c r="T91" s="20">
        <f>IFERROR(__xludf.DUMMYFUNCTION("""COMPUTED_VALUE"""),0.011036481)</f>
        <v>0.011036481</v>
      </c>
      <c r="U91" s="20">
        <f>IFERROR(__xludf.DUMMYFUNCTION("""COMPUTED_VALUE"""),0.08935862)</f>
        <v>0.08935862</v>
      </c>
      <c r="V91" s="20">
        <f>IFERROR(__xludf.DUMMYFUNCTION("""COMPUTED_VALUE"""),0.832608982)</f>
        <v>0.832608982</v>
      </c>
      <c r="W91" s="20"/>
      <c r="X91" s="20"/>
      <c r="Y91" s="20"/>
      <c r="Z91" s="20"/>
    </row>
    <row r="92">
      <c r="A92" s="20" t="str">
        <f>IFERROR(__xludf.DUMMYFUNCTION("""COMPUTED_VALUE"""),"s105")</f>
        <v>s105</v>
      </c>
      <c r="B92" s="20" t="str">
        <f>IFERROR(__xludf.DUMMYFUNCTION("""COMPUTED_VALUE"""),"wgs")</f>
        <v>wgs</v>
      </c>
      <c r="C92" s="20" t="str">
        <f>IFERROR(__xludf.DUMMYFUNCTION("""COMPUTED_VALUE"""),"GB28")</f>
        <v>GB28</v>
      </c>
      <c r="D92" s="20" t="str">
        <f>IFERROR(__xludf.DUMMYFUNCTION("""COMPUTED_VALUE"""),"GB28")</f>
        <v>GB28</v>
      </c>
      <c r="E92" s="20" t="str">
        <f>IFERROR(__xludf.DUMMYFUNCTION("""COMPUTED_VALUE"""),"no")</f>
        <v>no</v>
      </c>
      <c r="F92" s="20">
        <f>IFERROR(__xludf.DUMMYFUNCTION("""COMPUTED_VALUE"""),105.0)</f>
        <v>105</v>
      </c>
      <c r="G92" s="20"/>
      <c r="H92" s="20">
        <f>IFERROR(__xludf.DUMMYFUNCTION("""COMPUTED_VALUE"""),1.9727788E7)</f>
        <v>19727788</v>
      </c>
      <c r="I92" s="20">
        <f>IFERROR(__xludf.DUMMYFUNCTION("""COMPUTED_VALUE"""),6161000.0)</f>
        <v>6161000</v>
      </c>
      <c r="J92" s="19">
        <f>IFERROR(__xludf.DUMMYFUNCTION("""COMPUTED_VALUE"""),0.3123005985263021)</f>
        <v>0.3123005985</v>
      </c>
      <c r="K92" s="20">
        <f>IFERROR(__xludf.DUMMYFUNCTION("""COMPUTED_VALUE"""),4546.0)</f>
        <v>4546</v>
      </c>
      <c r="L92" s="20"/>
      <c r="M92" s="20" t="str">
        <f>IFERROR(__xludf.DUMMYFUNCTION("""COMPUTED_VALUE"""),"#N/A")</f>
        <v>#N/A</v>
      </c>
      <c r="N92" s="20" t="str">
        <f>IFERROR(__xludf.DUMMYFUNCTION("""COMPUTED_VALUE"""),"#N/A")</f>
        <v>#N/A</v>
      </c>
      <c r="O92" s="20"/>
      <c r="P92" s="20"/>
      <c r="Q92" s="20" t="str">
        <f>IFERROR(__xludf.DUMMYFUNCTION("""COMPUTED_VALUE"""),"#N/A")</f>
        <v>#N/A</v>
      </c>
      <c r="R92" s="20" t="str">
        <f>IFERROR(__xludf.DUMMYFUNCTION("""COMPUTED_VALUE"""),"#N/A")</f>
        <v>#N/A</v>
      </c>
      <c r="S92" s="20">
        <f>IFERROR(__xludf.DUMMYFUNCTION("""COMPUTED_VALUE"""),0.173647278)</f>
        <v>0.173647278</v>
      </c>
      <c r="T92" s="20">
        <f>IFERROR(__xludf.DUMMYFUNCTION("""COMPUTED_VALUE"""),0.023015986)</f>
        <v>0.023015986</v>
      </c>
      <c r="U92" s="20">
        <f>IFERROR(__xludf.DUMMYFUNCTION("""COMPUTED_VALUE"""),0.165415283)</f>
        <v>0.165415283</v>
      </c>
      <c r="V92" s="20">
        <f>IFERROR(__xludf.DUMMYFUNCTION("""COMPUTED_VALUE"""),0.637921454)</f>
        <v>0.637921454</v>
      </c>
      <c r="W92" s="20"/>
      <c r="X92" s="20"/>
      <c r="Y92" s="20"/>
      <c r="Z92" s="20"/>
    </row>
    <row r="93">
      <c r="A93" s="20" t="str">
        <f>IFERROR(__xludf.DUMMYFUNCTION("""COMPUTED_VALUE"""),"s106")</f>
        <v>s106</v>
      </c>
      <c r="B93" s="20" t="str">
        <f>IFERROR(__xludf.DUMMYFUNCTION("""COMPUTED_VALUE"""),"wgs")</f>
        <v>wgs</v>
      </c>
      <c r="C93" s="20" t="str">
        <f>IFERROR(__xludf.DUMMYFUNCTION("""COMPUTED_VALUE"""),"GB25")</f>
        <v>GB25</v>
      </c>
      <c r="D93" s="20" t="str">
        <f>IFERROR(__xludf.DUMMYFUNCTION("""COMPUTED_VALUE"""),"GB25")</f>
        <v>GB25</v>
      </c>
      <c r="E93" s="20" t="str">
        <f>IFERROR(__xludf.DUMMYFUNCTION("""COMPUTED_VALUE"""),"no")</f>
        <v>no</v>
      </c>
      <c r="F93" s="20">
        <f>IFERROR(__xludf.DUMMYFUNCTION("""COMPUTED_VALUE"""),106.0)</f>
        <v>106</v>
      </c>
      <c r="G93" s="20"/>
      <c r="H93" s="20">
        <f>IFERROR(__xludf.DUMMYFUNCTION("""COMPUTED_VALUE"""),2.8068398E7)</f>
        <v>28068398</v>
      </c>
      <c r="I93" s="20">
        <f>IFERROR(__xludf.DUMMYFUNCTION("""COMPUTED_VALUE"""),1.7524695E7)</f>
        <v>17524695</v>
      </c>
      <c r="J93" s="19">
        <f>IFERROR(__xludf.DUMMYFUNCTION("""COMPUTED_VALUE"""),0.6243567944276691)</f>
        <v>0.6243567944</v>
      </c>
      <c r="K93" s="20">
        <f>IFERROR(__xludf.DUMMYFUNCTION("""COMPUTED_VALUE"""),819.0)</f>
        <v>819</v>
      </c>
      <c r="L93" s="20"/>
      <c r="M93" s="20" t="str">
        <f>IFERROR(__xludf.DUMMYFUNCTION("""COMPUTED_VALUE"""),"#N/A")</f>
        <v>#N/A</v>
      </c>
      <c r="N93" s="20" t="str">
        <f>IFERROR(__xludf.DUMMYFUNCTION("""COMPUTED_VALUE"""),"#N/A")</f>
        <v>#N/A</v>
      </c>
      <c r="O93" s="20"/>
      <c r="P93" s="20"/>
      <c r="Q93" s="20" t="str">
        <f>IFERROR(__xludf.DUMMYFUNCTION("""COMPUTED_VALUE"""),"#N/A")</f>
        <v>#N/A</v>
      </c>
      <c r="R93" s="20" t="str">
        <f>IFERROR(__xludf.DUMMYFUNCTION("""COMPUTED_VALUE"""),"#N/A")</f>
        <v>#N/A</v>
      </c>
      <c r="S93" s="20">
        <f>IFERROR(__xludf.DUMMYFUNCTION("""COMPUTED_VALUE"""),0.003467499)</f>
        <v>0.003467499</v>
      </c>
      <c r="T93" s="20">
        <f>IFERROR(__xludf.DUMMYFUNCTION("""COMPUTED_VALUE"""),0.001148047)</f>
        <v>0.001148047</v>
      </c>
      <c r="U93" s="20">
        <f>IFERROR(__xludf.DUMMYFUNCTION("""COMPUTED_VALUE"""),0.003324163)</f>
        <v>0.003324163</v>
      </c>
      <c r="V93" s="20">
        <f>IFERROR(__xludf.DUMMYFUNCTION("""COMPUTED_VALUE"""),0.992060291)</f>
        <v>0.992060291</v>
      </c>
      <c r="W93" s="20"/>
      <c r="X93" s="20"/>
      <c r="Y93" s="20"/>
      <c r="Z93" s="20"/>
    </row>
    <row r="94">
      <c r="A94" s="20" t="str">
        <f>IFERROR(__xludf.DUMMYFUNCTION("""COMPUTED_VALUE"""),"s107")</f>
        <v>s107</v>
      </c>
      <c r="B94" s="20" t="str">
        <f>IFERROR(__xludf.DUMMYFUNCTION("""COMPUTED_VALUE"""),"wgs")</f>
        <v>wgs</v>
      </c>
      <c r="C94" s="20" t="str">
        <f>IFERROR(__xludf.DUMMYFUNCTION("""COMPUTED_VALUE"""),"GB23")</f>
        <v>GB23</v>
      </c>
      <c r="D94" s="20" t="str">
        <f>IFERROR(__xludf.DUMMYFUNCTION("""COMPUTED_VALUE"""),"GB23")</f>
        <v>GB23</v>
      </c>
      <c r="E94" s="20" t="str">
        <f>IFERROR(__xludf.DUMMYFUNCTION("""COMPUTED_VALUE"""),"no")</f>
        <v>no</v>
      </c>
      <c r="F94" s="20">
        <f>IFERROR(__xludf.DUMMYFUNCTION("""COMPUTED_VALUE"""),107.0)</f>
        <v>107</v>
      </c>
      <c r="G94" s="20"/>
      <c r="H94" s="20">
        <f>IFERROR(__xludf.DUMMYFUNCTION("""COMPUTED_VALUE"""),2.6637253E7)</f>
        <v>26637253</v>
      </c>
      <c r="I94" s="20">
        <f>IFERROR(__xludf.DUMMYFUNCTION("""COMPUTED_VALUE"""),1.700733E7)</f>
        <v>17007330</v>
      </c>
      <c r="J94" s="19">
        <f>IFERROR(__xludf.DUMMYFUNCTION("""COMPUTED_VALUE"""),0.6384791254563674)</f>
        <v>0.6384791255</v>
      </c>
      <c r="K94" s="20">
        <f>IFERROR(__xludf.DUMMYFUNCTION("""COMPUTED_VALUE"""),1001.0)</f>
        <v>1001</v>
      </c>
      <c r="L94" s="20"/>
      <c r="M94" s="20" t="str">
        <f>IFERROR(__xludf.DUMMYFUNCTION("""COMPUTED_VALUE"""),"#N/A")</f>
        <v>#N/A</v>
      </c>
      <c r="N94" s="20" t="str">
        <f>IFERROR(__xludf.DUMMYFUNCTION("""COMPUTED_VALUE"""),"#N/A")</f>
        <v>#N/A</v>
      </c>
      <c r="O94" s="20"/>
      <c r="P94" s="20"/>
      <c r="Q94" s="20" t="str">
        <f>IFERROR(__xludf.DUMMYFUNCTION("""COMPUTED_VALUE"""),"#N/A")</f>
        <v>#N/A</v>
      </c>
      <c r="R94" s="20" t="str">
        <f>IFERROR(__xludf.DUMMYFUNCTION("""COMPUTED_VALUE"""),"#N/A")</f>
        <v>#N/A</v>
      </c>
      <c r="S94" s="20">
        <f>IFERROR(__xludf.DUMMYFUNCTION("""COMPUTED_VALUE"""),0.004237414)</f>
        <v>0.004237414</v>
      </c>
      <c r="T94" s="20">
        <f>IFERROR(__xludf.DUMMYFUNCTION("""COMPUTED_VALUE"""),0.001219287)</f>
        <v>0.001219287</v>
      </c>
      <c r="U94" s="20">
        <f>IFERROR(__xludf.DUMMYFUNCTION("""COMPUTED_VALUE"""),0.003717416)</f>
        <v>0.003717416</v>
      </c>
      <c r="V94" s="20">
        <f>IFERROR(__xludf.DUMMYFUNCTION("""COMPUTED_VALUE"""),0.990825882)</f>
        <v>0.990825882</v>
      </c>
      <c r="W94" s="20"/>
      <c r="X94" s="20"/>
      <c r="Y94" s="20"/>
      <c r="Z94" s="20"/>
    </row>
    <row r="95">
      <c r="A95" s="20" t="str">
        <f>IFERROR(__xludf.DUMMYFUNCTION("""COMPUTED_VALUE"""),"s108")</f>
        <v>s108</v>
      </c>
      <c r="B95" s="20" t="str">
        <f>IFERROR(__xludf.DUMMYFUNCTION("""COMPUTED_VALUE"""),"wgs")</f>
        <v>wgs</v>
      </c>
      <c r="C95" s="20" t="str">
        <f>IFERROR(__xludf.DUMMYFUNCTION("""COMPUTED_VALUE"""),"GB15")</f>
        <v>GB15</v>
      </c>
      <c r="D95" s="20" t="str">
        <f>IFERROR(__xludf.DUMMYFUNCTION("""COMPUTED_VALUE"""),"GB15")</f>
        <v>GB15</v>
      </c>
      <c r="E95" s="20" t="str">
        <f>IFERROR(__xludf.DUMMYFUNCTION("""COMPUTED_VALUE"""),"no")</f>
        <v>no</v>
      </c>
      <c r="F95" s="20">
        <f>IFERROR(__xludf.DUMMYFUNCTION("""COMPUTED_VALUE"""),108.0)</f>
        <v>108</v>
      </c>
      <c r="G95" s="20"/>
      <c r="H95" s="20">
        <f>IFERROR(__xludf.DUMMYFUNCTION("""COMPUTED_VALUE"""),2.4339542E7)</f>
        <v>24339542</v>
      </c>
      <c r="I95" s="20">
        <f>IFERROR(__xludf.DUMMYFUNCTION("""COMPUTED_VALUE"""),2.0105567E7)</f>
        <v>20105567</v>
      </c>
      <c r="J95" s="19">
        <f>IFERROR(__xludf.DUMMYFUNCTION("""COMPUTED_VALUE"""),0.826045412029528)</f>
        <v>0.826045412</v>
      </c>
      <c r="K95" s="20">
        <f>IFERROR(__xludf.DUMMYFUNCTION("""COMPUTED_VALUE"""),824.0)</f>
        <v>824</v>
      </c>
      <c r="L95" s="20"/>
      <c r="M95" s="20" t="str">
        <f>IFERROR(__xludf.DUMMYFUNCTION("""COMPUTED_VALUE"""),"#N/A")</f>
        <v>#N/A</v>
      </c>
      <c r="N95" s="20" t="str">
        <f>IFERROR(__xludf.DUMMYFUNCTION("""COMPUTED_VALUE"""),"#N/A")</f>
        <v>#N/A</v>
      </c>
      <c r="O95" s="20"/>
      <c r="P95" s="20"/>
      <c r="Q95" s="20" t="str">
        <f>IFERROR(__xludf.DUMMYFUNCTION("""COMPUTED_VALUE"""),"#N/A")</f>
        <v>#N/A</v>
      </c>
      <c r="R95" s="20" t="str">
        <f>IFERROR(__xludf.DUMMYFUNCTION("""COMPUTED_VALUE"""),"#N/A")</f>
        <v>#N/A</v>
      </c>
      <c r="S95" s="20">
        <f>IFERROR(__xludf.DUMMYFUNCTION("""COMPUTED_VALUE"""),0.034726205)</f>
        <v>0.034726205</v>
      </c>
      <c r="T95" s="20">
        <f>IFERROR(__xludf.DUMMYFUNCTION("""COMPUTED_VALUE"""),0.004581245)</f>
        <v>0.004581245</v>
      </c>
      <c r="U95" s="20">
        <f>IFERROR(__xludf.DUMMYFUNCTION("""COMPUTED_VALUE"""),0.026859566)</f>
        <v>0.026859566</v>
      </c>
      <c r="V95" s="20">
        <f>IFERROR(__xludf.DUMMYFUNCTION("""COMPUTED_VALUE"""),0.933832984)</f>
        <v>0.933832984</v>
      </c>
      <c r="W95" s="20"/>
      <c r="X95" s="20"/>
      <c r="Y95" s="20"/>
      <c r="Z95" s="20"/>
    </row>
    <row r="96">
      <c r="A96" s="20" t="str">
        <f>IFERROR(__xludf.DUMMYFUNCTION("""COMPUTED_VALUE"""),"s109")</f>
        <v>s109</v>
      </c>
      <c r="B96" s="20" t="str">
        <f>IFERROR(__xludf.DUMMYFUNCTION("""COMPUTED_VALUE"""),"wgs")</f>
        <v>wgs</v>
      </c>
      <c r="C96" s="20" t="str">
        <f>IFERROR(__xludf.DUMMYFUNCTION("""COMPUTED_VALUE"""),"M27")</f>
        <v>M27</v>
      </c>
      <c r="D96" s="20" t="str">
        <f>IFERROR(__xludf.DUMMYFUNCTION("""COMPUTED_VALUE"""),"M27")</f>
        <v>M27</v>
      </c>
      <c r="E96" s="20" t="str">
        <f>IFERROR(__xludf.DUMMYFUNCTION("""COMPUTED_VALUE"""),"no")</f>
        <v>no</v>
      </c>
      <c r="F96" s="20">
        <f>IFERROR(__xludf.DUMMYFUNCTION("""COMPUTED_VALUE"""),109.0)</f>
        <v>109</v>
      </c>
      <c r="G96" s="20"/>
      <c r="H96" s="20">
        <f>IFERROR(__xludf.DUMMYFUNCTION("""COMPUTED_VALUE"""),2.439269E7)</f>
        <v>24392690</v>
      </c>
      <c r="I96" s="20">
        <f>IFERROR(__xludf.DUMMYFUNCTION("""COMPUTED_VALUE"""),1.8371865E7)</f>
        <v>18371865</v>
      </c>
      <c r="J96" s="19">
        <f>IFERROR(__xludf.DUMMYFUNCTION("""COMPUTED_VALUE"""),0.7531709294874817)</f>
        <v>0.7531709295</v>
      </c>
      <c r="K96" s="20">
        <f>IFERROR(__xludf.DUMMYFUNCTION("""COMPUTED_VALUE"""),715.0)</f>
        <v>715</v>
      </c>
      <c r="L96" s="20"/>
      <c r="M96" s="20" t="str">
        <f>IFERROR(__xludf.DUMMYFUNCTION("""COMPUTED_VALUE"""),"#N/A")</f>
        <v>#N/A</v>
      </c>
      <c r="N96" s="20" t="str">
        <f>IFERROR(__xludf.DUMMYFUNCTION("""COMPUTED_VALUE"""),"#N/A")</f>
        <v>#N/A</v>
      </c>
      <c r="O96" s="20"/>
      <c r="P96" s="20"/>
      <c r="Q96" s="20" t="str">
        <f>IFERROR(__xludf.DUMMYFUNCTION("""COMPUTED_VALUE"""),"#N/A")</f>
        <v>#N/A</v>
      </c>
      <c r="R96" s="20" t="str">
        <f>IFERROR(__xludf.DUMMYFUNCTION("""COMPUTED_VALUE"""),"#N/A")</f>
        <v>#N/A</v>
      </c>
      <c r="S96" s="20">
        <f>IFERROR(__xludf.DUMMYFUNCTION("""COMPUTED_VALUE"""),0.106953515)</f>
        <v>0.106953515</v>
      </c>
      <c r="T96" s="20">
        <f>IFERROR(__xludf.DUMMYFUNCTION("""COMPUTED_VALUE"""),0.015456406)</f>
        <v>0.015456406</v>
      </c>
      <c r="U96" s="20">
        <f>IFERROR(__xludf.DUMMYFUNCTION("""COMPUTED_VALUE"""),0.119574378)</f>
        <v>0.119574378</v>
      </c>
      <c r="V96" s="20">
        <f>IFERROR(__xludf.DUMMYFUNCTION("""COMPUTED_VALUE"""),0.758015701)</f>
        <v>0.758015701</v>
      </c>
      <c r="W96" s="20"/>
      <c r="X96" s="20"/>
      <c r="Y96" s="20"/>
      <c r="Z96" s="20"/>
    </row>
    <row r="97">
      <c r="A97" s="20" t="str">
        <f>IFERROR(__xludf.DUMMYFUNCTION("""COMPUTED_VALUE"""),"s110")</f>
        <v>s110</v>
      </c>
      <c r="B97" s="20" t="str">
        <f>IFERROR(__xludf.DUMMYFUNCTION("""COMPUTED_VALUE"""),"wgs")</f>
        <v>wgs</v>
      </c>
      <c r="C97" s="20" t="str">
        <f>IFERROR(__xludf.DUMMYFUNCTION("""COMPUTED_VALUE"""),"M18")</f>
        <v>M18</v>
      </c>
      <c r="D97" s="20" t="str">
        <f>IFERROR(__xludf.DUMMYFUNCTION("""COMPUTED_VALUE"""),"M18")</f>
        <v>M18</v>
      </c>
      <c r="E97" s="20" t="str">
        <f>IFERROR(__xludf.DUMMYFUNCTION("""COMPUTED_VALUE"""),"no")</f>
        <v>no</v>
      </c>
      <c r="F97" s="20">
        <f>IFERROR(__xludf.DUMMYFUNCTION("""COMPUTED_VALUE"""),110.0)</f>
        <v>110</v>
      </c>
      <c r="G97" s="20"/>
      <c r="H97" s="20">
        <f>IFERROR(__xludf.DUMMYFUNCTION("""COMPUTED_VALUE"""),2.581683E7)</f>
        <v>25816830</v>
      </c>
      <c r="I97" s="20">
        <f>IFERROR(__xludf.DUMMYFUNCTION("""COMPUTED_VALUE"""),1.8432196E7)</f>
        <v>18432196</v>
      </c>
      <c r="J97" s="19">
        <f>IFERROR(__xludf.DUMMYFUNCTION("""COMPUTED_VALUE"""),0.7139604668737409)</f>
        <v>0.7139604669</v>
      </c>
      <c r="K97" s="20">
        <f>IFERROR(__xludf.DUMMYFUNCTION("""COMPUTED_VALUE"""),825.0)</f>
        <v>825</v>
      </c>
      <c r="L97" s="20"/>
      <c r="M97" s="20" t="str">
        <f>IFERROR(__xludf.DUMMYFUNCTION("""COMPUTED_VALUE"""),"#N/A")</f>
        <v>#N/A</v>
      </c>
      <c r="N97" s="20" t="str">
        <f>IFERROR(__xludf.DUMMYFUNCTION("""COMPUTED_VALUE"""),"#N/A")</f>
        <v>#N/A</v>
      </c>
      <c r="O97" s="20"/>
      <c r="P97" s="20"/>
      <c r="Q97" s="20" t="str">
        <f>IFERROR(__xludf.DUMMYFUNCTION("""COMPUTED_VALUE"""),"#N/A")</f>
        <v>#N/A</v>
      </c>
      <c r="R97" s="20" t="str">
        <f>IFERROR(__xludf.DUMMYFUNCTION("""COMPUTED_VALUE"""),"#N/A")</f>
        <v>#N/A</v>
      </c>
      <c r="S97" s="20">
        <f>IFERROR(__xludf.DUMMYFUNCTION("""COMPUTED_VALUE"""),0.004355206)</f>
        <v>0.004355206</v>
      </c>
      <c r="T97" s="20">
        <f>IFERROR(__xludf.DUMMYFUNCTION("""COMPUTED_VALUE"""),0.001229004)</f>
        <v>0.001229004</v>
      </c>
      <c r="U97" s="20">
        <f>IFERROR(__xludf.DUMMYFUNCTION("""COMPUTED_VALUE"""),0.003495704)</f>
        <v>0.003495704</v>
      </c>
      <c r="V97" s="20">
        <f>IFERROR(__xludf.DUMMYFUNCTION("""COMPUTED_VALUE"""),0.990920086)</f>
        <v>0.990920086</v>
      </c>
      <c r="W97" s="20"/>
      <c r="X97" s="20"/>
      <c r="Y97" s="20"/>
      <c r="Z97" s="20"/>
    </row>
    <row r="98">
      <c r="A98" s="20" t="str">
        <f>IFERROR(__xludf.DUMMYFUNCTION("""COMPUTED_VALUE"""),"s111")</f>
        <v>s111</v>
      </c>
      <c r="B98" s="20" t="str">
        <f>IFERROR(__xludf.DUMMYFUNCTION("""COMPUTED_VALUE"""),"wgs")</f>
        <v>wgs</v>
      </c>
      <c r="C98" s="20" t="str">
        <f>IFERROR(__xludf.DUMMYFUNCTION("""COMPUTED_VALUE"""),"M29")</f>
        <v>M29</v>
      </c>
      <c r="D98" s="20" t="str">
        <f>IFERROR(__xludf.DUMMYFUNCTION("""COMPUTED_VALUE"""),"M29")</f>
        <v>M29</v>
      </c>
      <c r="E98" s="20" t="str">
        <f>IFERROR(__xludf.DUMMYFUNCTION("""COMPUTED_VALUE"""),"no")</f>
        <v>no</v>
      </c>
      <c r="F98" s="20">
        <f>IFERROR(__xludf.DUMMYFUNCTION("""COMPUTED_VALUE"""),111.0)</f>
        <v>111</v>
      </c>
      <c r="G98" s="20"/>
      <c r="H98" s="20">
        <f>IFERROR(__xludf.DUMMYFUNCTION("""COMPUTED_VALUE"""),2.5356359E7)</f>
        <v>25356359</v>
      </c>
      <c r="I98" s="20">
        <f>IFERROR(__xludf.DUMMYFUNCTION("""COMPUTED_VALUE"""),1.77262E7)</f>
        <v>17726200</v>
      </c>
      <c r="J98" s="19">
        <f>IFERROR(__xludf.DUMMYFUNCTION("""COMPUTED_VALUE"""),0.6990830189776064)</f>
        <v>0.699083019</v>
      </c>
      <c r="K98" s="20">
        <f>IFERROR(__xludf.DUMMYFUNCTION("""COMPUTED_VALUE"""),815.0)</f>
        <v>815</v>
      </c>
      <c r="L98" s="20"/>
      <c r="M98" s="20" t="str">
        <f>IFERROR(__xludf.DUMMYFUNCTION("""COMPUTED_VALUE"""),"#N/A")</f>
        <v>#N/A</v>
      </c>
      <c r="N98" s="20" t="str">
        <f>IFERROR(__xludf.DUMMYFUNCTION("""COMPUTED_VALUE"""),"#N/A")</f>
        <v>#N/A</v>
      </c>
      <c r="O98" s="20"/>
      <c r="P98" s="20"/>
      <c r="Q98" s="20" t="str">
        <f>IFERROR(__xludf.DUMMYFUNCTION("""COMPUTED_VALUE"""),"#N/A")</f>
        <v>#N/A</v>
      </c>
      <c r="R98" s="20" t="str">
        <f>IFERROR(__xludf.DUMMYFUNCTION("""COMPUTED_VALUE"""),"#N/A")</f>
        <v>#N/A</v>
      </c>
      <c r="S98" s="20">
        <f>IFERROR(__xludf.DUMMYFUNCTION("""COMPUTED_VALUE"""),0.00516139)</f>
        <v>0.00516139</v>
      </c>
      <c r="T98" s="20">
        <f>IFERROR(__xludf.DUMMYFUNCTION("""COMPUTED_VALUE"""),0.001356941)</f>
        <v>0.001356941</v>
      </c>
      <c r="U98" s="20">
        <f>IFERROR(__xludf.DUMMYFUNCTION("""COMPUTED_VALUE"""),0.004799239)</f>
        <v>0.004799239</v>
      </c>
      <c r="V98" s="20">
        <f>IFERROR(__xludf.DUMMYFUNCTION("""COMPUTED_VALUE"""),0.98868243)</f>
        <v>0.98868243</v>
      </c>
      <c r="W98" s="20"/>
      <c r="X98" s="20"/>
      <c r="Y98" s="20"/>
      <c r="Z98" s="20"/>
    </row>
    <row r="99">
      <c r="A99" s="20" t="str">
        <f>IFERROR(__xludf.DUMMYFUNCTION("""COMPUTED_VALUE"""),"s112")</f>
        <v>s112</v>
      </c>
      <c r="B99" s="20" t="str">
        <f>IFERROR(__xludf.DUMMYFUNCTION("""COMPUTED_VALUE"""),"wgs")</f>
        <v>wgs</v>
      </c>
      <c r="C99" s="20" t="str">
        <f>IFERROR(__xludf.DUMMYFUNCTION("""COMPUTED_VALUE"""),"S503")</f>
        <v>S503</v>
      </c>
      <c r="D99" s="20" t="str">
        <f>IFERROR(__xludf.DUMMYFUNCTION("""COMPUTED_VALUE"""),"S503")</f>
        <v>S503</v>
      </c>
      <c r="E99" s="20" t="str">
        <f>IFERROR(__xludf.DUMMYFUNCTION("""COMPUTED_VALUE"""),"no")</f>
        <v>no</v>
      </c>
      <c r="F99" s="20">
        <f>IFERROR(__xludf.DUMMYFUNCTION("""COMPUTED_VALUE"""),112.0)</f>
        <v>112</v>
      </c>
      <c r="G99" s="20"/>
      <c r="H99" s="20">
        <f>IFERROR(__xludf.DUMMYFUNCTION("""COMPUTED_VALUE"""),2.4828284E7)</f>
        <v>24828284</v>
      </c>
      <c r="I99" s="20">
        <f>IFERROR(__xludf.DUMMYFUNCTION("""COMPUTED_VALUE"""),1.9527176E7)</f>
        <v>19527176</v>
      </c>
      <c r="J99" s="19">
        <f>IFERROR(__xludf.DUMMYFUNCTION("""COMPUTED_VALUE"""),0.7864891508410328)</f>
        <v>0.7864891508</v>
      </c>
      <c r="K99" s="20">
        <f>IFERROR(__xludf.DUMMYFUNCTION("""COMPUTED_VALUE"""),656.0)</f>
        <v>656</v>
      </c>
      <c r="L99" s="20"/>
      <c r="M99" s="20" t="str">
        <f>IFERROR(__xludf.DUMMYFUNCTION("""COMPUTED_VALUE"""),"H")</f>
        <v>H</v>
      </c>
      <c r="N99" s="20" t="str">
        <f>IFERROR(__xludf.DUMMYFUNCTION("""COMPUTED_VALUE"""),"N")</f>
        <v>N</v>
      </c>
      <c r="O99" s="20">
        <f>IFERROR(__xludf.DUMMYFUNCTION("""COMPUTED_VALUE"""),25.139367)</f>
        <v>25.139367</v>
      </c>
      <c r="P99" s="20">
        <f>IFERROR(__xludf.DUMMYFUNCTION("""COMPUTED_VALUE"""),-80.294017)</f>
        <v>-80.294017</v>
      </c>
      <c r="Q99" s="20" t="str">
        <f>IFERROR(__xludf.DUMMYFUNCTION("""COMPUTED_VALUE"""),"2015 batch")</f>
        <v>2015 batch</v>
      </c>
      <c r="R99" s="20" t="str">
        <f>IFERROR(__xludf.DUMMYFUNCTION("""COMPUTED_VALUE"""),"Margaret Miller")</f>
        <v>Margaret Miller</v>
      </c>
      <c r="S99" s="20">
        <f>IFERROR(__xludf.DUMMYFUNCTION("""COMPUTED_VALUE"""),0.057973349)</f>
        <v>0.057973349</v>
      </c>
      <c r="T99" s="20">
        <f>IFERROR(__xludf.DUMMYFUNCTION("""COMPUTED_VALUE"""),0.007846351)</f>
        <v>0.007846351</v>
      </c>
      <c r="U99" s="20">
        <f>IFERROR(__xludf.DUMMYFUNCTION("""COMPUTED_VALUE"""),0.141442085)</f>
        <v>0.141442085</v>
      </c>
      <c r="V99" s="20">
        <f>IFERROR(__xludf.DUMMYFUNCTION("""COMPUTED_VALUE"""),0.792738215)</f>
        <v>0.792738215</v>
      </c>
      <c r="W99" s="20"/>
      <c r="X99" s="20"/>
      <c r="Y99" s="20"/>
      <c r="Z99" s="20"/>
    </row>
    <row r="100">
      <c r="A100" s="20" t="str">
        <f>IFERROR(__xludf.DUMMYFUNCTION("""COMPUTED_VALUE"""),"s113")</f>
        <v>s113</v>
      </c>
      <c r="B100" s="20" t="str">
        <f>IFERROR(__xludf.DUMMYFUNCTION("""COMPUTED_VALUE"""),"wgs")</f>
        <v>wgs</v>
      </c>
      <c r="C100" s="20" t="str">
        <f>IFERROR(__xludf.DUMMYFUNCTION("""COMPUTED_VALUE"""),"S373")</f>
        <v>S373</v>
      </c>
      <c r="D100" s="20" t="str">
        <f>IFERROR(__xludf.DUMMYFUNCTION("""COMPUTED_VALUE"""),"S373")</f>
        <v>S373</v>
      </c>
      <c r="E100" s="20" t="str">
        <f>IFERROR(__xludf.DUMMYFUNCTION("""COMPUTED_VALUE"""),"no")</f>
        <v>no</v>
      </c>
      <c r="F100" s="20">
        <f>IFERROR(__xludf.DUMMYFUNCTION("""COMPUTED_VALUE"""),113.0)</f>
        <v>113</v>
      </c>
      <c r="G100" s="20"/>
      <c r="H100" s="20">
        <f>IFERROR(__xludf.DUMMYFUNCTION("""COMPUTED_VALUE"""),2.5668465E7)</f>
        <v>25668465</v>
      </c>
      <c r="I100" s="20">
        <f>IFERROR(__xludf.DUMMYFUNCTION("""COMPUTED_VALUE"""),1.8700996E7)</f>
        <v>18700996</v>
      </c>
      <c r="J100" s="19">
        <f>IFERROR(__xludf.DUMMYFUNCTION("""COMPUTED_VALUE"""),0.7285591873140836)</f>
        <v>0.7285591873</v>
      </c>
      <c r="K100" s="20">
        <f>IFERROR(__xludf.DUMMYFUNCTION("""COMPUTED_VALUE"""),868.0)</f>
        <v>868</v>
      </c>
      <c r="L100" s="20"/>
      <c r="M100" s="20" t="str">
        <f>IFERROR(__xludf.DUMMYFUNCTION("""COMPUTED_VALUE"""),"H")</f>
        <v>H</v>
      </c>
      <c r="N100" s="20" t="str">
        <f>IFERROR(__xludf.DUMMYFUNCTION("""COMPUTED_VALUE"""),"N")</f>
        <v>N</v>
      </c>
      <c r="O100" s="20">
        <f>IFERROR(__xludf.DUMMYFUNCTION("""COMPUTED_VALUE"""),25.139367)</f>
        <v>25.139367</v>
      </c>
      <c r="P100" s="20">
        <f>IFERROR(__xludf.DUMMYFUNCTION("""COMPUTED_VALUE"""),-80.294017)</f>
        <v>-80.294017</v>
      </c>
      <c r="Q100" s="20" t="str">
        <f>IFERROR(__xludf.DUMMYFUNCTION("""COMPUTED_VALUE"""),"2015 batch")</f>
        <v>2015 batch</v>
      </c>
      <c r="R100" s="20" t="str">
        <f>IFERROR(__xludf.DUMMYFUNCTION("""COMPUTED_VALUE"""),"Margaret Miller")</f>
        <v>Margaret Miller</v>
      </c>
      <c r="S100" s="20">
        <f>IFERROR(__xludf.DUMMYFUNCTION("""COMPUTED_VALUE"""),0.006783937)</f>
        <v>0.006783937</v>
      </c>
      <c r="T100" s="20">
        <f>IFERROR(__xludf.DUMMYFUNCTION("""COMPUTED_VALUE"""),0.001610236)</f>
        <v>0.001610236</v>
      </c>
      <c r="U100" s="20">
        <f>IFERROR(__xludf.DUMMYFUNCTION("""COMPUTED_VALUE"""),0.006416829)</f>
        <v>0.006416829</v>
      </c>
      <c r="V100" s="20">
        <f>IFERROR(__xludf.DUMMYFUNCTION("""COMPUTED_VALUE"""),0.985188998)</f>
        <v>0.985188998</v>
      </c>
      <c r="W100" s="20"/>
      <c r="X100" s="20"/>
      <c r="Y100" s="20"/>
      <c r="Z100" s="20"/>
    </row>
    <row r="101">
      <c r="A101" s="20" t="str">
        <f>IFERROR(__xludf.DUMMYFUNCTION("""COMPUTED_VALUE"""),"s114")</f>
        <v>s114</v>
      </c>
      <c r="B101" s="20" t="str">
        <f>IFERROR(__xludf.DUMMYFUNCTION("""COMPUTED_VALUE"""),"wgs")</f>
        <v>wgs</v>
      </c>
      <c r="C101" s="20" t="str">
        <f>IFERROR(__xludf.DUMMYFUNCTION("""COMPUTED_VALUE"""),"S575")</f>
        <v>S575</v>
      </c>
      <c r="D101" s="20" t="str">
        <f>IFERROR(__xludf.DUMMYFUNCTION("""COMPUTED_VALUE"""),"S575")</f>
        <v>S575</v>
      </c>
      <c r="E101" s="20" t="str">
        <f>IFERROR(__xludf.DUMMYFUNCTION("""COMPUTED_VALUE"""),"no")</f>
        <v>no</v>
      </c>
      <c r="F101" s="20">
        <f>IFERROR(__xludf.DUMMYFUNCTION("""COMPUTED_VALUE"""),114.0)</f>
        <v>114</v>
      </c>
      <c r="G101" s="20"/>
      <c r="H101" s="20">
        <f>IFERROR(__xludf.DUMMYFUNCTION("""COMPUTED_VALUE"""),2.06409E7)</f>
        <v>20640900</v>
      </c>
      <c r="I101" s="20">
        <f>IFERROR(__xludf.DUMMYFUNCTION("""COMPUTED_VALUE"""),1.6459032E7)</f>
        <v>16459032</v>
      </c>
      <c r="J101" s="19">
        <f>IFERROR(__xludf.DUMMYFUNCTION("""COMPUTED_VALUE"""),0.7973989506271529)</f>
        <v>0.7973989506</v>
      </c>
      <c r="K101" s="20">
        <f>IFERROR(__xludf.DUMMYFUNCTION("""COMPUTED_VALUE"""),939.0)</f>
        <v>939</v>
      </c>
      <c r="L101" s="20"/>
      <c r="M101" s="20" t="str">
        <f>IFERROR(__xludf.DUMMYFUNCTION("""COMPUTED_VALUE"""),"H")</f>
        <v>H</v>
      </c>
      <c r="N101" s="20" t="str">
        <f>IFERROR(__xludf.DUMMYFUNCTION("""COMPUTED_VALUE"""),"N")</f>
        <v>N</v>
      </c>
      <c r="O101" s="20">
        <f>IFERROR(__xludf.DUMMYFUNCTION("""COMPUTED_VALUE"""),25.139367)</f>
        <v>25.139367</v>
      </c>
      <c r="P101" s="20">
        <f>IFERROR(__xludf.DUMMYFUNCTION("""COMPUTED_VALUE"""),-80.294017)</f>
        <v>-80.294017</v>
      </c>
      <c r="Q101" s="20" t="str">
        <f>IFERROR(__xludf.DUMMYFUNCTION("""COMPUTED_VALUE"""),"2015 batch")</f>
        <v>2015 batch</v>
      </c>
      <c r="R101" s="20" t="str">
        <f>IFERROR(__xludf.DUMMYFUNCTION("""COMPUTED_VALUE"""),"Margaret Miller")</f>
        <v>Margaret Miller</v>
      </c>
      <c r="S101" s="20">
        <f>IFERROR(__xludf.DUMMYFUNCTION("""COMPUTED_VALUE"""),0.044034812)</f>
        <v>0.044034812</v>
      </c>
      <c r="T101" s="20">
        <f>IFERROR(__xludf.DUMMYFUNCTION("""COMPUTED_VALUE"""),0.006086292)</f>
        <v>0.006086292</v>
      </c>
      <c r="U101" s="20">
        <f>IFERROR(__xludf.DUMMYFUNCTION("""COMPUTED_VALUE"""),0.050594683)</f>
        <v>0.050594683</v>
      </c>
      <c r="V101" s="20">
        <f>IFERROR(__xludf.DUMMYFUNCTION("""COMPUTED_VALUE"""),0.899284214)</f>
        <v>0.899284214</v>
      </c>
      <c r="W101" s="20"/>
      <c r="X101" s="20"/>
      <c r="Y101" s="20"/>
      <c r="Z101" s="20"/>
    </row>
    <row r="102">
      <c r="A102" s="20" t="str">
        <f>IFERROR(__xludf.DUMMYFUNCTION("""COMPUTED_VALUE"""),"s115")</f>
        <v>s115</v>
      </c>
      <c r="B102" s="20" t="str">
        <f>IFERROR(__xludf.DUMMYFUNCTION("""COMPUTED_VALUE"""),"wgs")</f>
        <v>wgs</v>
      </c>
      <c r="C102" s="20" t="str">
        <f>IFERROR(__xludf.DUMMYFUNCTION("""COMPUTED_VALUE"""),"AE3")</f>
        <v>AE3</v>
      </c>
      <c r="D102" s="20" t="str">
        <f>IFERROR(__xludf.DUMMYFUNCTION("""COMPUTED_VALUE"""),"AE3")</f>
        <v>AE3</v>
      </c>
      <c r="E102" s="20" t="str">
        <f>IFERROR(__xludf.DUMMYFUNCTION("""COMPUTED_VALUE"""),"no")</f>
        <v>no</v>
      </c>
      <c r="F102" s="20">
        <f>IFERROR(__xludf.DUMMYFUNCTION("""COMPUTED_VALUE"""),115.0)</f>
        <v>115</v>
      </c>
      <c r="G102" s="20"/>
      <c r="H102" s="20">
        <f>IFERROR(__xludf.DUMMYFUNCTION("""COMPUTED_VALUE"""),1.9443213E7)</f>
        <v>19443213</v>
      </c>
      <c r="I102" s="20">
        <f>IFERROR(__xludf.DUMMYFUNCTION("""COMPUTED_VALUE"""),1952512.0)</f>
        <v>1952512</v>
      </c>
      <c r="J102" s="19">
        <f>IFERROR(__xludf.DUMMYFUNCTION("""COMPUTED_VALUE"""),0.10042126267916728)</f>
        <v>0.1004212627</v>
      </c>
      <c r="K102" s="20">
        <f>IFERROR(__xludf.DUMMYFUNCTION("""COMPUTED_VALUE"""),3927.0)</f>
        <v>3927</v>
      </c>
      <c r="L102" s="20"/>
      <c r="M102" s="20" t="str">
        <f>IFERROR(__xludf.DUMMYFUNCTION("""COMPUTED_VALUE"""),"#N/A")</f>
        <v>#N/A</v>
      </c>
      <c r="N102" s="20" t="str">
        <f>IFERROR(__xludf.DUMMYFUNCTION("""COMPUTED_VALUE"""),"#N/A")</f>
        <v>#N/A</v>
      </c>
      <c r="O102" s="20"/>
      <c r="P102" s="20"/>
      <c r="Q102" s="20" t="str">
        <f>IFERROR(__xludf.DUMMYFUNCTION("""COMPUTED_VALUE"""),"#N/A")</f>
        <v>#N/A</v>
      </c>
      <c r="R102" s="20" t="str">
        <f>IFERROR(__xludf.DUMMYFUNCTION("""COMPUTED_VALUE"""),"#N/A")</f>
        <v>#N/A</v>
      </c>
      <c r="S102" s="20">
        <f>IFERROR(__xludf.DUMMYFUNCTION("""COMPUTED_VALUE"""),0.035770503)</f>
        <v>0.035770503</v>
      </c>
      <c r="T102" s="20">
        <f>IFERROR(__xludf.DUMMYFUNCTION("""COMPUTED_VALUE"""),0.013128954)</f>
        <v>0.013128954</v>
      </c>
      <c r="U102" s="20">
        <f>IFERROR(__xludf.DUMMYFUNCTION("""COMPUTED_VALUE"""),0.116707052)</f>
        <v>0.116707052</v>
      </c>
      <c r="V102" s="20">
        <f>IFERROR(__xludf.DUMMYFUNCTION("""COMPUTED_VALUE"""),0.834393491)</f>
        <v>0.834393491</v>
      </c>
      <c r="W102" s="20"/>
      <c r="X102" s="20"/>
      <c r="Y102" s="20"/>
      <c r="Z102" s="20"/>
    </row>
    <row r="103">
      <c r="A103" s="20" t="str">
        <f>IFERROR(__xludf.DUMMYFUNCTION("""COMPUTED_VALUE"""),"s116")</f>
        <v>s116</v>
      </c>
      <c r="B103" s="20" t="str">
        <f>IFERROR(__xludf.DUMMYFUNCTION("""COMPUTED_VALUE"""),"wgs")</f>
        <v>wgs</v>
      </c>
      <c r="C103" s="20" t="str">
        <f>IFERROR(__xludf.DUMMYFUNCTION("""COMPUTED_VALUE"""),"M13")</f>
        <v>M13</v>
      </c>
      <c r="D103" s="20" t="str">
        <f>IFERROR(__xludf.DUMMYFUNCTION("""COMPUTED_VALUE"""),"M13")</f>
        <v>M13</v>
      </c>
      <c r="E103" s="20" t="str">
        <f>IFERROR(__xludf.DUMMYFUNCTION("""COMPUTED_VALUE"""),"no")</f>
        <v>no</v>
      </c>
      <c r="F103" s="20">
        <f>IFERROR(__xludf.DUMMYFUNCTION("""COMPUTED_VALUE"""),116.0)</f>
        <v>116</v>
      </c>
      <c r="G103" s="20"/>
      <c r="H103" s="20">
        <f>IFERROR(__xludf.DUMMYFUNCTION("""COMPUTED_VALUE"""),2.7154103E7)</f>
        <v>27154103</v>
      </c>
      <c r="I103" s="20">
        <f>IFERROR(__xludf.DUMMYFUNCTION("""COMPUTED_VALUE"""),1.7465277E7)</f>
        <v>17465277</v>
      </c>
      <c r="J103" s="19">
        <f>IFERROR(__xludf.DUMMYFUNCTION("""COMPUTED_VALUE"""),0.6431910860763841)</f>
        <v>0.6431910861</v>
      </c>
      <c r="K103" s="20">
        <f>IFERROR(__xludf.DUMMYFUNCTION("""COMPUTED_VALUE"""),912.0)</f>
        <v>912</v>
      </c>
      <c r="L103" s="20"/>
      <c r="M103" s="20" t="str">
        <f>IFERROR(__xludf.DUMMYFUNCTION("""COMPUTED_VALUE"""),"#N/A")</f>
        <v>#N/A</v>
      </c>
      <c r="N103" s="20" t="str">
        <f>IFERROR(__xludf.DUMMYFUNCTION("""COMPUTED_VALUE"""),"#N/A")</f>
        <v>#N/A</v>
      </c>
      <c r="O103" s="20"/>
      <c r="P103" s="20"/>
      <c r="Q103" s="20" t="str">
        <f>IFERROR(__xludf.DUMMYFUNCTION("""COMPUTED_VALUE"""),"#N/A")</f>
        <v>#N/A</v>
      </c>
      <c r="R103" s="20" t="str">
        <f>IFERROR(__xludf.DUMMYFUNCTION("""COMPUTED_VALUE"""),"#N/A")</f>
        <v>#N/A</v>
      </c>
      <c r="S103" s="20">
        <f>IFERROR(__xludf.DUMMYFUNCTION("""COMPUTED_VALUE"""),0.006240271)</f>
        <v>0.006240271</v>
      </c>
      <c r="T103" s="20">
        <f>IFERROR(__xludf.DUMMYFUNCTION("""COMPUTED_VALUE"""),0.00139228)</f>
        <v>0.00139228</v>
      </c>
      <c r="U103" s="20">
        <f>IFERROR(__xludf.DUMMYFUNCTION("""COMPUTED_VALUE"""),0.006703614)</f>
        <v>0.006703614</v>
      </c>
      <c r="V103" s="20">
        <f>IFERROR(__xludf.DUMMYFUNCTION("""COMPUTED_VALUE"""),0.985663835)</f>
        <v>0.985663835</v>
      </c>
      <c r="W103" s="20"/>
      <c r="X103" s="20"/>
      <c r="Y103" s="20"/>
      <c r="Z103" s="20"/>
    </row>
    <row r="104">
      <c r="A104" s="20" t="str">
        <f>IFERROR(__xludf.DUMMYFUNCTION("""COMPUTED_VALUE"""),"s117")</f>
        <v>s117</v>
      </c>
      <c r="B104" s="20" t="str">
        <f>IFERROR(__xludf.DUMMYFUNCTION("""COMPUTED_VALUE"""),"wgs")</f>
        <v>wgs</v>
      </c>
      <c r="C104" s="20" t="str">
        <f>IFERROR(__xludf.DUMMYFUNCTION("""COMPUTED_VALUE"""),"M20")</f>
        <v>M20</v>
      </c>
      <c r="D104" s="20" t="str">
        <f>IFERROR(__xludf.DUMMYFUNCTION("""COMPUTED_VALUE"""),"M20")</f>
        <v>M20</v>
      </c>
      <c r="E104" s="20" t="str">
        <f>IFERROR(__xludf.DUMMYFUNCTION("""COMPUTED_VALUE"""),"no")</f>
        <v>no</v>
      </c>
      <c r="F104" s="20">
        <f>IFERROR(__xludf.DUMMYFUNCTION("""COMPUTED_VALUE"""),117.0)</f>
        <v>117</v>
      </c>
      <c r="G104" s="20"/>
      <c r="H104" s="20">
        <f>IFERROR(__xludf.DUMMYFUNCTION("""COMPUTED_VALUE"""),2.5832058E7)</f>
        <v>25832058</v>
      </c>
      <c r="I104" s="20">
        <f>IFERROR(__xludf.DUMMYFUNCTION("""COMPUTED_VALUE"""),1.9557914E7)</f>
        <v>19557914</v>
      </c>
      <c r="J104" s="19">
        <f>IFERROR(__xludf.DUMMYFUNCTION("""COMPUTED_VALUE"""),0.7571179191375306)</f>
        <v>0.7571179191</v>
      </c>
      <c r="K104" s="20">
        <f>IFERROR(__xludf.DUMMYFUNCTION("""COMPUTED_VALUE"""),705.0)</f>
        <v>705</v>
      </c>
      <c r="L104" s="20"/>
      <c r="M104" s="20" t="str">
        <f>IFERROR(__xludf.DUMMYFUNCTION("""COMPUTED_VALUE"""),"#N/A")</f>
        <v>#N/A</v>
      </c>
      <c r="N104" s="20" t="str">
        <f>IFERROR(__xludf.DUMMYFUNCTION("""COMPUTED_VALUE"""),"#N/A")</f>
        <v>#N/A</v>
      </c>
      <c r="O104" s="20"/>
      <c r="P104" s="20"/>
      <c r="Q104" s="20" t="str">
        <f>IFERROR(__xludf.DUMMYFUNCTION("""COMPUTED_VALUE"""),"#N/A")</f>
        <v>#N/A</v>
      </c>
      <c r="R104" s="20" t="str">
        <f>IFERROR(__xludf.DUMMYFUNCTION("""COMPUTED_VALUE"""),"#N/A")</f>
        <v>#N/A</v>
      </c>
      <c r="S104" s="20">
        <f>IFERROR(__xludf.DUMMYFUNCTION("""COMPUTED_VALUE"""),0.005606992)</f>
        <v>0.005606992</v>
      </c>
      <c r="T104" s="20">
        <f>IFERROR(__xludf.DUMMYFUNCTION("""COMPUTED_VALUE"""),0.001286746)</f>
        <v>0.001286746</v>
      </c>
      <c r="U104" s="20">
        <f>IFERROR(__xludf.DUMMYFUNCTION("""COMPUTED_VALUE"""),0.004256778)</f>
        <v>0.004256778</v>
      </c>
      <c r="V104" s="20">
        <f>IFERROR(__xludf.DUMMYFUNCTION("""COMPUTED_VALUE"""),0.988849485)</f>
        <v>0.988849485</v>
      </c>
      <c r="W104" s="20"/>
      <c r="X104" s="20"/>
      <c r="Y104" s="20"/>
      <c r="Z104" s="20"/>
    </row>
    <row r="105">
      <c r="A105" s="20" t="str">
        <f>IFERROR(__xludf.DUMMYFUNCTION("""COMPUTED_VALUE"""),"s118")</f>
        <v>s118</v>
      </c>
      <c r="B105" s="20" t="str">
        <f>IFERROR(__xludf.DUMMYFUNCTION("""COMPUTED_VALUE"""),"wgs")</f>
        <v>wgs</v>
      </c>
      <c r="C105" s="20" t="str">
        <f>IFERROR(__xludf.DUMMYFUNCTION("""COMPUTED_VALUE"""),"OF96")</f>
        <v>OF96</v>
      </c>
      <c r="D105" s="20" t="str">
        <f>IFERROR(__xludf.DUMMYFUNCTION("""COMPUTED_VALUE"""),"OF96")</f>
        <v>OF96</v>
      </c>
      <c r="E105" s="20" t="str">
        <f>IFERROR(__xludf.DUMMYFUNCTION("""COMPUTED_VALUE"""),"no")</f>
        <v>no</v>
      </c>
      <c r="F105" s="20">
        <f>IFERROR(__xludf.DUMMYFUNCTION("""COMPUTED_VALUE"""),118.0)</f>
        <v>118</v>
      </c>
      <c r="G105" s="20"/>
      <c r="H105" s="20">
        <f>IFERROR(__xludf.DUMMYFUNCTION("""COMPUTED_VALUE"""),2.0452743E7)</f>
        <v>20452743</v>
      </c>
      <c r="I105" s="20">
        <f>IFERROR(__xludf.DUMMYFUNCTION("""COMPUTED_VALUE"""),1.664363E7)</f>
        <v>16643630</v>
      </c>
      <c r="J105" s="19">
        <f>IFERROR(__xludf.DUMMYFUNCTION("""COMPUTED_VALUE"""),0.8137602863342096)</f>
        <v>0.8137602863</v>
      </c>
      <c r="K105" s="20">
        <f>IFERROR(__xludf.DUMMYFUNCTION("""COMPUTED_VALUE"""),1187.0)</f>
        <v>1187</v>
      </c>
      <c r="L105" s="20"/>
      <c r="M105" s="20" t="str">
        <f>IFERROR(__xludf.DUMMYFUNCTION("""COMPUTED_VALUE"""),"Birthday")</f>
        <v>Birthday</v>
      </c>
      <c r="N105" s="20" t="str">
        <f>IFERROR(__xludf.DUMMYFUNCTION("""COMPUTED_VALUE"""),"Y")</f>
        <v>Y</v>
      </c>
      <c r="O105" s="20">
        <f>IFERROR(__xludf.DUMMYFUNCTION("""COMPUTED_VALUE"""),24.57888)</f>
        <v>24.57888</v>
      </c>
      <c r="P105" s="20">
        <f>IFERROR(__xludf.DUMMYFUNCTION("""COMPUTED_VALUE"""),-81.49728)</f>
        <v>-81.49728</v>
      </c>
      <c r="Q105" s="20" t="str">
        <f>IFERROR(__xludf.DUMMYFUNCTION("""COMPUTED_VALUE"""),"12.14.2020")</f>
        <v>12.14.2020</v>
      </c>
      <c r="R105" s="20" t="str">
        <f>IFERROR(__xludf.DUMMYFUNCTION("""COMPUTED_VALUE"""),"Mote")</f>
        <v>Mote</v>
      </c>
      <c r="S105" s="20">
        <f>IFERROR(__xludf.DUMMYFUNCTION("""COMPUTED_VALUE"""),0.012208029)</f>
        <v>0.012208029</v>
      </c>
      <c r="T105" s="20">
        <f>IFERROR(__xludf.DUMMYFUNCTION("""COMPUTED_VALUE"""),0.626590681)</f>
        <v>0.626590681</v>
      </c>
      <c r="U105" s="20">
        <f>IFERROR(__xludf.DUMMYFUNCTION("""COMPUTED_VALUE"""),0.010038494)</f>
        <v>0.010038494</v>
      </c>
      <c r="V105" s="20">
        <f>IFERROR(__xludf.DUMMYFUNCTION("""COMPUTED_VALUE"""),0.351162796)</f>
        <v>0.351162796</v>
      </c>
      <c r="W105" s="20"/>
      <c r="X105" s="20"/>
      <c r="Y105" s="20"/>
      <c r="Z105" s="20"/>
    </row>
    <row r="106">
      <c r="A106" s="20" t="str">
        <f>IFERROR(__xludf.DUMMYFUNCTION("""COMPUTED_VALUE"""),"s119")</f>
        <v>s119</v>
      </c>
      <c r="B106" s="20" t="str">
        <f>IFERROR(__xludf.DUMMYFUNCTION("""COMPUTED_VALUE"""),"wgs")</f>
        <v>wgs</v>
      </c>
      <c r="C106" s="20" t="str">
        <f>IFERROR(__xludf.DUMMYFUNCTION("""COMPUTED_VALUE"""),"S439")</f>
        <v>S439</v>
      </c>
      <c r="D106" s="20" t="str">
        <f>IFERROR(__xludf.DUMMYFUNCTION("""COMPUTED_VALUE"""),"S439")</f>
        <v>S439</v>
      </c>
      <c r="E106" s="20" t="str">
        <f>IFERROR(__xludf.DUMMYFUNCTION("""COMPUTED_VALUE"""),"no")</f>
        <v>no</v>
      </c>
      <c r="F106" s="20">
        <f>IFERROR(__xludf.DUMMYFUNCTION("""COMPUTED_VALUE"""),119.0)</f>
        <v>119</v>
      </c>
      <c r="G106" s="20"/>
      <c r="H106" s="20">
        <f>IFERROR(__xludf.DUMMYFUNCTION("""COMPUTED_VALUE"""),2.8483641E7)</f>
        <v>28483641</v>
      </c>
      <c r="I106" s="20">
        <f>IFERROR(__xludf.DUMMYFUNCTION("""COMPUTED_VALUE"""),1.692174E7)</f>
        <v>16921740</v>
      </c>
      <c r="J106" s="19">
        <f>IFERROR(__xludf.DUMMYFUNCTION("""COMPUTED_VALUE"""),0.5940862686761148)</f>
        <v>0.5940862687</v>
      </c>
      <c r="K106" s="20">
        <f>IFERROR(__xludf.DUMMYFUNCTION("""COMPUTED_VALUE"""),805.0)</f>
        <v>805</v>
      </c>
      <c r="L106" s="20"/>
      <c r="M106" s="20" t="str">
        <f>IFERROR(__xludf.DUMMYFUNCTION("""COMPUTED_VALUE"""),"H")</f>
        <v>H</v>
      </c>
      <c r="N106" s="20" t="str">
        <f>IFERROR(__xludf.DUMMYFUNCTION("""COMPUTED_VALUE"""),"N")</f>
        <v>N</v>
      </c>
      <c r="O106" s="20">
        <f>IFERROR(__xludf.DUMMYFUNCTION("""COMPUTED_VALUE"""),25.139367)</f>
        <v>25.139367</v>
      </c>
      <c r="P106" s="20">
        <f>IFERROR(__xludf.DUMMYFUNCTION("""COMPUTED_VALUE"""),-80.294017)</f>
        <v>-80.294017</v>
      </c>
      <c r="Q106" s="20" t="str">
        <f>IFERROR(__xludf.DUMMYFUNCTION("""COMPUTED_VALUE"""),"2015 batch")</f>
        <v>2015 batch</v>
      </c>
      <c r="R106" s="20" t="str">
        <f>IFERROR(__xludf.DUMMYFUNCTION("""COMPUTED_VALUE"""),"Margaret Miller")</f>
        <v>Margaret Miller</v>
      </c>
      <c r="S106" s="20">
        <f>IFERROR(__xludf.DUMMYFUNCTION("""COMPUTED_VALUE"""),0.003666582)</f>
        <v>0.003666582</v>
      </c>
      <c r="T106" s="20">
        <f>IFERROR(__xludf.DUMMYFUNCTION("""COMPUTED_VALUE"""),9.90102E-4)</f>
        <v>0.000990102</v>
      </c>
      <c r="U106" s="20">
        <f>IFERROR(__xludf.DUMMYFUNCTION("""COMPUTED_VALUE"""),0.003568641)</f>
        <v>0.003568641</v>
      </c>
      <c r="V106" s="20">
        <f>IFERROR(__xludf.DUMMYFUNCTION("""COMPUTED_VALUE"""),0.991774675)</f>
        <v>0.991774675</v>
      </c>
      <c r="W106" s="20"/>
      <c r="X106" s="20"/>
      <c r="Y106" s="20"/>
      <c r="Z106" s="20"/>
    </row>
    <row r="107">
      <c r="A107" s="20" t="str">
        <f>IFERROR(__xludf.DUMMYFUNCTION("""COMPUTED_VALUE"""),"s120")</f>
        <v>s120</v>
      </c>
      <c r="B107" s="20" t="str">
        <f>IFERROR(__xludf.DUMMYFUNCTION("""COMPUTED_VALUE"""),"wgs")</f>
        <v>wgs</v>
      </c>
      <c r="C107" s="20" t="str">
        <f>IFERROR(__xludf.DUMMYFUNCTION("""COMPUTED_VALUE"""),"UK25")</f>
        <v>UK25</v>
      </c>
      <c r="D107" s="20" t="str">
        <f>IFERROR(__xludf.DUMMYFUNCTION("""COMPUTED_VALUE"""),"UK25")</f>
        <v>UK25</v>
      </c>
      <c r="E107" s="20" t="str">
        <f>IFERROR(__xludf.DUMMYFUNCTION("""COMPUTED_VALUE"""),"no")</f>
        <v>no</v>
      </c>
      <c r="F107" s="20">
        <f>IFERROR(__xludf.DUMMYFUNCTION("""COMPUTED_VALUE"""),120.0)</f>
        <v>120</v>
      </c>
      <c r="G107" s="20"/>
      <c r="H107" s="20">
        <f>IFERROR(__xludf.DUMMYFUNCTION("""COMPUTED_VALUE"""),2.4286852E7)</f>
        <v>24286852</v>
      </c>
      <c r="I107" s="20">
        <f>IFERROR(__xludf.DUMMYFUNCTION("""COMPUTED_VALUE"""),1.7676975E7)</f>
        <v>17676975</v>
      </c>
      <c r="J107" s="19">
        <f>IFERROR(__xludf.DUMMYFUNCTION("""COMPUTED_VALUE"""),0.7278413439502164)</f>
        <v>0.727841344</v>
      </c>
      <c r="K107" s="20">
        <f>IFERROR(__xludf.DUMMYFUNCTION("""COMPUTED_VALUE"""),852.0)</f>
        <v>852</v>
      </c>
      <c r="L107" s="20"/>
      <c r="M107" s="20" t="str">
        <f>IFERROR(__xludf.DUMMYFUNCTION("""COMPUTED_VALUE"""),"#N/A")</f>
        <v>#N/A</v>
      </c>
      <c r="N107" s="20" t="str">
        <f>IFERROR(__xludf.DUMMYFUNCTION("""COMPUTED_VALUE"""),"#N/A")</f>
        <v>#N/A</v>
      </c>
      <c r="O107" s="20"/>
      <c r="P107" s="20"/>
      <c r="Q107" s="20" t="str">
        <f>IFERROR(__xludf.DUMMYFUNCTION("""COMPUTED_VALUE"""),"#N/A")</f>
        <v>#N/A</v>
      </c>
      <c r="R107" s="20" t="str">
        <f>IFERROR(__xludf.DUMMYFUNCTION("""COMPUTED_VALUE"""),"#N/A")</f>
        <v>#N/A</v>
      </c>
      <c r="S107" s="20">
        <f>IFERROR(__xludf.DUMMYFUNCTION("""COMPUTED_VALUE"""),0.063302006)</f>
        <v>0.063302006</v>
      </c>
      <c r="T107" s="20">
        <f>IFERROR(__xludf.DUMMYFUNCTION("""COMPUTED_VALUE"""),0.009798872)</f>
        <v>0.009798872</v>
      </c>
      <c r="U107" s="20">
        <f>IFERROR(__xludf.DUMMYFUNCTION("""COMPUTED_VALUE"""),0.06971432)</f>
        <v>0.06971432</v>
      </c>
      <c r="V107" s="20">
        <f>IFERROR(__xludf.DUMMYFUNCTION("""COMPUTED_VALUE"""),0.857184803)</f>
        <v>0.857184803</v>
      </c>
      <c r="W107" s="20"/>
      <c r="X107" s="20"/>
      <c r="Y107" s="20"/>
      <c r="Z107" s="20"/>
    </row>
    <row r="108">
      <c r="A108" s="20" t="str">
        <f>IFERROR(__xludf.DUMMYFUNCTION("""COMPUTED_VALUE"""),"s121")</f>
        <v>s121</v>
      </c>
      <c r="B108" s="20" t="str">
        <f>IFERROR(__xludf.DUMMYFUNCTION("""COMPUTED_VALUE"""),"wgs")</f>
        <v>wgs</v>
      </c>
      <c r="C108" s="20" t="str">
        <f>IFERROR(__xludf.DUMMYFUNCTION("""COMPUTED_VALUE"""),"OF11")</f>
        <v>OF11</v>
      </c>
      <c r="D108" s="20" t="str">
        <f>IFERROR(__xludf.DUMMYFUNCTION("""COMPUTED_VALUE"""),"OF11")</f>
        <v>OF11</v>
      </c>
      <c r="E108" s="20" t="str">
        <f>IFERROR(__xludf.DUMMYFUNCTION("""COMPUTED_VALUE"""),"no")</f>
        <v>no</v>
      </c>
      <c r="F108" s="20">
        <f>IFERROR(__xludf.DUMMYFUNCTION("""COMPUTED_VALUE"""),121.0)</f>
        <v>121</v>
      </c>
      <c r="G108" s="20"/>
      <c r="H108" s="20">
        <f>IFERROR(__xludf.DUMMYFUNCTION("""COMPUTED_VALUE"""),2.0445574E7)</f>
        <v>20445574</v>
      </c>
      <c r="I108" s="20">
        <f>IFERROR(__xludf.DUMMYFUNCTION("""COMPUTED_VALUE"""),1.4490859E7)</f>
        <v>14490859</v>
      </c>
      <c r="J108" s="19">
        <f>IFERROR(__xludf.DUMMYFUNCTION("""COMPUTED_VALUE"""),0.7087528577089595)</f>
        <v>0.7087528577</v>
      </c>
      <c r="K108" s="20">
        <f>IFERROR(__xludf.DUMMYFUNCTION("""COMPUTED_VALUE"""),1286.0)</f>
        <v>1286</v>
      </c>
      <c r="L108" s="20"/>
      <c r="M108" s="20" t="str">
        <f>IFERROR(__xludf.DUMMYFUNCTION("""COMPUTED_VALUE"""),"KWN")</f>
        <v>KWN</v>
      </c>
      <c r="N108" s="20" t="str">
        <f>IFERROR(__xludf.DUMMYFUNCTION("""COMPUTED_VALUE"""),"N")</f>
        <v>N</v>
      </c>
      <c r="O108" s="20">
        <f>IFERROR(__xludf.DUMMYFUNCTION("""COMPUTED_VALUE"""),24.55107)</f>
        <v>24.55107</v>
      </c>
      <c r="P108" s="20">
        <f>IFERROR(__xludf.DUMMYFUNCTION("""COMPUTED_VALUE"""),-81.80805)</f>
        <v>-81.80805</v>
      </c>
      <c r="Q108" s="20" t="str">
        <f>IFERROR(__xludf.DUMMYFUNCTION("""COMPUTED_VALUE"""),"2010-2017")</f>
        <v>2010-2017</v>
      </c>
      <c r="R108" s="20" t="str">
        <f>IFERROR(__xludf.DUMMYFUNCTION("""COMPUTED_VALUE"""),"Mote")</f>
        <v>Mote</v>
      </c>
      <c r="S108" s="20">
        <f>IFERROR(__xludf.DUMMYFUNCTION("""COMPUTED_VALUE"""),0.006137699)</f>
        <v>0.006137699</v>
      </c>
      <c r="T108" s="20">
        <f>IFERROR(__xludf.DUMMYFUNCTION("""COMPUTED_VALUE"""),0.001193899)</f>
        <v>0.001193899</v>
      </c>
      <c r="U108" s="20">
        <f>IFERROR(__xludf.DUMMYFUNCTION("""COMPUTED_VALUE"""),0.005644268)</f>
        <v>0.005644268</v>
      </c>
      <c r="V108" s="20">
        <f>IFERROR(__xludf.DUMMYFUNCTION("""COMPUTED_VALUE"""),0.987024134)</f>
        <v>0.987024134</v>
      </c>
      <c r="W108" s="20"/>
      <c r="X108" s="20"/>
      <c r="Y108" s="20"/>
      <c r="Z108" s="20"/>
    </row>
    <row r="109">
      <c r="A109" s="20" t="str">
        <f>IFERROR(__xludf.DUMMYFUNCTION("""COMPUTED_VALUE"""),"s122")</f>
        <v>s122</v>
      </c>
      <c r="B109" s="20" t="str">
        <f>IFERROR(__xludf.DUMMYFUNCTION("""COMPUTED_VALUE"""),"wgs")</f>
        <v>wgs</v>
      </c>
      <c r="C109" s="20" t="str">
        <f>IFERROR(__xludf.DUMMYFUNCTION("""COMPUTED_VALUE"""),"OF662")</f>
        <v>OF662</v>
      </c>
      <c r="D109" s="20" t="str">
        <f>IFERROR(__xludf.DUMMYFUNCTION("""COMPUTED_VALUE"""),"OF662")</f>
        <v>OF662</v>
      </c>
      <c r="E109" s="20" t="str">
        <f>IFERROR(__xludf.DUMMYFUNCTION("""COMPUTED_VALUE"""),"no")</f>
        <v>no</v>
      </c>
      <c r="F109" s="20">
        <f>IFERROR(__xludf.DUMMYFUNCTION("""COMPUTED_VALUE"""),122.0)</f>
        <v>122</v>
      </c>
      <c r="G109" s="20"/>
      <c r="H109" s="20">
        <f>IFERROR(__xludf.DUMMYFUNCTION("""COMPUTED_VALUE"""),1.9402705E7)</f>
        <v>19402705</v>
      </c>
      <c r="I109" s="20">
        <f>IFERROR(__xludf.DUMMYFUNCTION("""COMPUTED_VALUE"""),1.4440472E7)</f>
        <v>14440472</v>
      </c>
      <c r="J109" s="19">
        <f>IFERROR(__xludf.DUMMYFUNCTION("""COMPUTED_VALUE"""),0.7442504537382804)</f>
        <v>0.7442504537</v>
      </c>
      <c r="K109" s="20">
        <f>IFERROR(__xludf.DUMMYFUNCTION("""COMPUTED_VALUE"""),1328.0)</f>
        <v>1328</v>
      </c>
      <c r="L109" s="20"/>
      <c r="M109" s="20" t="str">
        <f>IFERROR(__xludf.DUMMYFUNCTION("""COMPUTED_VALUE"""),"H")</f>
        <v>H</v>
      </c>
      <c r="N109" s="20" t="str">
        <f>IFERROR(__xludf.DUMMYFUNCTION("""COMPUTED_VALUE"""),"N")</f>
        <v>N</v>
      </c>
      <c r="O109" s="20">
        <f>IFERROR(__xludf.DUMMYFUNCTION("""COMPUTED_VALUE"""),25.139367)</f>
        <v>25.139367</v>
      </c>
      <c r="P109" s="20">
        <f>IFERROR(__xludf.DUMMYFUNCTION("""COMPUTED_VALUE"""),-80.294017)</f>
        <v>-80.294017</v>
      </c>
      <c r="Q109" s="20" t="str">
        <f>IFERROR(__xludf.DUMMYFUNCTION("""COMPUTED_VALUE"""),"2015")</f>
        <v>2015</v>
      </c>
      <c r="R109" s="20" t="str">
        <f>IFERROR(__xludf.DUMMYFUNCTION("""COMPUTED_VALUE"""),"Margaret Miller")</f>
        <v>Margaret Miller</v>
      </c>
      <c r="S109" s="20">
        <f>IFERROR(__xludf.DUMMYFUNCTION("""COMPUTED_VALUE"""),0.008942635)</f>
        <v>0.008942635</v>
      </c>
      <c r="T109" s="20">
        <f>IFERROR(__xludf.DUMMYFUNCTION("""COMPUTED_VALUE"""),0.001441874)</f>
        <v>0.001441874</v>
      </c>
      <c r="U109" s="20">
        <f>IFERROR(__xludf.DUMMYFUNCTION("""COMPUTED_VALUE"""),0.010597018)</f>
        <v>0.010597018</v>
      </c>
      <c r="V109" s="20">
        <f>IFERROR(__xludf.DUMMYFUNCTION("""COMPUTED_VALUE"""),0.979018474)</f>
        <v>0.979018474</v>
      </c>
      <c r="W109" s="20"/>
      <c r="X109" s="20"/>
      <c r="Y109" s="20"/>
      <c r="Z109" s="20"/>
    </row>
    <row r="110">
      <c r="A110" s="20" t="str">
        <f>IFERROR(__xludf.DUMMYFUNCTION("""COMPUTED_VALUE"""),"s123")</f>
        <v>s123</v>
      </c>
      <c r="B110" s="20" t="str">
        <f>IFERROR(__xludf.DUMMYFUNCTION("""COMPUTED_VALUE"""),"wgs")</f>
        <v>wgs</v>
      </c>
      <c r="C110" s="20" t="str">
        <f>IFERROR(__xludf.DUMMYFUNCTION("""COMPUTED_VALUE"""),"M4")</f>
        <v>M4</v>
      </c>
      <c r="D110" s="20" t="str">
        <f>IFERROR(__xludf.DUMMYFUNCTION("""COMPUTED_VALUE"""),"M4")</f>
        <v>M4</v>
      </c>
      <c r="E110" s="20" t="str">
        <f>IFERROR(__xludf.DUMMYFUNCTION("""COMPUTED_VALUE"""),"no")</f>
        <v>no</v>
      </c>
      <c r="F110" s="20">
        <f>IFERROR(__xludf.DUMMYFUNCTION("""COMPUTED_VALUE"""),123.0)</f>
        <v>123</v>
      </c>
      <c r="G110" s="20"/>
      <c r="H110" s="20">
        <f>IFERROR(__xludf.DUMMYFUNCTION("""COMPUTED_VALUE"""),2.6526136E7)</f>
        <v>26526136</v>
      </c>
      <c r="I110" s="20">
        <f>IFERROR(__xludf.DUMMYFUNCTION("""COMPUTED_VALUE"""),1.7458858E7)</f>
        <v>17458858</v>
      </c>
      <c r="J110" s="19">
        <f>IFERROR(__xludf.DUMMYFUNCTION("""COMPUTED_VALUE"""),0.6581756950955843)</f>
        <v>0.6581756951</v>
      </c>
      <c r="K110" s="20">
        <f>IFERROR(__xludf.DUMMYFUNCTION("""COMPUTED_VALUE"""),1019.0)</f>
        <v>1019</v>
      </c>
      <c r="L110" s="20"/>
      <c r="M110" s="20" t="str">
        <f>IFERROR(__xludf.DUMMYFUNCTION("""COMPUTED_VALUE"""),"#N/A")</f>
        <v>#N/A</v>
      </c>
      <c r="N110" s="20" t="str">
        <f>IFERROR(__xludf.DUMMYFUNCTION("""COMPUTED_VALUE"""),"#N/A")</f>
        <v>#N/A</v>
      </c>
      <c r="O110" s="20"/>
      <c r="P110" s="20"/>
      <c r="Q110" s="20" t="str">
        <f>IFERROR(__xludf.DUMMYFUNCTION("""COMPUTED_VALUE"""),"#N/A")</f>
        <v>#N/A</v>
      </c>
      <c r="R110" s="20" t="str">
        <f>IFERROR(__xludf.DUMMYFUNCTION("""COMPUTED_VALUE"""),"#N/A")</f>
        <v>#N/A</v>
      </c>
      <c r="S110" s="20">
        <f>IFERROR(__xludf.DUMMYFUNCTION("""COMPUTED_VALUE"""),0.00730284)</f>
        <v>0.00730284</v>
      </c>
      <c r="T110" s="20">
        <f>IFERROR(__xludf.DUMMYFUNCTION("""COMPUTED_VALUE"""),0.00123098)</f>
        <v>0.00123098</v>
      </c>
      <c r="U110" s="20">
        <f>IFERROR(__xludf.DUMMYFUNCTION("""COMPUTED_VALUE"""),0.00746609)</f>
        <v>0.00746609</v>
      </c>
      <c r="V110" s="20">
        <f>IFERROR(__xludf.DUMMYFUNCTION("""COMPUTED_VALUE"""),0.984000091)</f>
        <v>0.984000091</v>
      </c>
      <c r="W110" s="20"/>
      <c r="X110" s="20"/>
      <c r="Y110" s="20"/>
      <c r="Z110" s="20"/>
    </row>
    <row r="111">
      <c r="A111" s="20" t="str">
        <f>IFERROR(__xludf.DUMMYFUNCTION("""COMPUTED_VALUE"""),"s124")</f>
        <v>s124</v>
      </c>
      <c r="B111" s="20" t="str">
        <f>IFERROR(__xludf.DUMMYFUNCTION("""COMPUTED_VALUE"""),"wgs")</f>
        <v>wgs</v>
      </c>
      <c r="C111" s="20" t="str">
        <f>IFERROR(__xludf.DUMMYFUNCTION("""COMPUTED_VALUE"""),"1-OF-2")</f>
        <v>1-OF-2</v>
      </c>
      <c r="D111" s="20" t="str">
        <f>IFERROR(__xludf.DUMMYFUNCTION("""COMPUTED_VALUE"""),"1-OF-2")</f>
        <v>1-OF-2</v>
      </c>
      <c r="E111" s="20" t="str">
        <f>IFERROR(__xludf.DUMMYFUNCTION("""COMPUTED_VALUE"""),"no")</f>
        <v>no</v>
      </c>
      <c r="F111" s="20">
        <f>IFERROR(__xludf.DUMMYFUNCTION("""COMPUTED_VALUE"""),124.0)</f>
        <v>124</v>
      </c>
      <c r="G111" s="20"/>
      <c r="H111" s="20">
        <f>IFERROR(__xludf.DUMMYFUNCTION("""COMPUTED_VALUE"""),2.5906864E7)</f>
        <v>25906864</v>
      </c>
      <c r="I111" s="20">
        <f>IFERROR(__xludf.DUMMYFUNCTION("""COMPUTED_VALUE"""),1.907688E7)</f>
        <v>19076880</v>
      </c>
      <c r="J111" s="19">
        <f>IFERROR(__xludf.DUMMYFUNCTION("""COMPUTED_VALUE"""),0.736363922704037)</f>
        <v>0.7363639227</v>
      </c>
      <c r="K111" s="20">
        <f>IFERROR(__xludf.DUMMYFUNCTION("""COMPUTED_VALUE"""),916.0)</f>
        <v>916</v>
      </c>
      <c r="L111" s="20"/>
      <c r="M111" s="20" t="str">
        <f>IFERROR(__xludf.DUMMYFUNCTION("""COMPUTED_VALUE"""),"#N/A")</f>
        <v>#N/A</v>
      </c>
      <c r="N111" s="20" t="str">
        <f>IFERROR(__xludf.DUMMYFUNCTION("""COMPUTED_VALUE"""),"#N/A")</f>
        <v>#N/A</v>
      </c>
      <c r="O111" s="20"/>
      <c r="P111" s="20"/>
      <c r="Q111" s="20" t="str">
        <f>IFERROR(__xludf.DUMMYFUNCTION("""COMPUTED_VALUE"""),"#N/A")</f>
        <v>#N/A</v>
      </c>
      <c r="R111" s="20" t="str">
        <f>IFERROR(__xludf.DUMMYFUNCTION("""COMPUTED_VALUE"""),"#N/A")</f>
        <v>#N/A</v>
      </c>
      <c r="S111" s="20">
        <f>IFERROR(__xludf.DUMMYFUNCTION("""COMPUTED_VALUE"""),0.006158701)</f>
        <v>0.006158701</v>
      </c>
      <c r="T111" s="20">
        <f>IFERROR(__xludf.DUMMYFUNCTION("""COMPUTED_VALUE"""),0.001108297)</f>
        <v>0.001108297</v>
      </c>
      <c r="U111" s="20">
        <f>IFERROR(__xludf.DUMMYFUNCTION("""COMPUTED_VALUE"""),0.005212051)</f>
        <v>0.005212051</v>
      </c>
      <c r="V111" s="20">
        <f>IFERROR(__xludf.DUMMYFUNCTION("""COMPUTED_VALUE"""),0.987520951)</f>
        <v>0.987520951</v>
      </c>
      <c r="W111" s="20"/>
      <c r="X111" s="20"/>
      <c r="Y111" s="20"/>
      <c r="Z111" s="20"/>
    </row>
    <row r="112">
      <c r="A112" s="20" t="str">
        <f>IFERROR(__xludf.DUMMYFUNCTION("""COMPUTED_VALUE"""),"s125")</f>
        <v>s125</v>
      </c>
      <c r="B112" s="20" t="str">
        <f>IFERROR(__xludf.DUMMYFUNCTION("""COMPUTED_VALUE"""),"wgs")</f>
        <v>wgs</v>
      </c>
      <c r="C112" s="20" t="str">
        <f>IFERROR(__xludf.DUMMYFUNCTION("""COMPUTED_VALUE"""),"OF443")</f>
        <v>OF443</v>
      </c>
      <c r="D112" s="20" t="str">
        <f>IFERROR(__xludf.DUMMYFUNCTION("""COMPUTED_VALUE"""),"OF443")</f>
        <v>OF443</v>
      </c>
      <c r="E112" s="20" t="str">
        <f>IFERROR(__xludf.DUMMYFUNCTION("""COMPUTED_VALUE"""),"no")</f>
        <v>no</v>
      </c>
      <c r="F112" s="20">
        <f>IFERROR(__xludf.DUMMYFUNCTION("""COMPUTED_VALUE"""),125.0)</f>
        <v>125</v>
      </c>
      <c r="G112" s="20"/>
      <c r="H112" s="20">
        <f>IFERROR(__xludf.DUMMYFUNCTION("""COMPUTED_VALUE"""),2.6405304E7)</f>
        <v>26405304</v>
      </c>
      <c r="I112" s="20">
        <f>IFERROR(__xludf.DUMMYFUNCTION("""COMPUTED_VALUE"""),1.7930691E7)</f>
        <v>17930691</v>
      </c>
      <c r="J112" s="19">
        <f>IFERROR(__xludf.DUMMYFUNCTION("""COMPUTED_VALUE"""),0.6790564123026192)</f>
        <v>0.6790564123</v>
      </c>
      <c r="K112" s="20">
        <f>IFERROR(__xludf.DUMMYFUNCTION("""COMPUTED_VALUE"""),852.0)</f>
        <v>852</v>
      </c>
      <c r="L112" s="20"/>
      <c r="M112" s="20" t="str">
        <f>IFERROR(__xludf.DUMMYFUNCTION("""COMPUTED_VALUE"""),"H")</f>
        <v>H</v>
      </c>
      <c r="N112" s="20" t="str">
        <f>IFERROR(__xludf.DUMMYFUNCTION("""COMPUTED_VALUE"""),"N")</f>
        <v>N</v>
      </c>
      <c r="O112" s="20">
        <f>IFERROR(__xludf.DUMMYFUNCTION("""COMPUTED_VALUE"""),25.139367)</f>
        <v>25.139367</v>
      </c>
      <c r="P112" s="20">
        <f>IFERROR(__xludf.DUMMYFUNCTION("""COMPUTED_VALUE"""),-80.294017)</f>
        <v>-80.294017</v>
      </c>
      <c r="Q112" s="20" t="str">
        <f>IFERROR(__xludf.DUMMYFUNCTION("""COMPUTED_VALUE"""),"2015 batch")</f>
        <v>2015 batch</v>
      </c>
      <c r="R112" s="20" t="str">
        <f>IFERROR(__xludf.DUMMYFUNCTION("""COMPUTED_VALUE"""),"Margaret Miller")</f>
        <v>Margaret Miller</v>
      </c>
      <c r="S112" s="20">
        <f>IFERROR(__xludf.DUMMYFUNCTION("""COMPUTED_VALUE"""),0.006990932)</f>
        <v>0.006990932</v>
      </c>
      <c r="T112" s="20">
        <f>IFERROR(__xludf.DUMMYFUNCTION("""COMPUTED_VALUE"""),0.00127662)</f>
        <v>0.00127662</v>
      </c>
      <c r="U112" s="20">
        <f>IFERROR(__xludf.DUMMYFUNCTION("""COMPUTED_VALUE"""),0.022033906)</f>
        <v>0.022033906</v>
      </c>
      <c r="V112" s="20">
        <f>IFERROR(__xludf.DUMMYFUNCTION("""COMPUTED_VALUE"""),0.969698541)</f>
        <v>0.969698541</v>
      </c>
      <c r="W112" s="20"/>
      <c r="X112" s="20"/>
      <c r="Y112" s="20"/>
      <c r="Z112" s="20"/>
    </row>
    <row r="113">
      <c r="A113" s="20" t="str">
        <f>IFERROR(__xludf.DUMMYFUNCTION("""COMPUTED_VALUE"""),"s126")</f>
        <v>s126</v>
      </c>
      <c r="B113" s="20" t="str">
        <f>IFERROR(__xludf.DUMMYFUNCTION("""COMPUTED_VALUE"""),"wgs")</f>
        <v>wgs</v>
      </c>
      <c r="C113" s="20" t="str">
        <f>IFERROR(__xludf.DUMMYFUNCTION("""COMPUTED_VALUE"""),"OF98")</f>
        <v>OF98</v>
      </c>
      <c r="D113" s="20" t="str">
        <f>IFERROR(__xludf.DUMMYFUNCTION("""COMPUTED_VALUE"""),"OF98")</f>
        <v>OF98</v>
      </c>
      <c r="E113" s="20" t="str">
        <f>IFERROR(__xludf.DUMMYFUNCTION("""COMPUTED_VALUE"""),"no")</f>
        <v>no</v>
      </c>
      <c r="F113" s="20">
        <f>IFERROR(__xludf.DUMMYFUNCTION("""COMPUTED_VALUE"""),126.0)</f>
        <v>126</v>
      </c>
      <c r="G113" s="20"/>
      <c r="H113" s="20">
        <f>IFERROR(__xludf.DUMMYFUNCTION("""COMPUTED_VALUE"""),2.5585938E7)</f>
        <v>25585938</v>
      </c>
      <c r="I113" s="20">
        <f>IFERROR(__xludf.DUMMYFUNCTION("""COMPUTED_VALUE"""),1.7390816E7)</f>
        <v>17390816</v>
      </c>
      <c r="J113" s="19">
        <f>IFERROR(__xludf.DUMMYFUNCTION("""COMPUTED_VALUE"""),0.6797021082439894)</f>
        <v>0.6797021082</v>
      </c>
      <c r="K113" s="20">
        <f>IFERROR(__xludf.DUMMYFUNCTION("""COMPUTED_VALUE"""),937.0)</f>
        <v>937</v>
      </c>
      <c r="L113" s="20"/>
      <c r="M113" s="20" t="str">
        <f>IFERROR(__xludf.DUMMYFUNCTION("""COMPUTED_VALUE"""),"Wonderland2")</f>
        <v>Wonderland2</v>
      </c>
      <c r="N113" s="20" t="str">
        <f>IFERROR(__xludf.DUMMYFUNCTION("""COMPUTED_VALUE"""),"Y")</f>
        <v>Y</v>
      </c>
      <c r="O113" s="20">
        <f>IFERROR(__xludf.DUMMYFUNCTION("""COMPUTED_VALUE"""),24.55994)</f>
        <v>24.55994</v>
      </c>
      <c r="P113" s="20">
        <f>IFERROR(__xludf.DUMMYFUNCTION("""COMPUTED_VALUE"""),-81.50162)</f>
        <v>-81.50162</v>
      </c>
      <c r="Q113" s="20" t="str">
        <f>IFERROR(__xludf.DUMMYFUNCTION("""COMPUTED_VALUE"""),"12.15.2020")</f>
        <v>12.15.2020</v>
      </c>
      <c r="R113" s="20" t="str">
        <f>IFERROR(__xludf.DUMMYFUNCTION("""COMPUTED_VALUE"""),"Mote")</f>
        <v>Mote</v>
      </c>
      <c r="S113" s="20">
        <f>IFERROR(__xludf.DUMMYFUNCTION("""COMPUTED_VALUE"""),0.003888192)</f>
        <v>0.003888192</v>
      </c>
      <c r="T113" s="20">
        <f>IFERROR(__xludf.DUMMYFUNCTION("""COMPUTED_VALUE"""),0.001238644)</f>
        <v>0.001238644</v>
      </c>
      <c r="U113" s="20">
        <f>IFERROR(__xludf.DUMMYFUNCTION("""COMPUTED_VALUE"""),0.009582439)</f>
        <v>0.009582439</v>
      </c>
      <c r="V113" s="20">
        <f>IFERROR(__xludf.DUMMYFUNCTION("""COMPUTED_VALUE"""),0.985290725)</f>
        <v>0.985290725</v>
      </c>
      <c r="W113" s="20"/>
      <c r="X113" s="20"/>
      <c r="Y113" s="20"/>
      <c r="Z113" s="20"/>
    </row>
    <row r="114">
      <c r="A114" s="20" t="str">
        <f>IFERROR(__xludf.DUMMYFUNCTION("""COMPUTED_VALUE"""),"s127")</f>
        <v>s127</v>
      </c>
      <c r="B114" s="20" t="str">
        <f>IFERROR(__xludf.DUMMYFUNCTION("""COMPUTED_VALUE"""),"wgs")</f>
        <v>wgs</v>
      </c>
      <c r="C114" s="20" t="str">
        <f>IFERROR(__xludf.DUMMYFUNCTION("""COMPUTED_VALUE"""),"GB4")</f>
        <v>GB4</v>
      </c>
      <c r="D114" s="20" t="str">
        <f>IFERROR(__xludf.DUMMYFUNCTION("""COMPUTED_VALUE"""),"GB4")</f>
        <v>GB4</v>
      </c>
      <c r="E114" s="20" t="str">
        <f>IFERROR(__xludf.DUMMYFUNCTION("""COMPUTED_VALUE"""),"no")</f>
        <v>no</v>
      </c>
      <c r="F114" s="20">
        <f>IFERROR(__xludf.DUMMYFUNCTION("""COMPUTED_VALUE"""),127.0)</f>
        <v>127</v>
      </c>
      <c r="G114" s="20"/>
      <c r="H114" s="20">
        <f>IFERROR(__xludf.DUMMYFUNCTION("""COMPUTED_VALUE"""),2.8197318E7)</f>
        <v>28197318</v>
      </c>
      <c r="I114" s="20">
        <f>IFERROR(__xludf.DUMMYFUNCTION("""COMPUTED_VALUE"""),1.9168475E7)</f>
        <v>19168475</v>
      </c>
      <c r="J114" s="19">
        <f>IFERROR(__xludf.DUMMYFUNCTION("""COMPUTED_VALUE"""),0.6797978091391529)</f>
        <v>0.6797978091</v>
      </c>
      <c r="K114" s="20">
        <f>IFERROR(__xludf.DUMMYFUNCTION("""COMPUTED_VALUE"""),803.0)</f>
        <v>803</v>
      </c>
      <c r="L114" s="20"/>
      <c r="M114" s="20" t="str">
        <f>IFERROR(__xludf.DUMMYFUNCTION("""COMPUTED_VALUE"""),"#N/A")</f>
        <v>#N/A</v>
      </c>
      <c r="N114" s="20" t="str">
        <f>IFERROR(__xludf.DUMMYFUNCTION("""COMPUTED_VALUE"""),"#N/A")</f>
        <v>#N/A</v>
      </c>
      <c r="O114" s="20"/>
      <c r="P114" s="20"/>
      <c r="Q114" s="20" t="str">
        <f>IFERROR(__xludf.DUMMYFUNCTION("""COMPUTED_VALUE"""),"#N/A")</f>
        <v>#N/A</v>
      </c>
      <c r="R114" s="20" t="str">
        <f>IFERROR(__xludf.DUMMYFUNCTION("""COMPUTED_VALUE"""),"#N/A")</f>
        <v>#N/A</v>
      </c>
      <c r="S114" s="20">
        <f>IFERROR(__xludf.DUMMYFUNCTION("""COMPUTED_VALUE"""),0.003859732)</f>
        <v>0.003859732</v>
      </c>
      <c r="T114" s="20">
        <f>IFERROR(__xludf.DUMMYFUNCTION("""COMPUTED_VALUE"""),9.47336E-4)</f>
        <v>0.000947336</v>
      </c>
      <c r="U114" s="20">
        <f>IFERROR(__xludf.DUMMYFUNCTION("""COMPUTED_VALUE"""),0.003355609)</f>
        <v>0.003355609</v>
      </c>
      <c r="V114" s="20">
        <f>IFERROR(__xludf.DUMMYFUNCTION("""COMPUTED_VALUE"""),0.991837324)</f>
        <v>0.991837324</v>
      </c>
      <c r="W114" s="20"/>
      <c r="X114" s="20"/>
      <c r="Y114" s="20"/>
      <c r="Z114" s="20"/>
    </row>
    <row r="115">
      <c r="A115" s="20" t="str">
        <f>IFERROR(__xludf.DUMMYFUNCTION("""COMPUTED_VALUE"""),"s128")</f>
        <v>s128</v>
      </c>
      <c r="B115" s="20" t="str">
        <f>IFERROR(__xludf.DUMMYFUNCTION("""COMPUTED_VALUE"""),"wgs")</f>
        <v>wgs</v>
      </c>
      <c r="C115" s="20" t="str">
        <f>IFERROR(__xludf.DUMMYFUNCTION("""COMPUTED_VALUE"""),"M22")</f>
        <v>M22</v>
      </c>
      <c r="D115" s="20" t="str">
        <f>IFERROR(__xludf.DUMMYFUNCTION("""COMPUTED_VALUE"""),"M22")</f>
        <v>M22</v>
      </c>
      <c r="E115" s="20" t="str">
        <f>IFERROR(__xludf.DUMMYFUNCTION("""COMPUTED_VALUE"""),"no")</f>
        <v>no</v>
      </c>
      <c r="F115" s="20">
        <f>IFERROR(__xludf.DUMMYFUNCTION("""COMPUTED_VALUE"""),128.0)</f>
        <v>128</v>
      </c>
      <c r="G115" s="20"/>
      <c r="H115" s="20">
        <f>IFERROR(__xludf.DUMMYFUNCTION("""COMPUTED_VALUE"""),2.5078494E7)</f>
        <v>25078494</v>
      </c>
      <c r="I115" s="20">
        <f>IFERROR(__xludf.DUMMYFUNCTION("""COMPUTED_VALUE"""),1.2631037E7)</f>
        <v>12631037</v>
      </c>
      <c r="J115" s="19">
        <f>IFERROR(__xludf.DUMMYFUNCTION("""COMPUTED_VALUE"""),0.5036601081388699)</f>
        <v>0.5036601081</v>
      </c>
      <c r="K115" s="20">
        <f>IFERROR(__xludf.DUMMYFUNCTION("""COMPUTED_VALUE"""),13311.0)</f>
        <v>13311</v>
      </c>
      <c r="L115" s="20"/>
      <c r="M115" s="20" t="str">
        <f>IFERROR(__xludf.DUMMYFUNCTION("""COMPUTED_VALUE"""),"#N/A")</f>
        <v>#N/A</v>
      </c>
      <c r="N115" s="20" t="str">
        <f>IFERROR(__xludf.DUMMYFUNCTION("""COMPUTED_VALUE"""),"#N/A")</f>
        <v>#N/A</v>
      </c>
      <c r="O115" s="20"/>
      <c r="P115" s="20"/>
      <c r="Q115" s="20" t="str">
        <f>IFERROR(__xludf.DUMMYFUNCTION("""COMPUTED_VALUE"""),"#N/A")</f>
        <v>#N/A</v>
      </c>
      <c r="R115" s="20" t="str">
        <f>IFERROR(__xludf.DUMMYFUNCTION("""COMPUTED_VALUE"""),"#N/A")</f>
        <v>#N/A</v>
      </c>
      <c r="S115" s="20">
        <f>IFERROR(__xludf.DUMMYFUNCTION("""COMPUTED_VALUE"""),0.066220913)</f>
        <v>0.066220913</v>
      </c>
      <c r="T115" s="20">
        <f>IFERROR(__xludf.DUMMYFUNCTION("""COMPUTED_VALUE"""),0.02410516)</f>
        <v>0.02410516</v>
      </c>
      <c r="U115" s="20">
        <f>IFERROR(__xludf.DUMMYFUNCTION("""COMPUTED_VALUE"""),0.095606251)</f>
        <v>0.095606251</v>
      </c>
      <c r="V115" s="20">
        <f>IFERROR(__xludf.DUMMYFUNCTION("""COMPUTED_VALUE"""),0.814067677)</f>
        <v>0.814067677</v>
      </c>
      <c r="W115" s="20"/>
      <c r="X115" s="20"/>
      <c r="Y115" s="20"/>
      <c r="Z115" s="20"/>
    </row>
    <row r="116">
      <c r="A116" s="20" t="str">
        <f>IFERROR(__xludf.DUMMYFUNCTION("""COMPUTED_VALUE"""),"s129")</f>
        <v>s129</v>
      </c>
      <c r="B116" s="20" t="str">
        <f>IFERROR(__xludf.DUMMYFUNCTION("""COMPUTED_VALUE"""),"wgs")</f>
        <v>wgs</v>
      </c>
      <c r="C116" s="20" t="str">
        <f>IFERROR(__xludf.DUMMYFUNCTION("""COMPUTED_VALUE"""),"OF682")</f>
        <v>OF682</v>
      </c>
      <c r="D116" s="20" t="str">
        <f>IFERROR(__xludf.DUMMYFUNCTION("""COMPUTED_VALUE"""),"OF682")</f>
        <v>OF682</v>
      </c>
      <c r="E116" s="20" t="str">
        <f>IFERROR(__xludf.DUMMYFUNCTION("""COMPUTED_VALUE"""),"no")</f>
        <v>no</v>
      </c>
      <c r="F116" s="20">
        <f>IFERROR(__xludf.DUMMYFUNCTION("""COMPUTED_VALUE"""),129.0)</f>
        <v>129</v>
      </c>
      <c r="G116" s="20"/>
      <c r="H116" s="20">
        <f>IFERROR(__xludf.DUMMYFUNCTION("""COMPUTED_VALUE"""),2.0703876E7)</f>
        <v>20703876</v>
      </c>
      <c r="I116" s="20">
        <f>IFERROR(__xludf.DUMMYFUNCTION("""COMPUTED_VALUE"""),9417021.0)</f>
        <v>9417021</v>
      </c>
      <c r="J116" s="19">
        <f>IFERROR(__xludf.DUMMYFUNCTION("""COMPUTED_VALUE"""),0.4548433829491637)</f>
        <v>0.4548433829</v>
      </c>
      <c r="K116" s="20">
        <f>IFERROR(__xludf.DUMMYFUNCTION("""COMPUTED_VALUE"""),12644.0)</f>
        <v>12644</v>
      </c>
      <c r="L116" s="20"/>
      <c r="M116" s="20" t="str">
        <f>IFERROR(__xludf.DUMMYFUNCTION("""COMPUTED_VALUE"""),"H")</f>
        <v>H</v>
      </c>
      <c r="N116" s="20" t="str">
        <f>IFERROR(__xludf.DUMMYFUNCTION("""COMPUTED_VALUE"""),"Y")</f>
        <v>Y</v>
      </c>
      <c r="O116" s="20">
        <f>IFERROR(__xludf.DUMMYFUNCTION("""COMPUTED_VALUE"""),25.139367)</f>
        <v>25.139367</v>
      </c>
      <c r="P116" s="20">
        <f>IFERROR(__xludf.DUMMYFUNCTION("""COMPUTED_VALUE"""),-80.294017)</f>
        <v>-80.294017</v>
      </c>
      <c r="Q116" s="20" t="str">
        <f>IFERROR(__xludf.DUMMYFUNCTION("""COMPUTED_VALUE"""),"2015")</f>
        <v>2015</v>
      </c>
      <c r="R116" s="20" t="str">
        <f>IFERROR(__xludf.DUMMYFUNCTION("""COMPUTED_VALUE"""),"Margaret Miller")</f>
        <v>Margaret Miller</v>
      </c>
      <c r="S116" s="20">
        <f>IFERROR(__xludf.DUMMYFUNCTION("""COMPUTED_VALUE"""),0.078526214)</f>
        <v>0.078526214</v>
      </c>
      <c r="T116" s="20">
        <f>IFERROR(__xludf.DUMMYFUNCTION("""COMPUTED_VALUE"""),0.036992547)</f>
        <v>0.036992547</v>
      </c>
      <c r="U116" s="20">
        <f>IFERROR(__xludf.DUMMYFUNCTION("""COMPUTED_VALUE"""),0.127774991)</f>
        <v>0.127774991</v>
      </c>
      <c r="V116" s="20">
        <f>IFERROR(__xludf.DUMMYFUNCTION("""COMPUTED_VALUE"""),0.756706248)</f>
        <v>0.756706248</v>
      </c>
      <c r="W116" s="20"/>
      <c r="X116" s="20"/>
      <c r="Y116" s="20"/>
      <c r="Z116" s="20"/>
    </row>
    <row r="117">
      <c r="A117" s="20" t="str">
        <f>IFERROR(__xludf.DUMMYFUNCTION("""COMPUTED_VALUE"""),"s131")</f>
        <v>s131</v>
      </c>
      <c r="B117" s="20" t="str">
        <f>IFERROR(__xludf.DUMMYFUNCTION("""COMPUTED_VALUE"""),"wgs")</f>
        <v>wgs</v>
      </c>
      <c r="C117" s="20" t="str">
        <f>IFERROR(__xludf.DUMMYFUNCTION("""COMPUTED_VALUE"""),"OF683")</f>
        <v>OF683</v>
      </c>
      <c r="D117" s="20" t="str">
        <f>IFERROR(__xludf.DUMMYFUNCTION("""COMPUTED_VALUE"""),"OF683")</f>
        <v>OF683</v>
      </c>
      <c r="E117" s="20" t="str">
        <f>IFERROR(__xludf.DUMMYFUNCTION("""COMPUTED_VALUE"""),"no")</f>
        <v>no</v>
      </c>
      <c r="F117" s="20">
        <f>IFERROR(__xludf.DUMMYFUNCTION("""COMPUTED_VALUE"""),131.0)</f>
        <v>131</v>
      </c>
      <c r="G117" s="20"/>
      <c r="H117" s="20">
        <f>IFERROR(__xludf.DUMMYFUNCTION("""COMPUTED_VALUE"""),2.6133925E7)</f>
        <v>26133925</v>
      </c>
      <c r="I117" s="20">
        <f>IFERROR(__xludf.DUMMYFUNCTION("""COMPUTED_VALUE"""),1.848221E7)</f>
        <v>18482210</v>
      </c>
      <c r="J117" s="19">
        <f>IFERROR(__xludf.DUMMYFUNCTION("""COMPUTED_VALUE"""),0.707211411986527)</f>
        <v>0.707211412</v>
      </c>
      <c r="K117" s="20">
        <f>IFERROR(__xludf.DUMMYFUNCTION("""COMPUTED_VALUE"""),824.0)</f>
        <v>824</v>
      </c>
      <c r="L117" s="20"/>
      <c r="M117" s="20" t="str">
        <f>IFERROR(__xludf.DUMMYFUNCTION("""COMPUTED_VALUE"""),"H")</f>
        <v>H</v>
      </c>
      <c r="N117" s="20" t="str">
        <f>IFERROR(__xludf.DUMMYFUNCTION("""COMPUTED_VALUE"""),"Y")</f>
        <v>Y</v>
      </c>
      <c r="O117" s="20">
        <f>IFERROR(__xludf.DUMMYFUNCTION("""COMPUTED_VALUE"""),25.139367)</f>
        <v>25.139367</v>
      </c>
      <c r="P117" s="20">
        <f>IFERROR(__xludf.DUMMYFUNCTION("""COMPUTED_VALUE"""),-80.294017)</f>
        <v>-80.294017</v>
      </c>
      <c r="Q117" s="20" t="str">
        <f>IFERROR(__xludf.DUMMYFUNCTION("""COMPUTED_VALUE"""),"2015")</f>
        <v>2015</v>
      </c>
      <c r="R117" s="20" t="str">
        <f>IFERROR(__xludf.DUMMYFUNCTION("""COMPUTED_VALUE"""),"Margaret Miller")</f>
        <v>Margaret Miller</v>
      </c>
      <c r="S117" s="20">
        <f>IFERROR(__xludf.DUMMYFUNCTION("""COMPUTED_VALUE"""),0.006235015)</f>
        <v>0.006235015</v>
      </c>
      <c r="T117" s="20">
        <f>IFERROR(__xludf.DUMMYFUNCTION("""COMPUTED_VALUE"""),0.001408412)</f>
        <v>0.001408412</v>
      </c>
      <c r="U117" s="20">
        <f>IFERROR(__xludf.DUMMYFUNCTION("""COMPUTED_VALUE"""),0.005599654)</f>
        <v>0.005599654</v>
      </c>
      <c r="V117" s="20">
        <f>IFERROR(__xludf.DUMMYFUNCTION("""COMPUTED_VALUE"""),0.98675692)</f>
        <v>0.98675692</v>
      </c>
      <c r="W117" s="20"/>
      <c r="X117" s="20"/>
      <c r="Y117" s="20"/>
      <c r="Z117" s="20"/>
    </row>
    <row r="118">
      <c r="A118" s="20" t="str">
        <f>IFERROR(__xludf.DUMMYFUNCTION("""COMPUTED_VALUE"""),"s132")</f>
        <v>s132</v>
      </c>
      <c r="B118" s="20" t="str">
        <f>IFERROR(__xludf.DUMMYFUNCTION("""COMPUTED_VALUE"""),"wgs")</f>
        <v>wgs</v>
      </c>
      <c r="C118" s="20" t="str">
        <f>IFERROR(__xludf.DUMMYFUNCTION("""COMPUTED_VALUE"""),"OF201")</f>
        <v>OF201</v>
      </c>
      <c r="D118" s="20" t="str">
        <f>IFERROR(__xludf.DUMMYFUNCTION("""COMPUTED_VALUE"""),"OF201")</f>
        <v>OF201</v>
      </c>
      <c r="E118" s="20" t="str">
        <f>IFERROR(__xludf.DUMMYFUNCTION("""COMPUTED_VALUE"""),"no")</f>
        <v>no</v>
      </c>
      <c r="F118" s="20">
        <f>IFERROR(__xludf.DUMMYFUNCTION("""COMPUTED_VALUE"""),132.0)</f>
        <v>132</v>
      </c>
      <c r="G118" s="20"/>
      <c r="H118" s="20">
        <f>IFERROR(__xludf.DUMMYFUNCTION("""COMPUTED_VALUE"""),2.63513E7)</f>
        <v>26351300</v>
      </c>
      <c r="I118" s="20">
        <f>IFERROR(__xludf.DUMMYFUNCTION("""COMPUTED_VALUE"""),1.6540511E7)</f>
        <v>16540511</v>
      </c>
      <c r="J118" s="19">
        <f>IFERROR(__xludf.DUMMYFUNCTION("""COMPUTED_VALUE"""),0.627692409862132)</f>
        <v>0.6276924099</v>
      </c>
      <c r="K118" s="20">
        <f>IFERROR(__xludf.DUMMYFUNCTION("""COMPUTED_VALUE"""),886.0)</f>
        <v>886</v>
      </c>
      <c r="L118" s="20"/>
      <c r="M118" s="20" t="str">
        <f>IFERROR(__xludf.DUMMYFUNCTION("""COMPUTED_VALUE"""),"H")</f>
        <v>H</v>
      </c>
      <c r="N118" s="20" t="str">
        <f>IFERROR(__xludf.DUMMYFUNCTION("""COMPUTED_VALUE"""),"N")</f>
        <v>N</v>
      </c>
      <c r="O118" s="20">
        <f>IFERROR(__xludf.DUMMYFUNCTION("""COMPUTED_VALUE"""),25.139367)</f>
        <v>25.139367</v>
      </c>
      <c r="P118" s="20">
        <f>IFERROR(__xludf.DUMMYFUNCTION("""COMPUTED_VALUE"""),-80.294017)</f>
        <v>-80.294017</v>
      </c>
      <c r="Q118" s="20" t="str">
        <f>IFERROR(__xludf.DUMMYFUNCTION("""COMPUTED_VALUE"""),"2015 batch")</f>
        <v>2015 batch</v>
      </c>
      <c r="R118" s="20" t="str">
        <f>IFERROR(__xludf.DUMMYFUNCTION("""COMPUTED_VALUE"""),"Margaret Miller")</f>
        <v>Margaret Miller</v>
      </c>
      <c r="S118" s="20">
        <f>IFERROR(__xludf.DUMMYFUNCTION("""COMPUTED_VALUE"""),0.003946338)</f>
        <v>0.003946338</v>
      </c>
      <c r="T118" s="20">
        <f>IFERROR(__xludf.DUMMYFUNCTION("""COMPUTED_VALUE"""),0.001005369)</f>
        <v>0.001005369</v>
      </c>
      <c r="U118" s="20">
        <f>IFERROR(__xludf.DUMMYFUNCTION("""COMPUTED_VALUE"""),0.003373273)</f>
        <v>0.003373273</v>
      </c>
      <c r="V118" s="20">
        <f>IFERROR(__xludf.DUMMYFUNCTION("""COMPUTED_VALUE"""),0.99167502)</f>
        <v>0.99167502</v>
      </c>
      <c r="W118" s="20"/>
      <c r="X118" s="20"/>
      <c r="Y118" s="20"/>
      <c r="Z118" s="20"/>
    </row>
    <row r="119">
      <c r="A119" s="20" t="str">
        <f>IFERROR(__xludf.DUMMYFUNCTION("""COMPUTED_VALUE"""),"s133")</f>
        <v>s133</v>
      </c>
      <c r="B119" s="20" t="str">
        <f>IFERROR(__xludf.DUMMYFUNCTION("""COMPUTED_VALUE"""),"wgs")</f>
        <v>wgs</v>
      </c>
      <c r="C119" s="20" t="str">
        <f>IFERROR(__xludf.DUMMYFUNCTION("""COMPUTED_VALUE"""),"M2")</f>
        <v>M2</v>
      </c>
      <c r="D119" s="20" t="str">
        <f>IFERROR(__xludf.DUMMYFUNCTION("""COMPUTED_VALUE"""),"M2")</f>
        <v>M2</v>
      </c>
      <c r="E119" s="20" t="str">
        <f>IFERROR(__xludf.DUMMYFUNCTION("""COMPUTED_VALUE"""),"no")</f>
        <v>no</v>
      </c>
      <c r="F119" s="20">
        <f>IFERROR(__xludf.DUMMYFUNCTION("""COMPUTED_VALUE"""),133.0)</f>
        <v>133</v>
      </c>
      <c r="G119" s="20"/>
      <c r="H119" s="20">
        <f>IFERROR(__xludf.DUMMYFUNCTION("""COMPUTED_VALUE"""),2.5292126E7)</f>
        <v>25292126</v>
      </c>
      <c r="I119" s="20">
        <f>IFERROR(__xludf.DUMMYFUNCTION("""COMPUTED_VALUE"""),1.8692858E7)</f>
        <v>18692858</v>
      </c>
      <c r="J119" s="19">
        <f>IFERROR(__xludf.DUMMYFUNCTION("""COMPUTED_VALUE"""),0.7390781621125879)</f>
        <v>0.7390781621</v>
      </c>
      <c r="K119" s="20">
        <f>IFERROR(__xludf.DUMMYFUNCTION("""COMPUTED_VALUE"""),916.0)</f>
        <v>916</v>
      </c>
      <c r="L119" s="20"/>
      <c r="M119" s="20" t="str">
        <f>IFERROR(__xludf.DUMMYFUNCTION("""COMPUTED_VALUE"""),"#N/A")</f>
        <v>#N/A</v>
      </c>
      <c r="N119" s="20" t="str">
        <f>IFERROR(__xludf.DUMMYFUNCTION("""COMPUTED_VALUE"""),"#N/A")</f>
        <v>#N/A</v>
      </c>
      <c r="O119" s="20"/>
      <c r="P119" s="20"/>
      <c r="Q119" s="20" t="str">
        <f>IFERROR(__xludf.DUMMYFUNCTION("""COMPUTED_VALUE"""),"#N/A")</f>
        <v>#N/A</v>
      </c>
      <c r="R119" s="20" t="str">
        <f>IFERROR(__xludf.DUMMYFUNCTION("""COMPUTED_VALUE"""),"#N/A")</f>
        <v>#N/A</v>
      </c>
      <c r="S119" s="20">
        <f>IFERROR(__xludf.DUMMYFUNCTION("""COMPUTED_VALUE"""),0.006655274)</f>
        <v>0.006655274</v>
      </c>
      <c r="T119" s="20">
        <f>IFERROR(__xludf.DUMMYFUNCTION("""COMPUTED_VALUE"""),0.001357782)</f>
        <v>0.001357782</v>
      </c>
      <c r="U119" s="20">
        <f>IFERROR(__xludf.DUMMYFUNCTION("""COMPUTED_VALUE"""),0.005939628)</f>
        <v>0.005939628</v>
      </c>
      <c r="V119" s="20">
        <f>IFERROR(__xludf.DUMMYFUNCTION("""COMPUTED_VALUE"""),0.986047316)</f>
        <v>0.986047316</v>
      </c>
      <c r="W119" s="20"/>
      <c r="X119" s="20"/>
      <c r="Y119" s="20"/>
      <c r="Z119" s="20"/>
    </row>
    <row r="120">
      <c r="A120" s="20" t="str">
        <f>IFERROR(__xludf.DUMMYFUNCTION("""COMPUTED_VALUE"""),"s134")</f>
        <v>s134</v>
      </c>
      <c r="B120" s="20" t="str">
        <f>IFERROR(__xludf.DUMMYFUNCTION("""COMPUTED_VALUE"""),"wgs")</f>
        <v>wgs</v>
      </c>
      <c r="C120" s="20" t="str">
        <f>IFERROR(__xludf.DUMMYFUNCTION("""COMPUTED_VALUE"""),"OF99")</f>
        <v>OF99</v>
      </c>
      <c r="D120" s="20" t="str">
        <f>IFERROR(__xludf.DUMMYFUNCTION("""COMPUTED_VALUE"""),"OF99")</f>
        <v>OF99</v>
      </c>
      <c r="E120" s="20" t="str">
        <f>IFERROR(__xludf.DUMMYFUNCTION("""COMPUTED_VALUE"""),"no")</f>
        <v>no</v>
      </c>
      <c r="F120" s="20">
        <f>IFERROR(__xludf.DUMMYFUNCTION("""COMPUTED_VALUE"""),134.0)</f>
        <v>134</v>
      </c>
      <c r="G120" s="20"/>
      <c r="H120" s="20">
        <f>IFERROR(__xludf.DUMMYFUNCTION("""COMPUTED_VALUE"""),2.809276E7)</f>
        <v>28092760</v>
      </c>
      <c r="I120" s="20">
        <f>IFERROR(__xludf.DUMMYFUNCTION("""COMPUTED_VALUE"""),2.1454258E7)</f>
        <v>21454258</v>
      </c>
      <c r="J120" s="19">
        <f>IFERROR(__xludf.DUMMYFUNCTION("""COMPUTED_VALUE"""),0.7636934925582249)</f>
        <v>0.7636934926</v>
      </c>
      <c r="K120" s="20">
        <f>IFERROR(__xludf.DUMMYFUNCTION("""COMPUTED_VALUE"""),743.0)</f>
        <v>743</v>
      </c>
      <c r="L120" s="20"/>
      <c r="M120" s="20" t="str">
        <f>IFERROR(__xludf.DUMMYFUNCTION("""COMPUTED_VALUE"""),"Jaap")</f>
        <v>Jaap</v>
      </c>
      <c r="N120" s="20" t="str">
        <f>IFERROR(__xludf.DUMMYFUNCTION("""COMPUTED_VALUE"""),"Y")</f>
        <v>Y</v>
      </c>
      <c r="O120" s="20">
        <f>IFERROR(__xludf.DUMMYFUNCTION("""COMPUTED_VALUE"""),24.58721)</f>
        <v>24.58721</v>
      </c>
      <c r="P120" s="20">
        <f>IFERROR(__xludf.DUMMYFUNCTION("""COMPUTED_VALUE"""),-81.5783)</f>
        <v>-81.5783</v>
      </c>
      <c r="Q120" s="20" t="str">
        <f>IFERROR(__xludf.DUMMYFUNCTION("""COMPUTED_VALUE"""),"12.15.2020")</f>
        <v>12.15.2020</v>
      </c>
      <c r="R120" s="20" t="str">
        <f>IFERROR(__xludf.DUMMYFUNCTION("""COMPUTED_VALUE"""),"Mote")</f>
        <v>Mote</v>
      </c>
      <c r="S120" s="20">
        <f>IFERROR(__xludf.DUMMYFUNCTION("""COMPUTED_VALUE"""),0.007544274)</f>
        <v>0.007544274</v>
      </c>
      <c r="T120" s="20">
        <f>IFERROR(__xludf.DUMMYFUNCTION("""COMPUTED_VALUE"""),0.064654031)</f>
        <v>0.064654031</v>
      </c>
      <c r="U120" s="20">
        <f>IFERROR(__xludf.DUMMYFUNCTION("""COMPUTED_VALUE"""),0.004824564)</f>
        <v>0.004824564</v>
      </c>
      <c r="V120" s="20">
        <f>IFERROR(__xludf.DUMMYFUNCTION("""COMPUTED_VALUE"""),0.92297713)</f>
        <v>0.92297713</v>
      </c>
      <c r="W120" s="20"/>
      <c r="X120" s="20"/>
      <c r="Y120" s="20"/>
      <c r="Z120" s="20"/>
    </row>
    <row r="121">
      <c r="A121" s="20" t="str">
        <f>IFERROR(__xludf.DUMMYFUNCTION("""COMPUTED_VALUE"""),"s136")</f>
        <v>s136</v>
      </c>
      <c r="B121" s="20" t="str">
        <f>IFERROR(__xludf.DUMMYFUNCTION("""COMPUTED_VALUE"""),"wgs")</f>
        <v>wgs</v>
      </c>
      <c r="C121" s="20" t="str">
        <f>IFERROR(__xludf.DUMMYFUNCTION("""COMPUTED_VALUE"""),"GB5")</f>
        <v>GB5</v>
      </c>
      <c r="D121" s="20" t="str">
        <f>IFERROR(__xludf.DUMMYFUNCTION("""COMPUTED_VALUE"""),"GB5")</f>
        <v>GB5</v>
      </c>
      <c r="E121" s="20" t="str">
        <f>IFERROR(__xludf.DUMMYFUNCTION("""COMPUTED_VALUE"""),"no")</f>
        <v>no</v>
      </c>
      <c r="F121" s="20">
        <f>IFERROR(__xludf.DUMMYFUNCTION("""COMPUTED_VALUE"""),136.0)</f>
        <v>136</v>
      </c>
      <c r="G121" s="20"/>
      <c r="H121" s="20">
        <f>IFERROR(__xludf.DUMMYFUNCTION("""COMPUTED_VALUE"""),2.067222E7)</f>
        <v>20672220</v>
      </c>
      <c r="I121" s="20">
        <f>IFERROR(__xludf.DUMMYFUNCTION("""COMPUTED_VALUE"""),1.4864571E7)</f>
        <v>14864571</v>
      </c>
      <c r="J121" s="19">
        <f>IFERROR(__xludf.DUMMYFUNCTION("""COMPUTED_VALUE"""),0.7190602170449037)</f>
        <v>0.719060217</v>
      </c>
      <c r="K121" s="20">
        <f>IFERROR(__xludf.DUMMYFUNCTION("""COMPUTED_VALUE"""),1193.0)</f>
        <v>1193</v>
      </c>
      <c r="L121" s="20"/>
      <c r="M121" s="20" t="str">
        <f>IFERROR(__xludf.DUMMYFUNCTION("""COMPUTED_VALUE"""),"#N/A")</f>
        <v>#N/A</v>
      </c>
      <c r="N121" s="20" t="str">
        <f>IFERROR(__xludf.DUMMYFUNCTION("""COMPUTED_VALUE"""),"#N/A")</f>
        <v>#N/A</v>
      </c>
      <c r="O121" s="20"/>
      <c r="P121" s="20"/>
      <c r="Q121" s="20" t="str">
        <f>IFERROR(__xludf.DUMMYFUNCTION("""COMPUTED_VALUE"""),"#N/A")</f>
        <v>#N/A</v>
      </c>
      <c r="R121" s="20" t="str">
        <f>IFERROR(__xludf.DUMMYFUNCTION("""COMPUTED_VALUE"""),"#N/A")</f>
        <v>#N/A</v>
      </c>
      <c r="S121" s="20">
        <f>IFERROR(__xludf.DUMMYFUNCTION("""COMPUTED_VALUE"""),0.052991773)</f>
        <v>0.052991773</v>
      </c>
      <c r="T121" s="20">
        <f>IFERROR(__xludf.DUMMYFUNCTION("""COMPUTED_VALUE"""),0.006612613)</f>
        <v>0.006612613</v>
      </c>
      <c r="U121" s="20">
        <f>IFERROR(__xludf.DUMMYFUNCTION("""COMPUTED_VALUE"""),0.066427294)</f>
        <v>0.066427294</v>
      </c>
      <c r="V121" s="20">
        <f>IFERROR(__xludf.DUMMYFUNCTION("""COMPUTED_VALUE"""),0.873968321)</f>
        <v>0.873968321</v>
      </c>
      <c r="W121" s="20"/>
      <c r="X121" s="20"/>
      <c r="Y121" s="20"/>
      <c r="Z121" s="20"/>
    </row>
    <row r="122">
      <c r="A122" s="20" t="str">
        <f>IFERROR(__xludf.DUMMYFUNCTION("""COMPUTED_VALUE"""),"s138")</f>
        <v>s138</v>
      </c>
      <c r="B122" s="20" t="str">
        <f>IFERROR(__xludf.DUMMYFUNCTION("""COMPUTED_VALUE"""),"wgs")</f>
        <v>wgs</v>
      </c>
      <c r="C122" s="20" t="str">
        <f>IFERROR(__xludf.DUMMYFUNCTION("""COMPUTED_VALUE"""),"OF512")</f>
        <v>OF512</v>
      </c>
      <c r="D122" s="20" t="str">
        <f>IFERROR(__xludf.DUMMYFUNCTION("""COMPUTED_VALUE"""),"OF512")</f>
        <v>OF512</v>
      </c>
      <c r="E122" s="20" t="str">
        <f>IFERROR(__xludf.DUMMYFUNCTION("""COMPUTED_VALUE"""),"no")</f>
        <v>no</v>
      </c>
      <c r="F122" s="20">
        <f>IFERROR(__xludf.DUMMYFUNCTION("""COMPUTED_VALUE"""),138.0)</f>
        <v>138</v>
      </c>
      <c r="G122" s="20"/>
      <c r="H122" s="20">
        <f>IFERROR(__xludf.DUMMYFUNCTION("""COMPUTED_VALUE"""),2.0487376E7)</f>
        <v>20487376</v>
      </c>
      <c r="I122" s="20">
        <f>IFERROR(__xludf.DUMMYFUNCTION("""COMPUTED_VALUE"""),1.0026062E7)</f>
        <v>10026062</v>
      </c>
      <c r="J122" s="19">
        <f>IFERROR(__xludf.DUMMYFUNCTION("""COMPUTED_VALUE"""),0.4893775562082719)</f>
        <v>0.4893775562</v>
      </c>
      <c r="K122" s="20">
        <f>IFERROR(__xludf.DUMMYFUNCTION("""COMPUTED_VALUE"""),2590.0)</f>
        <v>2590</v>
      </c>
      <c r="L122" s="20"/>
      <c r="M122" s="20" t="str">
        <f>IFERROR(__xludf.DUMMYFUNCTION("""COMPUTED_VALUE"""),"H")</f>
        <v>H</v>
      </c>
      <c r="N122" s="20" t="str">
        <f>IFERROR(__xludf.DUMMYFUNCTION("""COMPUTED_VALUE"""),"N")</f>
        <v>N</v>
      </c>
      <c r="O122" s="20">
        <f>IFERROR(__xludf.DUMMYFUNCTION("""COMPUTED_VALUE"""),25.139367)</f>
        <v>25.139367</v>
      </c>
      <c r="P122" s="20">
        <f>IFERROR(__xludf.DUMMYFUNCTION("""COMPUTED_VALUE"""),-80.294017)</f>
        <v>-80.294017</v>
      </c>
      <c r="Q122" s="20" t="str">
        <f>IFERROR(__xludf.DUMMYFUNCTION("""COMPUTED_VALUE"""),"2015 batch")</f>
        <v>2015 batch</v>
      </c>
      <c r="R122" s="20" t="str">
        <f>IFERROR(__xludf.DUMMYFUNCTION("""COMPUTED_VALUE"""),"Margaret Miller")</f>
        <v>Margaret Miller</v>
      </c>
      <c r="S122" s="20">
        <f>IFERROR(__xludf.DUMMYFUNCTION("""COMPUTED_VALUE"""),0.113962431)</f>
        <v>0.113962431</v>
      </c>
      <c r="T122" s="20">
        <f>IFERROR(__xludf.DUMMYFUNCTION("""COMPUTED_VALUE"""),0.014677711)</f>
        <v>0.014677711</v>
      </c>
      <c r="U122" s="20">
        <f>IFERROR(__xludf.DUMMYFUNCTION("""COMPUTED_VALUE"""),0.09731391)</f>
        <v>0.09731391</v>
      </c>
      <c r="V122" s="20">
        <f>IFERROR(__xludf.DUMMYFUNCTION("""COMPUTED_VALUE"""),0.774045949)</f>
        <v>0.774045949</v>
      </c>
      <c r="W122" s="20"/>
      <c r="X122" s="20"/>
      <c r="Y122" s="20"/>
      <c r="Z122" s="20"/>
    </row>
    <row r="123">
      <c r="A123" s="20" t="str">
        <f>IFERROR(__xludf.DUMMYFUNCTION("""COMPUTED_VALUE"""),"s139")</f>
        <v>s139</v>
      </c>
      <c r="B123" s="20" t="str">
        <f>IFERROR(__xludf.DUMMYFUNCTION("""COMPUTED_VALUE"""),"wgs")</f>
        <v>wgs</v>
      </c>
      <c r="C123" s="20" t="str">
        <f>IFERROR(__xludf.DUMMYFUNCTION("""COMPUTED_VALUE"""),"M31")</f>
        <v>M31</v>
      </c>
      <c r="D123" s="20" t="str">
        <f>IFERROR(__xludf.DUMMYFUNCTION("""COMPUTED_VALUE"""),"M31")</f>
        <v>M31</v>
      </c>
      <c r="E123" s="20" t="str">
        <f>IFERROR(__xludf.DUMMYFUNCTION("""COMPUTED_VALUE"""),"no")</f>
        <v>no</v>
      </c>
      <c r="F123" s="20">
        <f>IFERROR(__xludf.DUMMYFUNCTION("""COMPUTED_VALUE"""),139.0)</f>
        <v>139</v>
      </c>
      <c r="G123" s="20"/>
      <c r="H123" s="20">
        <f>IFERROR(__xludf.DUMMYFUNCTION("""COMPUTED_VALUE"""),2.4811872E7)</f>
        <v>24811872</v>
      </c>
      <c r="I123" s="20">
        <f>IFERROR(__xludf.DUMMYFUNCTION("""COMPUTED_VALUE"""),7059618.0)</f>
        <v>7059618</v>
      </c>
      <c r="J123" s="19">
        <f>IFERROR(__xludf.DUMMYFUNCTION("""COMPUTED_VALUE"""),0.28452581086989326)</f>
        <v>0.2845258109</v>
      </c>
      <c r="K123" s="20">
        <f>IFERROR(__xludf.DUMMYFUNCTION("""COMPUTED_VALUE"""),3965.0)</f>
        <v>3965</v>
      </c>
      <c r="L123" s="20"/>
      <c r="M123" s="20" t="str">
        <f>IFERROR(__xludf.DUMMYFUNCTION("""COMPUTED_VALUE"""),"#N/A")</f>
        <v>#N/A</v>
      </c>
      <c r="N123" s="20" t="str">
        <f>IFERROR(__xludf.DUMMYFUNCTION("""COMPUTED_VALUE"""),"#N/A")</f>
        <v>#N/A</v>
      </c>
      <c r="O123" s="20"/>
      <c r="P123" s="20"/>
      <c r="Q123" s="20" t="str">
        <f>IFERROR(__xludf.DUMMYFUNCTION("""COMPUTED_VALUE"""),"#N/A")</f>
        <v>#N/A</v>
      </c>
      <c r="R123" s="20" t="str">
        <f>IFERROR(__xludf.DUMMYFUNCTION("""COMPUTED_VALUE"""),"#N/A")</f>
        <v>#N/A</v>
      </c>
      <c r="S123" s="20">
        <f>IFERROR(__xludf.DUMMYFUNCTION("""COMPUTED_VALUE"""),0.096881641)</f>
        <v>0.096881641</v>
      </c>
      <c r="T123" s="20">
        <f>IFERROR(__xludf.DUMMYFUNCTION("""COMPUTED_VALUE"""),0.01126364)</f>
        <v>0.01126364</v>
      </c>
      <c r="U123" s="20">
        <f>IFERROR(__xludf.DUMMYFUNCTION("""COMPUTED_VALUE"""),0.054662547)</f>
        <v>0.054662547</v>
      </c>
      <c r="V123" s="20">
        <f>IFERROR(__xludf.DUMMYFUNCTION("""COMPUTED_VALUE"""),0.837192173)</f>
        <v>0.837192173</v>
      </c>
      <c r="W123" s="20"/>
      <c r="X123" s="20"/>
      <c r="Y123" s="20"/>
      <c r="Z123" s="20"/>
    </row>
    <row r="124">
      <c r="A124" s="20" t="str">
        <f>IFERROR(__xludf.DUMMYFUNCTION("""COMPUTED_VALUE"""),"s142")</f>
        <v>s142</v>
      </c>
      <c r="B124" s="20" t="str">
        <f>IFERROR(__xludf.DUMMYFUNCTION("""COMPUTED_VALUE"""),"wgs")</f>
        <v>wgs</v>
      </c>
      <c r="C124" s="20" t="str">
        <f>IFERROR(__xludf.DUMMYFUNCTION("""COMPUTED_VALUE"""),"OF393")</f>
        <v>OF393</v>
      </c>
      <c r="D124" s="20" t="str">
        <f>IFERROR(__xludf.DUMMYFUNCTION("""COMPUTED_VALUE"""),"OF393_wgs_1")</f>
        <v>OF393_wgs_1</v>
      </c>
      <c r="E124" s="20" t="str">
        <f>IFERROR(__xludf.DUMMYFUNCTION("""COMPUTED_VALUE"""),"yes")</f>
        <v>yes</v>
      </c>
      <c r="F124" s="20">
        <f>IFERROR(__xludf.DUMMYFUNCTION("""COMPUTED_VALUE"""),142.0)</f>
        <v>142</v>
      </c>
      <c r="G124" s="20"/>
      <c r="H124" s="20">
        <f>IFERROR(__xludf.DUMMYFUNCTION("""COMPUTED_VALUE"""),2.7735707E7)</f>
        <v>27735707</v>
      </c>
      <c r="I124" s="20">
        <f>IFERROR(__xludf.DUMMYFUNCTION("""COMPUTED_VALUE"""),1.6734432E7)</f>
        <v>16734432</v>
      </c>
      <c r="J124" s="19">
        <f>IFERROR(__xludf.DUMMYFUNCTION("""COMPUTED_VALUE"""),0.603353359624112)</f>
        <v>0.6033533596</v>
      </c>
      <c r="K124" s="20">
        <f>IFERROR(__xludf.DUMMYFUNCTION("""COMPUTED_VALUE"""),1012.0)</f>
        <v>1012</v>
      </c>
      <c r="L124" s="20"/>
      <c r="M124" s="20" t="str">
        <f>IFERROR(__xludf.DUMMYFUNCTION("""COMPUTED_VALUE"""),"H")</f>
        <v>H</v>
      </c>
      <c r="N124" s="20" t="str">
        <f>IFERROR(__xludf.DUMMYFUNCTION("""COMPUTED_VALUE"""),"Y")</f>
        <v>Y</v>
      </c>
      <c r="O124" s="20">
        <f>IFERROR(__xludf.DUMMYFUNCTION("""COMPUTED_VALUE"""),25.139367)</f>
        <v>25.139367</v>
      </c>
      <c r="P124" s="20">
        <f>IFERROR(__xludf.DUMMYFUNCTION("""COMPUTED_VALUE"""),-80.294017)</f>
        <v>-80.294017</v>
      </c>
      <c r="Q124" s="20" t="str">
        <f>IFERROR(__xludf.DUMMYFUNCTION("""COMPUTED_VALUE"""),"2015 batch")</f>
        <v>2015 batch</v>
      </c>
      <c r="R124" s="20" t="str">
        <f>IFERROR(__xludf.DUMMYFUNCTION("""COMPUTED_VALUE"""),"Margaret Miller")</f>
        <v>Margaret Miller</v>
      </c>
      <c r="S124" s="20">
        <f>IFERROR(__xludf.DUMMYFUNCTION("""COMPUTED_VALUE"""),0.019662317)</f>
        <v>0.019662317</v>
      </c>
      <c r="T124" s="20">
        <f>IFERROR(__xludf.DUMMYFUNCTION("""COMPUTED_VALUE"""),0.003825124)</f>
        <v>0.003825124</v>
      </c>
      <c r="U124" s="20">
        <f>IFERROR(__xludf.DUMMYFUNCTION("""COMPUTED_VALUE"""),0.026789392)</f>
        <v>0.026789392</v>
      </c>
      <c r="V124" s="20">
        <f>IFERROR(__xludf.DUMMYFUNCTION("""COMPUTED_VALUE"""),0.949723167)</f>
        <v>0.949723167</v>
      </c>
      <c r="W124" s="20"/>
      <c r="X124" s="20"/>
      <c r="Y124" s="20"/>
      <c r="Z124" s="20"/>
    </row>
    <row r="125">
      <c r="A125" s="20" t="str">
        <f>IFERROR(__xludf.DUMMYFUNCTION("""COMPUTED_VALUE"""),"s143")</f>
        <v>s143</v>
      </c>
      <c r="B125" s="20" t="str">
        <f>IFERROR(__xludf.DUMMYFUNCTION("""COMPUTED_VALUE"""),"wgs")</f>
        <v>wgs</v>
      </c>
      <c r="C125" s="20" t="str">
        <f>IFERROR(__xludf.DUMMYFUNCTION("""COMPUTED_VALUE"""),"OF759")</f>
        <v>OF759</v>
      </c>
      <c r="D125" s="20" t="str">
        <f>IFERROR(__xludf.DUMMYFUNCTION("""COMPUTED_VALUE"""),"OF759")</f>
        <v>OF759</v>
      </c>
      <c r="E125" s="20" t="str">
        <f>IFERROR(__xludf.DUMMYFUNCTION("""COMPUTED_VALUE"""),"no")</f>
        <v>no</v>
      </c>
      <c r="F125" s="20">
        <f>IFERROR(__xludf.DUMMYFUNCTION("""COMPUTED_VALUE"""),143.0)</f>
        <v>143</v>
      </c>
      <c r="G125" s="20"/>
      <c r="H125" s="20">
        <f>IFERROR(__xludf.DUMMYFUNCTION("""COMPUTED_VALUE"""),2.5584813E7)</f>
        <v>25584813</v>
      </c>
      <c r="I125" s="20">
        <f>IFERROR(__xludf.DUMMYFUNCTION("""COMPUTED_VALUE"""),1.5771784E7)</f>
        <v>15771784</v>
      </c>
      <c r="J125" s="19">
        <f>IFERROR(__xludf.DUMMYFUNCTION("""COMPUTED_VALUE"""),0.61645101724996)</f>
        <v>0.6164510172</v>
      </c>
      <c r="K125" s="20">
        <f>IFERROR(__xludf.DUMMYFUNCTION("""COMPUTED_VALUE"""),1112.0)</f>
        <v>1112</v>
      </c>
      <c r="L125" s="20"/>
      <c r="M125" s="20"/>
      <c r="N125" s="20" t="str">
        <f>IFERROR(__xludf.DUMMYFUNCTION("""COMPUTED_VALUE"""),"N")</f>
        <v>N</v>
      </c>
      <c r="O125" s="20"/>
      <c r="P125" s="20"/>
      <c r="Q125" s="20" t="str">
        <f>IFERROR(__xludf.DUMMYFUNCTION("""COMPUTED_VALUE"""),"2015")</f>
        <v>2015</v>
      </c>
      <c r="R125" s="20"/>
      <c r="S125" s="20">
        <f>IFERROR(__xludf.DUMMYFUNCTION("""COMPUTED_VALUE"""),0.032541264)</f>
        <v>0.032541264</v>
      </c>
      <c r="T125" s="20">
        <f>IFERROR(__xludf.DUMMYFUNCTION("""COMPUTED_VALUE"""),0.006747338)</f>
        <v>0.006747338</v>
      </c>
      <c r="U125" s="20">
        <f>IFERROR(__xludf.DUMMYFUNCTION("""COMPUTED_VALUE"""),0.038646968)</f>
        <v>0.038646968</v>
      </c>
      <c r="V125" s="20">
        <f>IFERROR(__xludf.DUMMYFUNCTION("""COMPUTED_VALUE"""),0.922064431)</f>
        <v>0.922064431</v>
      </c>
      <c r="W125" s="20"/>
      <c r="X125" s="20"/>
      <c r="Y125" s="20"/>
      <c r="Z125" s="20"/>
    </row>
    <row r="126">
      <c r="A126" s="20" t="str">
        <f>IFERROR(__xludf.DUMMYFUNCTION("""COMPUTED_VALUE"""),"s144")</f>
        <v>s144</v>
      </c>
      <c r="B126" s="20" t="str">
        <f>IFERROR(__xludf.DUMMYFUNCTION("""COMPUTED_VALUE"""),"wgs")</f>
        <v>wgs</v>
      </c>
      <c r="C126" s="20" t="str">
        <f>IFERROR(__xludf.DUMMYFUNCTION("""COMPUTED_VALUE"""),"OF674")</f>
        <v>OF674</v>
      </c>
      <c r="D126" s="20" t="str">
        <f>IFERROR(__xludf.DUMMYFUNCTION("""COMPUTED_VALUE"""),"OF674")</f>
        <v>OF674</v>
      </c>
      <c r="E126" s="20" t="str">
        <f>IFERROR(__xludf.DUMMYFUNCTION("""COMPUTED_VALUE"""),"no")</f>
        <v>no</v>
      </c>
      <c r="F126" s="20">
        <f>IFERROR(__xludf.DUMMYFUNCTION("""COMPUTED_VALUE"""),144.0)</f>
        <v>144</v>
      </c>
      <c r="G126" s="20"/>
      <c r="H126" s="20">
        <f>IFERROR(__xludf.DUMMYFUNCTION("""COMPUTED_VALUE"""),2.5164474E7)</f>
        <v>25164474</v>
      </c>
      <c r="I126" s="20">
        <f>IFERROR(__xludf.DUMMYFUNCTION("""COMPUTED_VALUE"""),1.9620755E7)</f>
        <v>19620755</v>
      </c>
      <c r="J126" s="19">
        <f>IFERROR(__xludf.DUMMYFUNCTION("""COMPUTED_VALUE"""),0.7797005810651954)</f>
        <v>0.7797005811</v>
      </c>
      <c r="K126" s="20">
        <f>IFERROR(__xludf.DUMMYFUNCTION("""COMPUTED_VALUE"""),810.0)</f>
        <v>810</v>
      </c>
      <c r="L126" s="20"/>
      <c r="M126" s="20" t="str">
        <f>IFERROR(__xludf.DUMMYFUNCTION("""COMPUTED_VALUE"""),"#N/A")</f>
        <v>#N/A</v>
      </c>
      <c r="N126" s="20" t="str">
        <f>IFERROR(__xludf.DUMMYFUNCTION("""COMPUTED_VALUE"""),"#N/A")</f>
        <v>#N/A</v>
      </c>
      <c r="O126" s="20"/>
      <c r="P126" s="20"/>
      <c r="Q126" s="20" t="str">
        <f>IFERROR(__xludf.DUMMYFUNCTION("""COMPUTED_VALUE"""),"#N/A")</f>
        <v>#N/A</v>
      </c>
      <c r="R126" s="20" t="str">
        <f>IFERROR(__xludf.DUMMYFUNCTION("""COMPUTED_VALUE"""),"#N/A")</f>
        <v>#N/A</v>
      </c>
      <c r="S126" s="20">
        <f>IFERROR(__xludf.DUMMYFUNCTION("""COMPUTED_VALUE"""),0.121320719)</f>
        <v>0.121320719</v>
      </c>
      <c r="T126" s="20">
        <f>IFERROR(__xludf.DUMMYFUNCTION("""COMPUTED_VALUE"""),0.020415233)</f>
        <v>0.020415233</v>
      </c>
      <c r="U126" s="20">
        <f>IFERROR(__xludf.DUMMYFUNCTION("""COMPUTED_VALUE"""),0.118782253)</f>
        <v>0.118782253</v>
      </c>
      <c r="V126" s="20">
        <f>IFERROR(__xludf.DUMMYFUNCTION("""COMPUTED_VALUE"""),0.739481795)</f>
        <v>0.739481795</v>
      </c>
      <c r="W126" s="20"/>
      <c r="X126" s="20"/>
      <c r="Y126" s="20"/>
      <c r="Z126" s="20"/>
    </row>
    <row r="127">
      <c r="A127" s="20" t="str">
        <f>IFERROR(__xludf.DUMMYFUNCTION("""COMPUTED_VALUE"""),"s145")</f>
        <v>s145</v>
      </c>
      <c r="B127" s="20" t="str">
        <f>IFERROR(__xludf.DUMMYFUNCTION("""COMPUTED_VALUE"""),"wgs")</f>
        <v>wgs</v>
      </c>
      <c r="C127" s="20" t="str">
        <f>IFERROR(__xludf.DUMMYFUNCTION("""COMPUTED_VALUE"""),"OF693")</f>
        <v>OF693</v>
      </c>
      <c r="D127" s="20" t="str">
        <f>IFERROR(__xludf.DUMMYFUNCTION("""COMPUTED_VALUE"""),"OF693")</f>
        <v>OF693</v>
      </c>
      <c r="E127" s="20" t="str">
        <f>IFERROR(__xludf.DUMMYFUNCTION("""COMPUTED_VALUE"""),"no")</f>
        <v>no</v>
      </c>
      <c r="F127" s="20">
        <f>IFERROR(__xludf.DUMMYFUNCTION("""COMPUTED_VALUE"""),145.0)</f>
        <v>145</v>
      </c>
      <c r="G127" s="20"/>
      <c r="H127" s="20">
        <f>IFERROR(__xludf.DUMMYFUNCTION("""COMPUTED_VALUE"""),1.9491793E7)</f>
        <v>19491793</v>
      </c>
      <c r="I127" s="20">
        <f>IFERROR(__xludf.DUMMYFUNCTION("""COMPUTED_VALUE"""),1.1592776E7)</f>
        <v>11592776</v>
      </c>
      <c r="J127" s="19">
        <f>IFERROR(__xludf.DUMMYFUNCTION("""COMPUTED_VALUE"""),0.5947516475267308)</f>
        <v>0.5947516475</v>
      </c>
      <c r="K127" s="20">
        <f>IFERROR(__xludf.DUMMYFUNCTION("""COMPUTED_VALUE"""),2708.0)</f>
        <v>2708</v>
      </c>
      <c r="L127" s="20"/>
      <c r="M127" s="20" t="str">
        <f>IFERROR(__xludf.DUMMYFUNCTION("""COMPUTED_VALUE"""),"H")</f>
        <v>H</v>
      </c>
      <c r="N127" s="20" t="str">
        <f>IFERROR(__xludf.DUMMYFUNCTION("""COMPUTED_VALUE"""),"Y")</f>
        <v>Y</v>
      </c>
      <c r="O127" s="20">
        <f>IFERROR(__xludf.DUMMYFUNCTION("""COMPUTED_VALUE"""),25.139367)</f>
        <v>25.139367</v>
      </c>
      <c r="P127" s="20">
        <f>IFERROR(__xludf.DUMMYFUNCTION("""COMPUTED_VALUE"""),-80.294017)</f>
        <v>-80.294017</v>
      </c>
      <c r="Q127" s="20" t="str">
        <f>IFERROR(__xludf.DUMMYFUNCTION("""COMPUTED_VALUE"""),"2015")</f>
        <v>2015</v>
      </c>
      <c r="R127" s="20" t="str">
        <f>IFERROR(__xludf.DUMMYFUNCTION("""COMPUTED_VALUE"""),"Margaret Miller")</f>
        <v>Margaret Miller</v>
      </c>
      <c r="S127" s="20">
        <f>IFERROR(__xludf.DUMMYFUNCTION("""COMPUTED_VALUE"""),0.104897701)</f>
        <v>0.104897701</v>
      </c>
      <c r="T127" s="20">
        <f>IFERROR(__xludf.DUMMYFUNCTION("""COMPUTED_VALUE"""),0.031444359)</f>
        <v>0.031444359</v>
      </c>
      <c r="U127" s="20">
        <f>IFERROR(__xludf.DUMMYFUNCTION("""COMPUTED_VALUE"""),0.160520198)</f>
        <v>0.160520198</v>
      </c>
      <c r="V127" s="20">
        <f>IFERROR(__xludf.DUMMYFUNCTION("""COMPUTED_VALUE"""),0.703137742)</f>
        <v>0.703137742</v>
      </c>
      <c r="W127" s="20"/>
      <c r="X127" s="20"/>
      <c r="Y127" s="20"/>
      <c r="Z127" s="20"/>
    </row>
    <row r="128">
      <c r="A128" s="20" t="str">
        <f>IFERROR(__xludf.DUMMYFUNCTION("""COMPUTED_VALUE"""),"s146")</f>
        <v>s146</v>
      </c>
      <c r="B128" s="20" t="str">
        <f>IFERROR(__xludf.DUMMYFUNCTION("""COMPUTED_VALUE"""),"wgs")</f>
        <v>wgs</v>
      </c>
      <c r="C128" s="20" t="str">
        <f>IFERROR(__xludf.DUMMYFUNCTION("""COMPUTED_VALUE"""),"OF423")</f>
        <v>OF423</v>
      </c>
      <c r="D128" s="20" t="str">
        <f>IFERROR(__xludf.DUMMYFUNCTION("""COMPUTED_VALUE"""),"OF423")</f>
        <v>OF423</v>
      </c>
      <c r="E128" s="20" t="str">
        <f>IFERROR(__xludf.DUMMYFUNCTION("""COMPUTED_VALUE"""),"no")</f>
        <v>no</v>
      </c>
      <c r="F128" s="20">
        <f>IFERROR(__xludf.DUMMYFUNCTION("""COMPUTED_VALUE"""),146.0)</f>
        <v>146</v>
      </c>
      <c r="G128" s="20"/>
      <c r="H128" s="20">
        <f>IFERROR(__xludf.DUMMYFUNCTION("""COMPUTED_VALUE"""),2.4231096E7)</f>
        <v>24231096</v>
      </c>
      <c r="I128" s="20">
        <f>IFERROR(__xludf.DUMMYFUNCTION("""COMPUTED_VALUE"""),5274781.0)</f>
        <v>5274781</v>
      </c>
      <c r="J128" s="19">
        <f>IFERROR(__xludf.DUMMYFUNCTION("""COMPUTED_VALUE"""),0.2176864389460551)</f>
        <v>0.2176864389</v>
      </c>
      <c r="K128" s="20">
        <f>IFERROR(__xludf.DUMMYFUNCTION("""COMPUTED_VALUE"""),5194.0)</f>
        <v>5194</v>
      </c>
      <c r="L128" s="20"/>
      <c r="M128" s="20" t="str">
        <f>IFERROR(__xludf.DUMMYFUNCTION("""COMPUTED_VALUE"""),"H")</f>
        <v>H</v>
      </c>
      <c r="N128" s="20" t="str">
        <f>IFERROR(__xludf.DUMMYFUNCTION("""COMPUTED_VALUE"""),"N")</f>
        <v>N</v>
      </c>
      <c r="O128" s="20">
        <f>IFERROR(__xludf.DUMMYFUNCTION("""COMPUTED_VALUE"""),25.139367)</f>
        <v>25.139367</v>
      </c>
      <c r="P128" s="20">
        <f>IFERROR(__xludf.DUMMYFUNCTION("""COMPUTED_VALUE"""),-80.294017)</f>
        <v>-80.294017</v>
      </c>
      <c r="Q128" s="20" t="str">
        <f>IFERROR(__xludf.DUMMYFUNCTION("""COMPUTED_VALUE"""),"2015 batch")</f>
        <v>2015 batch</v>
      </c>
      <c r="R128" s="20" t="str">
        <f>IFERROR(__xludf.DUMMYFUNCTION("""COMPUTED_VALUE"""),"Margaret Miller")</f>
        <v>Margaret Miller</v>
      </c>
      <c r="S128" s="20">
        <f>IFERROR(__xludf.DUMMYFUNCTION("""COMPUTED_VALUE"""),0.139846183)</f>
        <v>0.139846183</v>
      </c>
      <c r="T128" s="20">
        <f>IFERROR(__xludf.DUMMYFUNCTION("""COMPUTED_VALUE"""),0.057707197)</f>
        <v>0.057707197</v>
      </c>
      <c r="U128" s="20">
        <f>IFERROR(__xludf.DUMMYFUNCTION("""COMPUTED_VALUE"""),0.23168046)</f>
        <v>0.23168046</v>
      </c>
      <c r="V128" s="20">
        <f>IFERROR(__xludf.DUMMYFUNCTION("""COMPUTED_VALUE"""),0.57076616)</f>
        <v>0.57076616</v>
      </c>
      <c r="W128" s="20"/>
      <c r="X128" s="20"/>
      <c r="Y128" s="20"/>
      <c r="Z128" s="20"/>
    </row>
    <row r="129">
      <c r="A129" s="20" t="str">
        <f>IFERROR(__xludf.DUMMYFUNCTION("""COMPUTED_VALUE"""),"s147")</f>
        <v>s147</v>
      </c>
      <c r="B129" s="20" t="str">
        <f>IFERROR(__xludf.DUMMYFUNCTION("""COMPUTED_VALUE"""),"wgs")</f>
        <v>wgs</v>
      </c>
      <c r="C129" s="20" t="str">
        <f>IFERROR(__xludf.DUMMYFUNCTION("""COMPUTED_VALUE"""),"OF559")</f>
        <v>OF559</v>
      </c>
      <c r="D129" s="20" t="str">
        <f>IFERROR(__xludf.DUMMYFUNCTION("""COMPUTED_VALUE"""),"OF656")</f>
        <v>OF656</v>
      </c>
      <c r="E129" s="20" t="str">
        <f>IFERROR(__xludf.DUMMYFUNCTION("""COMPUTED_VALUE"""),"no")</f>
        <v>no</v>
      </c>
      <c r="F129" s="20">
        <f>IFERROR(__xludf.DUMMYFUNCTION("""COMPUTED_VALUE"""),147.0)</f>
        <v>147</v>
      </c>
      <c r="G129" s="20"/>
      <c r="H129" s="20">
        <f>IFERROR(__xludf.DUMMYFUNCTION("""COMPUTED_VALUE"""),2.4888321E7)</f>
        <v>24888321</v>
      </c>
      <c r="I129" s="20">
        <f>IFERROR(__xludf.DUMMYFUNCTION("""COMPUTED_VALUE"""),7981836.0)</f>
        <v>7981836</v>
      </c>
      <c r="J129" s="19">
        <f>IFERROR(__xludf.DUMMYFUNCTION("""COMPUTED_VALUE"""),0.3207060853964396)</f>
        <v>0.3207060854</v>
      </c>
      <c r="K129" s="20">
        <f>IFERROR(__xludf.DUMMYFUNCTION("""COMPUTED_VALUE"""),12889.0)</f>
        <v>12889</v>
      </c>
      <c r="L129" s="20"/>
      <c r="M129" s="20" t="str">
        <f>IFERROR(__xludf.DUMMYFUNCTION("""COMPUTED_VALUE"""),"H")</f>
        <v>H</v>
      </c>
      <c r="N129" s="20" t="str">
        <f>IFERROR(__xludf.DUMMYFUNCTION("""COMPUTED_VALUE"""),"N")</f>
        <v>N</v>
      </c>
      <c r="O129" s="20">
        <f>IFERROR(__xludf.DUMMYFUNCTION("""COMPUTED_VALUE"""),25.139367)</f>
        <v>25.139367</v>
      </c>
      <c r="P129" s="20">
        <f>IFERROR(__xludf.DUMMYFUNCTION("""COMPUTED_VALUE"""),-80.294017)</f>
        <v>-80.294017</v>
      </c>
      <c r="Q129" s="20" t="str">
        <f>IFERROR(__xludf.DUMMYFUNCTION("""COMPUTED_VALUE"""),"2015 batch")</f>
        <v>2015 batch</v>
      </c>
      <c r="R129" s="20" t="str">
        <f>IFERROR(__xludf.DUMMYFUNCTION("""COMPUTED_VALUE"""),"Margaret Miller")</f>
        <v>Margaret Miller</v>
      </c>
      <c r="S129" s="20">
        <f>IFERROR(__xludf.DUMMYFUNCTION("""COMPUTED_VALUE"""),0.176302005)</f>
        <v>0.176302005</v>
      </c>
      <c r="T129" s="20">
        <f>IFERROR(__xludf.DUMMYFUNCTION("""COMPUTED_VALUE"""),0.047100397)</f>
        <v>0.047100397</v>
      </c>
      <c r="U129" s="20">
        <f>IFERROR(__xludf.DUMMYFUNCTION("""COMPUTED_VALUE"""),0.120278636)</f>
        <v>0.120278636</v>
      </c>
      <c r="V129" s="20">
        <f>IFERROR(__xludf.DUMMYFUNCTION("""COMPUTED_VALUE"""),0.656318962)</f>
        <v>0.656318962</v>
      </c>
      <c r="W129" s="20"/>
      <c r="X129" s="20"/>
      <c r="Y129" s="20"/>
      <c r="Z129" s="20"/>
    </row>
    <row r="130">
      <c r="A130" s="20" t="str">
        <f>IFERROR(__xludf.DUMMYFUNCTION("""COMPUTED_VALUE"""),"s148")</f>
        <v>s148</v>
      </c>
      <c r="B130" s="20" t="str">
        <f>IFERROR(__xludf.DUMMYFUNCTION("""COMPUTED_VALUE"""),"wgs")</f>
        <v>wgs</v>
      </c>
      <c r="C130" s="20" t="str">
        <f>IFERROR(__xludf.DUMMYFUNCTION("""COMPUTED_VALUE"""),"15-10")</f>
        <v>15-10</v>
      </c>
      <c r="D130" s="20" t="str">
        <f>IFERROR(__xludf.DUMMYFUNCTION("""COMPUTED_VALUE"""),"15-10")</f>
        <v>15-10</v>
      </c>
      <c r="E130" s="20" t="str">
        <f>IFERROR(__xludf.DUMMYFUNCTION("""COMPUTED_VALUE"""),"no")</f>
        <v>no</v>
      </c>
      <c r="F130" s="20">
        <f>IFERROR(__xludf.DUMMYFUNCTION("""COMPUTED_VALUE"""),148.0)</f>
        <v>148</v>
      </c>
      <c r="G130" s="20"/>
      <c r="H130" s="20">
        <f>IFERROR(__xludf.DUMMYFUNCTION("""COMPUTED_VALUE"""),2.4301969E7)</f>
        <v>24301969</v>
      </c>
      <c r="I130" s="20">
        <f>IFERROR(__xludf.DUMMYFUNCTION("""COMPUTED_VALUE"""),9718912.0)</f>
        <v>9718912</v>
      </c>
      <c r="J130" s="19">
        <f>IFERROR(__xludf.DUMMYFUNCTION("""COMPUTED_VALUE"""),0.3999228210685315)</f>
        <v>0.3999228211</v>
      </c>
      <c r="K130" s="20">
        <f>IFERROR(__xludf.DUMMYFUNCTION("""COMPUTED_VALUE"""),2853.0)</f>
        <v>2853</v>
      </c>
      <c r="L130" s="20"/>
      <c r="M130" s="20" t="str">
        <f>IFERROR(__xludf.DUMMYFUNCTION("""COMPUTED_VALUE"""),"H")</f>
        <v>H</v>
      </c>
      <c r="N130" s="20" t="str">
        <f>IFERROR(__xludf.DUMMYFUNCTION("""COMPUTED_VALUE"""),"N")</f>
        <v>N</v>
      </c>
      <c r="O130" s="20">
        <f>IFERROR(__xludf.DUMMYFUNCTION("""COMPUTED_VALUE"""),25.139367)</f>
        <v>25.139367</v>
      </c>
      <c r="P130" s="20">
        <f>IFERROR(__xludf.DUMMYFUNCTION("""COMPUTED_VALUE"""),-80.294017)</f>
        <v>-80.294017</v>
      </c>
      <c r="Q130" s="20" t="str">
        <f>IFERROR(__xludf.DUMMYFUNCTION("""COMPUTED_VALUE"""),"2015 batch")</f>
        <v>2015 batch</v>
      </c>
      <c r="R130" s="20" t="str">
        <f>IFERROR(__xludf.DUMMYFUNCTION("""COMPUTED_VALUE"""),"Margaret Miller")</f>
        <v>Margaret Miller</v>
      </c>
      <c r="S130" s="20">
        <f>IFERROR(__xludf.DUMMYFUNCTION("""COMPUTED_VALUE"""),0.111177486)</f>
        <v>0.111177486</v>
      </c>
      <c r="T130" s="20">
        <f>IFERROR(__xludf.DUMMYFUNCTION("""COMPUTED_VALUE"""),0.018955485)</f>
        <v>0.018955485</v>
      </c>
      <c r="U130" s="20">
        <f>IFERROR(__xludf.DUMMYFUNCTION("""COMPUTED_VALUE"""),0.327674897)</f>
        <v>0.327674897</v>
      </c>
      <c r="V130" s="20">
        <f>IFERROR(__xludf.DUMMYFUNCTION("""COMPUTED_VALUE"""),0.542192132)</f>
        <v>0.542192132</v>
      </c>
      <c r="W130" s="20"/>
      <c r="X130" s="20"/>
      <c r="Y130" s="20"/>
      <c r="Z130" s="20"/>
    </row>
    <row r="131">
      <c r="A131" s="20" t="str">
        <f>IFERROR(__xludf.DUMMYFUNCTION("""COMPUTED_VALUE"""),"s149")</f>
        <v>s149</v>
      </c>
      <c r="B131" s="20" t="str">
        <f>IFERROR(__xludf.DUMMYFUNCTION("""COMPUTED_VALUE"""),"wgs")</f>
        <v>wgs</v>
      </c>
      <c r="C131" s="20" t="str">
        <f>IFERROR(__xludf.DUMMYFUNCTION("""COMPUTED_VALUE"""),"OF202")</f>
        <v>OF202</v>
      </c>
      <c r="D131" s="20" t="str">
        <f>IFERROR(__xludf.DUMMYFUNCTION("""COMPUTED_VALUE"""),"OF202")</f>
        <v>OF202</v>
      </c>
      <c r="E131" s="20" t="str">
        <f>IFERROR(__xludf.DUMMYFUNCTION("""COMPUTED_VALUE"""),"no")</f>
        <v>no</v>
      </c>
      <c r="F131" s="20">
        <f>IFERROR(__xludf.DUMMYFUNCTION("""COMPUTED_VALUE"""),149.0)</f>
        <v>149</v>
      </c>
      <c r="G131" s="20"/>
      <c r="H131" s="20">
        <f>IFERROR(__xludf.DUMMYFUNCTION("""COMPUTED_VALUE"""),1.9531786E7)</f>
        <v>19531786</v>
      </c>
      <c r="I131" s="20">
        <f>IFERROR(__xludf.DUMMYFUNCTION("""COMPUTED_VALUE"""),1.4989483E7)</f>
        <v>14989483</v>
      </c>
      <c r="J131" s="19">
        <f>IFERROR(__xludf.DUMMYFUNCTION("""COMPUTED_VALUE"""),0.7674404685777327)</f>
        <v>0.7674404686</v>
      </c>
      <c r="K131" s="20">
        <f>IFERROR(__xludf.DUMMYFUNCTION("""COMPUTED_VALUE"""),1376.0)</f>
        <v>1376</v>
      </c>
      <c r="L131" s="20"/>
      <c r="M131" s="20" t="str">
        <f>IFERROR(__xludf.DUMMYFUNCTION("""COMPUTED_VALUE"""),"H")</f>
        <v>H</v>
      </c>
      <c r="N131" s="20" t="str">
        <f>IFERROR(__xludf.DUMMYFUNCTION("""COMPUTED_VALUE"""),"N")</f>
        <v>N</v>
      </c>
      <c r="O131" s="20">
        <f>IFERROR(__xludf.DUMMYFUNCTION("""COMPUTED_VALUE"""),25.139367)</f>
        <v>25.139367</v>
      </c>
      <c r="P131" s="20">
        <f>IFERROR(__xludf.DUMMYFUNCTION("""COMPUTED_VALUE"""),-80.294017)</f>
        <v>-80.294017</v>
      </c>
      <c r="Q131" s="20" t="str">
        <f>IFERROR(__xludf.DUMMYFUNCTION("""COMPUTED_VALUE"""),"2015 batch")</f>
        <v>2015 batch</v>
      </c>
      <c r="R131" s="20" t="str">
        <f>IFERROR(__xludf.DUMMYFUNCTION("""COMPUTED_VALUE"""),"Margaret Miller")</f>
        <v>Margaret Miller</v>
      </c>
      <c r="S131" s="20">
        <f>IFERROR(__xludf.DUMMYFUNCTION("""COMPUTED_VALUE"""),0.009844496)</f>
        <v>0.009844496</v>
      </c>
      <c r="T131" s="20">
        <f>IFERROR(__xludf.DUMMYFUNCTION("""COMPUTED_VALUE"""),0.001594142)</f>
        <v>0.001594142</v>
      </c>
      <c r="U131" s="20">
        <f>IFERROR(__xludf.DUMMYFUNCTION("""COMPUTED_VALUE"""),0.006563787)</f>
        <v>0.006563787</v>
      </c>
      <c r="V131" s="20">
        <f>IFERROR(__xludf.DUMMYFUNCTION("""COMPUTED_VALUE"""),0.981997575)</f>
        <v>0.981997575</v>
      </c>
      <c r="W131" s="20"/>
      <c r="X131" s="20"/>
      <c r="Y131" s="20"/>
      <c r="Z131" s="20"/>
    </row>
    <row r="132">
      <c r="A132" s="20" t="str">
        <f>IFERROR(__xludf.DUMMYFUNCTION("""COMPUTED_VALUE"""),"s150")</f>
        <v>s150</v>
      </c>
      <c r="B132" s="20" t="str">
        <f>IFERROR(__xludf.DUMMYFUNCTION("""COMPUTED_VALUE"""),"wgs")</f>
        <v>wgs</v>
      </c>
      <c r="C132" s="20" t="str">
        <f>IFERROR(__xludf.DUMMYFUNCTION("""COMPUTED_VALUE"""),"OF211")</f>
        <v>OF211</v>
      </c>
      <c r="D132" s="20" t="str">
        <f>IFERROR(__xludf.DUMMYFUNCTION("""COMPUTED_VALUE"""),"OF211")</f>
        <v>OF211</v>
      </c>
      <c r="E132" s="20" t="str">
        <f>IFERROR(__xludf.DUMMYFUNCTION("""COMPUTED_VALUE"""),"no")</f>
        <v>no</v>
      </c>
      <c r="F132" s="20">
        <f>IFERROR(__xludf.DUMMYFUNCTION("""COMPUTED_VALUE"""),150.0)</f>
        <v>150</v>
      </c>
      <c r="G132" s="20"/>
      <c r="H132" s="20">
        <f>IFERROR(__xludf.DUMMYFUNCTION("""COMPUTED_VALUE"""),2.41664E7)</f>
        <v>24166400</v>
      </c>
      <c r="I132" s="20">
        <f>IFERROR(__xludf.DUMMYFUNCTION("""COMPUTED_VALUE"""),1.7330459E7)</f>
        <v>17330459</v>
      </c>
      <c r="J132" s="19">
        <f>IFERROR(__xludf.DUMMYFUNCTION("""COMPUTED_VALUE"""),0.7171303545418433)</f>
        <v>0.7171303545</v>
      </c>
      <c r="K132" s="20">
        <f>IFERROR(__xludf.DUMMYFUNCTION("""COMPUTED_VALUE"""),2319.0)</f>
        <v>2319</v>
      </c>
      <c r="L132" s="20"/>
      <c r="M132" s="20" t="str">
        <f>IFERROR(__xludf.DUMMYFUNCTION("""COMPUTED_VALUE"""),"H")</f>
        <v>H</v>
      </c>
      <c r="N132" s="20" t="str">
        <f>IFERROR(__xludf.DUMMYFUNCTION("""COMPUTED_VALUE"""),"N")</f>
        <v>N</v>
      </c>
      <c r="O132" s="20">
        <f>IFERROR(__xludf.DUMMYFUNCTION("""COMPUTED_VALUE"""),25.139367)</f>
        <v>25.139367</v>
      </c>
      <c r="P132" s="20">
        <f>IFERROR(__xludf.DUMMYFUNCTION("""COMPUTED_VALUE"""),-80.294017)</f>
        <v>-80.294017</v>
      </c>
      <c r="Q132" s="20" t="str">
        <f>IFERROR(__xludf.DUMMYFUNCTION("""COMPUTED_VALUE"""),"2015 batch")</f>
        <v>2015 batch</v>
      </c>
      <c r="R132" s="20" t="str">
        <f>IFERROR(__xludf.DUMMYFUNCTION("""COMPUTED_VALUE"""),"Margaret Miller")</f>
        <v>Margaret Miller</v>
      </c>
      <c r="S132" s="20">
        <f>IFERROR(__xludf.DUMMYFUNCTION("""COMPUTED_VALUE"""),0.129973993)</f>
        <v>0.129973993</v>
      </c>
      <c r="T132" s="20">
        <f>IFERROR(__xludf.DUMMYFUNCTION("""COMPUTED_VALUE"""),0.029061142)</f>
        <v>0.029061142</v>
      </c>
      <c r="U132" s="20">
        <f>IFERROR(__xludf.DUMMYFUNCTION("""COMPUTED_VALUE"""),0.196826837)</f>
        <v>0.196826837</v>
      </c>
      <c r="V132" s="20">
        <f>IFERROR(__xludf.DUMMYFUNCTION("""COMPUTED_VALUE"""),0.644138027)</f>
        <v>0.644138027</v>
      </c>
      <c r="W132" s="20"/>
      <c r="X132" s="20"/>
      <c r="Y132" s="20"/>
      <c r="Z132" s="20"/>
    </row>
    <row r="133">
      <c r="A133" s="20" t="str">
        <f>IFERROR(__xludf.DUMMYFUNCTION("""COMPUTED_VALUE"""),"s151")</f>
        <v>s151</v>
      </c>
      <c r="B133" s="20" t="str">
        <f>IFERROR(__xludf.DUMMYFUNCTION("""COMPUTED_VALUE"""),"wgs")</f>
        <v>wgs</v>
      </c>
      <c r="C133" s="20" t="str">
        <f>IFERROR(__xludf.DUMMYFUNCTION("""COMPUTED_VALUE"""),"OF58")</f>
        <v>OF58</v>
      </c>
      <c r="D133" s="20" t="str">
        <f>IFERROR(__xludf.DUMMYFUNCTION("""COMPUTED_VALUE"""),"OF682")</f>
        <v>OF682</v>
      </c>
      <c r="E133" s="20" t="str">
        <f>IFERROR(__xludf.DUMMYFUNCTION("""COMPUTED_VALUE"""),"no")</f>
        <v>no</v>
      </c>
      <c r="F133" s="20">
        <f>IFERROR(__xludf.DUMMYFUNCTION("""COMPUTED_VALUE"""),151.0)</f>
        <v>151</v>
      </c>
      <c r="G133" s="20"/>
      <c r="H133" s="20">
        <f>IFERROR(__xludf.DUMMYFUNCTION("""COMPUTED_VALUE"""),2.4804399E7)</f>
        <v>24804399</v>
      </c>
      <c r="I133" s="20">
        <f>IFERROR(__xludf.DUMMYFUNCTION("""COMPUTED_VALUE"""),1.2805732E7)</f>
        <v>12805732</v>
      </c>
      <c r="J133" s="19">
        <f>IFERROR(__xludf.DUMMYFUNCTION("""COMPUTED_VALUE"""),0.5162685860681405)</f>
        <v>0.5162685861</v>
      </c>
      <c r="K133" s="20">
        <f>IFERROR(__xludf.DUMMYFUNCTION("""COMPUTED_VALUE"""),7699.0)</f>
        <v>7699</v>
      </c>
      <c r="L133" s="20"/>
      <c r="M133" s="20" t="str">
        <f>IFERROR(__xludf.DUMMYFUNCTION("""COMPUTED_VALUE"""),"KWN")</f>
        <v>KWN</v>
      </c>
      <c r="N133" s="20" t="str">
        <f>IFERROR(__xludf.DUMMYFUNCTION("""COMPUTED_VALUE"""),"N")</f>
        <v>N</v>
      </c>
      <c r="O133" s="20">
        <f>IFERROR(__xludf.DUMMYFUNCTION("""COMPUTED_VALUE"""),24.55107)</f>
        <v>24.55107</v>
      </c>
      <c r="P133" s="20">
        <f>IFERROR(__xludf.DUMMYFUNCTION("""COMPUTED_VALUE"""),-81.80805)</f>
        <v>-81.80805</v>
      </c>
      <c r="Q133" s="20" t="str">
        <f>IFERROR(__xludf.DUMMYFUNCTION("""COMPUTED_VALUE"""),"2010-2017")</f>
        <v>2010-2017</v>
      </c>
      <c r="R133" s="20" t="str">
        <f>IFERROR(__xludf.DUMMYFUNCTION("""COMPUTED_VALUE"""),"Mote")</f>
        <v>Mote</v>
      </c>
      <c r="S133" s="20">
        <f>IFERROR(__xludf.DUMMYFUNCTION("""COMPUTED_VALUE"""),0.05384978)</f>
        <v>0.05384978</v>
      </c>
      <c r="T133" s="20">
        <f>IFERROR(__xludf.DUMMYFUNCTION("""COMPUTED_VALUE"""),0.017252805)</f>
        <v>0.017252805</v>
      </c>
      <c r="U133" s="20">
        <f>IFERROR(__xludf.DUMMYFUNCTION("""COMPUTED_VALUE"""),0.064750437)</f>
        <v>0.064750437</v>
      </c>
      <c r="V133" s="20">
        <f>IFERROR(__xludf.DUMMYFUNCTION("""COMPUTED_VALUE"""),0.864146979)</f>
        <v>0.864146979</v>
      </c>
      <c r="W133" s="20"/>
      <c r="X133" s="20"/>
      <c r="Y133" s="20"/>
      <c r="Z133" s="20"/>
    </row>
    <row r="134">
      <c r="A134" s="20" t="str">
        <f>IFERROR(__xludf.DUMMYFUNCTION("""COMPUTED_VALUE"""),"s152")</f>
        <v>s152</v>
      </c>
      <c r="B134" s="20" t="str">
        <f>IFERROR(__xludf.DUMMYFUNCTION("""COMPUTED_VALUE"""),"wgs")</f>
        <v>wgs</v>
      </c>
      <c r="C134" s="20" t="str">
        <f>IFERROR(__xludf.DUMMYFUNCTION("""COMPUTED_VALUE"""),"OF61")</f>
        <v>OF61</v>
      </c>
      <c r="D134" s="20" t="str">
        <f>IFERROR(__xludf.DUMMYFUNCTION("""COMPUTED_VALUE"""),"OF700")</f>
        <v>OF700</v>
      </c>
      <c r="E134" s="20" t="str">
        <f>IFERROR(__xludf.DUMMYFUNCTION("""COMPUTED_VALUE"""),"no")</f>
        <v>no</v>
      </c>
      <c r="F134" s="20">
        <f>IFERROR(__xludf.DUMMYFUNCTION("""COMPUTED_VALUE"""),152.0)</f>
        <v>152</v>
      </c>
      <c r="G134" s="20"/>
      <c r="H134" s="20">
        <f>IFERROR(__xludf.DUMMYFUNCTION("""COMPUTED_VALUE"""),2.6107356E7)</f>
        <v>26107356</v>
      </c>
      <c r="I134" s="20">
        <f>IFERROR(__xludf.DUMMYFUNCTION("""COMPUTED_VALUE"""),1.8596329E7)</f>
        <v>18596329</v>
      </c>
      <c r="J134" s="19">
        <f>IFERROR(__xludf.DUMMYFUNCTION("""COMPUTED_VALUE"""),0.7123022722025164)</f>
        <v>0.7123022722</v>
      </c>
      <c r="K134" s="20">
        <f>IFERROR(__xludf.DUMMYFUNCTION("""COMPUTED_VALUE"""),836.0)</f>
        <v>836</v>
      </c>
      <c r="L134" s="20"/>
      <c r="M134" s="20" t="str">
        <f>IFERROR(__xludf.DUMMYFUNCTION("""COMPUTED_VALUE"""),"KWN")</f>
        <v>KWN</v>
      </c>
      <c r="N134" s="20" t="str">
        <f>IFERROR(__xludf.DUMMYFUNCTION("""COMPUTED_VALUE"""),"Y")</f>
        <v>Y</v>
      </c>
      <c r="O134" s="20">
        <f>IFERROR(__xludf.DUMMYFUNCTION("""COMPUTED_VALUE"""),24.55107)</f>
        <v>24.55107</v>
      </c>
      <c r="P134" s="20">
        <f>IFERROR(__xludf.DUMMYFUNCTION("""COMPUTED_VALUE"""),-81.80805)</f>
        <v>-81.80805</v>
      </c>
      <c r="Q134" s="20" t="str">
        <f>IFERROR(__xludf.DUMMYFUNCTION("""COMPUTED_VALUE"""),"2010-2017")</f>
        <v>2010-2017</v>
      </c>
      <c r="R134" s="20" t="str">
        <f>IFERROR(__xludf.DUMMYFUNCTION("""COMPUTED_VALUE"""),"Mote")</f>
        <v>Mote</v>
      </c>
      <c r="S134" s="20">
        <f>IFERROR(__xludf.DUMMYFUNCTION("""COMPUTED_VALUE"""),0.003520121)</f>
        <v>0.003520121</v>
      </c>
      <c r="T134" s="20">
        <f>IFERROR(__xludf.DUMMYFUNCTION("""COMPUTED_VALUE"""),8.00492E-4)</f>
        <v>0.000800492</v>
      </c>
      <c r="U134" s="20">
        <f>IFERROR(__xludf.DUMMYFUNCTION("""COMPUTED_VALUE"""),0.0023199)</f>
        <v>0.0023199</v>
      </c>
      <c r="V134" s="20">
        <f>IFERROR(__xludf.DUMMYFUNCTION("""COMPUTED_VALUE"""),0.993359486)</f>
        <v>0.993359486</v>
      </c>
      <c r="W134" s="20"/>
      <c r="X134" s="20"/>
      <c r="Y134" s="20"/>
      <c r="Z134" s="20"/>
    </row>
    <row r="135">
      <c r="A135" s="20" t="str">
        <f>IFERROR(__xludf.DUMMYFUNCTION("""COMPUTED_VALUE"""),"s153")</f>
        <v>s153</v>
      </c>
      <c r="B135" s="20" t="str">
        <f>IFERROR(__xludf.DUMMYFUNCTION("""COMPUTED_VALUE"""),"wgs")</f>
        <v>wgs</v>
      </c>
      <c r="C135" s="20" t="str">
        <f>IFERROR(__xludf.DUMMYFUNCTION("""COMPUTED_VALUE"""),"OF654")</f>
        <v>OF654</v>
      </c>
      <c r="D135" s="20" t="str">
        <f>IFERROR(__xludf.DUMMYFUNCTION("""COMPUTED_VALUE"""),"OF654")</f>
        <v>OF654</v>
      </c>
      <c r="E135" s="20" t="str">
        <f>IFERROR(__xludf.DUMMYFUNCTION("""COMPUTED_VALUE"""),"no")</f>
        <v>no</v>
      </c>
      <c r="F135" s="20">
        <f>IFERROR(__xludf.DUMMYFUNCTION("""COMPUTED_VALUE"""),153.0)</f>
        <v>153</v>
      </c>
      <c r="G135" s="20"/>
      <c r="H135" s="20">
        <f>IFERROR(__xludf.DUMMYFUNCTION("""COMPUTED_VALUE"""),2.6096616E7)</f>
        <v>26096616</v>
      </c>
      <c r="I135" s="20">
        <f>IFERROR(__xludf.DUMMYFUNCTION("""COMPUTED_VALUE"""),1.6427328E7)</f>
        <v>16427328</v>
      </c>
      <c r="J135" s="19">
        <f>IFERROR(__xludf.DUMMYFUNCTION("""COMPUTED_VALUE"""),0.6294811557176608)</f>
        <v>0.6294811557</v>
      </c>
      <c r="K135" s="20">
        <f>IFERROR(__xludf.DUMMYFUNCTION("""COMPUTED_VALUE"""),1343.0)</f>
        <v>1343</v>
      </c>
      <c r="L135" s="20"/>
      <c r="M135" s="20"/>
      <c r="N135" s="20" t="str">
        <f>IFERROR(__xludf.DUMMYFUNCTION("""COMPUTED_VALUE"""),"N")</f>
        <v>N</v>
      </c>
      <c r="O135" s="20"/>
      <c r="P135" s="20"/>
      <c r="Q135" s="20"/>
      <c r="R135" s="20"/>
      <c r="S135" s="20">
        <f>IFERROR(__xludf.DUMMYFUNCTION("""COMPUTED_VALUE"""),0.11196035)</f>
        <v>0.11196035</v>
      </c>
      <c r="T135" s="20">
        <f>IFERROR(__xludf.DUMMYFUNCTION("""COMPUTED_VALUE"""),0.020200755)</f>
        <v>0.020200755</v>
      </c>
      <c r="U135" s="20">
        <f>IFERROR(__xludf.DUMMYFUNCTION("""COMPUTED_VALUE"""),0.143632795)</f>
        <v>0.143632795</v>
      </c>
      <c r="V135" s="20">
        <f>IFERROR(__xludf.DUMMYFUNCTION("""COMPUTED_VALUE"""),0.724206101)</f>
        <v>0.724206101</v>
      </c>
      <c r="W135" s="20"/>
      <c r="X135" s="20"/>
      <c r="Y135" s="20"/>
      <c r="Z135" s="20"/>
    </row>
    <row r="136">
      <c r="A136" s="20" t="str">
        <f>IFERROR(__xludf.DUMMYFUNCTION("""COMPUTED_VALUE"""),"s155")</f>
        <v>s155</v>
      </c>
      <c r="B136" s="20" t="str">
        <f>IFERROR(__xludf.DUMMYFUNCTION("""COMPUTED_VALUE"""),"wgs")</f>
        <v>wgs</v>
      </c>
      <c r="C136" s="20" t="str">
        <f>IFERROR(__xludf.DUMMYFUNCTION("""COMPUTED_VALUE"""),"OF8")</f>
        <v>OF8</v>
      </c>
      <c r="D136" s="20" t="str">
        <f>IFERROR(__xludf.DUMMYFUNCTION("""COMPUTED_VALUE"""),"OF8")</f>
        <v>OF8</v>
      </c>
      <c r="E136" s="20" t="str">
        <f>IFERROR(__xludf.DUMMYFUNCTION("""COMPUTED_VALUE"""),"no")</f>
        <v>no</v>
      </c>
      <c r="F136" s="20">
        <f>IFERROR(__xludf.DUMMYFUNCTION("""COMPUTED_VALUE"""),155.0)</f>
        <v>155</v>
      </c>
      <c r="G136" s="20"/>
      <c r="H136" s="20">
        <f>IFERROR(__xludf.DUMMYFUNCTION("""COMPUTED_VALUE"""),2.6672094E7)</f>
        <v>26672094</v>
      </c>
      <c r="I136" s="20">
        <f>IFERROR(__xludf.DUMMYFUNCTION("""COMPUTED_VALUE"""),1.5993279E7)</f>
        <v>15993279</v>
      </c>
      <c r="J136" s="19">
        <f>IFERROR(__xludf.DUMMYFUNCTION("""COMPUTED_VALUE"""),0.5996259236338924)</f>
        <v>0.5996259236</v>
      </c>
      <c r="K136" s="20">
        <f>IFERROR(__xludf.DUMMYFUNCTION("""COMPUTED_VALUE"""),1047.0)</f>
        <v>1047</v>
      </c>
      <c r="L136" s="20"/>
      <c r="M136" s="20" t="str">
        <f>IFERROR(__xludf.DUMMYFUNCTION("""COMPUTED_VALUE"""),"KWN")</f>
        <v>KWN</v>
      </c>
      <c r="N136" s="20" t="str">
        <f>IFERROR(__xludf.DUMMYFUNCTION("""COMPUTED_VALUE"""),"N")</f>
        <v>N</v>
      </c>
      <c r="O136" s="20">
        <f>IFERROR(__xludf.DUMMYFUNCTION("""COMPUTED_VALUE"""),24.55107)</f>
        <v>24.55107</v>
      </c>
      <c r="P136" s="20">
        <f>IFERROR(__xludf.DUMMYFUNCTION("""COMPUTED_VALUE"""),-81.80805)</f>
        <v>-81.80805</v>
      </c>
      <c r="Q136" s="20" t="str">
        <f>IFERROR(__xludf.DUMMYFUNCTION("""COMPUTED_VALUE"""),"2010-2017")</f>
        <v>2010-2017</v>
      </c>
      <c r="R136" s="20" t="str">
        <f>IFERROR(__xludf.DUMMYFUNCTION("""COMPUTED_VALUE"""),"Mote")</f>
        <v>Mote</v>
      </c>
      <c r="S136" s="20">
        <f>IFERROR(__xludf.DUMMYFUNCTION("""COMPUTED_VALUE"""),0.003707256)</f>
        <v>0.003707256</v>
      </c>
      <c r="T136" s="20">
        <f>IFERROR(__xludf.DUMMYFUNCTION("""COMPUTED_VALUE"""),9.02114E-4)</f>
        <v>0.000902114</v>
      </c>
      <c r="U136" s="20">
        <f>IFERROR(__xludf.DUMMYFUNCTION("""COMPUTED_VALUE"""),0.00298099)</f>
        <v>0.00298099</v>
      </c>
      <c r="V136" s="20">
        <f>IFERROR(__xludf.DUMMYFUNCTION("""COMPUTED_VALUE"""),0.992409639)</f>
        <v>0.992409639</v>
      </c>
      <c r="W136" s="20"/>
      <c r="X136" s="20"/>
      <c r="Y136" s="20"/>
      <c r="Z136" s="20"/>
    </row>
    <row r="137">
      <c r="A137" s="20" t="str">
        <f>IFERROR(__xludf.DUMMYFUNCTION("""COMPUTED_VALUE"""),"s156")</f>
        <v>s156</v>
      </c>
      <c r="B137" s="20" t="str">
        <f>IFERROR(__xludf.DUMMYFUNCTION("""COMPUTED_VALUE"""),"wgs")</f>
        <v>wgs</v>
      </c>
      <c r="C137" s="20" t="str">
        <f>IFERROR(__xludf.DUMMYFUNCTION("""COMPUTED_VALUE"""),"OF733")</f>
        <v>OF733</v>
      </c>
      <c r="D137" s="20" t="str">
        <f>IFERROR(__xludf.DUMMYFUNCTION("""COMPUTED_VALUE"""),"OF733")</f>
        <v>OF733</v>
      </c>
      <c r="E137" s="20" t="str">
        <f>IFERROR(__xludf.DUMMYFUNCTION("""COMPUTED_VALUE"""),"no")</f>
        <v>no</v>
      </c>
      <c r="F137" s="20">
        <f>IFERROR(__xludf.DUMMYFUNCTION("""COMPUTED_VALUE"""),156.0)</f>
        <v>156</v>
      </c>
      <c r="G137" s="20"/>
      <c r="H137" s="20">
        <f>IFERROR(__xludf.DUMMYFUNCTION("""COMPUTED_VALUE"""),2.7499805E7)</f>
        <v>27499805</v>
      </c>
      <c r="I137" s="20">
        <f>IFERROR(__xludf.DUMMYFUNCTION("""COMPUTED_VALUE"""),2.0871891E7)</f>
        <v>20871891</v>
      </c>
      <c r="J137" s="19">
        <f>IFERROR(__xludf.DUMMYFUNCTION("""COMPUTED_VALUE"""),0.7589832364265856)</f>
        <v>0.7589832364</v>
      </c>
      <c r="K137" s="20">
        <f>IFERROR(__xludf.DUMMYFUNCTION("""COMPUTED_VALUE"""),718.0)</f>
        <v>718</v>
      </c>
      <c r="L137" s="20"/>
      <c r="M137" s="20"/>
      <c r="N137" s="20" t="str">
        <f>IFERROR(__xludf.DUMMYFUNCTION("""COMPUTED_VALUE"""),"N")</f>
        <v>N</v>
      </c>
      <c r="O137" s="20"/>
      <c r="P137" s="20"/>
      <c r="Q137" s="20" t="str">
        <f>IFERROR(__xludf.DUMMYFUNCTION("""COMPUTED_VALUE"""),"2015")</f>
        <v>2015</v>
      </c>
      <c r="R137" s="20"/>
      <c r="S137" s="20">
        <f>IFERROR(__xludf.DUMMYFUNCTION("""COMPUTED_VALUE"""),0.006706591)</f>
        <v>0.006706591</v>
      </c>
      <c r="T137" s="20">
        <f>IFERROR(__xludf.DUMMYFUNCTION("""COMPUTED_VALUE"""),0.001665617)</f>
        <v>0.001665617</v>
      </c>
      <c r="U137" s="20">
        <f>IFERROR(__xludf.DUMMYFUNCTION("""COMPUTED_VALUE"""),0.005857691)</f>
        <v>0.005857691</v>
      </c>
      <c r="V137" s="20">
        <f>IFERROR(__xludf.DUMMYFUNCTION("""COMPUTED_VALUE"""),0.985770101)</f>
        <v>0.985770101</v>
      </c>
      <c r="W137" s="20"/>
      <c r="X137" s="20"/>
      <c r="Y137" s="20"/>
      <c r="Z137" s="20"/>
    </row>
    <row r="138">
      <c r="A138" s="20" t="str">
        <f>IFERROR(__xludf.DUMMYFUNCTION("""COMPUTED_VALUE"""),"s158")</f>
        <v>s158</v>
      </c>
      <c r="B138" s="20" t="str">
        <f>IFERROR(__xludf.DUMMYFUNCTION("""COMPUTED_VALUE"""),"wgs")</f>
        <v>wgs</v>
      </c>
      <c r="C138" s="20" t="str">
        <f>IFERROR(__xludf.DUMMYFUNCTION("""COMPUTED_VALUE"""),"S59")</f>
        <v>S59</v>
      </c>
      <c r="D138" s="20" t="str">
        <f>IFERROR(__xludf.DUMMYFUNCTION("""COMPUTED_VALUE"""),"S59")</f>
        <v>S59</v>
      </c>
      <c r="E138" s="20" t="str">
        <f>IFERROR(__xludf.DUMMYFUNCTION("""COMPUTED_VALUE"""),"no")</f>
        <v>no</v>
      </c>
      <c r="F138" s="20">
        <f>IFERROR(__xludf.DUMMYFUNCTION("""COMPUTED_VALUE"""),158.0)</f>
        <v>158</v>
      </c>
      <c r="G138" s="20"/>
      <c r="H138" s="20">
        <f>IFERROR(__xludf.DUMMYFUNCTION("""COMPUTED_VALUE"""),6.8177364E7)</f>
        <v>68177364</v>
      </c>
      <c r="I138" s="20">
        <f>IFERROR(__xludf.DUMMYFUNCTION("""COMPUTED_VALUE"""),3.9183609E7)</f>
        <v>39183609</v>
      </c>
      <c r="J138" s="19">
        <f>IFERROR(__xludf.DUMMYFUNCTION("""COMPUTED_VALUE"""),0.5747304779926663)</f>
        <v>0.574730478</v>
      </c>
      <c r="K138" s="20">
        <f>IFERROR(__xludf.DUMMYFUNCTION("""COMPUTED_VALUE"""),513.0)</f>
        <v>513</v>
      </c>
      <c r="L138" s="20"/>
      <c r="M138" s="20" t="str">
        <f>IFERROR(__xludf.DUMMYFUNCTION("""COMPUTED_VALUE"""),"H")</f>
        <v>H</v>
      </c>
      <c r="N138" s="20" t="str">
        <f>IFERROR(__xludf.DUMMYFUNCTION("""COMPUTED_VALUE"""),"N")</f>
        <v>N</v>
      </c>
      <c r="O138" s="20">
        <f>IFERROR(__xludf.DUMMYFUNCTION("""COMPUTED_VALUE"""),25.139367)</f>
        <v>25.139367</v>
      </c>
      <c r="P138" s="20">
        <f>IFERROR(__xludf.DUMMYFUNCTION("""COMPUTED_VALUE"""),-80.294017)</f>
        <v>-80.294017</v>
      </c>
      <c r="Q138" s="20" t="str">
        <f>IFERROR(__xludf.DUMMYFUNCTION("""COMPUTED_VALUE"""),"2015 batch")</f>
        <v>2015 batch</v>
      </c>
      <c r="R138" s="20" t="str">
        <f>IFERROR(__xludf.DUMMYFUNCTION("""COMPUTED_VALUE"""),"Margaret Miller")</f>
        <v>Margaret Miller</v>
      </c>
      <c r="S138" s="20">
        <f>IFERROR(__xludf.DUMMYFUNCTION("""COMPUTED_VALUE"""),0.006453805)</f>
        <v>0.006453805</v>
      </c>
      <c r="T138" s="20">
        <f>IFERROR(__xludf.DUMMYFUNCTION("""COMPUTED_VALUE"""),0.00166374)</f>
        <v>0.00166374</v>
      </c>
      <c r="U138" s="20">
        <f>IFERROR(__xludf.DUMMYFUNCTION("""COMPUTED_VALUE"""),0.007836278)</f>
        <v>0.007836278</v>
      </c>
      <c r="V138" s="20">
        <f>IFERROR(__xludf.DUMMYFUNCTION("""COMPUTED_VALUE"""),0.984046178)</f>
        <v>0.984046178</v>
      </c>
      <c r="W138" s="20"/>
      <c r="X138" s="20"/>
      <c r="Y138" s="20"/>
      <c r="Z138" s="20"/>
    </row>
    <row r="139">
      <c r="A139" s="20" t="str">
        <f>IFERROR(__xludf.DUMMYFUNCTION("""COMPUTED_VALUE"""),"s159")</f>
        <v>s159</v>
      </c>
      <c r="B139" s="20" t="str">
        <f>IFERROR(__xludf.DUMMYFUNCTION("""COMPUTED_VALUE"""),"wgs")</f>
        <v>wgs</v>
      </c>
      <c r="C139" s="20" t="str">
        <f>IFERROR(__xludf.DUMMYFUNCTION("""COMPUTED_VALUE"""),"S630")</f>
        <v>S630</v>
      </c>
      <c r="D139" s="20" t="str">
        <f>IFERROR(__xludf.DUMMYFUNCTION("""COMPUTED_VALUE"""),"S630")</f>
        <v>S630</v>
      </c>
      <c r="E139" s="20" t="str">
        <f>IFERROR(__xludf.DUMMYFUNCTION("""COMPUTED_VALUE"""),"no")</f>
        <v>no</v>
      </c>
      <c r="F139" s="20">
        <f>IFERROR(__xludf.DUMMYFUNCTION("""COMPUTED_VALUE"""),159.0)</f>
        <v>159</v>
      </c>
      <c r="G139" s="20"/>
      <c r="H139" s="20">
        <f>IFERROR(__xludf.DUMMYFUNCTION("""COMPUTED_VALUE"""),4.4228032E7)</f>
        <v>44228032</v>
      </c>
      <c r="I139" s="20">
        <f>IFERROR(__xludf.DUMMYFUNCTION("""COMPUTED_VALUE"""),2.9508821E7)</f>
        <v>29508821</v>
      </c>
      <c r="J139" s="19">
        <f>IFERROR(__xludf.DUMMYFUNCTION("""COMPUTED_VALUE"""),0.667197242689885)</f>
        <v>0.6671972427</v>
      </c>
      <c r="K139" s="20">
        <f>IFERROR(__xludf.DUMMYFUNCTION("""COMPUTED_VALUE"""),503.0)</f>
        <v>503</v>
      </c>
      <c r="L139" s="20"/>
      <c r="M139" s="20" t="str">
        <f>IFERROR(__xludf.DUMMYFUNCTION("""COMPUTED_VALUE"""),"H")</f>
        <v>H</v>
      </c>
      <c r="N139" s="20" t="str">
        <f>IFERROR(__xludf.DUMMYFUNCTION("""COMPUTED_VALUE"""),"N")</f>
        <v>N</v>
      </c>
      <c r="O139" s="20">
        <f>IFERROR(__xludf.DUMMYFUNCTION("""COMPUTED_VALUE"""),25.139367)</f>
        <v>25.139367</v>
      </c>
      <c r="P139" s="20">
        <f>IFERROR(__xludf.DUMMYFUNCTION("""COMPUTED_VALUE"""),-80.294017)</f>
        <v>-80.294017</v>
      </c>
      <c r="Q139" s="20" t="str">
        <f>IFERROR(__xludf.DUMMYFUNCTION("""COMPUTED_VALUE"""),"2015 batch")</f>
        <v>2015 batch</v>
      </c>
      <c r="R139" s="20" t="str">
        <f>IFERROR(__xludf.DUMMYFUNCTION("""COMPUTED_VALUE"""),"Margaret Miller")</f>
        <v>Margaret Miller</v>
      </c>
      <c r="S139" s="20">
        <f>IFERROR(__xludf.DUMMYFUNCTION("""COMPUTED_VALUE"""),0.004896774)</f>
        <v>0.004896774</v>
      </c>
      <c r="T139" s="20">
        <f>IFERROR(__xludf.DUMMYFUNCTION("""COMPUTED_VALUE"""),0.001172471)</f>
        <v>0.001172471</v>
      </c>
      <c r="U139" s="20">
        <f>IFERROR(__xludf.DUMMYFUNCTION("""COMPUTED_VALUE"""),0.006087535)</f>
        <v>0.006087535</v>
      </c>
      <c r="V139" s="20">
        <f>IFERROR(__xludf.DUMMYFUNCTION("""COMPUTED_VALUE"""),0.98784322)</f>
        <v>0.98784322</v>
      </c>
      <c r="W139" s="20"/>
      <c r="X139" s="20"/>
      <c r="Y139" s="20"/>
      <c r="Z139" s="20"/>
    </row>
    <row r="140">
      <c r="A140" s="20" t="str">
        <f>IFERROR(__xludf.DUMMYFUNCTION("""COMPUTED_VALUE"""),"s160")</f>
        <v>s160</v>
      </c>
      <c r="B140" s="20" t="str">
        <f>IFERROR(__xludf.DUMMYFUNCTION("""COMPUTED_VALUE"""),"wgs")</f>
        <v>wgs</v>
      </c>
      <c r="C140" s="20" t="str">
        <f>IFERROR(__xludf.DUMMYFUNCTION("""COMPUTED_VALUE"""),"OF76")</f>
        <v>OF76</v>
      </c>
      <c r="D140" s="20" t="str">
        <f>IFERROR(__xludf.DUMMYFUNCTION("""COMPUTED_VALUE"""),"OF76_wgs_2")</f>
        <v>OF76_wgs_2</v>
      </c>
      <c r="E140" s="20" t="str">
        <f>IFERROR(__xludf.DUMMYFUNCTION("""COMPUTED_VALUE"""),"yes")</f>
        <v>yes</v>
      </c>
      <c r="F140" s="20">
        <f>IFERROR(__xludf.DUMMYFUNCTION("""COMPUTED_VALUE"""),57.0)</f>
        <v>57</v>
      </c>
      <c r="G140" s="20" t="str">
        <f>IFERROR(__xludf.DUMMYFUNCTION("""COMPUTED_VALUE"""),"originally 160")</f>
        <v>originally 160</v>
      </c>
      <c r="H140" s="20">
        <f>IFERROR(__xludf.DUMMYFUNCTION("""COMPUTED_VALUE"""),5.1002107E7)</f>
        <v>51002107</v>
      </c>
      <c r="I140" s="20">
        <f>IFERROR(__xludf.DUMMYFUNCTION("""COMPUTED_VALUE"""),3.2359965E7)</f>
        <v>32359965</v>
      </c>
      <c r="J140" s="19">
        <f>IFERROR(__xludf.DUMMYFUNCTION("""COMPUTED_VALUE"""),0.6344829047945019)</f>
        <v>0.6344829048</v>
      </c>
      <c r="K140" s="20">
        <f>IFERROR(__xludf.DUMMYFUNCTION("""COMPUTED_VALUE"""),581.0)</f>
        <v>581</v>
      </c>
      <c r="L140" s="20"/>
      <c r="M140" s="20" t="str">
        <f>IFERROR(__xludf.DUMMYFUNCTION("""COMPUTED_VALUE"""),"KWN")</f>
        <v>KWN</v>
      </c>
      <c r="N140" s="20" t="str">
        <f>IFERROR(__xludf.DUMMYFUNCTION("""COMPUTED_VALUE"""),"N")</f>
        <v>N</v>
      </c>
      <c r="O140" s="20">
        <f>IFERROR(__xludf.DUMMYFUNCTION("""COMPUTED_VALUE"""),24.55107)</f>
        <v>24.55107</v>
      </c>
      <c r="P140" s="20">
        <f>IFERROR(__xludf.DUMMYFUNCTION("""COMPUTED_VALUE"""),-81.80805)</f>
        <v>-81.80805</v>
      </c>
      <c r="Q140" s="20" t="str">
        <f>IFERROR(__xludf.DUMMYFUNCTION("""COMPUTED_VALUE"""),"2010-2017")</f>
        <v>2010-2017</v>
      </c>
      <c r="R140" s="20" t="str">
        <f>IFERROR(__xludf.DUMMYFUNCTION("""COMPUTED_VALUE"""),"Mote")</f>
        <v>Mote</v>
      </c>
      <c r="S140" s="20">
        <f>IFERROR(__xludf.DUMMYFUNCTION("""COMPUTED_VALUE"""),0.004363571)</f>
        <v>0.004363571</v>
      </c>
      <c r="T140" s="20">
        <f>IFERROR(__xludf.DUMMYFUNCTION("""COMPUTED_VALUE"""),0.001081669)</f>
        <v>0.001081669</v>
      </c>
      <c r="U140" s="20">
        <f>IFERROR(__xludf.DUMMYFUNCTION("""COMPUTED_VALUE"""),0.005570187)</f>
        <v>0.005570187</v>
      </c>
      <c r="V140" s="20">
        <f>IFERROR(__xludf.DUMMYFUNCTION("""COMPUTED_VALUE"""),0.988984573)</f>
        <v>0.988984573</v>
      </c>
      <c r="W140" s="20"/>
      <c r="X140" s="20"/>
      <c r="Y140" s="20"/>
      <c r="Z140" s="20"/>
    </row>
    <row r="141">
      <c r="A141" s="20" t="str">
        <f>IFERROR(__xludf.DUMMYFUNCTION("""COMPUTED_VALUE"""),"s161")</f>
        <v>s161</v>
      </c>
      <c r="B141" s="20" t="str">
        <f>IFERROR(__xludf.DUMMYFUNCTION("""COMPUTED_VALUE"""),"wgs")</f>
        <v>wgs</v>
      </c>
      <c r="C141" s="20" t="str">
        <f>IFERROR(__xludf.DUMMYFUNCTION("""COMPUTED_VALUE"""),"M11")</f>
        <v>M11</v>
      </c>
      <c r="D141" s="20" t="str">
        <f>IFERROR(__xludf.DUMMYFUNCTION("""COMPUTED_VALUE"""),"M11")</f>
        <v>M11</v>
      </c>
      <c r="E141" s="20" t="str">
        <f>IFERROR(__xludf.DUMMYFUNCTION("""COMPUTED_VALUE"""),"no")</f>
        <v>no</v>
      </c>
      <c r="F141" s="20">
        <f>IFERROR(__xludf.DUMMYFUNCTION("""COMPUTED_VALUE"""),154.0)</f>
        <v>154</v>
      </c>
      <c r="G141" s="20"/>
      <c r="H141" s="20">
        <f>IFERROR(__xludf.DUMMYFUNCTION("""COMPUTED_VALUE"""),4.8017234E7)</f>
        <v>48017234</v>
      </c>
      <c r="I141" s="20">
        <f>IFERROR(__xludf.DUMMYFUNCTION("""COMPUTED_VALUE"""),3.0716268E7)</f>
        <v>30716268</v>
      </c>
      <c r="J141" s="19">
        <f>IFERROR(__xludf.DUMMYFUNCTION("""COMPUTED_VALUE"""),0.6396925737121801)</f>
        <v>0.6396925737</v>
      </c>
      <c r="K141" s="20">
        <f>IFERROR(__xludf.DUMMYFUNCTION("""COMPUTED_VALUE"""),477.0)</f>
        <v>477</v>
      </c>
      <c r="L141" s="20"/>
      <c r="M141" s="20" t="str">
        <f>IFERROR(__xludf.DUMMYFUNCTION("""COMPUTED_VALUE"""),"#N/A")</f>
        <v>#N/A</v>
      </c>
      <c r="N141" s="20" t="str">
        <f>IFERROR(__xludf.DUMMYFUNCTION("""COMPUTED_VALUE"""),"#N/A")</f>
        <v>#N/A</v>
      </c>
      <c r="O141" s="20"/>
      <c r="P141" s="20"/>
      <c r="Q141" s="20" t="str">
        <f>IFERROR(__xludf.DUMMYFUNCTION("""COMPUTED_VALUE"""),"#N/A")</f>
        <v>#N/A</v>
      </c>
      <c r="R141" s="20" t="str">
        <f>IFERROR(__xludf.DUMMYFUNCTION("""COMPUTED_VALUE"""),"#N/A")</f>
        <v>#N/A</v>
      </c>
      <c r="S141" s="20">
        <f>IFERROR(__xludf.DUMMYFUNCTION("""COMPUTED_VALUE"""),0.00680055)</f>
        <v>0.00680055</v>
      </c>
      <c r="T141" s="20">
        <f>IFERROR(__xludf.DUMMYFUNCTION("""COMPUTED_VALUE"""),0.001569926)</f>
        <v>0.001569926</v>
      </c>
      <c r="U141" s="20">
        <f>IFERROR(__xludf.DUMMYFUNCTION("""COMPUTED_VALUE"""),0.01195689)</f>
        <v>0.01195689</v>
      </c>
      <c r="V141" s="20">
        <f>IFERROR(__xludf.DUMMYFUNCTION("""COMPUTED_VALUE"""),0.979672634)</f>
        <v>0.979672634</v>
      </c>
      <c r="W141" s="20"/>
      <c r="X141" s="20"/>
      <c r="Y141" s="20"/>
      <c r="Z141" s="20"/>
    </row>
    <row r="142">
      <c r="A142" s="20" t="str">
        <f>IFERROR(__xludf.DUMMYFUNCTION("""COMPUTED_VALUE"""),"s163")</f>
        <v>s163</v>
      </c>
      <c r="B142" s="20" t="str">
        <f>IFERROR(__xludf.DUMMYFUNCTION("""COMPUTED_VALUE"""),"wgs")</f>
        <v>wgs</v>
      </c>
      <c r="C142" s="20" t="str">
        <f>IFERROR(__xludf.DUMMYFUNCTION("""COMPUTED_VALUE"""),"M23")</f>
        <v>M23</v>
      </c>
      <c r="D142" s="20" t="str">
        <f>IFERROR(__xludf.DUMMYFUNCTION("""COMPUTED_VALUE"""),"M23")</f>
        <v>M23</v>
      </c>
      <c r="E142" s="20" t="str">
        <f>IFERROR(__xludf.DUMMYFUNCTION("""COMPUTED_VALUE"""),"no")</f>
        <v>no</v>
      </c>
      <c r="F142" s="20">
        <f>IFERROR(__xludf.DUMMYFUNCTION("""COMPUTED_VALUE"""),72.0)</f>
        <v>72</v>
      </c>
      <c r="G142" s="20"/>
      <c r="H142" s="20">
        <f>IFERROR(__xludf.DUMMYFUNCTION("""COMPUTED_VALUE"""),4.064669E7)</f>
        <v>40646690</v>
      </c>
      <c r="I142" s="20">
        <f>IFERROR(__xludf.DUMMYFUNCTION("""COMPUTED_VALUE"""),2.2332555E7)</f>
        <v>22332555</v>
      </c>
      <c r="J142" s="19">
        <f>IFERROR(__xludf.DUMMYFUNCTION("""COMPUTED_VALUE"""),0.5494310852864034)</f>
        <v>0.5494310853</v>
      </c>
      <c r="K142" s="20">
        <f>IFERROR(__xludf.DUMMYFUNCTION("""COMPUTED_VALUE"""),743.0)</f>
        <v>743</v>
      </c>
      <c r="L142" s="20"/>
      <c r="M142" s="20" t="str">
        <f>IFERROR(__xludf.DUMMYFUNCTION("""COMPUTED_VALUE"""),"#N/A")</f>
        <v>#N/A</v>
      </c>
      <c r="N142" s="20" t="str">
        <f>IFERROR(__xludf.DUMMYFUNCTION("""COMPUTED_VALUE"""),"#N/A")</f>
        <v>#N/A</v>
      </c>
      <c r="O142" s="20"/>
      <c r="P142" s="20"/>
      <c r="Q142" s="20" t="str">
        <f>IFERROR(__xludf.DUMMYFUNCTION("""COMPUTED_VALUE"""),"#N/A")</f>
        <v>#N/A</v>
      </c>
      <c r="R142" s="20" t="str">
        <f>IFERROR(__xludf.DUMMYFUNCTION("""COMPUTED_VALUE"""),"#N/A")</f>
        <v>#N/A</v>
      </c>
      <c r="S142" s="20">
        <f>IFERROR(__xludf.DUMMYFUNCTION("""COMPUTED_VALUE"""),0.004789371)</f>
        <v>0.004789371</v>
      </c>
      <c r="T142" s="20">
        <f>IFERROR(__xludf.DUMMYFUNCTION("""COMPUTED_VALUE"""),0.001269878)</f>
        <v>0.001269878</v>
      </c>
      <c r="U142" s="20">
        <f>IFERROR(__xludf.DUMMYFUNCTION("""COMPUTED_VALUE"""),0.009800942)</f>
        <v>0.009800942</v>
      </c>
      <c r="V142" s="20">
        <f>IFERROR(__xludf.DUMMYFUNCTION("""COMPUTED_VALUE"""),0.984139809)</f>
        <v>0.984139809</v>
      </c>
      <c r="W142" s="20"/>
      <c r="X142" s="20"/>
      <c r="Y142" s="20"/>
      <c r="Z142" s="20"/>
    </row>
    <row r="143">
      <c r="A143" s="20" t="str">
        <f>IFERROR(__xludf.DUMMYFUNCTION("""COMPUTED_VALUE"""),"s164")</f>
        <v>s164</v>
      </c>
      <c r="B143" s="20" t="str">
        <f>IFERROR(__xludf.DUMMYFUNCTION("""COMPUTED_VALUE"""),"wgs")</f>
        <v>wgs</v>
      </c>
      <c r="C143" s="20" t="str">
        <f>IFERROR(__xludf.DUMMYFUNCTION("""COMPUTED_VALUE"""),"M24")</f>
        <v>M24</v>
      </c>
      <c r="D143" s="20" t="str">
        <f>IFERROR(__xludf.DUMMYFUNCTION("""COMPUTED_VALUE"""),"M24")</f>
        <v>M24</v>
      </c>
      <c r="E143" s="20" t="str">
        <f>IFERROR(__xludf.DUMMYFUNCTION("""COMPUTED_VALUE"""),"no")</f>
        <v>no</v>
      </c>
      <c r="F143" s="20">
        <f>IFERROR(__xludf.DUMMYFUNCTION("""COMPUTED_VALUE"""),164.0)</f>
        <v>164</v>
      </c>
      <c r="G143" s="20"/>
      <c r="H143" s="20">
        <f>IFERROR(__xludf.DUMMYFUNCTION("""COMPUTED_VALUE"""),2.48582E7)</f>
        <v>24858200</v>
      </c>
      <c r="I143" s="20">
        <f>IFERROR(__xludf.DUMMYFUNCTION("""COMPUTED_VALUE"""),1.6963107E7)</f>
        <v>16963107</v>
      </c>
      <c r="J143" s="19">
        <f>IFERROR(__xludf.DUMMYFUNCTION("""COMPUTED_VALUE"""),0.6823948234385434)</f>
        <v>0.6823948234</v>
      </c>
      <c r="K143" s="20">
        <f>IFERROR(__xludf.DUMMYFUNCTION("""COMPUTED_VALUE"""),934.0)</f>
        <v>934</v>
      </c>
      <c r="L143" s="20"/>
      <c r="M143" s="20" t="str">
        <f>IFERROR(__xludf.DUMMYFUNCTION("""COMPUTED_VALUE"""),"#N/A")</f>
        <v>#N/A</v>
      </c>
      <c r="N143" s="20" t="str">
        <f>IFERROR(__xludf.DUMMYFUNCTION("""COMPUTED_VALUE"""),"#N/A")</f>
        <v>#N/A</v>
      </c>
      <c r="O143" s="20"/>
      <c r="P143" s="20"/>
      <c r="Q143" s="20" t="str">
        <f>IFERROR(__xludf.DUMMYFUNCTION("""COMPUTED_VALUE"""),"#N/A")</f>
        <v>#N/A</v>
      </c>
      <c r="R143" s="20" t="str">
        <f>IFERROR(__xludf.DUMMYFUNCTION("""COMPUTED_VALUE"""),"#N/A")</f>
        <v>#N/A</v>
      </c>
      <c r="S143" s="20">
        <f>IFERROR(__xludf.DUMMYFUNCTION("""COMPUTED_VALUE"""),0.108027404)</f>
        <v>0.108027404</v>
      </c>
      <c r="T143" s="20">
        <f>IFERROR(__xludf.DUMMYFUNCTION("""COMPUTED_VALUE"""),0.015089206)</f>
        <v>0.015089206</v>
      </c>
      <c r="U143" s="20">
        <f>IFERROR(__xludf.DUMMYFUNCTION("""COMPUTED_VALUE"""),0.14186327)</f>
        <v>0.14186327</v>
      </c>
      <c r="V143" s="20">
        <f>IFERROR(__xludf.DUMMYFUNCTION("""COMPUTED_VALUE"""),0.73502012)</f>
        <v>0.73502012</v>
      </c>
      <c r="W143" s="20"/>
      <c r="X143" s="20"/>
      <c r="Y143" s="20"/>
      <c r="Z143" s="20"/>
    </row>
    <row r="144">
      <c r="A144" s="20" t="str">
        <f>IFERROR(__xludf.DUMMYFUNCTION("""COMPUTED_VALUE"""),"s165")</f>
        <v>s165</v>
      </c>
      <c r="B144" s="20" t="str">
        <f>IFERROR(__xludf.DUMMYFUNCTION("""COMPUTED_VALUE"""),"wgs")</f>
        <v>wgs</v>
      </c>
      <c r="C144" s="20" t="str">
        <f>IFERROR(__xludf.DUMMYFUNCTION("""COMPUTED_VALUE"""),"M5")</f>
        <v>M5</v>
      </c>
      <c r="D144" s="20" t="str">
        <f>IFERROR(__xludf.DUMMYFUNCTION("""COMPUTED_VALUE"""),"M5")</f>
        <v>M5</v>
      </c>
      <c r="E144" s="20" t="str">
        <f>IFERROR(__xludf.DUMMYFUNCTION("""COMPUTED_VALUE"""),"no")</f>
        <v>no</v>
      </c>
      <c r="F144" s="20">
        <f>IFERROR(__xludf.DUMMYFUNCTION("""COMPUTED_VALUE"""),66.0)</f>
        <v>66</v>
      </c>
      <c r="G144" s="20"/>
      <c r="H144" s="20">
        <f>IFERROR(__xludf.DUMMYFUNCTION("""COMPUTED_VALUE"""),4.3473566E7)</f>
        <v>43473566</v>
      </c>
      <c r="I144" s="20">
        <f>IFERROR(__xludf.DUMMYFUNCTION("""COMPUTED_VALUE"""),2.471406E7)</f>
        <v>24714060</v>
      </c>
      <c r="J144" s="19">
        <f>IFERROR(__xludf.DUMMYFUNCTION("""COMPUTED_VALUE"""),0.5684847661220154)</f>
        <v>0.5684847661</v>
      </c>
      <c r="K144" s="20">
        <f>IFERROR(__xludf.DUMMYFUNCTION("""COMPUTED_VALUE"""),650.0)</f>
        <v>650</v>
      </c>
      <c r="L144" s="20"/>
      <c r="M144" s="20" t="str">
        <f>IFERROR(__xludf.DUMMYFUNCTION("""COMPUTED_VALUE"""),"#N/A")</f>
        <v>#N/A</v>
      </c>
      <c r="N144" s="20" t="str">
        <f>IFERROR(__xludf.DUMMYFUNCTION("""COMPUTED_VALUE"""),"#N/A")</f>
        <v>#N/A</v>
      </c>
      <c r="O144" s="20"/>
      <c r="P144" s="20"/>
      <c r="Q144" s="20" t="str">
        <f>IFERROR(__xludf.DUMMYFUNCTION("""COMPUTED_VALUE"""),"#N/A")</f>
        <v>#N/A</v>
      </c>
      <c r="R144" s="20" t="str">
        <f>IFERROR(__xludf.DUMMYFUNCTION("""COMPUTED_VALUE"""),"#N/A")</f>
        <v>#N/A</v>
      </c>
      <c r="S144" s="20">
        <f>IFERROR(__xludf.DUMMYFUNCTION("""COMPUTED_VALUE"""),0.00544799)</f>
        <v>0.00544799</v>
      </c>
      <c r="T144" s="20">
        <f>IFERROR(__xludf.DUMMYFUNCTION("""COMPUTED_VALUE"""),0.001247526)</f>
        <v>0.001247526</v>
      </c>
      <c r="U144" s="20">
        <f>IFERROR(__xludf.DUMMYFUNCTION("""COMPUTED_VALUE"""),0.014902524)</f>
        <v>0.014902524</v>
      </c>
      <c r="V144" s="20">
        <f>IFERROR(__xludf.DUMMYFUNCTION("""COMPUTED_VALUE"""),0.97840196)</f>
        <v>0.97840196</v>
      </c>
      <c r="W144" s="20"/>
      <c r="X144" s="20"/>
      <c r="Y144" s="20"/>
      <c r="Z144" s="20"/>
    </row>
    <row r="145">
      <c r="A145" s="20" t="str">
        <f>IFERROR(__xludf.DUMMYFUNCTION("""COMPUTED_VALUE"""),"s167")</f>
        <v>s167</v>
      </c>
      <c r="B145" s="20" t="str">
        <f>IFERROR(__xludf.DUMMYFUNCTION("""COMPUTED_VALUE"""),"wgs")</f>
        <v>wgs</v>
      </c>
      <c r="C145" s="20" t="str">
        <f>IFERROR(__xludf.DUMMYFUNCTION("""COMPUTED_VALUE"""),"GB22")</f>
        <v>GB22</v>
      </c>
      <c r="D145" s="20" t="str">
        <f>IFERROR(__xludf.DUMMYFUNCTION("""COMPUTED_VALUE"""),"GB22")</f>
        <v>GB22</v>
      </c>
      <c r="E145" s="20" t="str">
        <f>IFERROR(__xludf.DUMMYFUNCTION("""COMPUTED_VALUE"""),"no")</f>
        <v>no</v>
      </c>
      <c r="F145" s="20">
        <f>IFERROR(__xludf.DUMMYFUNCTION("""COMPUTED_VALUE"""),167.0)</f>
        <v>167</v>
      </c>
      <c r="G145" s="20"/>
      <c r="H145" s="20">
        <f>IFERROR(__xludf.DUMMYFUNCTION("""COMPUTED_VALUE"""),2.5544339E7)</f>
        <v>25544339</v>
      </c>
      <c r="I145" s="20">
        <f>IFERROR(__xludf.DUMMYFUNCTION("""COMPUTED_VALUE"""),1.7173069E7)</f>
        <v>17173069</v>
      </c>
      <c r="J145" s="19">
        <f>IFERROR(__xludf.DUMMYFUNCTION("""COMPUTED_VALUE"""),0.6722847281348717)</f>
        <v>0.6722847281</v>
      </c>
      <c r="K145" s="20">
        <f>IFERROR(__xludf.DUMMYFUNCTION("""COMPUTED_VALUE"""),945.0)</f>
        <v>945</v>
      </c>
      <c r="L145" s="20"/>
      <c r="M145" s="20" t="str">
        <f>IFERROR(__xludf.DUMMYFUNCTION("""COMPUTED_VALUE"""),"#N/A")</f>
        <v>#N/A</v>
      </c>
      <c r="N145" s="20" t="str">
        <f>IFERROR(__xludf.DUMMYFUNCTION("""COMPUTED_VALUE"""),"#N/A")</f>
        <v>#N/A</v>
      </c>
      <c r="O145" s="20"/>
      <c r="P145" s="20"/>
      <c r="Q145" s="20" t="str">
        <f>IFERROR(__xludf.DUMMYFUNCTION("""COMPUTED_VALUE"""),"#N/A")</f>
        <v>#N/A</v>
      </c>
      <c r="R145" s="20" t="str">
        <f>IFERROR(__xludf.DUMMYFUNCTION("""COMPUTED_VALUE"""),"#N/A")</f>
        <v>#N/A</v>
      </c>
      <c r="S145" s="20">
        <f>IFERROR(__xludf.DUMMYFUNCTION("""COMPUTED_VALUE"""),0.005078441)</f>
        <v>0.005078441</v>
      </c>
      <c r="T145" s="20">
        <f>IFERROR(__xludf.DUMMYFUNCTION("""COMPUTED_VALUE"""),0.001032583)</f>
        <v>0.001032583</v>
      </c>
      <c r="U145" s="20">
        <f>IFERROR(__xludf.DUMMYFUNCTION("""COMPUTED_VALUE"""),0.004095999)</f>
        <v>0.004095999</v>
      </c>
      <c r="V145" s="20">
        <f>IFERROR(__xludf.DUMMYFUNCTION("""COMPUTED_VALUE"""),0.989792977)</f>
        <v>0.989792977</v>
      </c>
      <c r="W145" s="20"/>
      <c r="X145" s="20"/>
      <c r="Y145" s="20"/>
      <c r="Z145" s="20"/>
    </row>
    <row r="146">
      <c r="A146" s="20" t="str">
        <f>IFERROR(__xludf.DUMMYFUNCTION("""COMPUTED_VALUE"""),"s168")</f>
        <v>s168</v>
      </c>
      <c r="B146" s="20" t="str">
        <f>IFERROR(__xludf.DUMMYFUNCTION("""COMPUTED_VALUE"""),"wgs")</f>
        <v>wgs</v>
      </c>
      <c r="C146" s="20" t="str">
        <f>IFERROR(__xludf.DUMMYFUNCTION("""COMPUTED_VALUE"""),"M34")</f>
        <v>M34</v>
      </c>
      <c r="D146" s="20" t="str">
        <f>IFERROR(__xludf.DUMMYFUNCTION("""COMPUTED_VALUE"""),"M34")</f>
        <v>M34</v>
      </c>
      <c r="E146" s="20" t="str">
        <f>IFERROR(__xludf.DUMMYFUNCTION("""COMPUTED_VALUE"""),"no")</f>
        <v>no</v>
      </c>
      <c r="F146" s="20">
        <f>IFERROR(__xludf.DUMMYFUNCTION("""COMPUTED_VALUE"""),168.0)</f>
        <v>168</v>
      </c>
      <c r="G146" s="20"/>
      <c r="H146" s="20">
        <f>IFERROR(__xludf.DUMMYFUNCTION("""COMPUTED_VALUE"""),2.6624121E7)</f>
        <v>26624121</v>
      </c>
      <c r="I146" s="20">
        <f>IFERROR(__xludf.DUMMYFUNCTION("""COMPUTED_VALUE"""),1.9107101E7)</f>
        <v>19107101</v>
      </c>
      <c r="J146" s="19">
        <f>IFERROR(__xludf.DUMMYFUNCTION("""COMPUTED_VALUE"""),0.7176612891745797)</f>
        <v>0.7176612892</v>
      </c>
      <c r="K146" s="20">
        <f>IFERROR(__xludf.DUMMYFUNCTION("""COMPUTED_VALUE"""),747.0)</f>
        <v>747</v>
      </c>
      <c r="L146" s="20"/>
      <c r="M146" s="20" t="str">
        <f>IFERROR(__xludf.DUMMYFUNCTION("""COMPUTED_VALUE"""),"#N/A")</f>
        <v>#N/A</v>
      </c>
      <c r="N146" s="20" t="str">
        <f>IFERROR(__xludf.DUMMYFUNCTION("""COMPUTED_VALUE"""),"#N/A")</f>
        <v>#N/A</v>
      </c>
      <c r="O146" s="20"/>
      <c r="P146" s="20"/>
      <c r="Q146" s="20" t="str">
        <f>IFERROR(__xludf.DUMMYFUNCTION("""COMPUTED_VALUE"""),"#N/A")</f>
        <v>#N/A</v>
      </c>
      <c r="R146" s="20" t="str">
        <f>IFERROR(__xludf.DUMMYFUNCTION("""COMPUTED_VALUE"""),"#N/A")</f>
        <v>#N/A</v>
      </c>
      <c r="S146" s="20">
        <f>IFERROR(__xludf.DUMMYFUNCTION("""COMPUTED_VALUE"""),0.005028094)</f>
        <v>0.005028094</v>
      </c>
      <c r="T146" s="20">
        <f>IFERROR(__xludf.DUMMYFUNCTION("""COMPUTED_VALUE"""),0.001068636)</f>
        <v>0.001068636</v>
      </c>
      <c r="U146" s="20">
        <f>IFERROR(__xludf.DUMMYFUNCTION("""COMPUTED_VALUE"""),0.003984063)</f>
        <v>0.003984063</v>
      </c>
      <c r="V146" s="20">
        <f>IFERROR(__xludf.DUMMYFUNCTION("""COMPUTED_VALUE"""),0.989919207)</f>
        <v>0.989919207</v>
      </c>
      <c r="W146" s="20"/>
      <c r="X146" s="20"/>
      <c r="Y146" s="20"/>
      <c r="Z146" s="20"/>
    </row>
    <row r="147">
      <c r="A147" s="20" t="str">
        <f>IFERROR(__xludf.DUMMYFUNCTION("""COMPUTED_VALUE"""),"s169")</f>
        <v>s169</v>
      </c>
      <c r="B147" s="20" t="str">
        <f>IFERROR(__xludf.DUMMYFUNCTION("""COMPUTED_VALUE"""),"wgs")</f>
        <v>wgs</v>
      </c>
      <c r="C147" s="20" t="str">
        <f>IFERROR(__xludf.DUMMYFUNCTION("""COMPUTED_VALUE"""),"S227")</f>
        <v>S227</v>
      </c>
      <c r="D147" s="20" t="str">
        <f>IFERROR(__xludf.DUMMYFUNCTION("""COMPUTED_VALUE"""),"S227")</f>
        <v>S227</v>
      </c>
      <c r="E147" s="20" t="str">
        <f>IFERROR(__xludf.DUMMYFUNCTION("""COMPUTED_VALUE"""),"no")</f>
        <v>no</v>
      </c>
      <c r="F147" s="20">
        <f>IFERROR(__xludf.DUMMYFUNCTION("""COMPUTED_VALUE"""),169.0)</f>
        <v>169</v>
      </c>
      <c r="G147" s="20"/>
      <c r="H147" s="20">
        <f>IFERROR(__xludf.DUMMYFUNCTION("""COMPUTED_VALUE"""),2.5143867E7)</f>
        <v>25143867</v>
      </c>
      <c r="I147" s="20">
        <f>IFERROR(__xludf.DUMMYFUNCTION("""COMPUTED_VALUE"""),1.7675439E7)</f>
        <v>17675439</v>
      </c>
      <c r="J147" s="19">
        <f>IFERROR(__xludf.DUMMYFUNCTION("""COMPUTED_VALUE"""),0.7029721800548818)</f>
        <v>0.7029721801</v>
      </c>
      <c r="K147" s="20">
        <f>IFERROR(__xludf.DUMMYFUNCTION("""COMPUTED_VALUE"""),862.0)</f>
        <v>862</v>
      </c>
      <c r="L147" s="20"/>
      <c r="M147" s="20" t="str">
        <f>IFERROR(__xludf.DUMMYFUNCTION("""COMPUTED_VALUE"""),"H")</f>
        <v>H</v>
      </c>
      <c r="N147" s="20" t="str">
        <f>IFERROR(__xludf.DUMMYFUNCTION("""COMPUTED_VALUE"""),"N")</f>
        <v>N</v>
      </c>
      <c r="O147" s="20">
        <f>IFERROR(__xludf.DUMMYFUNCTION("""COMPUTED_VALUE"""),25.139367)</f>
        <v>25.139367</v>
      </c>
      <c r="P147" s="20">
        <f>IFERROR(__xludf.DUMMYFUNCTION("""COMPUTED_VALUE"""),-80.294017)</f>
        <v>-80.294017</v>
      </c>
      <c r="Q147" s="20" t="str">
        <f>IFERROR(__xludf.DUMMYFUNCTION("""COMPUTED_VALUE"""),"2015 batch")</f>
        <v>2015 batch</v>
      </c>
      <c r="R147" s="20" t="str">
        <f>IFERROR(__xludf.DUMMYFUNCTION("""COMPUTED_VALUE"""),"Margaret Miller")</f>
        <v>Margaret Miller</v>
      </c>
      <c r="S147" s="20">
        <f>IFERROR(__xludf.DUMMYFUNCTION("""COMPUTED_VALUE"""),0.067352707)</f>
        <v>0.067352707</v>
      </c>
      <c r="T147" s="20">
        <f>IFERROR(__xludf.DUMMYFUNCTION("""COMPUTED_VALUE"""),0.014426729)</f>
        <v>0.014426729</v>
      </c>
      <c r="U147" s="20">
        <f>IFERROR(__xludf.DUMMYFUNCTION("""COMPUTED_VALUE"""),0.07785973)</f>
        <v>0.07785973</v>
      </c>
      <c r="V147" s="20">
        <f>IFERROR(__xludf.DUMMYFUNCTION("""COMPUTED_VALUE"""),0.840360834)</f>
        <v>0.840360834</v>
      </c>
      <c r="W147" s="20"/>
      <c r="X147" s="20"/>
      <c r="Y147" s="20"/>
      <c r="Z147" s="20"/>
    </row>
    <row r="148">
      <c r="A148" s="20" t="str">
        <f>IFERROR(__xludf.DUMMYFUNCTION("""COMPUTED_VALUE"""),"s170")</f>
        <v>s170</v>
      </c>
      <c r="B148" s="20" t="str">
        <f>IFERROR(__xludf.DUMMYFUNCTION("""COMPUTED_VALUE"""),"wgs")</f>
        <v>wgs</v>
      </c>
      <c r="C148" s="20" t="str">
        <f>IFERROR(__xludf.DUMMYFUNCTION("""COMPUTED_VALUE"""),"S483")</f>
        <v>S483</v>
      </c>
      <c r="D148" s="20" t="str">
        <f>IFERROR(__xludf.DUMMYFUNCTION("""COMPUTED_VALUE"""),"S483")</f>
        <v>S483</v>
      </c>
      <c r="E148" s="20" t="str">
        <f>IFERROR(__xludf.DUMMYFUNCTION("""COMPUTED_VALUE"""),"no")</f>
        <v>no</v>
      </c>
      <c r="F148" s="20">
        <f>IFERROR(__xludf.DUMMYFUNCTION("""COMPUTED_VALUE"""),170.0)</f>
        <v>170</v>
      </c>
      <c r="G148" s="20"/>
      <c r="H148" s="20">
        <f>IFERROR(__xludf.DUMMYFUNCTION("""COMPUTED_VALUE"""),1.9766E7)</f>
        <v>19766000</v>
      </c>
      <c r="I148" s="20">
        <f>IFERROR(__xludf.DUMMYFUNCTION("""COMPUTED_VALUE"""),1.4158792E7)</f>
        <v>14158792</v>
      </c>
      <c r="J148" s="19">
        <f>IFERROR(__xludf.DUMMYFUNCTION("""COMPUTED_VALUE"""),0.7163205504401498)</f>
        <v>0.7163205504</v>
      </c>
      <c r="K148" s="20">
        <f>IFERROR(__xludf.DUMMYFUNCTION("""COMPUTED_VALUE"""),1576.0)</f>
        <v>1576</v>
      </c>
      <c r="L148" s="20"/>
      <c r="M148" s="20" t="str">
        <f>IFERROR(__xludf.DUMMYFUNCTION("""COMPUTED_VALUE"""),"#N/A")</f>
        <v>#N/A</v>
      </c>
      <c r="N148" s="20" t="str">
        <f>IFERROR(__xludf.DUMMYFUNCTION("""COMPUTED_VALUE"""),"#N/A")</f>
        <v>#N/A</v>
      </c>
      <c r="O148" s="20"/>
      <c r="P148" s="20"/>
      <c r="Q148" s="20" t="str">
        <f>IFERROR(__xludf.DUMMYFUNCTION("""COMPUTED_VALUE"""),"#N/A")</f>
        <v>#N/A</v>
      </c>
      <c r="R148" s="20" t="str">
        <f>IFERROR(__xludf.DUMMYFUNCTION("""COMPUTED_VALUE"""),"#N/A")</f>
        <v>#N/A</v>
      </c>
      <c r="S148" s="20">
        <f>IFERROR(__xludf.DUMMYFUNCTION("""COMPUTED_VALUE"""),0.004584534)</f>
        <v>0.004584534</v>
      </c>
      <c r="T148" s="20">
        <f>IFERROR(__xludf.DUMMYFUNCTION("""COMPUTED_VALUE"""),0.001113896)</f>
        <v>0.001113896</v>
      </c>
      <c r="U148" s="20">
        <f>IFERROR(__xludf.DUMMYFUNCTION("""COMPUTED_VALUE"""),0.003422334)</f>
        <v>0.003422334</v>
      </c>
      <c r="V148" s="20">
        <f>IFERROR(__xludf.DUMMYFUNCTION("""COMPUTED_VALUE"""),0.990879236)</f>
        <v>0.990879236</v>
      </c>
      <c r="W148" s="20"/>
      <c r="X148" s="20"/>
      <c r="Y148" s="20"/>
      <c r="Z148" s="20"/>
    </row>
    <row r="149">
      <c r="A149" s="20" t="str">
        <f>IFERROR(__xludf.DUMMYFUNCTION("""COMPUTED_VALUE"""),"s171")</f>
        <v>s171</v>
      </c>
      <c r="B149" s="20" t="str">
        <f>IFERROR(__xludf.DUMMYFUNCTION("""COMPUTED_VALUE"""),"wgs")</f>
        <v>wgs</v>
      </c>
      <c r="C149" s="20" t="str">
        <f>IFERROR(__xludf.DUMMYFUNCTION("""COMPUTED_VALUE"""),"OF755")</f>
        <v>OF755</v>
      </c>
      <c r="D149" s="20" t="str">
        <f>IFERROR(__xludf.DUMMYFUNCTION("""COMPUTED_VALUE"""),"OF755")</f>
        <v>OF755</v>
      </c>
      <c r="E149" s="20" t="str">
        <f>IFERROR(__xludf.DUMMYFUNCTION("""COMPUTED_VALUE"""),"no")</f>
        <v>no</v>
      </c>
      <c r="F149" s="20">
        <f>IFERROR(__xludf.DUMMYFUNCTION("""COMPUTED_VALUE"""),171.0)</f>
        <v>171</v>
      </c>
      <c r="G149" s="20"/>
      <c r="H149" s="20">
        <f>IFERROR(__xludf.DUMMYFUNCTION("""COMPUTED_VALUE"""),2.4959901E7)</f>
        <v>24959901</v>
      </c>
      <c r="I149" s="20">
        <f>IFERROR(__xludf.DUMMYFUNCTION("""COMPUTED_VALUE"""),1.7971133E7)</f>
        <v>17971133</v>
      </c>
      <c r="J149" s="19">
        <f>IFERROR(__xludf.DUMMYFUNCTION("""COMPUTED_VALUE"""),0.7200001714750391)</f>
        <v>0.7200001715</v>
      </c>
      <c r="K149" s="20">
        <f>IFERROR(__xludf.DUMMYFUNCTION("""COMPUTED_VALUE"""),749.0)</f>
        <v>749</v>
      </c>
      <c r="L149" s="20"/>
      <c r="M149" s="20"/>
      <c r="N149" s="20" t="str">
        <f>IFERROR(__xludf.DUMMYFUNCTION("""COMPUTED_VALUE"""),"N")</f>
        <v>N</v>
      </c>
      <c r="O149" s="20"/>
      <c r="P149" s="20"/>
      <c r="Q149" s="20" t="str">
        <f>IFERROR(__xludf.DUMMYFUNCTION("""COMPUTED_VALUE"""),"2015")</f>
        <v>2015</v>
      </c>
      <c r="R149" s="20"/>
      <c r="S149" s="20">
        <f>IFERROR(__xludf.DUMMYFUNCTION("""COMPUTED_VALUE"""),0.134391121)</f>
        <v>0.134391121</v>
      </c>
      <c r="T149" s="20">
        <f>IFERROR(__xludf.DUMMYFUNCTION("""COMPUTED_VALUE"""),0.023580585)</f>
        <v>0.023580585</v>
      </c>
      <c r="U149" s="20">
        <f>IFERROR(__xludf.DUMMYFUNCTION("""COMPUTED_VALUE"""),0.15731282)</f>
        <v>0.15731282</v>
      </c>
      <c r="V149" s="20">
        <f>IFERROR(__xludf.DUMMYFUNCTION("""COMPUTED_VALUE"""),0.684715474)</f>
        <v>0.684715474</v>
      </c>
      <c r="W149" s="20"/>
      <c r="X149" s="20"/>
      <c r="Y149" s="20"/>
      <c r="Z149" s="20"/>
    </row>
    <row r="150">
      <c r="A150" s="20" t="str">
        <f>IFERROR(__xludf.DUMMYFUNCTION("""COMPUTED_VALUE"""),"s173")</f>
        <v>s173</v>
      </c>
      <c r="B150" s="20" t="str">
        <f>IFERROR(__xludf.DUMMYFUNCTION("""COMPUTED_VALUE"""),"wgs")</f>
        <v>wgs</v>
      </c>
      <c r="C150" s="20" t="str">
        <f>IFERROR(__xludf.DUMMYFUNCTION("""COMPUTED_VALUE"""),"M10")</f>
        <v>M10</v>
      </c>
      <c r="D150" s="20" t="str">
        <f>IFERROR(__xludf.DUMMYFUNCTION("""COMPUTED_VALUE"""),"M10")</f>
        <v>M10</v>
      </c>
      <c r="E150" s="20" t="str">
        <f>IFERROR(__xludf.DUMMYFUNCTION("""COMPUTED_VALUE"""),"no")</f>
        <v>no</v>
      </c>
      <c r="F150" s="20">
        <f>IFERROR(__xludf.DUMMYFUNCTION("""COMPUTED_VALUE"""),173.0)</f>
        <v>173</v>
      </c>
      <c r="G150" s="20"/>
      <c r="H150" s="20">
        <f>IFERROR(__xludf.DUMMYFUNCTION("""COMPUTED_VALUE"""),2.7026091E7)</f>
        <v>27026091</v>
      </c>
      <c r="I150" s="20">
        <f>IFERROR(__xludf.DUMMYFUNCTION("""COMPUTED_VALUE"""),9984275.0)</f>
        <v>9984275</v>
      </c>
      <c r="J150" s="19">
        <f>IFERROR(__xludf.DUMMYFUNCTION("""COMPUTED_VALUE"""),0.36943096950276677)</f>
        <v>0.3694309695</v>
      </c>
      <c r="K150" s="20">
        <f>IFERROR(__xludf.DUMMYFUNCTION("""COMPUTED_VALUE"""),13880.0)</f>
        <v>13880</v>
      </c>
      <c r="L150" s="20"/>
      <c r="M150" s="20" t="str">
        <f>IFERROR(__xludf.DUMMYFUNCTION("""COMPUTED_VALUE"""),"#N/A")</f>
        <v>#N/A</v>
      </c>
      <c r="N150" s="20" t="str">
        <f>IFERROR(__xludf.DUMMYFUNCTION("""COMPUTED_VALUE"""),"#N/A")</f>
        <v>#N/A</v>
      </c>
      <c r="O150" s="20"/>
      <c r="P150" s="20"/>
      <c r="Q150" s="20" t="str">
        <f>IFERROR(__xludf.DUMMYFUNCTION("""COMPUTED_VALUE"""),"#N/A")</f>
        <v>#N/A</v>
      </c>
      <c r="R150" s="20" t="str">
        <f>IFERROR(__xludf.DUMMYFUNCTION("""COMPUTED_VALUE"""),"#N/A")</f>
        <v>#N/A</v>
      </c>
      <c r="S150" s="20">
        <f>IFERROR(__xludf.DUMMYFUNCTION("""COMPUTED_VALUE"""),0.088924609)</f>
        <v>0.088924609</v>
      </c>
      <c r="T150" s="20">
        <f>IFERROR(__xludf.DUMMYFUNCTION("""COMPUTED_VALUE"""),0.022450758)</f>
        <v>0.022450758</v>
      </c>
      <c r="U150" s="20">
        <f>IFERROR(__xludf.DUMMYFUNCTION("""COMPUTED_VALUE"""),0.066457093)</f>
        <v>0.066457093</v>
      </c>
      <c r="V150" s="20">
        <f>IFERROR(__xludf.DUMMYFUNCTION("""COMPUTED_VALUE"""),0.82216754)</f>
        <v>0.82216754</v>
      </c>
      <c r="W150" s="20"/>
      <c r="X150" s="20"/>
      <c r="Y150" s="20"/>
      <c r="Z150" s="20"/>
    </row>
    <row r="151">
      <c r="A151" s="20" t="str">
        <f>IFERROR(__xludf.DUMMYFUNCTION("""COMPUTED_VALUE"""),"s174")</f>
        <v>s174</v>
      </c>
      <c r="B151" s="20" t="str">
        <f>IFERROR(__xludf.DUMMYFUNCTION("""COMPUTED_VALUE"""),"wgs")</f>
        <v>wgs</v>
      </c>
      <c r="C151" s="20" t="str">
        <f>IFERROR(__xludf.DUMMYFUNCTION("""COMPUTED_VALUE"""),"M19")</f>
        <v>M19</v>
      </c>
      <c r="D151" s="20" t="str">
        <f>IFERROR(__xludf.DUMMYFUNCTION("""COMPUTED_VALUE"""),"M19")</f>
        <v>M19</v>
      </c>
      <c r="E151" s="20" t="str">
        <f>IFERROR(__xludf.DUMMYFUNCTION("""COMPUTED_VALUE"""),"no")</f>
        <v>no</v>
      </c>
      <c r="F151" s="20">
        <f>IFERROR(__xludf.DUMMYFUNCTION("""COMPUTED_VALUE"""),174.0)</f>
        <v>174</v>
      </c>
      <c r="G151" s="20"/>
      <c r="H151" s="20">
        <f>IFERROR(__xludf.DUMMYFUNCTION("""COMPUTED_VALUE"""),2.5776799E7)</f>
        <v>25776799</v>
      </c>
      <c r="I151" s="20">
        <f>IFERROR(__xludf.DUMMYFUNCTION("""COMPUTED_VALUE"""),1.8589807E7)</f>
        <v>18589807</v>
      </c>
      <c r="J151" s="19">
        <f>IFERROR(__xludf.DUMMYFUNCTION("""COMPUTED_VALUE"""),0.7211836892548218)</f>
        <v>0.7211836893</v>
      </c>
      <c r="K151" s="20">
        <f>IFERROR(__xludf.DUMMYFUNCTION("""COMPUTED_VALUE"""),921.0)</f>
        <v>921</v>
      </c>
      <c r="L151" s="20"/>
      <c r="M151" s="20" t="str">
        <f>IFERROR(__xludf.DUMMYFUNCTION("""COMPUTED_VALUE"""),"#N/A")</f>
        <v>#N/A</v>
      </c>
      <c r="N151" s="20" t="str">
        <f>IFERROR(__xludf.DUMMYFUNCTION("""COMPUTED_VALUE"""),"#N/A")</f>
        <v>#N/A</v>
      </c>
      <c r="O151" s="20"/>
      <c r="P151" s="20"/>
      <c r="Q151" s="20" t="str">
        <f>IFERROR(__xludf.DUMMYFUNCTION("""COMPUTED_VALUE"""),"#N/A")</f>
        <v>#N/A</v>
      </c>
      <c r="R151" s="20" t="str">
        <f>IFERROR(__xludf.DUMMYFUNCTION("""COMPUTED_VALUE"""),"#N/A")</f>
        <v>#N/A</v>
      </c>
      <c r="S151" s="20">
        <f>IFERROR(__xludf.DUMMYFUNCTION("""COMPUTED_VALUE"""),0.004435064)</f>
        <v>0.004435064</v>
      </c>
      <c r="T151" s="20">
        <f>IFERROR(__xludf.DUMMYFUNCTION("""COMPUTED_VALUE"""),9.28423E-4)</f>
        <v>0.000928423</v>
      </c>
      <c r="U151" s="20">
        <f>IFERROR(__xludf.DUMMYFUNCTION("""COMPUTED_VALUE"""),0.002822513)</f>
        <v>0.002822513</v>
      </c>
      <c r="V151" s="20">
        <f>IFERROR(__xludf.DUMMYFUNCTION("""COMPUTED_VALUE"""),0.991814)</f>
        <v>0.991814</v>
      </c>
      <c r="W151" s="20"/>
      <c r="X151" s="20"/>
      <c r="Y151" s="20"/>
      <c r="Z151" s="20"/>
    </row>
    <row r="152">
      <c r="A152" s="20" t="str">
        <f>IFERROR(__xludf.DUMMYFUNCTION("""COMPUTED_VALUE"""),"s175")</f>
        <v>s175</v>
      </c>
      <c r="B152" s="20" t="str">
        <f>IFERROR(__xludf.DUMMYFUNCTION("""COMPUTED_VALUE"""),"wgs")</f>
        <v>wgs</v>
      </c>
      <c r="C152" s="20" t="str">
        <f>IFERROR(__xludf.DUMMYFUNCTION("""COMPUTED_VALUE"""),"M30")</f>
        <v>M30</v>
      </c>
      <c r="D152" s="20" t="str">
        <f>IFERROR(__xludf.DUMMYFUNCTION("""COMPUTED_VALUE"""),"M30")</f>
        <v>M30</v>
      </c>
      <c r="E152" s="20" t="str">
        <f>IFERROR(__xludf.DUMMYFUNCTION("""COMPUTED_VALUE"""),"no")</f>
        <v>no</v>
      </c>
      <c r="F152" s="20">
        <f>IFERROR(__xludf.DUMMYFUNCTION("""COMPUTED_VALUE"""),175.0)</f>
        <v>175</v>
      </c>
      <c r="G152" s="20"/>
      <c r="H152" s="20">
        <f>IFERROR(__xludf.DUMMYFUNCTION("""COMPUTED_VALUE"""),2.9501898E7)</f>
        <v>29501898</v>
      </c>
      <c r="I152" s="20">
        <f>IFERROR(__xludf.DUMMYFUNCTION("""COMPUTED_VALUE"""),2.0318175E7)</f>
        <v>20318175</v>
      </c>
      <c r="J152" s="19">
        <f>IFERROR(__xludf.DUMMYFUNCTION("""COMPUTED_VALUE"""),0.6887073841825363)</f>
        <v>0.6887073842</v>
      </c>
      <c r="K152" s="20">
        <f>IFERROR(__xludf.DUMMYFUNCTION("""COMPUTED_VALUE"""),730.0)</f>
        <v>730</v>
      </c>
      <c r="L152" s="20"/>
      <c r="M152" s="20" t="str">
        <f>IFERROR(__xludf.DUMMYFUNCTION("""COMPUTED_VALUE"""),"#N/A")</f>
        <v>#N/A</v>
      </c>
      <c r="N152" s="20" t="str">
        <f>IFERROR(__xludf.DUMMYFUNCTION("""COMPUTED_VALUE"""),"#N/A")</f>
        <v>#N/A</v>
      </c>
      <c r="O152" s="20"/>
      <c r="P152" s="20"/>
      <c r="Q152" s="20" t="str">
        <f>IFERROR(__xludf.DUMMYFUNCTION("""COMPUTED_VALUE"""),"#N/A")</f>
        <v>#N/A</v>
      </c>
      <c r="R152" s="20" t="str">
        <f>IFERROR(__xludf.DUMMYFUNCTION("""COMPUTED_VALUE"""),"#N/A")</f>
        <v>#N/A</v>
      </c>
      <c r="S152" s="20">
        <f>IFERROR(__xludf.DUMMYFUNCTION("""COMPUTED_VALUE"""),0.00701856)</f>
        <v>0.00701856</v>
      </c>
      <c r="T152" s="20">
        <f>IFERROR(__xludf.DUMMYFUNCTION("""COMPUTED_VALUE"""),0.001370887)</f>
        <v>0.001370887</v>
      </c>
      <c r="U152" s="20">
        <f>IFERROR(__xludf.DUMMYFUNCTION("""COMPUTED_VALUE"""),0.007077319)</f>
        <v>0.007077319</v>
      </c>
      <c r="V152" s="20">
        <f>IFERROR(__xludf.DUMMYFUNCTION("""COMPUTED_VALUE"""),0.984533235)</f>
        <v>0.984533235</v>
      </c>
      <c r="W152" s="20"/>
      <c r="X152" s="20"/>
      <c r="Y152" s="20"/>
      <c r="Z152" s="20"/>
    </row>
    <row r="153">
      <c r="A153" s="20" t="str">
        <f>IFERROR(__xludf.DUMMYFUNCTION("""COMPUTED_VALUE"""),"s176")</f>
        <v>s176</v>
      </c>
      <c r="B153" s="20" t="str">
        <f>IFERROR(__xludf.DUMMYFUNCTION("""COMPUTED_VALUE"""),"wgs")</f>
        <v>wgs</v>
      </c>
      <c r="C153" s="20" t="str">
        <f>IFERROR(__xludf.DUMMYFUNCTION("""COMPUTED_VALUE"""),"GB14")</f>
        <v>GB14</v>
      </c>
      <c r="D153" s="20" t="str">
        <f>IFERROR(__xludf.DUMMYFUNCTION("""COMPUTED_VALUE"""),"GB14_wgs_2")</f>
        <v>GB14_wgs_2</v>
      </c>
      <c r="E153" s="20" t="str">
        <f>IFERROR(__xludf.DUMMYFUNCTION("""COMPUTED_VALUE"""),"yes")</f>
        <v>yes</v>
      </c>
      <c r="F153" s="20">
        <f>IFERROR(__xludf.DUMMYFUNCTION("""COMPUTED_VALUE"""),91.0)</f>
        <v>91</v>
      </c>
      <c r="G153" s="20" t="str">
        <f>IFERROR(__xludf.DUMMYFUNCTION("""COMPUTED_VALUE"""),"originally 176")</f>
        <v>originally 176</v>
      </c>
      <c r="H153" s="20">
        <f>IFERROR(__xludf.DUMMYFUNCTION("""COMPUTED_VALUE"""),2.5704248E7)</f>
        <v>25704248</v>
      </c>
      <c r="I153" s="20">
        <f>IFERROR(__xludf.DUMMYFUNCTION("""COMPUTED_VALUE"""),7324368.0)</f>
        <v>7324368</v>
      </c>
      <c r="J153" s="19">
        <f>IFERROR(__xludf.DUMMYFUNCTION("""COMPUTED_VALUE"""),0.28494776427616164)</f>
        <v>0.2849477643</v>
      </c>
      <c r="K153" s="20">
        <f>IFERROR(__xludf.DUMMYFUNCTION("""COMPUTED_VALUE"""),3900.0)</f>
        <v>3900</v>
      </c>
      <c r="L153" s="20"/>
      <c r="M153" s="20" t="str">
        <f>IFERROR(__xludf.DUMMYFUNCTION("""COMPUTED_VALUE"""),"#N/A")</f>
        <v>#N/A</v>
      </c>
      <c r="N153" s="20" t="str">
        <f>IFERROR(__xludf.DUMMYFUNCTION("""COMPUTED_VALUE"""),"#N/A")</f>
        <v>#N/A</v>
      </c>
      <c r="O153" s="20"/>
      <c r="P153" s="20"/>
      <c r="Q153" s="20" t="str">
        <f>IFERROR(__xludf.DUMMYFUNCTION("""COMPUTED_VALUE"""),"#N/A")</f>
        <v>#N/A</v>
      </c>
      <c r="R153" s="20" t="str">
        <f>IFERROR(__xludf.DUMMYFUNCTION("""COMPUTED_VALUE"""),"#N/A")</f>
        <v>#N/A</v>
      </c>
      <c r="S153" s="20">
        <f>IFERROR(__xludf.DUMMYFUNCTION("""COMPUTED_VALUE"""),0.102412534)</f>
        <v>0.102412534</v>
      </c>
      <c r="T153" s="20">
        <f>IFERROR(__xludf.DUMMYFUNCTION("""COMPUTED_VALUE"""),0.015997453)</f>
        <v>0.015997453</v>
      </c>
      <c r="U153" s="20">
        <f>IFERROR(__xludf.DUMMYFUNCTION("""COMPUTED_VALUE"""),0.071306709)</f>
        <v>0.071306709</v>
      </c>
      <c r="V153" s="20">
        <f>IFERROR(__xludf.DUMMYFUNCTION("""COMPUTED_VALUE"""),0.810283304)</f>
        <v>0.810283304</v>
      </c>
      <c r="W153" s="20"/>
      <c r="X153" s="20"/>
      <c r="Y153" s="20"/>
      <c r="Z153"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hidden="1"/>
    <row r="3" hidden="1"/>
    <row r="4" hidden="1"/>
    <row r="5" hidden="1"/>
    <row r="6" hidden="1">
      <c r="E6" s="22" t="s">
        <v>36</v>
      </c>
    </row>
    <row r="7" hidden="1"/>
    <row r="8" hidden="1"/>
    <row r="9" hidden="1"/>
    <row r="10" hidden="1"/>
    <row r="11" hidden="1"/>
    <row r="12">
      <c r="E12" s="22" t="s">
        <v>36</v>
      </c>
    </row>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c r="E52" s="22" t="s">
        <v>36</v>
      </c>
    </row>
    <row r="53" hidden="1">
      <c r="E53" s="22" t="s">
        <v>36</v>
      </c>
    </row>
    <row r="54" hidden="1"/>
    <row r="55" hidden="1">
      <c r="E55" s="22" t="s">
        <v>36</v>
      </c>
    </row>
    <row r="56" hidden="1"/>
    <row r="57" hidden="1"/>
    <row r="58" hidden="1"/>
    <row r="59" hidden="1"/>
    <row r="60">
      <c r="E60" s="22" t="s">
        <v>36</v>
      </c>
    </row>
    <row r="61" hidden="1"/>
    <row r="62" hidden="1"/>
    <row r="63" hidden="1">
      <c r="E63" s="22" t="s">
        <v>36</v>
      </c>
    </row>
    <row r="64" hidden="1"/>
    <row r="65" hidden="1"/>
    <row r="66">
      <c r="E66" s="22" t="s">
        <v>36</v>
      </c>
    </row>
    <row r="67" hidden="1"/>
    <row r="68" hidden="1"/>
    <row r="69" hidden="1"/>
    <row r="70" hidden="1"/>
    <row r="71" hidden="1"/>
    <row r="72" hidden="1"/>
    <row r="73" hidden="1"/>
    <row r="74" hidden="1"/>
    <row r="75" hidden="1"/>
    <row r="76" hidden="1"/>
    <row r="77" hidden="1"/>
    <row r="78" hidden="1"/>
    <row r="79">
      <c r="E79" s="22" t="s">
        <v>36</v>
      </c>
    </row>
    <row r="80" hidden="1"/>
    <row r="81" hidden="1"/>
    <row r="82" hidden="1"/>
    <row r="83" hidden="1"/>
    <row r="84" hidden="1">
      <c r="E84" s="22" t="s">
        <v>36</v>
      </c>
    </row>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c r="E118" s="22" t="s">
        <v>36</v>
      </c>
    </row>
    <row r="119" hidden="1"/>
    <row r="120" hidden="1"/>
    <row r="121" hidden="1"/>
    <row r="122" hidden="1"/>
    <row r="123">
      <c r="E123" s="22" t="s">
        <v>36</v>
      </c>
    </row>
    <row r="124" hidden="1"/>
    <row r="125">
      <c r="E125" s="22" t="s">
        <v>36</v>
      </c>
    </row>
    <row r="126" hidden="1"/>
    <row r="127" hidden="1"/>
    <row r="128">
      <c r="E128" s="22" t="s">
        <v>36</v>
      </c>
    </row>
    <row r="129" hidden="1"/>
    <row r="130" hidden="1">
      <c r="E130" s="22" t="s">
        <v>36</v>
      </c>
    </row>
    <row r="131" hidden="1"/>
    <row r="132" hidden="1"/>
    <row r="133" hidden="1">
      <c r="E133" s="22" t="s">
        <v>36</v>
      </c>
    </row>
    <row r="134" hidden="1"/>
    <row r="135" hidden="1"/>
    <row r="136" hidden="1"/>
    <row r="137" hidden="1"/>
    <row r="138" hidden="1"/>
    <row r="139" hidden="1"/>
    <row r="140">
      <c r="E140" s="22" t="s">
        <v>36</v>
      </c>
    </row>
    <row r="141" hidden="1"/>
    <row r="142" hidden="1"/>
    <row r="143" hidden="1"/>
    <row r="144" hidden="1"/>
    <row r="145" hidden="1"/>
    <row r="146" hidden="1"/>
    <row r="147" hidden="1"/>
    <row r="148" hidden="1"/>
    <row r="149" hidden="1"/>
    <row r="150" hidden="1"/>
    <row r="151" hidden="1"/>
    <row r="152" hidden="1"/>
    <row r="153" hidden="1"/>
    <row r="154"/>
  </sheetData>
  <autoFilter ref="$A$1:$E$154">
    <filterColumn colId="1">
      <filters>
        <filter val="2"/>
        <filter val="3"/>
        <filter val="18"/>
        <filter val="180"/>
      </filters>
    </filterColumn>
  </autoFil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0</v>
      </c>
      <c r="B1" s="22" t="s">
        <v>1</v>
      </c>
      <c r="C1" s="22" t="s">
        <v>2</v>
      </c>
      <c r="D1" s="22" t="s">
        <v>3</v>
      </c>
      <c r="E1" s="22" t="s">
        <v>405</v>
      </c>
      <c r="F1" s="22" t="s">
        <v>406</v>
      </c>
    </row>
    <row r="2">
      <c r="A2" s="22" t="s">
        <v>32</v>
      </c>
      <c r="B2" s="22" t="s">
        <v>23</v>
      </c>
      <c r="C2" s="22" t="s">
        <v>33</v>
      </c>
      <c r="D2" s="22" t="s">
        <v>34</v>
      </c>
    </row>
    <row r="3">
      <c r="A3" s="22" t="s">
        <v>390</v>
      </c>
      <c r="B3" s="22" t="s">
        <v>23</v>
      </c>
      <c r="C3" s="22" t="s">
        <v>33</v>
      </c>
      <c r="D3" s="22" t="s">
        <v>391</v>
      </c>
      <c r="E3" s="23">
        <v>0.012456759</v>
      </c>
    </row>
    <row r="4">
      <c r="A4" s="22" t="s">
        <v>217</v>
      </c>
      <c r="B4" s="22" t="s">
        <v>23</v>
      </c>
      <c r="C4" s="22" t="s">
        <v>218</v>
      </c>
      <c r="D4" s="22" t="s">
        <v>219</v>
      </c>
    </row>
    <row r="5">
      <c r="A5" s="22" t="s">
        <v>387</v>
      </c>
      <c r="B5" s="22" t="s">
        <v>23</v>
      </c>
      <c r="C5" s="22" t="s">
        <v>218</v>
      </c>
      <c r="D5" s="22" t="s">
        <v>388</v>
      </c>
      <c r="F5" s="24">
        <v>0.069441934</v>
      </c>
    </row>
    <row r="6">
      <c r="A6" s="22" t="s">
        <v>365</v>
      </c>
      <c r="B6" s="22" t="s">
        <v>23</v>
      </c>
      <c r="C6" s="22" t="s">
        <v>366</v>
      </c>
      <c r="D6" s="22" t="s">
        <v>367</v>
      </c>
    </row>
    <row r="7">
      <c r="A7" s="22" t="s">
        <v>392</v>
      </c>
      <c r="B7" s="22" t="s">
        <v>23</v>
      </c>
      <c r="C7" s="22" t="s">
        <v>366</v>
      </c>
      <c r="D7" s="22" t="s">
        <v>393</v>
      </c>
      <c r="E7" s="23">
        <v>0.01194448</v>
      </c>
    </row>
    <row r="8">
      <c r="A8" s="22" t="s">
        <v>378</v>
      </c>
      <c r="B8" s="22" t="s">
        <v>23</v>
      </c>
      <c r="C8" s="22" t="s">
        <v>379</v>
      </c>
      <c r="D8" s="22" t="s">
        <v>380</v>
      </c>
    </row>
    <row r="9">
      <c r="A9" s="22" t="s">
        <v>397</v>
      </c>
      <c r="B9" s="22" t="s">
        <v>23</v>
      </c>
      <c r="C9" s="22" t="s">
        <v>379</v>
      </c>
      <c r="D9" s="22" t="s">
        <v>398</v>
      </c>
      <c r="E9" s="23">
        <v>0.014201933</v>
      </c>
    </row>
    <row r="10">
      <c r="A10" s="22" t="s">
        <v>318</v>
      </c>
      <c r="B10" s="22" t="s">
        <v>23</v>
      </c>
      <c r="C10" s="22" t="s">
        <v>319</v>
      </c>
      <c r="D10" s="22" t="s">
        <v>320</v>
      </c>
    </row>
    <row r="11">
      <c r="A11" s="22" t="s">
        <v>394</v>
      </c>
      <c r="B11" s="22" t="s">
        <v>23</v>
      </c>
      <c r="C11" s="22" t="s">
        <v>319</v>
      </c>
      <c r="D11" s="22" t="s">
        <v>395</v>
      </c>
      <c r="F11" s="25">
        <v>0.020691566</v>
      </c>
    </row>
    <row r="12">
      <c r="A12" s="22" t="s">
        <v>142</v>
      </c>
      <c r="B12" s="22" t="s">
        <v>23</v>
      </c>
      <c r="C12" s="22" t="s">
        <v>143</v>
      </c>
      <c r="D12" s="22" t="s">
        <v>144</v>
      </c>
    </row>
    <row r="13">
      <c r="A13" s="22" t="s">
        <v>352</v>
      </c>
      <c r="B13" s="22" t="s">
        <v>23</v>
      </c>
      <c r="C13" s="22" t="s">
        <v>143</v>
      </c>
      <c r="D13" s="22" t="s">
        <v>353</v>
      </c>
      <c r="F13" s="25">
        <v>0.021821603</v>
      </c>
    </row>
    <row r="15">
      <c r="D15" s="22" t="s">
        <v>407</v>
      </c>
      <c r="E15" s="18">
        <f>roundup(MAX(E3:E13),3)</f>
        <v>0.015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6.88"/>
    <col customWidth="1" min="3" max="3" width="13.0"/>
    <col customWidth="1" min="4" max="4" width="15.25"/>
    <col customWidth="1" min="5" max="5" width="12.75"/>
    <col customWidth="1" min="6" max="6" width="17.63"/>
  </cols>
  <sheetData>
    <row r="1">
      <c r="A1" s="26" t="s">
        <v>408</v>
      </c>
      <c r="B1" s="26" t="s">
        <v>409</v>
      </c>
      <c r="C1" s="26" t="s">
        <v>410</v>
      </c>
      <c r="D1" s="26" t="s">
        <v>411</v>
      </c>
      <c r="E1" s="26" t="s">
        <v>412</v>
      </c>
      <c r="F1" s="26" t="s">
        <v>413</v>
      </c>
      <c r="G1" s="26" t="s">
        <v>414</v>
      </c>
      <c r="H1" s="26" t="s">
        <v>12</v>
      </c>
      <c r="I1" s="26" t="s">
        <v>13</v>
      </c>
      <c r="J1" s="26" t="s">
        <v>415</v>
      </c>
      <c r="K1" s="26" t="s">
        <v>416</v>
      </c>
      <c r="L1" s="26" t="s">
        <v>417</v>
      </c>
      <c r="M1" s="26" t="s">
        <v>418</v>
      </c>
    </row>
    <row r="2">
      <c r="A2" s="26" t="s">
        <v>27</v>
      </c>
      <c r="B2" s="26" t="s">
        <v>27</v>
      </c>
      <c r="C2" s="26" t="s">
        <v>27</v>
      </c>
      <c r="D2" s="26"/>
      <c r="E2" s="26" t="s">
        <v>419</v>
      </c>
      <c r="F2" s="26"/>
      <c r="G2" s="26" t="s">
        <v>420</v>
      </c>
      <c r="H2" s="26" t="s">
        <v>421</v>
      </c>
      <c r="I2" s="26" t="s">
        <v>422</v>
      </c>
      <c r="J2" s="27">
        <v>24.58721</v>
      </c>
      <c r="K2" s="27">
        <v>-81.5783</v>
      </c>
      <c r="L2" s="26" t="s">
        <v>423</v>
      </c>
      <c r="M2" s="26" t="s">
        <v>209</v>
      </c>
    </row>
    <row r="3">
      <c r="A3" s="26" t="s">
        <v>278</v>
      </c>
      <c r="B3" s="26" t="s">
        <v>278</v>
      </c>
      <c r="C3" s="26" t="s">
        <v>278</v>
      </c>
      <c r="D3" s="26" t="s">
        <v>424</v>
      </c>
      <c r="E3" s="26" t="s">
        <v>424</v>
      </c>
      <c r="F3" s="26" t="s">
        <v>97</v>
      </c>
      <c r="G3" s="26" t="s">
        <v>420</v>
      </c>
      <c r="H3" s="26" t="s">
        <v>206</v>
      </c>
      <c r="I3" s="26" t="s">
        <v>207</v>
      </c>
      <c r="J3" s="27">
        <v>24.55107</v>
      </c>
      <c r="K3" s="27">
        <v>-81.80805</v>
      </c>
      <c r="L3" s="26" t="s">
        <v>208</v>
      </c>
      <c r="M3" s="26" t="s">
        <v>209</v>
      </c>
    </row>
    <row r="4">
      <c r="A4" s="26" t="s">
        <v>425</v>
      </c>
      <c r="B4" s="26" t="s">
        <v>62</v>
      </c>
      <c r="C4" s="26" t="s">
        <v>62</v>
      </c>
      <c r="D4" s="26" t="s">
        <v>426</v>
      </c>
      <c r="E4" s="26" t="s">
        <v>211</v>
      </c>
      <c r="F4" s="26" t="s">
        <v>427</v>
      </c>
      <c r="G4" s="26" t="s">
        <v>420</v>
      </c>
      <c r="H4" s="26" t="s">
        <v>206</v>
      </c>
      <c r="I4" s="26" t="s">
        <v>207</v>
      </c>
      <c r="J4" s="27">
        <v>24.55107</v>
      </c>
      <c r="K4" s="27">
        <v>-81.80805</v>
      </c>
      <c r="L4" s="26" t="s">
        <v>208</v>
      </c>
      <c r="M4" s="26" t="s">
        <v>209</v>
      </c>
    </row>
    <row r="5">
      <c r="A5" s="26" t="s">
        <v>425</v>
      </c>
      <c r="B5" s="26" t="s">
        <v>425</v>
      </c>
      <c r="C5" s="26" t="s">
        <v>425</v>
      </c>
      <c r="D5" s="26" t="s">
        <v>428</v>
      </c>
      <c r="E5" s="26" t="s">
        <v>211</v>
      </c>
      <c r="F5" s="26" t="s">
        <v>427</v>
      </c>
      <c r="G5" s="26" t="s">
        <v>420</v>
      </c>
      <c r="H5" s="26" t="s">
        <v>206</v>
      </c>
      <c r="I5" s="26" t="s">
        <v>207</v>
      </c>
      <c r="J5" s="27">
        <v>24.55107</v>
      </c>
      <c r="K5" s="27">
        <v>-81.80805</v>
      </c>
      <c r="L5" s="26" t="s">
        <v>208</v>
      </c>
      <c r="M5" s="26" t="s">
        <v>209</v>
      </c>
    </row>
    <row r="6">
      <c r="A6" s="26" t="s">
        <v>425</v>
      </c>
      <c r="B6" s="26" t="s">
        <v>211</v>
      </c>
      <c r="C6" s="26" t="s">
        <v>211</v>
      </c>
      <c r="D6" s="26" t="s">
        <v>425</v>
      </c>
      <c r="E6" s="26" t="s">
        <v>211</v>
      </c>
      <c r="F6" s="26" t="s">
        <v>427</v>
      </c>
      <c r="G6" s="26" t="s">
        <v>420</v>
      </c>
      <c r="H6" s="26" t="s">
        <v>206</v>
      </c>
      <c r="I6" s="26" t="s">
        <v>207</v>
      </c>
      <c r="J6" s="27">
        <v>24.55107</v>
      </c>
      <c r="K6" s="27">
        <v>-81.80805</v>
      </c>
      <c r="L6" s="26" t="s">
        <v>208</v>
      </c>
      <c r="M6" s="26" t="s">
        <v>209</v>
      </c>
    </row>
    <row r="7">
      <c r="A7" s="26" t="s">
        <v>109</v>
      </c>
      <c r="B7" s="26" t="s">
        <v>109</v>
      </c>
      <c r="C7" s="26" t="s">
        <v>109</v>
      </c>
      <c r="D7" s="26" t="s">
        <v>429</v>
      </c>
      <c r="E7" s="26" t="s">
        <v>429</v>
      </c>
      <c r="F7" s="26"/>
      <c r="G7" s="26" t="s">
        <v>420</v>
      </c>
      <c r="H7" s="26" t="s">
        <v>206</v>
      </c>
      <c r="I7" s="26" t="s">
        <v>207</v>
      </c>
      <c r="J7" s="27">
        <v>24.55107</v>
      </c>
      <c r="K7" s="27">
        <v>-81.80805</v>
      </c>
      <c r="L7" s="26" t="s">
        <v>208</v>
      </c>
      <c r="M7" s="26" t="s">
        <v>209</v>
      </c>
    </row>
    <row r="8">
      <c r="A8" s="26" t="s">
        <v>129</v>
      </c>
      <c r="B8" s="26" t="s">
        <v>129</v>
      </c>
      <c r="C8" s="26" t="s">
        <v>129</v>
      </c>
      <c r="D8" s="26" t="s">
        <v>430</v>
      </c>
      <c r="E8" s="26" t="s">
        <v>430</v>
      </c>
      <c r="F8" s="26"/>
      <c r="G8" s="26" t="s">
        <v>420</v>
      </c>
      <c r="H8" s="26" t="s">
        <v>206</v>
      </c>
      <c r="I8" s="26" t="s">
        <v>207</v>
      </c>
      <c r="J8" s="27">
        <v>24.55107</v>
      </c>
      <c r="K8" s="27">
        <v>-81.80805</v>
      </c>
      <c r="L8" s="26" t="s">
        <v>208</v>
      </c>
      <c r="M8" s="26" t="s">
        <v>209</v>
      </c>
    </row>
    <row r="9">
      <c r="A9" s="26" t="s">
        <v>317</v>
      </c>
      <c r="B9" s="26" t="s">
        <v>317</v>
      </c>
      <c r="C9" s="26" t="s">
        <v>317</v>
      </c>
      <c r="D9" s="26" t="s">
        <v>431</v>
      </c>
      <c r="E9" s="26" t="s">
        <v>431</v>
      </c>
      <c r="F9" s="26"/>
      <c r="G9" s="26" t="s">
        <v>420</v>
      </c>
      <c r="H9" s="26" t="s">
        <v>206</v>
      </c>
      <c r="I9" s="26" t="s">
        <v>207</v>
      </c>
      <c r="J9" s="27">
        <v>24.55107</v>
      </c>
      <c r="K9" s="27">
        <v>-81.80805</v>
      </c>
      <c r="L9" s="26" t="s">
        <v>208</v>
      </c>
      <c r="M9" s="26" t="s">
        <v>209</v>
      </c>
    </row>
    <row r="10">
      <c r="A10" s="26" t="s">
        <v>432</v>
      </c>
      <c r="B10" s="26" t="s">
        <v>432</v>
      </c>
      <c r="C10" s="26" t="s">
        <v>432</v>
      </c>
      <c r="D10" s="26" t="s">
        <v>433</v>
      </c>
      <c r="E10" s="26" t="s">
        <v>433</v>
      </c>
      <c r="F10" s="26"/>
      <c r="G10" s="26" t="s">
        <v>420</v>
      </c>
      <c r="H10" s="26" t="s">
        <v>206</v>
      </c>
      <c r="I10" s="26" t="s">
        <v>207</v>
      </c>
      <c r="J10" s="27">
        <v>24.55107</v>
      </c>
      <c r="K10" s="27">
        <v>-81.80805</v>
      </c>
      <c r="L10" s="26" t="s">
        <v>208</v>
      </c>
      <c r="M10" s="26" t="s">
        <v>209</v>
      </c>
    </row>
    <row r="11">
      <c r="A11" s="26" t="s">
        <v>134</v>
      </c>
      <c r="B11" s="26" t="s">
        <v>434</v>
      </c>
      <c r="C11" s="26" t="s">
        <v>435</v>
      </c>
      <c r="D11" s="26" t="s">
        <v>436</v>
      </c>
      <c r="E11" s="26" t="s">
        <v>434</v>
      </c>
      <c r="F11" s="26"/>
      <c r="G11" s="26" t="s">
        <v>420</v>
      </c>
      <c r="H11" s="26" t="s">
        <v>206</v>
      </c>
      <c r="I11" s="26" t="s">
        <v>207</v>
      </c>
      <c r="J11" s="27">
        <v>24.55107</v>
      </c>
      <c r="K11" s="27">
        <v>-81.80805</v>
      </c>
      <c r="L11" s="26" t="s">
        <v>208</v>
      </c>
      <c r="M11" s="26" t="s">
        <v>209</v>
      </c>
    </row>
    <row r="12">
      <c r="A12" s="26" t="s">
        <v>225</v>
      </c>
      <c r="B12" s="26" t="s">
        <v>225</v>
      </c>
      <c r="C12" s="26" t="s">
        <v>225</v>
      </c>
      <c r="D12" s="26" t="s">
        <v>437</v>
      </c>
      <c r="E12" s="26" t="s">
        <v>437</v>
      </c>
      <c r="F12" s="26"/>
      <c r="G12" s="26" t="s">
        <v>438</v>
      </c>
      <c r="H12" s="26" t="s">
        <v>439</v>
      </c>
      <c r="I12" s="26" t="s">
        <v>207</v>
      </c>
      <c r="J12" s="27">
        <v>25.139367</v>
      </c>
      <c r="K12" s="27">
        <v>-80.294017</v>
      </c>
      <c r="L12" s="26" t="s">
        <v>440</v>
      </c>
      <c r="M12" s="26" t="s">
        <v>441</v>
      </c>
    </row>
    <row r="13">
      <c r="A13" s="26" t="s">
        <v>299</v>
      </c>
      <c r="B13" s="26" t="s">
        <v>299</v>
      </c>
      <c r="C13" s="26" t="s">
        <v>299</v>
      </c>
      <c r="D13" s="26" t="s">
        <v>299</v>
      </c>
      <c r="E13" s="26" t="s">
        <v>442</v>
      </c>
      <c r="F13" s="26" t="s">
        <v>443</v>
      </c>
      <c r="G13" s="26" t="s">
        <v>438</v>
      </c>
      <c r="H13" s="26" t="s">
        <v>439</v>
      </c>
      <c r="I13" s="26" t="s">
        <v>207</v>
      </c>
      <c r="J13" s="27">
        <v>25.139367</v>
      </c>
      <c r="K13" s="27">
        <v>-80.294017</v>
      </c>
      <c r="L13" s="26" t="s">
        <v>440</v>
      </c>
      <c r="M13" s="26" t="s">
        <v>441</v>
      </c>
    </row>
    <row r="14">
      <c r="A14" s="26" t="s">
        <v>333</v>
      </c>
      <c r="B14" s="26" t="s">
        <v>333</v>
      </c>
      <c r="C14" s="26" t="s">
        <v>333</v>
      </c>
      <c r="D14" s="26" t="s">
        <v>444</v>
      </c>
      <c r="E14" s="26" t="s">
        <v>445</v>
      </c>
      <c r="F14" s="26"/>
      <c r="G14" s="26" t="s">
        <v>438</v>
      </c>
      <c r="H14" s="26" t="s">
        <v>439</v>
      </c>
      <c r="I14" s="26" t="s">
        <v>207</v>
      </c>
      <c r="J14" s="27">
        <v>25.139367</v>
      </c>
      <c r="K14" s="27">
        <v>-80.294017</v>
      </c>
      <c r="L14" s="26" t="s">
        <v>440</v>
      </c>
      <c r="M14" s="26" t="s">
        <v>441</v>
      </c>
    </row>
    <row r="15">
      <c r="A15" s="26" t="s">
        <v>446</v>
      </c>
      <c r="B15" s="26" t="s">
        <v>446</v>
      </c>
      <c r="C15" s="26" t="s">
        <v>446</v>
      </c>
      <c r="D15" s="26" t="s">
        <v>446</v>
      </c>
      <c r="E15" s="26" t="s">
        <v>447</v>
      </c>
      <c r="F15" s="26"/>
      <c r="G15" s="26" t="s">
        <v>438</v>
      </c>
      <c r="H15" s="26" t="s">
        <v>439</v>
      </c>
      <c r="I15" s="26" t="s">
        <v>207</v>
      </c>
      <c r="J15" s="27">
        <v>25.139367</v>
      </c>
      <c r="K15" s="27">
        <v>-80.294017</v>
      </c>
      <c r="L15" s="26" t="s">
        <v>440</v>
      </c>
      <c r="M15" s="26" t="s">
        <v>441</v>
      </c>
    </row>
    <row r="16">
      <c r="A16" s="26" t="s">
        <v>315</v>
      </c>
      <c r="B16" s="26" t="s">
        <v>315</v>
      </c>
      <c r="C16" s="26" t="s">
        <v>315</v>
      </c>
      <c r="D16" s="26" t="s">
        <v>448</v>
      </c>
      <c r="E16" s="26" t="s">
        <v>448</v>
      </c>
      <c r="F16" s="26"/>
      <c r="G16" s="26" t="s">
        <v>420</v>
      </c>
      <c r="H16" s="26" t="s">
        <v>206</v>
      </c>
      <c r="I16" s="26" t="s">
        <v>207</v>
      </c>
      <c r="J16" s="27">
        <v>24.55107</v>
      </c>
      <c r="K16" s="27">
        <v>-81.80805</v>
      </c>
      <c r="L16" s="26" t="s">
        <v>208</v>
      </c>
      <c r="M16" s="26" t="s">
        <v>209</v>
      </c>
    </row>
    <row r="17">
      <c r="A17" s="26" t="s">
        <v>335</v>
      </c>
      <c r="B17" s="26" t="s">
        <v>335</v>
      </c>
      <c r="C17" s="26" t="s">
        <v>335</v>
      </c>
      <c r="D17" s="26" t="s">
        <v>449</v>
      </c>
      <c r="E17" s="26" t="s">
        <v>450</v>
      </c>
      <c r="F17" s="26"/>
      <c r="G17" s="26" t="s">
        <v>438</v>
      </c>
      <c r="H17" s="26" t="s">
        <v>439</v>
      </c>
      <c r="I17" s="26" t="s">
        <v>207</v>
      </c>
      <c r="J17" s="27">
        <v>25.139367</v>
      </c>
      <c r="K17" s="27">
        <v>-80.294017</v>
      </c>
      <c r="L17" s="26" t="s">
        <v>440</v>
      </c>
      <c r="M17" s="26" t="s">
        <v>441</v>
      </c>
    </row>
    <row r="18">
      <c r="A18" s="26" t="s">
        <v>72</v>
      </c>
      <c r="B18" s="26" t="s">
        <v>72</v>
      </c>
      <c r="C18" s="26" t="s">
        <v>72</v>
      </c>
      <c r="D18" s="26" t="s">
        <v>451</v>
      </c>
      <c r="E18" s="26" t="s">
        <v>451</v>
      </c>
      <c r="F18" s="26"/>
      <c r="G18" s="26" t="s">
        <v>420</v>
      </c>
      <c r="H18" s="26" t="s">
        <v>206</v>
      </c>
      <c r="I18" s="26" t="s">
        <v>207</v>
      </c>
      <c r="J18" s="27">
        <v>24.55107</v>
      </c>
      <c r="K18" s="27">
        <v>-81.80805</v>
      </c>
      <c r="L18" s="26" t="s">
        <v>208</v>
      </c>
      <c r="M18" s="26" t="s">
        <v>209</v>
      </c>
    </row>
    <row r="19">
      <c r="A19" s="26" t="s">
        <v>452</v>
      </c>
      <c r="B19" s="26" t="s">
        <v>373</v>
      </c>
      <c r="C19" s="26" t="s">
        <v>373</v>
      </c>
      <c r="D19" s="26" t="s">
        <v>453</v>
      </c>
      <c r="E19" s="26" t="s">
        <v>454</v>
      </c>
      <c r="F19" s="26"/>
      <c r="G19" s="26" t="s">
        <v>438</v>
      </c>
      <c r="H19" s="26" t="s">
        <v>439</v>
      </c>
      <c r="I19" s="26" t="s">
        <v>207</v>
      </c>
      <c r="J19" s="27">
        <v>25.139367</v>
      </c>
      <c r="K19" s="27">
        <v>-80.294017</v>
      </c>
      <c r="L19" s="26" t="s">
        <v>440</v>
      </c>
      <c r="M19" s="26" t="s">
        <v>441</v>
      </c>
    </row>
    <row r="20">
      <c r="A20" s="26" t="s">
        <v>192</v>
      </c>
      <c r="B20" s="26" t="s">
        <v>192</v>
      </c>
      <c r="C20" s="26" t="s">
        <v>192</v>
      </c>
      <c r="D20" s="26" t="s">
        <v>455</v>
      </c>
      <c r="E20" s="26" t="s">
        <v>455</v>
      </c>
      <c r="F20" s="26"/>
      <c r="G20" s="26" t="s">
        <v>420</v>
      </c>
      <c r="H20" s="26" t="s">
        <v>206</v>
      </c>
      <c r="I20" s="26" t="s">
        <v>207</v>
      </c>
      <c r="J20" s="27">
        <v>24.55107</v>
      </c>
      <c r="K20" s="27">
        <v>-81.80805</v>
      </c>
      <c r="L20" s="26" t="s">
        <v>208</v>
      </c>
      <c r="M20" s="26" t="s">
        <v>209</v>
      </c>
    </row>
    <row r="21">
      <c r="A21" s="26" t="s">
        <v>68</v>
      </c>
      <c r="B21" s="26" t="s">
        <v>68</v>
      </c>
      <c r="C21" s="26" t="s">
        <v>68</v>
      </c>
      <c r="D21" s="26" t="s">
        <v>456</v>
      </c>
      <c r="E21" s="26" t="s">
        <v>457</v>
      </c>
      <c r="F21" s="26"/>
      <c r="G21" s="26" t="s">
        <v>438</v>
      </c>
      <c r="H21" s="26" t="s">
        <v>439</v>
      </c>
      <c r="I21" s="26" t="s">
        <v>207</v>
      </c>
      <c r="J21" s="27">
        <v>25.139367</v>
      </c>
      <c r="K21" s="27">
        <v>-80.294017</v>
      </c>
      <c r="L21" s="26" t="s">
        <v>440</v>
      </c>
      <c r="M21" s="26" t="s">
        <v>441</v>
      </c>
    </row>
    <row r="22">
      <c r="A22" s="26" t="s">
        <v>458</v>
      </c>
      <c r="B22" s="27">
        <v>1510.0</v>
      </c>
      <c r="C22" s="26" t="s">
        <v>331</v>
      </c>
      <c r="D22" s="26" t="s">
        <v>458</v>
      </c>
      <c r="E22" s="26" t="s">
        <v>331</v>
      </c>
      <c r="F22" s="26"/>
      <c r="G22" s="26" t="s">
        <v>438</v>
      </c>
      <c r="H22" s="26" t="s">
        <v>439</v>
      </c>
      <c r="I22" s="26" t="s">
        <v>207</v>
      </c>
      <c r="J22" s="27">
        <v>25.139367</v>
      </c>
      <c r="K22" s="27">
        <v>-80.294017</v>
      </c>
      <c r="L22" s="26" t="s">
        <v>440</v>
      </c>
      <c r="M22" s="26" t="s">
        <v>441</v>
      </c>
    </row>
    <row r="23">
      <c r="A23" s="26" t="s">
        <v>459</v>
      </c>
      <c r="B23" s="27">
        <v>15111.0</v>
      </c>
      <c r="C23" s="26" t="s">
        <v>236</v>
      </c>
      <c r="D23" s="26" t="s">
        <v>459</v>
      </c>
      <c r="E23" s="26" t="s">
        <v>236</v>
      </c>
      <c r="F23" s="26"/>
      <c r="G23" s="26" t="s">
        <v>438</v>
      </c>
      <c r="H23" s="26" t="s">
        <v>439</v>
      </c>
      <c r="I23" s="26" t="s">
        <v>207</v>
      </c>
      <c r="J23" s="27">
        <v>25.139367</v>
      </c>
      <c r="K23" s="27">
        <v>-80.294017</v>
      </c>
      <c r="L23" s="26" t="s">
        <v>440</v>
      </c>
      <c r="M23" s="26" t="s">
        <v>441</v>
      </c>
    </row>
    <row r="24">
      <c r="A24" s="26" t="s">
        <v>125</v>
      </c>
      <c r="B24" s="26" t="s">
        <v>125</v>
      </c>
      <c r="C24" s="26" t="s">
        <v>125</v>
      </c>
      <c r="D24" s="26" t="s">
        <v>460</v>
      </c>
      <c r="E24" s="26" t="s">
        <v>461</v>
      </c>
      <c r="F24" s="26"/>
      <c r="G24" s="26" t="s">
        <v>438</v>
      </c>
      <c r="H24" s="26" t="s">
        <v>439</v>
      </c>
      <c r="I24" s="26" t="s">
        <v>207</v>
      </c>
      <c r="J24" s="27">
        <v>25.139367</v>
      </c>
      <c r="K24" s="27">
        <v>-80.294017</v>
      </c>
      <c r="L24" s="26" t="s">
        <v>440</v>
      </c>
      <c r="M24" s="26" t="s">
        <v>441</v>
      </c>
    </row>
    <row r="25">
      <c r="A25" s="26" t="s">
        <v>427</v>
      </c>
      <c r="B25" s="26" t="s">
        <v>427</v>
      </c>
      <c r="C25" s="26" t="s">
        <v>427</v>
      </c>
      <c r="D25" s="26" t="s">
        <v>427</v>
      </c>
      <c r="E25" s="26" t="s">
        <v>462</v>
      </c>
      <c r="F25" s="26" t="s">
        <v>425</v>
      </c>
      <c r="G25" s="26" t="s">
        <v>420</v>
      </c>
      <c r="H25" s="26" t="s">
        <v>206</v>
      </c>
      <c r="I25" s="26" t="s">
        <v>207</v>
      </c>
      <c r="J25" s="27">
        <v>24.55107</v>
      </c>
      <c r="K25" s="27">
        <v>-81.80805</v>
      </c>
      <c r="L25" s="26" t="s">
        <v>208</v>
      </c>
      <c r="M25" s="26" t="s">
        <v>209</v>
      </c>
    </row>
    <row r="26">
      <c r="A26" s="26" t="s">
        <v>463</v>
      </c>
      <c r="B26" s="26" t="s">
        <v>463</v>
      </c>
      <c r="C26" s="26" t="s">
        <v>463</v>
      </c>
      <c r="D26" s="26" t="s">
        <v>463</v>
      </c>
      <c r="E26" s="26" t="s">
        <v>464</v>
      </c>
      <c r="F26" s="26"/>
      <c r="G26" s="26" t="s">
        <v>438</v>
      </c>
      <c r="H26" s="26" t="s">
        <v>439</v>
      </c>
      <c r="I26" s="26" t="s">
        <v>207</v>
      </c>
      <c r="J26" s="27">
        <v>25.139367</v>
      </c>
      <c r="K26" s="27">
        <v>-80.294017</v>
      </c>
      <c r="L26" s="26" t="s">
        <v>440</v>
      </c>
      <c r="M26" s="26" t="s">
        <v>441</v>
      </c>
    </row>
    <row r="27">
      <c r="A27" s="26" t="s">
        <v>465</v>
      </c>
      <c r="B27" s="26" t="s">
        <v>465</v>
      </c>
      <c r="C27" s="26" t="s">
        <v>465</v>
      </c>
      <c r="D27" s="26" t="s">
        <v>465</v>
      </c>
      <c r="E27" s="26" t="s">
        <v>466</v>
      </c>
      <c r="F27" s="26"/>
      <c r="G27" s="26" t="s">
        <v>438</v>
      </c>
      <c r="H27" s="26" t="s">
        <v>439</v>
      </c>
      <c r="I27" s="26" t="s">
        <v>207</v>
      </c>
      <c r="J27" s="27">
        <v>25.139367</v>
      </c>
      <c r="K27" s="27">
        <v>-80.294017</v>
      </c>
      <c r="L27" s="26" t="s">
        <v>440</v>
      </c>
      <c r="M27" s="26" t="s">
        <v>441</v>
      </c>
    </row>
    <row r="28">
      <c r="A28" s="26" t="s">
        <v>146</v>
      </c>
      <c r="B28" s="26" t="s">
        <v>146</v>
      </c>
      <c r="C28" s="26" t="s">
        <v>146</v>
      </c>
      <c r="D28" s="26" t="s">
        <v>467</v>
      </c>
      <c r="E28" s="26" t="s">
        <v>468</v>
      </c>
      <c r="F28" s="26"/>
      <c r="G28" s="26" t="s">
        <v>420</v>
      </c>
      <c r="H28" s="26" t="s">
        <v>206</v>
      </c>
      <c r="I28" s="26" t="s">
        <v>207</v>
      </c>
      <c r="J28" s="27">
        <v>24.55107</v>
      </c>
      <c r="K28" s="27">
        <v>-81.80805</v>
      </c>
      <c r="L28" s="26" t="s">
        <v>208</v>
      </c>
      <c r="M28" s="26" t="s">
        <v>209</v>
      </c>
    </row>
    <row r="29">
      <c r="A29" s="26" t="s">
        <v>469</v>
      </c>
      <c r="B29" s="27">
        <v>15155.0</v>
      </c>
      <c r="C29" s="26" t="s">
        <v>231</v>
      </c>
      <c r="D29" s="26" t="s">
        <v>470</v>
      </c>
      <c r="E29" s="26" t="s">
        <v>231</v>
      </c>
      <c r="F29" s="26"/>
      <c r="G29" s="26" t="s">
        <v>438</v>
      </c>
      <c r="H29" s="26" t="s">
        <v>439</v>
      </c>
      <c r="I29" s="26" t="s">
        <v>207</v>
      </c>
      <c r="J29" s="27">
        <v>25.139367</v>
      </c>
      <c r="K29" s="27">
        <v>-80.294017</v>
      </c>
      <c r="L29" s="26" t="s">
        <v>440</v>
      </c>
      <c r="M29" s="26" t="s">
        <v>441</v>
      </c>
    </row>
    <row r="30">
      <c r="A30" s="26" t="s">
        <v>97</v>
      </c>
      <c r="B30" s="26" t="s">
        <v>31</v>
      </c>
      <c r="C30" s="26" t="s">
        <v>31</v>
      </c>
      <c r="D30" s="26" t="s">
        <v>97</v>
      </c>
      <c r="E30" s="26" t="s">
        <v>31</v>
      </c>
      <c r="F30" s="26" t="s">
        <v>278</v>
      </c>
      <c r="G30" s="26" t="s">
        <v>420</v>
      </c>
      <c r="H30" s="26" t="s">
        <v>206</v>
      </c>
      <c r="I30" s="26" t="s">
        <v>207</v>
      </c>
      <c r="J30" s="27">
        <v>24.55107</v>
      </c>
      <c r="K30" s="27">
        <v>-81.80805</v>
      </c>
      <c r="L30" s="26" t="s">
        <v>208</v>
      </c>
      <c r="M30" s="26" t="s">
        <v>209</v>
      </c>
    </row>
    <row r="31">
      <c r="A31" s="26" t="s">
        <v>471</v>
      </c>
      <c r="B31" s="26" t="s">
        <v>471</v>
      </c>
      <c r="C31" s="26" t="s">
        <v>471</v>
      </c>
      <c r="D31" s="26" t="s">
        <v>471</v>
      </c>
      <c r="E31" s="26" t="s">
        <v>472</v>
      </c>
      <c r="F31" s="26"/>
      <c r="G31" s="26" t="s">
        <v>438</v>
      </c>
      <c r="H31" s="26" t="s">
        <v>439</v>
      </c>
      <c r="I31" s="26" t="s">
        <v>207</v>
      </c>
      <c r="J31" s="27">
        <v>25.139367</v>
      </c>
      <c r="K31" s="27">
        <v>-80.294017</v>
      </c>
      <c r="L31" s="26" t="s">
        <v>440</v>
      </c>
      <c r="M31" s="26" t="s">
        <v>441</v>
      </c>
    </row>
    <row r="32">
      <c r="A32" s="26" t="s">
        <v>473</v>
      </c>
      <c r="B32" s="26" t="s">
        <v>474</v>
      </c>
      <c r="C32" s="26" t="s">
        <v>474</v>
      </c>
      <c r="D32" s="26" t="s">
        <v>473</v>
      </c>
      <c r="E32" s="26" t="s">
        <v>474</v>
      </c>
      <c r="F32" s="26"/>
      <c r="G32" s="26" t="s">
        <v>438</v>
      </c>
      <c r="H32" s="26" t="s">
        <v>439</v>
      </c>
      <c r="I32" s="26" t="s">
        <v>207</v>
      </c>
      <c r="J32" s="27">
        <v>25.139367</v>
      </c>
      <c r="K32" s="27">
        <v>-80.294017</v>
      </c>
      <c r="L32" s="26" t="s">
        <v>440</v>
      </c>
      <c r="M32" s="26" t="s">
        <v>441</v>
      </c>
    </row>
    <row r="33">
      <c r="A33" s="26" t="s">
        <v>475</v>
      </c>
      <c r="B33" s="26" t="s">
        <v>150</v>
      </c>
      <c r="C33" s="26" t="s">
        <v>150</v>
      </c>
      <c r="D33" s="26" t="s">
        <v>476</v>
      </c>
      <c r="E33" s="26" t="s">
        <v>477</v>
      </c>
      <c r="F33" s="26"/>
      <c r="G33" s="26" t="s">
        <v>438</v>
      </c>
      <c r="H33" s="26" t="s">
        <v>439</v>
      </c>
      <c r="I33" s="26" t="s">
        <v>207</v>
      </c>
      <c r="J33" s="27">
        <v>25.139367</v>
      </c>
      <c r="K33" s="27">
        <v>-80.294017</v>
      </c>
      <c r="L33" s="26" t="s">
        <v>440</v>
      </c>
      <c r="M33" s="26" t="s">
        <v>441</v>
      </c>
    </row>
    <row r="34">
      <c r="A34" s="26" t="s">
        <v>478</v>
      </c>
      <c r="B34" s="26" t="s">
        <v>478</v>
      </c>
      <c r="C34" s="26" t="s">
        <v>478</v>
      </c>
      <c r="D34" s="26" t="s">
        <v>478</v>
      </c>
      <c r="E34" s="26" t="s">
        <v>479</v>
      </c>
      <c r="F34" s="26"/>
      <c r="G34" s="26" t="s">
        <v>438</v>
      </c>
      <c r="H34" s="26" t="s">
        <v>439</v>
      </c>
      <c r="I34" s="26" t="s">
        <v>207</v>
      </c>
      <c r="J34" s="27">
        <v>25.139367</v>
      </c>
      <c r="K34" s="27">
        <v>-80.294017</v>
      </c>
      <c r="L34" s="26" t="s">
        <v>440</v>
      </c>
      <c r="M34" s="26" t="s">
        <v>441</v>
      </c>
    </row>
    <row r="35">
      <c r="A35" s="26" t="s">
        <v>480</v>
      </c>
      <c r="B35" s="27">
        <v>15349.0</v>
      </c>
      <c r="C35" s="26" t="s">
        <v>201</v>
      </c>
      <c r="D35" s="26" t="s">
        <v>481</v>
      </c>
      <c r="E35" s="26" t="s">
        <v>201</v>
      </c>
      <c r="F35" s="26"/>
      <c r="G35" s="26" t="s">
        <v>438</v>
      </c>
      <c r="H35" s="26" t="s">
        <v>439</v>
      </c>
      <c r="I35" s="26" t="s">
        <v>207</v>
      </c>
      <c r="J35" s="27">
        <v>25.139367</v>
      </c>
      <c r="K35" s="27">
        <v>-80.294017</v>
      </c>
      <c r="L35" s="26" t="s">
        <v>440</v>
      </c>
      <c r="M35" s="26" t="s">
        <v>441</v>
      </c>
    </row>
    <row r="36">
      <c r="A36" s="26" t="s">
        <v>482</v>
      </c>
      <c r="B36" s="27">
        <v>15350.0</v>
      </c>
      <c r="C36" s="26" t="s">
        <v>74</v>
      </c>
      <c r="D36" s="26" t="s">
        <v>483</v>
      </c>
      <c r="E36" s="26" t="s">
        <v>74</v>
      </c>
      <c r="F36" s="26"/>
      <c r="G36" s="26" t="s">
        <v>438</v>
      </c>
      <c r="H36" s="26" t="s">
        <v>439</v>
      </c>
      <c r="I36" s="26" t="s">
        <v>207</v>
      </c>
      <c r="J36" s="27">
        <v>25.139367</v>
      </c>
      <c r="K36" s="27">
        <v>-80.294017</v>
      </c>
      <c r="L36" s="26" t="s">
        <v>440</v>
      </c>
      <c r="M36" s="26" t="s">
        <v>441</v>
      </c>
    </row>
    <row r="37">
      <c r="A37" s="26" t="s">
        <v>484</v>
      </c>
      <c r="B37" s="27">
        <v>15353.0</v>
      </c>
      <c r="C37" s="26" t="s">
        <v>24</v>
      </c>
      <c r="D37" s="26" t="s">
        <v>484</v>
      </c>
      <c r="E37" s="26" t="s">
        <v>24</v>
      </c>
      <c r="F37" s="26"/>
      <c r="G37" s="26" t="s">
        <v>438</v>
      </c>
      <c r="H37" s="26" t="s">
        <v>439</v>
      </c>
      <c r="I37" s="26" t="s">
        <v>207</v>
      </c>
      <c r="J37" s="27">
        <v>25.139367</v>
      </c>
      <c r="K37" s="27">
        <v>-80.294017</v>
      </c>
      <c r="L37" s="26" t="s">
        <v>440</v>
      </c>
      <c r="M37" s="26" t="s">
        <v>441</v>
      </c>
    </row>
    <row r="38">
      <c r="A38" s="26" t="s">
        <v>141</v>
      </c>
      <c r="B38" s="26" t="s">
        <v>141</v>
      </c>
      <c r="C38" s="26" t="s">
        <v>141</v>
      </c>
      <c r="D38" s="26" t="s">
        <v>485</v>
      </c>
      <c r="E38" s="26" t="s">
        <v>486</v>
      </c>
      <c r="F38" s="26"/>
      <c r="G38" s="26" t="s">
        <v>438</v>
      </c>
      <c r="H38" s="26" t="s">
        <v>439</v>
      </c>
      <c r="I38" s="26" t="s">
        <v>207</v>
      </c>
      <c r="J38" s="27">
        <v>25.139367</v>
      </c>
      <c r="K38" s="27">
        <v>-80.294017</v>
      </c>
      <c r="L38" s="26" t="s">
        <v>440</v>
      </c>
      <c r="M38" s="26" t="s">
        <v>441</v>
      </c>
    </row>
    <row r="39">
      <c r="A39" s="26" t="s">
        <v>487</v>
      </c>
      <c r="B39" s="26" t="s">
        <v>487</v>
      </c>
      <c r="C39" s="26" t="s">
        <v>487</v>
      </c>
      <c r="D39" s="26" t="s">
        <v>487</v>
      </c>
      <c r="E39" s="26" t="s">
        <v>488</v>
      </c>
      <c r="F39" s="26"/>
      <c r="G39" s="26" t="s">
        <v>438</v>
      </c>
      <c r="H39" s="26" t="s">
        <v>439</v>
      </c>
      <c r="I39" s="26" t="s">
        <v>207</v>
      </c>
      <c r="J39" s="27">
        <v>25.139367</v>
      </c>
      <c r="K39" s="27">
        <v>-80.294017</v>
      </c>
      <c r="L39" s="26" t="s">
        <v>440</v>
      </c>
      <c r="M39" s="26" t="s">
        <v>441</v>
      </c>
    </row>
    <row r="40">
      <c r="A40" s="26" t="s">
        <v>234</v>
      </c>
      <c r="B40" s="26" t="s">
        <v>262</v>
      </c>
      <c r="C40" s="26" t="s">
        <v>262</v>
      </c>
      <c r="D40" s="26" t="s">
        <v>234</v>
      </c>
      <c r="E40" s="26" t="s">
        <v>262</v>
      </c>
      <c r="F40" s="26"/>
      <c r="G40" s="26" t="s">
        <v>438</v>
      </c>
      <c r="H40" s="26" t="s">
        <v>439</v>
      </c>
      <c r="I40" s="26" t="s">
        <v>207</v>
      </c>
      <c r="J40" s="27">
        <v>25.139367</v>
      </c>
      <c r="K40" s="27">
        <v>-80.294017</v>
      </c>
      <c r="L40" s="26" t="s">
        <v>440</v>
      </c>
      <c r="M40" s="26" t="s">
        <v>441</v>
      </c>
    </row>
    <row r="41">
      <c r="A41" s="26" t="s">
        <v>489</v>
      </c>
      <c r="B41" s="26" t="s">
        <v>184</v>
      </c>
      <c r="C41" s="26" t="s">
        <v>184</v>
      </c>
      <c r="D41" s="26" t="s">
        <v>489</v>
      </c>
      <c r="E41" s="26" t="s">
        <v>184</v>
      </c>
      <c r="F41" s="26" t="s">
        <v>490</v>
      </c>
      <c r="G41" s="26" t="s">
        <v>438</v>
      </c>
      <c r="H41" s="26" t="s">
        <v>439</v>
      </c>
      <c r="I41" s="26" t="s">
        <v>207</v>
      </c>
      <c r="J41" s="27">
        <v>25.139367</v>
      </c>
      <c r="K41" s="27">
        <v>-80.294017</v>
      </c>
      <c r="L41" s="26" t="s">
        <v>440</v>
      </c>
      <c r="M41" s="26" t="s">
        <v>441</v>
      </c>
    </row>
    <row r="42">
      <c r="A42" s="26" t="s">
        <v>319</v>
      </c>
      <c r="B42" s="26" t="s">
        <v>319</v>
      </c>
      <c r="C42" s="26" t="s">
        <v>319</v>
      </c>
      <c r="D42" s="26" t="s">
        <v>319</v>
      </c>
      <c r="E42" s="26" t="s">
        <v>491</v>
      </c>
      <c r="F42" s="26" t="s">
        <v>492</v>
      </c>
      <c r="G42" s="26" t="s">
        <v>438</v>
      </c>
      <c r="H42" s="26" t="s">
        <v>439</v>
      </c>
      <c r="I42" s="26" t="s">
        <v>422</v>
      </c>
      <c r="J42" s="27">
        <v>25.139367</v>
      </c>
      <c r="K42" s="27">
        <v>-80.294017</v>
      </c>
      <c r="L42" s="26" t="s">
        <v>440</v>
      </c>
      <c r="M42" s="26" t="s">
        <v>441</v>
      </c>
    </row>
    <row r="43">
      <c r="A43" s="26" t="s">
        <v>127</v>
      </c>
      <c r="B43" s="26" t="s">
        <v>127</v>
      </c>
      <c r="C43" s="26" t="s">
        <v>127</v>
      </c>
      <c r="D43" s="26" t="s">
        <v>493</v>
      </c>
      <c r="E43" s="26" t="s">
        <v>494</v>
      </c>
      <c r="F43" s="26"/>
      <c r="G43" s="26" t="s">
        <v>438</v>
      </c>
      <c r="H43" s="26" t="s">
        <v>439</v>
      </c>
      <c r="I43" s="26" t="s">
        <v>207</v>
      </c>
      <c r="J43" s="27">
        <v>25.139367</v>
      </c>
      <c r="K43" s="27">
        <v>-80.294017</v>
      </c>
      <c r="L43" s="26" t="s">
        <v>440</v>
      </c>
      <c r="M43" s="26" t="s">
        <v>441</v>
      </c>
    </row>
    <row r="44">
      <c r="A44" s="26" t="s">
        <v>495</v>
      </c>
      <c r="B44" s="26" t="s">
        <v>495</v>
      </c>
      <c r="C44" s="26" t="s">
        <v>495</v>
      </c>
      <c r="D44" s="26" t="s">
        <v>496</v>
      </c>
      <c r="E44" s="26" t="s">
        <v>496</v>
      </c>
      <c r="F44" s="26"/>
      <c r="G44" s="26" t="s">
        <v>438</v>
      </c>
      <c r="H44" s="26" t="s">
        <v>439</v>
      </c>
      <c r="I44" s="26" t="s">
        <v>207</v>
      </c>
      <c r="J44" s="27">
        <v>25.139367</v>
      </c>
      <c r="K44" s="27">
        <v>-80.294017</v>
      </c>
      <c r="L44" s="26" t="s">
        <v>440</v>
      </c>
      <c r="M44" s="26" t="s">
        <v>441</v>
      </c>
    </row>
    <row r="45">
      <c r="A45" s="26" t="s">
        <v>497</v>
      </c>
      <c r="B45" s="26" t="s">
        <v>497</v>
      </c>
      <c r="C45" s="26" t="s">
        <v>497</v>
      </c>
      <c r="D45" s="26" t="s">
        <v>497</v>
      </c>
      <c r="E45" s="26" t="s">
        <v>498</v>
      </c>
      <c r="F45" s="26" t="s">
        <v>203</v>
      </c>
      <c r="G45" s="26" t="s">
        <v>438</v>
      </c>
      <c r="H45" s="26" t="s">
        <v>439</v>
      </c>
      <c r="I45" s="26" t="s">
        <v>207</v>
      </c>
      <c r="J45" s="27">
        <v>25.139367</v>
      </c>
      <c r="K45" s="27">
        <v>-80.294017</v>
      </c>
      <c r="L45" s="26" t="s">
        <v>440</v>
      </c>
      <c r="M45" s="26" t="s">
        <v>441</v>
      </c>
    </row>
    <row r="46">
      <c r="A46" s="26" t="s">
        <v>327</v>
      </c>
      <c r="B46" s="26" t="s">
        <v>327</v>
      </c>
      <c r="C46" s="26" t="s">
        <v>327</v>
      </c>
      <c r="D46" s="26" t="s">
        <v>499</v>
      </c>
      <c r="E46" s="26" t="s">
        <v>500</v>
      </c>
      <c r="F46" s="26"/>
      <c r="G46" s="26" t="s">
        <v>438</v>
      </c>
      <c r="H46" s="26" t="s">
        <v>439</v>
      </c>
      <c r="I46" s="26" t="s">
        <v>207</v>
      </c>
      <c r="J46" s="27">
        <v>25.139367</v>
      </c>
      <c r="K46" s="27">
        <v>-80.294017</v>
      </c>
      <c r="L46" s="26" t="s">
        <v>440</v>
      </c>
      <c r="M46" s="26" t="s">
        <v>441</v>
      </c>
    </row>
    <row r="47">
      <c r="A47" s="26" t="s">
        <v>501</v>
      </c>
      <c r="B47" s="26" t="s">
        <v>501</v>
      </c>
      <c r="C47" s="26" t="s">
        <v>501</v>
      </c>
      <c r="D47" s="26" t="s">
        <v>501</v>
      </c>
      <c r="E47" s="26" t="s">
        <v>502</v>
      </c>
      <c r="F47" s="26"/>
      <c r="G47" s="26" t="s">
        <v>438</v>
      </c>
      <c r="H47" s="26" t="s">
        <v>439</v>
      </c>
      <c r="I47" s="26" t="s">
        <v>207</v>
      </c>
      <c r="J47" s="27">
        <v>25.139367</v>
      </c>
      <c r="K47" s="27">
        <v>-80.294017</v>
      </c>
      <c r="L47" s="26" t="s">
        <v>440</v>
      </c>
      <c r="M47" s="26" t="s">
        <v>441</v>
      </c>
    </row>
    <row r="48">
      <c r="A48" s="26" t="s">
        <v>503</v>
      </c>
      <c r="B48" s="27">
        <v>15431.0</v>
      </c>
      <c r="C48" s="26" t="s">
        <v>503</v>
      </c>
      <c r="D48" s="26" t="s">
        <v>89</v>
      </c>
      <c r="E48" s="26" t="s">
        <v>89</v>
      </c>
      <c r="F48" s="26"/>
      <c r="G48" s="26" t="s">
        <v>438</v>
      </c>
      <c r="H48" s="26" t="s">
        <v>439</v>
      </c>
      <c r="I48" s="26" t="s">
        <v>207</v>
      </c>
      <c r="J48" s="27">
        <v>25.139367</v>
      </c>
      <c r="K48" s="27">
        <v>-80.294017</v>
      </c>
      <c r="L48" s="26" t="s">
        <v>440</v>
      </c>
      <c r="M48" s="26" t="s">
        <v>441</v>
      </c>
    </row>
    <row r="49">
      <c r="A49" s="26" t="s">
        <v>504</v>
      </c>
      <c r="B49" s="26" t="s">
        <v>504</v>
      </c>
      <c r="C49" s="26" t="s">
        <v>504</v>
      </c>
      <c r="D49" s="26" t="s">
        <v>505</v>
      </c>
      <c r="E49" s="26" t="s">
        <v>505</v>
      </c>
      <c r="F49" s="26"/>
      <c r="G49" s="26" t="s">
        <v>438</v>
      </c>
      <c r="H49" s="26" t="s">
        <v>439</v>
      </c>
      <c r="I49" s="26" t="s">
        <v>207</v>
      </c>
      <c r="J49" s="27">
        <v>25.139367</v>
      </c>
      <c r="K49" s="27">
        <v>-80.294017</v>
      </c>
      <c r="L49" s="26" t="s">
        <v>440</v>
      </c>
      <c r="M49" s="26" t="s">
        <v>441</v>
      </c>
    </row>
    <row r="50">
      <c r="A50" s="26" t="s">
        <v>70</v>
      </c>
      <c r="B50" s="26" t="s">
        <v>70</v>
      </c>
      <c r="C50" s="26" t="s">
        <v>70</v>
      </c>
      <c r="D50" s="26" t="s">
        <v>506</v>
      </c>
      <c r="E50" s="26" t="s">
        <v>507</v>
      </c>
      <c r="F50" s="26"/>
      <c r="G50" s="26" t="s">
        <v>438</v>
      </c>
      <c r="H50" s="26" t="s">
        <v>439</v>
      </c>
      <c r="I50" s="26" t="s">
        <v>207</v>
      </c>
      <c r="J50" s="27">
        <v>25.139367</v>
      </c>
      <c r="K50" s="27">
        <v>-80.294017</v>
      </c>
      <c r="L50" s="26" t="s">
        <v>440</v>
      </c>
      <c r="M50" s="26" t="s">
        <v>441</v>
      </c>
    </row>
    <row r="51">
      <c r="A51" s="26" t="s">
        <v>508</v>
      </c>
      <c r="B51" s="26" t="s">
        <v>274</v>
      </c>
      <c r="C51" s="26" t="s">
        <v>274</v>
      </c>
      <c r="D51" s="26" t="s">
        <v>508</v>
      </c>
      <c r="E51" s="26" t="s">
        <v>274</v>
      </c>
      <c r="F51" s="26"/>
      <c r="G51" s="26" t="s">
        <v>438</v>
      </c>
      <c r="H51" s="26" t="s">
        <v>439</v>
      </c>
      <c r="I51" s="26" t="s">
        <v>207</v>
      </c>
      <c r="J51" s="27">
        <v>25.139367</v>
      </c>
      <c r="K51" s="27">
        <v>-80.294017</v>
      </c>
      <c r="L51" s="26" t="s">
        <v>440</v>
      </c>
      <c r="M51" s="26" t="s">
        <v>441</v>
      </c>
    </row>
    <row r="52">
      <c r="A52" s="26" t="s">
        <v>509</v>
      </c>
      <c r="B52" s="26" t="s">
        <v>509</v>
      </c>
      <c r="C52" s="26" t="s">
        <v>509</v>
      </c>
      <c r="D52" s="26" t="s">
        <v>509</v>
      </c>
      <c r="E52" s="26" t="s">
        <v>510</v>
      </c>
      <c r="F52" s="26"/>
      <c r="G52" s="26" t="s">
        <v>438</v>
      </c>
      <c r="H52" s="26" t="s">
        <v>439</v>
      </c>
      <c r="I52" s="26" t="s">
        <v>422</v>
      </c>
      <c r="J52" s="27">
        <v>25.139367</v>
      </c>
      <c r="K52" s="27">
        <v>-80.294017</v>
      </c>
      <c r="L52" s="26" t="s">
        <v>440</v>
      </c>
      <c r="M52" s="26" t="s">
        <v>441</v>
      </c>
    </row>
    <row r="53">
      <c r="A53" s="26" t="s">
        <v>285</v>
      </c>
      <c r="B53" s="26" t="s">
        <v>285</v>
      </c>
      <c r="C53" s="26" t="s">
        <v>285</v>
      </c>
      <c r="D53" s="26" t="s">
        <v>285</v>
      </c>
      <c r="E53" s="26" t="s">
        <v>511</v>
      </c>
      <c r="F53" s="26"/>
      <c r="G53" s="26" t="s">
        <v>438</v>
      </c>
      <c r="H53" s="26" t="s">
        <v>439</v>
      </c>
      <c r="I53" s="26" t="s">
        <v>207</v>
      </c>
      <c r="J53" s="27">
        <v>25.139367</v>
      </c>
      <c r="K53" s="27">
        <v>-80.294017</v>
      </c>
      <c r="L53" s="26" t="s">
        <v>440</v>
      </c>
      <c r="M53" s="26" t="s">
        <v>441</v>
      </c>
    </row>
    <row r="54">
      <c r="A54" s="26" t="s">
        <v>512</v>
      </c>
      <c r="B54" s="26" t="s">
        <v>512</v>
      </c>
      <c r="C54" s="26" t="s">
        <v>512</v>
      </c>
      <c r="D54" s="26" t="s">
        <v>512</v>
      </c>
      <c r="E54" s="26" t="s">
        <v>513</v>
      </c>
      <c r="F54" s="26"/>
      <c r="G54" s="26" t="s">
        <v>438</v>
      </c>
      <c r="H54" s="26" t="s">
        <v>439</v>
      </c>
      <c r="I54" s="26" t="s">
        <v>207</v>
      </c>
      <c r="J54" s="27">
        <v>25.139367</v>
      </c>
      <c r="K54" s="27">
        <v>-80.294017</v>
      </c>
      <c r="L54" s="26" t="s">
        <v>440</v>
      </c>
      <c r="M54" s="26" t="s">
        <v>441</v>
      </c>
    </row>
    <row r="55">
      <c r="A55" s="26" t="s">
        <v>514</v>
      </c>
      <c r="B55" s="26" t="s">
        <v>514</v>
      </c>
      <c r="C55" s="26" t="s">
        <v>514</v>
      </c>
      <c r="D55" s="26" t="s">
        <v>514</v>
      </c>
      <c r="E55" s="26" t="s">
        <v>515</v>
      </c>
      <c r="F55" s="26"/>
      <c r="G55" s="26" t="s">
        <v>438</v>
      </c>
      <c r="H55" s="26" t="s">
        <v>439</v>
      </c>
      <c r="I55" s="26" t="s">
        <v>207</v>
      </c>
      <c r="J55" s="27">
        <v>25.139367</v>
      </c>
      <c r="K55" s="27">
        <v>-80.294017</v>
      </c>
      <c r="L55" s="26" t="s">
        <v>440</v>
      </c>
      <c r="M55" s="26" t="s">
        <v>441</v>
      </c>
    </row>
    <row r="56">
      <c r="A56" s="26" t="s">
        <v>229</v>
      </c>
      <c r="B56" s="26" t="s">
        <v>229</v>
      </c>
      <c r="C56" s="26" t="s">
        <v>229</v>
      </c>
      <c r="D56" s="26" t="s">
        <v>516</v>
      </c>
      <c r="E56" s="26" t="s">
        <v>517</v>
      </c>
      <c r="F56" s="26"/>
      <c r="G56" s="26" t="s">
        <v>438</v>
      </c>
      <c r="H56" s="26" t="s">
        <v>439</v>
      </c>
      <c r="I56" s="26" t="s">
        <v>207</v>
      </c>
      <c r="J56" s="27">
        <v>25.139367</v>
      </c>
      <c r="K56" s="27">
        <v>-80.294017</v>
      </c>
      <c r="L56" s="26" t="s">
        <v>440</v>
      </c>
      <c r="M56" s="26" t="s">
        <v>441</v>
      </c>
    </row>
    <row r="57">
      <c r="A57" s="26" t="s">
        <v>221</v>
      </c>
      <c r="B57" s="26" t="s">
        <v>221</v>
      </c>
      <c r="C57" s="26" t="s">
        <v>221</v>
      </c>
      <c r="D57" s="26" t="s">
        <v>221</v>
      </c>
      <c r="E57" s="26" t="s">
        <v>518</v>
      </c>
      <c r="F57" s="26"/>
      <c r="G57" s="26" t="s">
        <v>438</v>
      </c>
      <c r="H57" s="26" t="s">
        <v>439</v>
      </c>
      <c r="I57" s="26" t="s">
        <v>422</v>
      </c>
      <c r="J57" s="27">
        <v>25.139367</v>
      </c>
      <c r="K57" s="27">
        <v>-80.294017</v>
      </c>
      <c r="L57" s="26" t="s">
        <v>440</v>
      </c>
      <c r="M57" s="26" t="s">
        <v>441</v>
      </c>
    </row>
    <row r="58">
      <c r="A58" s="26" t="s">
        <v>156</v>
      </c>
      <c r="B58" s="26" t="s">
        <v>156</v>
      </c>
      <c r="C58" s="26" t="s">
        <v>156</v>
      </c>
      <c r="D58" s="26" t="s">
        <v>519</v>
      </c>
      <c r="E58" s="26" t="s">
        <v>519</v>
      </c>
      <c r="F58" s="26"/>
      <c r="G58" s="26" t="s">
        <v>420</v>
      </c>
      <c r="H58" s="26" t="s">
        <v>206</v>
      </c>
      <c r="I58" s="26" t="s">
        <v>207</v>
      </c>
      <c r="J58" s="27">
        <v>24.55107</v>
      </c>
      <c r="K58" s="27">
        <v>-81.80805</v>
      </c>
      <c r="L58" s="26" t="s">
        <v>208</v>
      </c>
      <c r="M58" s="26" t="s">
        <v>209</v>
      </c>
    </row>
    <row r="59">
      <c r="A59" s="26" t="s">
        <v>119</v>
      </c>
      <c r="B59" s="26" t="s">
        <v>119</v>
      </c>
      <c r="C59" s="26" t="s">
        <v>119</v>
      </c>
      <c r="D59" s="26" t="s">
        <v>520</v>
      </c>
      <c r="E59" s="26" t="s">
        <v>521</v>
      </c>
      <c r="F59" s="26"/>
      <c r="G59" s="26" t="s">
        <v>438</v>
      </c>
      <c r="H59" s="26" t="s">
        <v>439</v>
      </c>
      <c r="I59" s="26" t="s">
        <v>207</v>
      </c>
      <c r="J59" s="27">
        <v>25.139367</v>
      </c>
      <c r="K59" s="27">
        <v>-80.294017</v>
      </c>
      <c r="L59" s="26" t="s">
        <v>440</v>
      </c>
      <c r="M59" s="26" t="s">
        <v>441</v>
      </c>
    </row>
    <row r="60">
      <c r="A60" s="26" t="s">
        <v>522</v>
      </c>
      <c r="B60" s="26" t="s">
        <v>522</v>
      </c>
      <c r="C60" s="26" t="s">
        <v>522</v>
      </c>
      <c r="D60" s="26" t="s">
        <v>522</v>
      </c>
      <c r="E60" s="26" t="s">
        <v>523</v>
      </c>
      <c r="F60" s="26"/>
      <c r="G60" s="26" t="s">
        <v>438</v>
      </c>
      <c r="H60" s="26" t="s">
        <v>439</v>
      </c>
      <c r="I60" s="26" t="s">
        <v>207</v>
      </c>
      <c r="J60" s="27">
        <v>25.139367</v>
      </c>
      <c r="K60" s="27">
        <v>-80.294017</v>
      </c>
      <c r="L60" s="26" t="s">
        <v>440</v>
      </c>
      <c r="M60" s="26" t="s">
        <v>441</v>
      </c>
    </row>
    <row r="61">
      <c r="A61" s="26" t="s">
        <v>524</v>
      </c>
      <c r="B61" s="26" t="s">
        <v>524</v>
      </c>
      <c r="C61" s="26" t="s">
        <v>524</v>
      </c>
      <c r="D61" s="26" t="s">
        <v>524</v>
      </c>
      <c r="E61" s="26" t="s">
        <v>525</v>
      </c>
      <c r="F61" s="26"/>
      <c r="G61" s="26" t="s">
        <v>438</v>
      </c>
      <c r="H61" s="26" t="s">
        <v>439</v>
      </c>
      <c r="I61" s="26" t="s">
        <v>207</v>
      </c>
      <c r="J61" s="27">
        <v>25.139367</v>
      </c>
      <c r="K61" s="27">
        <v>-80.294017</v>
      </c>
      <c r="L61" s="26" t="s">
        <v>440</v>
      </c>
      <c r="M61" s="26" t="s">
        <v>441</v>
      </c>
    </row>
    <row r="62">
      <c r="A62" s="26" t="s">
        <v>152</v>
      </c>
      <c r="B62" s="26" t="s">
        <v>375</v>
      </c>
      <c r="C62" s="26" t="s">
        <v>152</v>
      </c>
      <c r="D62" s="26" t="s">
        <v>152</v>
      </c>
      <c r="E62" s="26" t="s">
        <v>375</v>
      </c>
      <c r="F62" s="26"/>
      <c r="G62" s="26" t="s">
        <v>438</v>
      </c>
      <c r="H62" s="26" t="s">
        <v>439</v>
      </c>
      <c r="I62" s="26" t="s">
        <v>207</v>
      </c>
      <c r="J62" s="27">
        <v>25.139367</v>
      </c>
      <c r="K62" s="27">
        <v>-80.294017</v>
      </c>
      <c r="L62" s="26" t="s">
        <v>440</v>
      </c>
      <c r="M62" s="26" t="s">
        <v>441</v>
      </c>
    </row>
    <row r="63">
      <c r="A63" s="26" t="s">
        <v>80</v>
      </c>
      <c r="B63" s="26" t="s">
        <v>80</v>
      </c>
      <c r="C63" s="26" t="s">
        <v>80</v>
      </c>
      <c r="D63" s="26" t="s">
        <v>526</v>
      </c>
      <c r="E63" s="26" t="s">
        <v>527</v>
      </c>
      <c r="F63" s="26" t="s">
        <v>528</v>
      </c>
      <c r="G63" s="26" t="s">
        <v>420</v>
      </c>
      <c r="H63" s="26" t="s">
        <v>206</v>
      </c>
      <c r="I63" s="26" t="s">
        <v>207</v>
      </c>
      <c r="J63" s="27">
        <v>24.55107</v>
      </c>
      <c r="K63" s="27">
        <v>-81.80805</v>
      </c>
      <c r="L63" s="26" t="s">
        <v>208</v>
      </c>
      <c r="M63" s="26" t="s">
        <v>209</v>
      </c>
    </row>
    <row r="64">
      <c r="A64" s="26" t="s">
        <v>529</v>
      </c>
      <c r="B64" s="26" t="s">
        <v>260</v>
      </c>
      <c r="C64" s="26" t="s">
        <v>260</v>
      </c>
      <c r="D64" s="26" t="s">
        <v>529</v>
      </c>
      <c r="E64" s="26" t="s">
        <v>260</v>
      </c>
      <c r="F64" s="26"/>
      <c r="G64" s="26" t="s">
        <v>438</v>
      </c>
      <c r="H64" s="26" t="s">
        <v>439</v>
      </c>
      <c r="I64" s="26" t="s">
        <v>207</v>
      </c>
      <c r="J64" s="27">
        <v>25.139367</v>
      </c>
      <c r="K64" s="27">
        <v>-80.294017</v>
      </c>
      <c r="L64" s="26" t="s">
        <v>440</v>
      </c>
      <c r="M64" s="26" t="s">
        <v>441</v>
      </c>
    </row>
    <row r="65">
      <c r="A65" s="26" t="s">
        <v>227</v>
      </c>
      <c r="B65" s="26" t="s">
        <v>56</v>
      </c>
      <c r="C65" s="26" t="s">
        <v>227</v>
      </c>
      <c r="D65" s="26" t="s">
        <v>530</v>
      </c>
      <c r="E65" s="26" t="s">
        <v>531</v>
      </c>
      <c r="F65" s="26"/>
      <c r="G65" s="26" t="s">
        <v>438</v>
      </c>
      <c r="H65" s="26" t="s">
        <v>439</v>
      </c>
      <c r="I65" s="26" t="s">
        <v>207</v>
      </c>
      <c r="J65" s="27">
        <v>25.139367</v>
      </c>
      <c r="K65" s="27">
        <v>-80.294017</v>
      </c>
      <c r="L65" s="26" t="s">
        <v>440</v>
      </c>
      <c r="M65" s="26" t="s">
        <v>441</v>
      </c>
    </row>
    <row r="66">
      <c r="A66" s="26" t="s">
        <v>311</v>
      </c>
      <c r="B66" s="26" t="s">
        <v>311</v>
      </c>
      <c r="C66" s="26" t="s">
        <v>311</v>
      </c>
      <c r="D66" s="26" t="s">
        <v>311</v>
      </c>
      <c r="E66" s="26" t="s">
        <v>532</v>
      </c>
      <c r="F66" s="26"/>
      <c r="G66" s="26" t="s">
        <v>438</v>
      </c>
      <c r="H66" s="26" t="s">
        <v>439</v>
      </c>
      <c r="I66" s="26" t="s">
        <v>207</v>
      </c>
      <c r="J66" s="27">
        <v>25.139367</v>
      </c>
      <c r="K66" s="27">
        <v>-80.294017</v>
      </c>
      <c r="L66" s="26" t="s">
        <v>440</v>
      </c>
      <c r="M66" s="26" t="s">
        <v>441</v>
      </c>
    </row>
    <row r="67">
      <c r="A67" s="26" t="s">
        <v>533</v>
      </c>
      <c r="B67" s="27">
        <v>1571.0</v>
      </c>
      <c r="C67" s="26" t="s">
        <v>533</v>
      </c>
      <c r="D67" s="26" t="s">
        <v>66</v>
      </c>
      <c r="E67" s="26" t="s">
        <v>66</v>
      </c>
      <c r="F67" s="26"/>
      <c r="G67" s="26" t="s">
        <v>438</v>
      </c>
      <c r="H67" s="26" t="s">
        <v>439</v>
      </c>
      <c r="I67" s="26" t="s">
        <v>207</v>
      </c>
      <c r="J67" s="27">
        <v>25.139367</v>
      </c>
      <c r="K67" s="27">
        <v>-80.294017</v>
      </c>
      <c r="L67" s="26" t="s">
        <v>440</v>
      </c>
      <c r="M67" s="26" t="s">
        <v>441</v>
      </c>
    </row>
    <row r="68">
      <c r="A68" s="26" t="s">
        <v>534</v>
      </c>
      <c r="B68" s="26" t="s">
        <v>534</v>
      </c>
      <c r="C68" s="26" t="s">
        <v>534</v>
      </c>
      <c r="D68" s="26" t="s">
        <v>534</v>
      </c>
      <c r="E68" s="26" t="s">
        <v>535</v>
      </c>
      <c r="F68" s="26"/>
      <c r="G68" s="26" t="s">
        <v>438</v>
      </c>
      <c r="H68" s="26" t="s">
        <v>439</v>
      </c>
      <c r="I68" s="26" t="s">
        <v>207</v>
      </c>
      <c r="J68" s="27">
        <v>25.139367</v>
      </c>
      <c r="K68" s="27">
        <v>-80.294017</v>
      </c>
      <c r="L68" s="26" t="s">
        <v>440</v>
      </c>
      <c r="M68" s="26" t="s">
        <v>441</v>
      </c>
    </row>
    <row r="69">
      <c r="A69" s="26" t="s">
        <v>213</v>
      </c>
      <c r="B69" s="26" t="s">
        <v>213</v>
      </c>
      <c r="C69" s="26" t="s">
        <v>213</v>
      </c>
      <c r="D69" s="26" t="s">
        <v>536</v>
      </c>
      <c r="E69" s="26" t="s">
        <v>536</v>
      </c>
      <c r="F69" s="26"/>
      <c r="G69" s="26" t="s">
        <v>438</v>
      </c>
      <c r="H69" s="26" t="s">
        <v>439</v>
      </c>
      <c r="I69" s="26" t="s">
        <v>207</v>
      </c>
      <c r="J69" s="27">
        <v>25.139367</v>
      </c>
      <c r="K69" s="27">
        <v>-80.294017</v>
      </c>
      <c r="L69" s="26" t="s">
        <v>440</v>
      </c>
      <c r="M69" s="26" t="s">
        <v>441</v>
      </c>
    </row>
    <row r="70">
      <c r="A70" s="26" t="s">
        <v>329</v>
      </c>
      <c r="B70" s="26" t="s">
        <v>329</v>
      </c>
      <c r="C70" s="26" t="s">
        <v>329</v>
      </c>
      <c r="D70" s="26" t="s">
        <v>537</v>
      </c>
      <c r="E70" s="26" t="s">
        <v>538</v>
      </c>
      <c r="F70" s="26" t="s">
        <v>539</v>
      </c>
      <c r="G70" s="26" t="s">
        <v>438</v>
      </c>
      <c r="H70" s="26" t="s">
        <v>439</v>
      </c>
      <c r="I70" s="26" t="s">
        <v>207</v>
      </c>
      <c r="J70" s="27">
        <v>25.139367</v>
      </c>
      <c r="K70" s="27">
        <v>-80.294017</v>
      </c>
      <c r="L70" s="26" t="s">
        <v>440</v>
      </c>
      <c r="M70" s="26" t="s">
        <v>441</v>
      </c>
    </row>
    <row r="71">
      <c r="A71" s="26" t="s">
        <v>198</v>
      </c>
      <c r="B71" s="26" t="s">
        <v>198</v>
      </c>
      <c r="C71" s="26" t="s">
        <v>198</v>
      </c>
      <c r="D71" s="26"/>
      <c r="E71" s="26"/>
      <c r="F71" s="26"/>
      <c r="G71" s="26" t="s">
        <v>420</v>
      </c>
      <c r="H71" s="26" t="s">
        <v>206</v>
      </c>
      <c r="I71" s="26" t="s">
        <v>207</v>
      </c>
      <c r="J71" s="27">
        <v>24.55107</v>
      </c>
      <c r="K71" s="27">
        <v>-81.80805</v>
      </c>
      <c r="L71" s="26" t="s">
        <v>208</v>
      </c>
      <c r="M71" s="26" t="s">
        <v>209</v>
      </c>
    </row>
    <row r="72">
      <c r="A72" s="26" t="s">
        <v>540</v>
      </c>
      <c r="B72" s="26" t="s">
        <v>540</v>
      </c>
      <c r="C72" s="26" t="s">
        <v>540</v>
      </c>
      <c r="D72" s="26" t="s">
        <v>540</v>
      </c>
      <c r="E72" s="26" t="s">
        <v>541</v>
      </c>
      <c r="F72" s="26"/>
      <c r="G72" s="26" t="s">
        <v>438</v>
      </c>
      <c r="H72" s="26" t="s">
        <v>439</v>
      </c>
      <c r="I72" s="26" t="s">
        <v>207</v>
      </c>
      <c r="J72" s="27">
        <v>25.139367</v>
      </c>
      <c r="K72" s="27">
        <v>-80.294017</v>
      </c>
      <c r="L72" s="26" t="s">
        <v>440</v>
      </c>
      <c r="M72" s="26" t="s">
        <v>441</v>
      </c>
    </row>
    <row r="73">
      <c r="A73" s="26" t="s">
        <v>542</v>
      </c>
      <c r="B73" s="26" t="s">
        <v>543</v>
      </c>
      <c r="C73" s="26" t="s">
        <v>543</v>
      </c>
      <c r="D73" s="26" t="s">
        <v>544</v>
      </c>
      <c r="E73" s="26" t="s">
        <v>545</v>
      </c>
      <c r="F73" s="26"/>
      <c r="G73" s="26" t="s">
        <v>438</v>
      </c>
      <c r="H73" s="26" t="s">
        <v>439</v>
      </c>
      <c r="I73" s="26" t="s">
        <v>207</v>
      </c>
      <c r="J73" s="27">
        <v>25.139367</v>
      </c>
      <c r="K73" s="27">
        <v>-80.294017</v>
      </c>
      <c r="L73" s="26" t="s">
        <v>440</v>
      </c>
      <c r="M73" s="26" t="s">
        <v>441</v>
      </c>
    </row>
    <row r="74">
      <c r="A74" s="26" t="s">
        <v>91</v>
      </c>
      <c r="B74" s="26" t="s">
        <v>91</v>
      </c>
      <c r="C74" s="26" t="s">
        <v>91</v>
      </c>
      <c r="D74" s="26" t="s">
        <v>546</v>
      </c>
      <c r="E74" s="26" t="s">
        <v>547</v>
      </c>
      <c r="F74" s="26"/>
      <c r="G74" s="26" t="s">
        <v>438</v>
      </c>
      <c r="H74" s="26" t="s">
        <v>439</v>
      </c>
      <c r="I74" s="26" t="s">
        <v>207</v>
      </c>
      <c r="J74" s="27">
        <v>25.139367</v>
      </c>
      <c r="K74" s="27">
        <v>-80.294017</v>
      </c>
      <c r="L74" s="26" t="s">
        <v>440</v>
      </c>
      <c r="M74" s="26" t="s">
        <v>441</v>
      </c>
    </row>
    <row r="75">
      <c r="A75" s="26" t="s">
        <v>94</v>
      </c>
      <c r="B75" s="26" t="s">
        <v>94</v>
      </c>
      <c r="C75" s="26" t="s">
        <v>94</v>
      </c>
      <c r="D75" s="26" t="s">
        <v>548</v>
      </c>
      <c r="E75" s="26" t="s">
        <v>549</v>
      </c>
      <c r="F75" s="26"/>
      <c r="G75" s="26" t="s">
        <v>438</v>
      </c>
      <c r="H75" s="26" t="s">
        <v>439</v>
      </c>
      <c r="I75" s="26" t="s">
        <v>207</v>
      </c>
      <c r="J75" s="27">
        <v>25.139367</v>
      </c>
      <c r="K75" s="27">
        <v>-80.294017</v>
      </c>
      <c r="L75" s="26" t="s">
        <v>440</v>
      </c>
      <c r="M75" s="26" t="s">
        <v>441</v>
      </c>
    </row>
    <row r="76">
      <c r="A76" s="26" t="s">
        <v>309</v>
      </c>
      <c r="B76" s="26" t="s">
        <v>309</v>
      </c>
      <c r="C76" s="26" t="s">
        <v>309</v>
      </c>
      <c r="D76" s="26"/>
      <c r="E76" s="26"/>
      <c r="F76" s="26"/>
      <c r="G76" s="26" t="s">
        <v>420</v>
      </c>
      <c r="H76" s="26" t="s">
        <v>206</v>
      </c>
      <c r="I76" s="26" t="s">
        <v>207</v>
      </c>
      <c r="J76" s="27">
        <v>24.55107</v>
      </c>
      <c r="K76" s="27">
        <v>-81.80805</v>
      </c>
      <c r="L76" s="26" t="s">
        <v>208</v>
      </c>
      <c r="M76" s="26" t="s">
        <v>209</v>
      </c>
    </row>
    <row r="77">
      <c r="A77" s="26" t="s">
        <v>550</v>
      </c>
      <c r="B77" s="26" t="s">
        <v>264</v>
      </c>
      <c r="C77" s="26" t="s">
        <v>264</v>
      </c>
      <c r="D77" s="26" t="s">
        <v>550</v>
      </c>
      <c r="E77" s="26" t="s">
        <v>264</v>
      </c>
      <c r="F77" s="26"/>
      <c r="G77" s="26" t="s">
        <v>438</v>
      </c>
      <c r="H77" s="26" t="s">
        <v>439</v>
      </c>
      <c r="I77" s="26" t="s">
        <v>207</v>
      </c>
      <c r="J77" s="27">
        <v>25.139367</v>
      </c>
      <c r="K77" s="27">
        <v>-80.294017</v>
      </c>
      <c r="L77" s="26" t="s">
        <v>440</v>
      </c>
      <c r="M77" s="26" t="s">
        <v>441</v>
      </c>
    </row>
    <row r="78">
      <c r="A78" s="26" t="s">
        <v>337</v>
      </c>
      <c r="B78" s="26" t="s">
        <v>337</v>
      </c>
      <c r="C78" s="26" t="s">
        <v>337</v>
      </c>
      <c r="D78" s="26"/>
      <c r="E78" s="26"/>
      <c r="F78" s="26"/>
      <c r="G78" s="26" t="s">
        <v>420</v>
      </c>
      <c r="H78" s="26" t="s">
        <v>206</v>
      </c>
      <c r="I78" s="26" t="s">
        <v>207</v>
      </c>
      <c r="J78" s="27">
        <v>24.55107</v>
      </c>
      <c r="K78" s="27">
        <v>-81.80805</v>
      </c>
      <c r="L78" s="26" t="s">
        <v>208</v>
      </c>
      <c r="M78" s="26" t="s">
        <v>209</v>
      </c>
    </row>
    <row r="79">
      <c r="A79" s="26" t="s">
        <v>551</v>
      </c>
      <c r="B79" s="26" t="s">
        <v>551</v>
      </c>
      <c r="C79" s="26" t="s">
        <v>551</v>
      </c>
      <c r="D79" s="26" t="s">
        <v>551</v>
      </c>
      <c r="E79" s="26" t="s">
        <v>552</v>
      </c>
      <c r="F79" s="26"/>
      <c r="G79" s="26" t="s">
        <v>438</v>
      </c>
      <c r="H79" s="26" t="s">
        <v>439</v>
      </c>
      <c r="I79" s="26" t="s">
        <v>207</v>
      </c>
      <c r="J79" s="27">
        <v>25.139367</v>
      </c>
      <c r="K79" s="27">
        <v>-80.294017</v>
      </c>
      <c r="L79" s="26" t="s">
        <v>440</v>
      </c>
      <c r="M79" s="26" t="s">
        <v>441</v>
      </c>
    </row>
    <row r="80">
      <c r="A80" s="26" t="s">
        <v>553</v>
      </c>
      <c r="B80" s="26" t="s">
        <v>553</v>
      </c>
      <c r="C80" s="26" t="s">
        <v>553</v>
      </c>
      <c r="D80" s="26" t="s">
        <v>553</v>
      </c>
      <c r="E80" s="26" t="s">
        <v>554</v>
      </c>
      <c r="F80" s="26"/>
      <c r="G80" s="26" t="s">
        <v>438</v>
      </c>
      <c r="H80" s="26" t="s">
        <v>439</v>
      </c>
      <c r="I80" s="26" t="s">
        <v>207</v>
      </c>
      <c r="J80" s="27">
        <v>25.139367</v>
      </c>
      <c r="K80" s="27">
        <v>-80.294017</v>
      </c>
      <c r="L80" s="26" t="s">
        <v>440</v>
      </c>
      <c r="M80" s="26" t="s">
        <v>441</v>
      </c>
    </row>
    <row r="81">
      <c r="A81" s="26" t="s">
        <v>555</v>
      </c>
      <c r="B81" s="26" t="s">
        <v>555</v>
      </c>
      <c r="C81" s="26" t="s">
        <v>555</v>
      </c>
      <c r="D81" s="26" t="s">
        <v>555</v>
      </c>
      <c r="E81" s="26" t="s">
        <v>556</v>
      </c>
      <c r="F81" s="26"/>
      <c r="G81" s="26" t="s">
        <v>438</v>
      </c>
      <c r="H81" s="26" t="s">
        <v>439</v>
      </c>
      <c r="I81" s="26" t="s">
        <v>207</v>
      </c>
      <c r="J81" s="27">
        <v>25.139367</v>
      </c>
      <c r="K81" s="27">
        <v>-80.294017</v>
      </c>
      <c r="L81" s="26" t="s">
        <v>440</v>
      </c>
      <c r="M81" s="26" t="s">
        <v>441</v>
      </c>
    </row>
    <row r="82">
      <c r="A82" s="26" t="s">
        <v>86</v>
      </c>
      <c r="B82" s="26" t="s">
        <v>86</v>
      </c>
      <c r="C82" s="26" t="s">
        <v>86</v>
      </c>
      <c r="D82" s="26" t="s">
        <v>557</v>
      </c>
      <c r="E82" s="26" t="s">
        <v>558</v>
      </c>
      <c r="F82" s="26"/>
      <c r="G82" s="26" t="s">
        <v>438</v>
      </c>
      <c r="H82" s="26" t="s">
        <v>439</v>
      </c>
      <c r="I82" s="26" t="s">
        <v>207</v>
      </c>
      <c r="J82" s="27">
        <v>25.139367</v>
      </c>
      <c r="K82" s="27">
        <v>-80.294017</v>
      </c>
      <c r="L82" s="26" t="s">
        <v>440</v>
      </c>
      <c r="M82" s="26" t="s">
        <v>441</v>
      </c>
    </row>
    <row r="83">
      <c r="A83" s="26" t="s">
        <v>238</v>
      </c>
      <c r="B83" s="26" t="s">
        <v>238</v>
      </c>
      <c r="C83" s="26" t="s">
        <v>238</v>
      </c>
      <c r="D83" s="26" t="s">
        <v>559</v>
      </c>
      <c r="E83" s="26" t="s">
        <v>560</v>
      </c>
      <c r="F83" s="26"/>
      <c r="G83" s="26" t="s">
        <v>438</v>
      </c>
      <c r="H83" s="26" t="s">
        <v>439</v>
      </c>
      <c r="I83" s="26" t="s">
        <v>207</v>
      </c>
      <c r="J83" s="27">
        <v>25.139367</v>
      </c>
      <c r="K83" s="27">
        <v>-80.294017</v>
      </c>
      <c r="L83" s="26" t="s">
        <v>440</v>
      </c>
      <c r="M83" s="26" t="s">
        <v>441</v>
      </c>
    </row>
    <row r="84">
      <c r="A84" s="26" t="s">
        <v>138</v>
      </c>
      <c r="B84" s="26" t="s">
        <v>138</v>
      </c>
      <c r="C84" s="26" t="s">
        <v>138</v>
      </c>
      <c r="D84" s="26" t="s">
        <v>561</v>
      </c>
      <c r="E84" s="26" t="s">
        <v>562</v>
      </c>
      <c r="F84" s="26"/>
      <c r="G84" s="26" t="s">
        <v>438</v>
      </c>
      <c r="H84" s="26" t="s">
        <v>439</v>
      </c>
      <c r="I84" s="26" t="s">
        <v>207</v>
      </c>
      <c r="J84" s="27">
        <v>25.139367</v>
      </c>
      <c r="K84" s="27">
        <v>-80.294017</v>
      </c>
      <c r="L84" s="26" t="s">
        <v>440</v>
      </c>
      <c r="M84" s="26" t="s">
        <v>441</v>
      </c>
    </row>
    <row r="85">
      <c r="A85" s="26" t="s">
        <v>339</v>
      </c>
      <c r="B85" s="26" t="s">
        <v>339</v>
      </c>
      <c r="C85" s="26" t="s">
        <v>339</v>
      </c>
      <c r="D85" s="26" t="s">
        <v>563</v>
      </c>
      <c r="E85" s="26" t="s">
        <v>563</v>
      </c>
      <c r="F85" s="26"/>
      <c r="G85" s="26" t="s">
        <v>420</v>
      </c>
      <c r="H85" s="26" t="s">
        <v>206</v>
      </c>
      <c r="I85" s="26" t="s">
        <v>422</v>
      </c>
      <c r="J85" s="27">
        <v>24.55107</v>
      </c>
      <c r="K85" s="27">
        <v>-81.80805</v>
      </c>
      <c r="L85" s="26" t="s">
        <v>208</v>
      </c>
      <c r="M85" s="26" t="s">
        <v>209</v>
      </c>
    </row>
    <row r="86">
      <c r="A86" s="26" t="s">
        <v>564</v>
      </c>
      <c r="B86" s="26" t="s">
        <v>564</v>
      </c>
      <c r="C86" s="26" t="s">
        <v>564</v>
      </c>
      <c r="D86" s="26" t="s">
        <v>564</v>
      </c>
      <c r="E86" s="26" t="s">
        <v>565</v>
      </c>
      <c r="F86" s="26" t="s">
        <v>80</v>
      </c>
      <c r="G86" s="26" t="s">
        <v>438</v>
      </c>
      <c r="H86" s="26" t="s">
        <v>439</v>
      </c>
      <c r="I86" s="26" t="s">
        <v>207</v>
      </c>
      <c r="J86" s="27">
        <v>25.139367</v>
      </c>
      <c r="K86" s="27">
        <v>-80.294017</v>
      </c>
      <c r="L86" s="26" t="s">
        <v>440</v>
      </c>
      <c r="M86" s="26" t="s">
        <v>441</v>
      </c>
    </row>
    <row r="87">
      <c r="A87" s="26" t="s">
        <v>566</v>
      </c>
      <c r="B87" s="26" t="s">
        <v>349</v>
      </c>
      <c r="C87" s="26" t="s">
        <v>349</v>
      </c>
      <c r="D87" s="26" t="s">
        <v>567</v>
      </c>
      <c r="E87" s="26" t="s">
        <v>568</v>
      </c>
      <c r="F87" s="26"/>
      <c r="G87" s="26" t="s">
        <v>438</v>
      </c>
      <c r="H87" s="26" t="s">
        <v>439</v>
      </c>
      <c r="I87" s="26" t="s">
        <v>207</v>
      </c>
      <c r="J87" s="27">
        <v>25.139367</v>
      </c>
      <c r="K87" s="27">
        <v>-80.294017</v>
      </c>
      <c r="L87" s="26" t="s">
        <v>440</v>
      </c>
      <c r="M87" s="26" t="s">
        <v>441</v>
      </c>
    </row>
    <row r="88">
      <c r="A88" s="26" t="s">
        <v>566</v>
      </c>
      <c r="B88" s="26" t="s">
        <v>566</v>
      </c>
      <c r="C88" s="26" t="s">
        <v>566</v>
      </c>
      <c r="D88" s="26" t="s">
        <v>566</v>
      </c>
      <c r="E88" s="26" t="s">
        <v>568</v>
      </c>
      <c r="F88" s="26"/>
      <c r="G88" s="26" t="s">
        <v>438</v>
      </c>
      <c r="H88" s="26" t="s">
        <v>439</v>
      </c>
      <c r="I88" s="26" t="s">
        <v>207</v>
      </c>
      <c r="J88" s="27">
        <v>25.139367</v>
      </c>
      <c r="K88" s="27">
        <v>-80.294017</v>
      </c>
      <c r="L88" s="26" t="s">
        <v>440</v>
      </c>
      <c r="M88" s="26" t="s">
        <v>441</v>
      </c>
    </row>
    <row r="89">
      <c r="A89" s="26" t="s">
        <v>569</v>
      </c>
      <c r="B89" s="26" t="s">
        <v>569</v>
      </c>
      <c r="C89" s="26" t="s">
        <v>569</v>
      </c>
      <c r="D89" s="26" t="s">
        <v>570</v>
      </c>
      <c r="E89" s="26" t="s">
        <v>570</v>
      </c>
      <c r="F89" s="26"/>
      <c r="G89" s="26" t="s">
        <v>438</v>
      </c>
      <c r="H89" s="26" t="s">
        <v>439</v>
      </c>
      <c r="I89" s="26" t="s">
        <v>207</v>
      </c>
      <c r="J89" s="27">
        <v>25.139367</v>
      </c>
      <c r="K89" s="27">
        <v>-80.294017</v>
      </c>
      <c r="L89" s="26" t="s">
        <v>440</v>
      </c>
      <c r="M89" s="26" t="s">
        <v>441</v>
      </c>
    </row>
    <row r="90">
      <c r="A90" s="26" t="s">
        <v>244</v>
      </c>
      <c r="B90" s="26" t="s">
        <v>244</v>
      </c>
      <c r="C90" s="26" t="s">
        <v>244</v>
      </c>
      <c r="D90" s="26" t="s">
        <v>571</v>
      </c>
      <c r="E90" s="26" t="s">
        <v>571</v>
      </c>
      <c r="F90" s="26"/>
      <c r="G90" s="26" t="s">
        <v>438</v>
      </c>
      <c r="H90" s="26" t="s">
        <v>439</v>
      </c>
      <c r="I90" s="26" t="s">
        <v>207</v>
      </c>
      <c r="J90" s="27">
        <v>25.139367</v>
      </c>
      <c r="K90" s="27">
        <v>-80.294017</v>
      </c>
      <c r="L90" s="26" t="s">
        <v>440</v>
      </c>
      <c r="M90" s="26" t="s">
        <v>441</v>
      </c>
    </row>
    <row r="91">
      <c r="A91" s="26" t="s">
        <v>572</v>
      </c>
      <c r="B91" s="26" t="s">
        <v>572</v>
      </c>
      <c r="C91" s="26" t="s">
        <v>572</v>
      </c>
      <c r="D91" s="26" t="s">
        <v>572</v>
      </c>
      <c r="E91" s="26" t="s">
        <v>573</v>
      </c>
      <c r="F91" s="26"/>
      <c r="G91" s="26" t="s">
        <v>438</v>
      </c>
      <c r="H91" s="26" t="s">
        <v>439</v>
      </c>
      <c r="I91" s="26" t="s">
        <v>207</v>
      </c>
      <c r="J91" s="27">
        <v>25.139367</v>
      </c>
      <c r="K91" s="27">
        <v>-80.294017</v>
      </c>
      <c r="L91" s="26" t="s">
        <v>440</v>
      </c>
      <c r="M91" s="26" t="s">
        <v>441</v>
      </c>
    </row>
    <row r="92">
      <c r="A92" s="26" t="s">
        <v>574</v>
      </c>
      <c r="B92" s="26" t="s">
        <v>351</v>
      </c>
      <c r="C92" s="26" t="s">
        <v>351</v>
      </c>
      <c r="D92" s="26" t="s">
        <v>575</v>
      </c>
      <c r="E92" s="26" t="s">
        <v>351</v>
      </c>
      <c r="F92" s="26"/>
      <c r="G92" s="26" t="s">
        <v>438</v>
      </c>
      <c r="H92" s="26" t="s">
        <v>439</v>
      </c>
      <c r="I92" s="26" t="s">
        <v>207</v>
      </c>
      <c r="J92" s="27">
        <v>25.139367</v>
      </c>
      <c r="K92" s="27">
        <v>-80.294017</v>
      </c>
      <c r="L92" s="26" t="s">
        <v>440</v>
      </c>
      <c r="M92" s="26" t="s">
        <v>441</v>
      </c>
    </row>
    <row r="93">
      <c r="A93" s="26" t="s">
        <v>203</v>
      </c>
      <c r="B93" s="26" t="s">
        <v>203</v>
      </c>
      <c r="C93" s="26" t="s">
        <v>203</v>
      </c>
      <c r="D93" s="26" t="s">
        <v>576</v>
      </c>
      <c r="E93" s="26" t="s">
        <v>577</v>
      </c>
      <c r="F93" s="26" t="s">
        <v>497</v>
      </c>
      <c r="G93" s="26" t="s">
        <v>438</v>
      </c>
      <c r="H93" s="26" t="s">
        <v>439</v>
      </c>
      <c r="I93" s="26" t="s">
        <v>207</v>
      </c>
      <c r="J93" s="27">
        <v>25.139367</v>
      </c>
      <c r="K93" s="27">
        <v>-80.294017</v>
      </c>
      <c r="L93" s="26" t="s">
        <v>440</v>
      </c>
      <c r="M93" s="26" t="s">
        <v>441</v>
      </c>
    </row>
    <row r="94">
      <c r="A94" s="26" t="s">
        <v>578</v>
      </c>
      <c r="B94" s="27">
        <v>15358.0</v>
      </c>
      <c r="C94" s="26" t="s">
        <v>84</v>
      </c>
      <c r="D94" s="26" t="s">
        <v>578</v>
      </c>
      <c r="E94" s="26" t="s">
        <v>579</v>
      </c>
      <c r="F94" s="26"/>
      <c r="G94" s="26" t="s">
        <v>438</v>
      </c>
      <c r="H94" s="26" t="s">
        <v>439</v>
      </c>
      <c r="I94" s="26" t="s">
        <v>207</v>
      </c>
      <c r="J94" s="27">
        <v>25.139367</v>
      </c>
      <c r="K94" s="27">
        <v>-80.294017</v>
      </c>
      <c r="L94" s="26" t="s">
        <v>440</v>
      </c>
      <c r="M94" s="26" t="s">
        <v>441</v>
      </c>
    </row>
    <row r="95">
      <c r="A95" s="26" t="s">
        <v>131</v>
      </c>
      <c r="B95" s="26" t="s">
        <v>131</v>
      </c>
      <c r="C95" s="26" t="s">
        <v>131</v>
      </c>
      <c r="D95" s="26" t="s">
        <v>580</v>
      </c>
      <c r="E95" s="26" t="s">
        <v>580</v>
      </c>
      <c r="F95" s="26"/>
      <c r="G95" s="26" t="s">
        <v>438</v>
      </c>
      <c r="H95" s="26"/>
      <c r="I95" s="26" t="s">
        <v>207</v>
      </c>
      <c r="J95" s="26"/>
      <c r="K95" s="26" t="s">
        <v>581</v>
      </c>
      <c r="L95" s="26"/>
      <c r="M95" s="26"/>
    </row>
    <row r="96">
      <c r="A96" s="26" t="s">
        <v>582</v>
      </c>
      <c r="B96" s="26" t="s">
        <v>582</v>
      </c>
      <c r="C96" s="26" t="s">
        <v>582</v>
      </c>
      <c r="D96" s="26" t="s">
        <v>582</v>
      </c>
      <c r="E96" s="26" t="s">
        <v>583</v>
      </c>
      <c r="F96" s="26"/>
      <c r="G96" s="26"/>
      <c r="H96" s="26"/>
      <c r="I96" s="26" t="s">
        <v>207</v>
      </c>
      <c r="J96" s="26"/>
      <c r="K96" s="26" t="s">
        <v>581</v>
      </c>
      <c r="L96" s="26"/>
      <c r="M96" s="26"/>
    </row>
    <row r="97">
      <c r="A97" s="26" t="s">
        <v>214</v>
      </c>
      <c r="B97" s="26" t="s">
        <v>214</v>
      </c>
      <c r="C97" s="26" t="s">
        <v>214</v>
      </c>
      <c r="D97" s="26" t="s">
        <v>214</v>
      </c>
      <c r="E97" s="26" t="s">
        <v>584</v>
      </c>
      <c r="F97" s="26"/>
      <c r="G97" s="26"/>
      <c r="H97" s="26"/>
      <c r="I97" s="26" t="s">
        <v>207</v>
      </c>
      <c r="J97" s="26"/>
      <c r="K97" s="26" t="s">
        <v>581</v>
      </c>
      <c r="L97" s="26"/>
      <c r="M97" s="26"/>
    </row>
    <row r="98">
      <c r="A98" s="26" t="s">
        <v>585</v>
      </c>
      <c r="B98" s="26" t="s">
        <v>585</v>
      </c>
      <c r="C98" s="26" t="s">
        <v>585</v>
      </c>
      <c r="D98" s="26" t="s">
        <v>586</v>
      </c>
      <c r="E98" s="26" t="s">
        <v>586</v>
      </c>
      <c r="F98" s="26"/>
      <c r="G98" s="26"/>
      <c r="H98" s="26"/>
      <c r="I98" s="26" t="s">
        <v>207</v>
      </c>
      <c r="J98" s="26"/>
      <c r="K98" s="26" t="s">
        <v>581</v>
      </c>
      <c r="L98" s="26"/>
      <c r="M98" s="26"/>
    </row>
    <row r="99">
      <c r="A99" s="26" t="s">
        <v>58</v>
      </c>
      <c r="B99" s="26" t="s">
        <v>58</v>
      </c>
      <c r="C99" s="26" t="s">
        <v>58</v>
      </c>
      <c r="D99" s="26" t="s">
        <v>58</v>
      </c>
      <c r="E99" s="26" t="s">
        <v>587</v>
      </c>
      <c r="F99" s="26"/>
      <c r="G99" s="26"/>
      <c r="H99" s="26"/>
      <c r="I99" s="26" t="s">
        <v>207</v>
      </c>
      <c r="J99" s="26"/>
      <c r="K99" s="26" t="s">
        <v>581</v>
      </c>
      <c r="L99" s="26"/>
      <c r="M99" s="26"/>
    </row>
    <row r="100">
      <c r="A100" s="26" t="s">
        <v>199</v>
      </c>
      <c r="B100" s="26" t="s">
        <v>199</v>
      </c>
      <c r="C100" s="26" t="s">
        <v>199</v>
      </c>
      <c r="D100" s="26" t="s">
        <v>199</v>
      </c>
      <c r="E100" s="26" t="s">
        <v>588</v>
      </c>
      <c r="F100" s="26"/>
      <c r="G100" s="26"/>
      <c r="H100" s="26"/>
      <c r="I100" s="26" t="s">
        <v>207</v>
      </c>
      <c r="J100" s="26"/>
      <c r="K100" s="26" t="s">
        <v>581</v>
      </c>
      <c r="L100" s="26"/>
      <c r="M100" s="26"/>
    </row>
    <row r="101">
      <c r="A101" s="26" t="s">
        <v>589</v>
      </c>
      <c r="B101" s="26" t="s">
        <v>589</v>
      </c>
      <c r="C101" s="26" t="s">
        <v>589</v>
      </c>
      <c r="D101" s="26" t="s">
        <v>589</v>
      </c>
      <c r="E101" s="26" t="s">
        <v>419</v>
      </c>
      <c r="F101" s="26"/>
      <c r="G101" s="26"/>
      <c r="H101" s="26"/>
      <c r="I101" s="26" t="s">
        <v>207</v>
      </c>
      <c r="J101" s="26"/>
      <c r="K101" s="26" t="s">
        <v>581</v>
      </c>
      <c r="L101" s="26"/>
      <c r="M101" s="26"/>
    </row>
    <row r="102">
      <c r="A102" s="26" t="s">
        <v>92</v>
      </c>
      <c r="B102" s="26" t="s">
        <v>92</v>
      </c>
      <c r="C102" s="26" t="s">
        <v>92</v>
      </c>
      <c r="D102" s="26" t="s">
        <v>349</v>
      </c>
      <c r="E102" s="26" t="s">
        <v>590</v>
      </c>
      <c r="F102" s="26"/>
      <c r="G102" s="26" t="s">
        <v>438</v>
      </c>
      <c r="H102" s="26" t="s">
        <v>439</v>
      </c>
      <c r="I102" s="26" t="s">
        <v>207</v>
      </c>
      <c r="J102" s="27">
        <v>25.139367</v>
      </c>
      <c r="K102" s="27">
        <v>-80.294017</v>
      </c>
      <c r="L102" s="27">
        <v>2015.0</v>
      </c>
      <c r="M102" s="26" t="s">
        <v>441</v>
      </c>
    </row>
    <row r="103">
      <c r="A103" s="26" t="s">
        <v>591</v>
      </c>
      <c r="B103" s="26" t="s">
        <v>592</v>
      </c>
      <c r="C103" s="26" t="s">
        <v>593</v>
      </c>
      <c r="D103" s="26" t="s">
        <v>591</v>
      </c>
      <c r="E103" s="26" t="s">
        <v>594</v>
      </c>
      <c r="F103" s="26"/>
      <c r="G103" s="26" t="s">
        <v>438</v>
      </c>
      <c r="H103" s="26" t="s">
        <v>439</v>
      </c>
      <c r="I103" s="26" t="s">
        <v>422</v>
      </c>
      <c r="J103" s="27">
        <v>25.139367</v>
      </c>
      <c r="K103" s="27">
        <v>-80.294017</v>
      </c>
      <c r="L103" s="27">
        <v>2015.0</v>
      </c>
      <c r="M103" s="26" t="s">
        <v>441</v>
      </c>
    </row>
    <row r="104">
      <c r="A104" s="26" t="s">
        <v>595</v>
      </c>
      <c r="B104" s="26" t="s">
        <v>595</v>
      </c>
      <c r="C104" s="26" t="s">
        <v>595</v>
      </c>
      <c r="D104" s="26" t="s">
        <v>595</v>
      </c>
      <c r="E104" s="26" t="s">
        <v>596</v>
      </c>
      <c r="F104" s="26"/>
      <c r="G104" s="26" t="s">
        <v>438</v>
      </c>
      <c r="H104" s="26" t="s">
        <v>439</v>
      </c>
      <c r="I104" s="26" t="s">
        <v>207</v>
      </c>
      <c r="J104" s="27">
        <v>25.139367</v>
      </c>
      <c r="K104" s="27">
        <v>-80.294017</v>
      </c>
      <c r="L104" s="27">
        <v>2015.0</v>
      </c>
      <c r="M104" s="26" t="s">
        <v>441</v>
      </c>
    </row>
    <row r="105">
      <c r="A105" s="26" t="s">
        <v>597</v>
      </c>
      <c r="B105" s="26" t="s">
        <v>598</v>
      </c>
      <c r="C105" s="26" t="s">
        <v>599</v>
      </c>
      <c r="D105" s="26" t="s">
        <v>597</v>
      </c>
      <c r="E105" s="26" t="s">
        <v>600</v>
      </c>
      <c r="F105" s="26" t="s">
        <v>601</v>
      </c>
      <c r="G105" s="26" t="s">
        <v>438</v>
      </c>
      <c r="H105" s="26" t="s">
        <v>439</v>
      </c>
      <c r="I105" s="26" t="s">
        <v>422</v>
      </c>
      <c r="J105" s="27">
        <v>25.139367</v>
      </c>
      <c r="K105" s="27">
        <v>-80.294017</v>
      </c>
      <c r="L105" s="27">
        <v>2015.0</v>
      </c>
      <c r="M105" s="26" t="s">
        <v>441</v>
      </c>
    </row>
    <row r="106">
      <c r="A106" s="26" t="s">
        <v>539</v>
      </c>
      <c r="B106" s="26" t="s">
        <v>539</v>
      </c>
      <c r="C106" s="26" t="s">
        <v>539</v>
      </c>
      <c r="D106" s="26" t="s">
        <v>539</v>
      </c>
      <c r="E106" s="26" t="s">
        <v>602</v>
      </c>
      <c r="F106" s="26" t="s">
        <v>329</v>
      </c>
      <c r="G106" s="26" t="s">
        <v>438</v>
      </c>
      <c r="H106" s="26" t="s">
        <v>439</v>
      </c>
      <c r="I106" s="26" t="s">
        <v>422</v>
      </c>
      <c r="J106" s="27">
        <v>25.139367</v>
      </c>
      <c r="K106" s="27">
        <v>-80.294017</v>
      </c>
      <c r="L106" s="27">
        <v>2015.0</v>
      </c>
      <c r="M106" s="26" t="s">
        <v>441</v>
      </c>
    </row>
    <row r="107">
      <c r="A107" s="26" t="s">
        <v>603</v>
      </c>
      <c r="B107" s="26" t="s">
        <v>604</v>
      </c>
      <c r="C107" s="26" t="s">
        <v>605</v>
      </c>
      <c r="D107" s="26" t="s">
        <v>603</v>
      </c>
      <c r="E107" s="26" t="s">
        <v>606</v>
      </c>
      <c r="F107" s="26" t="s">
        <v>607</v>
      </c>
      <c r="G107" s="26" t="s">
        <v>438</v>
      </c>
      <c r="H107" s="26" t="s">
        <v>439</v>
      </c>
      <c r="I107" s="26" t="s">
        <v>422</v>
      </c>
      <c r="J107" s="27">
        <v>25.139367</v>
      </c>
      <c r="K107" s="27">
        <v>-80.294017</v>
      </c>
      <c r="L107" s="27">
        <v>2015.0</v>
      </c>
      <c r="M107" s="26" t="s">
        <v>441</v>
      </c>
    </row>
    <row r="108">
      <c r="A108" s="26" t="s">
        <v>608</v>
      </c>
      <c r="B108" s="26" t="s">
        <v>609</v>
      </c>
      <c r="C108" s="26" t="s">
        <v>610</v>
      </c>
      <c r="D108" s="26" t="s">
        <v>608</v>
      </c>
      <c r="E108" s="26" t="s">
        <v>611</v>
      </c>
      <c r="F108" s="26"/>
      <c r="G108" s="26" t="s">
        <v>438</v>
      </c>
      <c r="H108" s="26" t="s">
        <v>439</v>
      </c>
      <c r="I108" s="26" t="s">
        <v>422</v>
      </c>
      <c r="J108" s="27">
        <v>25.139367</v>
      </c>
      <c r="K108" s="27">
        <v>-80.294017</v>
      </c>
      <c r="L108" s="27">
        <v>2015.0</v>
      </c>
      <c r="M108" s="26" t="s">
        <v>441</v>
      </c>
    </row>
    <row r="109">
      <c r="A109" s="26" t="s">
        <v>612</v>
      </c>
      <c r="B109" s="26" t="s">
        <v>613</v>
      </c>
      <c r="C109" s="26" t="s">
        <v>614</v>
      </c>
      <c r="D109" s="26" t="s">
        <v>612</v>
      </c>
      <c r="E109" s="26" t="s">
        <v>615</v>
      </c>
      <c r="F109" s="26"/>
      <c r="G109" s="26" t="s">
        <v>438</v>
      </c>
      <c r="H109" s="26" t="s">
        <v>439</v>
      </c>
      <c r="I109" s="26" t="s">
        <v>422</v>
      </c>
      <c r="J109" s="27">
        <v>25.139367</v>
      </c>
      <c r="K109" s="27">
        <v>-80.294017</v>
      </c>
      <c r="L109" s="27">
        <v>2015.0</v>
      </c>
      <c r="M109" s="26" t="s">
        <v>441</v>
      </c>
    </row>
    <row r="110">
      <c r="A110" s="26" t="s">
        <v>95</v>
      </c>
      <c r="B110" s="26" t="s">
        <v>95</v>
      </c>
      <c r="C110" s="26" t="s">
        <v>95</v>
      </c>
      <c r="D110" s="26" t="s">
        <v>616</v>
      </c>
      <c r="E110" s="26" t="s">
        <v>617</v>
      </c>
      <c r="F110" s="26"/>
      <c r="G110" s="26" t="s">
        <v>438</v>
      </c>
      <c r="H110" s="26" t="s">
        <v>439</v>
      </c>
      <c r="I110" s="26" t="s">
        <v>207</v>
      </c>
      <c r="J110" s="27">
        <v>25.139367</v>
      </c>
      <c r="K110" s="27">
        <v>-80.294017</v>
      </c>
      <c r="L110" s="27">
        <v>2015.0</v>
      </c>
      <c r="M110" s="26" t="s">
        <v>441</v>
      </c>
    </row>
    <row r="111">
      <c r="A111" s="26" t="s">
        <v>95</v>
      </c>
      <c r="B111" s="26" t="s">
        <v>618</v>
      </c>
      <c r="C111" s="26" t="s">
        <v>619</v>
      </c>
      <c r="D111" s="26" t="s">
        <v>95</v>
      </c>
      <c r="E111" s="26" t="s">
        <v>617</v>
      </c>
      <c r="F111" s="26"/>
      <c r="G111" s="26" t="s">
        <v>438</v>
      </c>
      <c r="H111" s="26" t="s">
        <v>439</v>
      </c>
      <c r="I111" s="26" t="s">
        <v>207</v>
      </c>
      <c r="J111" s="27">
        <v>25.139367</v>
      </c>
      <c r="K111" s="27">
        <v>-80.294017</v>
      </c>
      <c r="L111" s="27">
        <v>2015.0</v>
      </c>
      <c r="M111" s="26" t="s">
        <v>441</v>
      </c>
    </row>
    <row r="112">
      <c r="A112" s="26" t="s">
        <v>620</v>
      </c>
      <c r="B112" s="26" t="s">
        <v>621</v>
      </c>
      <c r="C112" s="26" t="s">
        <v>622</v>
      </c>
      <c r="D112" s="26" t="s">
        <v>620</v>
      </c>
      <c r="E112" s="26" t="s">
        <v>623</v>
      </c>
      <c r="F112" s="26"/>
      <c r="G112" s="26" t="s">
        <v>438</v>
      </c>
      <c r="H112" s="26" t="s">
        <v>439</v>
      </c>
      <c r="I112" s="26" t="s">
        <v>422</v>
      </c>
      <c r="J112" s="27">
        <v>25.139367</v>
      </c>
      <c r="K112" s="27">
        <v>-80.294017</v>
      </c>
      <c r="L112" s="27">
        <v>2015.0</v>
      </c>
      <c r="M112" s="26" t="s">
        <v>441</v>
      </c>
    </row>
    <row r="113">
      <c r="A113" s="26" t="s">
        <v>240</v>
      </c>
      <c r="B113" s="26" t="s">
        <v>240</v>
      </c>
      <c r="C113" s="26" t="s">
        <v>240</v>
      </c>
      <c r="D113" s="26" t="s">
        <v>240</v>
      </c>
      <c r="E113" s="26" t="s">
        <v>624</v>
      </c>
      <c r="F113" s="26"/>
      <c r="G113" s="26" t="s">
        <v>438</v>
      </c>
      <c r="H113" s="26" t="s">
        <v>439</v>
      </c>
      <c r="I113" s="26" t="s">
        <v>422</v>
      </c>
      <c r="J113" s="27">
        <v>25.139367</v>
      </c>
      <c r="K113" s="27">
        <v>-80.294017</v>
      </c>
      <c r="L113" s="27">
        <v>2015.0</v>
      </c>
      <c r="M113" s="26" t="s">
        <v>441</v>
      </c>
    </row>
    <row r="114">
      <c r="A114" s="26" t="s">
        <v>103</v>
      </c>
      <c r="B114" s="26" t="s">
        <v>103</v>
      </c>
      <c r="C114" s="26" t="s">
        <v>103</v>
      </c>
      <c r="D114" s="26" t="s">
        <v>625</v>
      </c>
      <c r="E114" s="26" t="s">
        <v>626</v>
      </c>
      <c r="F114" s="26"/>
      <c r="G114" s="26" t="s">
        <v>438</v>
      </c>
      <c r="H114" s="26" t="s">
        <v>439</v>
      </c>
      <c r="I114" s="26" t="s">
        <v>422</v>
      </c>
      <c r="J114" s="27">
        <v>25.139367</v>
      </c>
      <c r="K114" s="27">
        <v>-80.294017</v>
      </c>
      <c r="L114" s="27">
        <v>2015.0</v>
      </c>
      <c r="M114" s="26" t="s">
        <v>441</v>
      </c>
    </row>
    <row r="115">
      <c r="A115" s="26" t="s">
        <v>627</v>
      </c>
      <c r="B115" s="26" t="s">
        <v>627</v>
      </c>
      <c r="C115" s="26" t="s">
        <v>627</v>
      </c>
      <c r="D115" s="26" t="s">
        <v>627</v>
      </c>
      <c r="E115" s="26" t="s">
        <v>628</v>
      </c>
      <c r="F115" s="26"/>
      <c r="G115" s="26" t="s">
        <v>438</v>
      </c>
      <c r="H115" s="26" t="s">
        <v>439</v>
      </c>
      <c r="I115" s="26" t="s">
        <v>422</v>
      </c>
      <c r="J115" s="27">
        <v>25.139367</v>
      </c>
      <c r="K115" s="27">
        <v>-80.294017</v>
      </c>
      <c r="L115" s="27">
        <v>2015.0</v>
      </c>
      <c r="M115" s="26" t="s">
        <v>441</v>
      </c>
    </row>
    <row r="116">
      <c r="A116" s="26" t="s">
        <v>293</v>
      </c>
      <c r="B116" s="26" t="s">
        <v>293</v>
      </c>
      <c r="C116" s="26" t="s">
        <v>293</v>
      </c>
      <c r="D116" s="26" t="s">
        <v>293</v>
      </c>
      <c r="E116" s="26" t="s">
        <v>629</v>
      </c>
      <c r="F116" s="26"/>
      <c r="G116" s="26" t="s">
        <v>438</v>
      </c>
      <c r="H116" s="26" t="s">
        <v>439</v>
      </c>
      <c r="I116" s="26" t="s">
        <v>422</v>
      </c>
      <c r="J116" s="27">
        <v>25.139367</v>
      </c>
      <c r="K116" s="27">
        <v>-80.294017</v>
      </c>
      <c r="L116" s="27">
        <v>2015.0</v>
      </c>
      <c r="M116" s="26" t="s">
        <v>441</v>
      </c>
    </row>
    <row r="117">
      <c r="A117" s="26" t="s">
        <v>297</v>
      </c>
      <c r="B117" s="26" t="s">
        <v>297</v>
      </c>
      <c r="C117" s="26" t="s">
        <v>297</v>
      </c>
      <c r="D117" s="26" t="s">
        <v>630</v>
      </c>
      <c r="E117" s="26" t="s">
        <v>631</v>
      </c>
      <c r="F117" s="26" t="s">
        <v>632</v>
      </c>
      <c r="G117" s="26" t="s">
        <v>438</v>
      </c>
      <c r="H117" s="26" t="s">
        <v>439</v>
      </c>
      <c r="I117" s="26" t="s">
        <v>422</v>
      </c>
      <c r="J117" s="27">
        <v>25.139367</v>
      </c>
      <c r="K117" s="27">
        <v>-80.294017</v>
      </c>
      <c r="L117" s="27">
        <v>2015.0</v>
      </c>
      <c r="M117" s="26" t="s">
        <v>441</v>
      </c>
    </row>
    <row r="118">
      <c r="A118" s="26" t="s">
        <v>78</v>
      </c>
      <c r="B118" s="26" t="s">
        <v>78</v>
      </c>
      <c r="C118" s="26" t="s">
        <v>78</v>
      </c>
      <c r="D118" s="26" t="s">
        <v>633</v>
      </c>
      <c r="E118" s="26" t="s">
        <v>634</v>
      </c>
      <c r="F118" s="26"/>
      <c r="G118" s="26" t="s">
        <v>438</v>
      </c>
      <c r="H118" s="26" t="s">
        <v>439</v>
      </c>
      <c r="I118" s="26" t="s">
        <v>422</v>
      </c>
      <c r="J118" s="27">
        <v>25.139367</v>
      </c>
      <c r="K118" s="27">
        <v>-80.294017</v>
      </c>
      <c r="L118" s="27">
        <v>2015.0</v>
      </c>
      <c r="M118" s="26" t="s">
        <v>441</v>
      </c>
    </row>
    <row r="119">
      <c r="A119" s="26" t="s">
        <v>635</v>
      </c>
      <c r="B119" s="26" t="s">
        <v>635</v>
      </c>
      <c r="C119" s="26" t="s">
        <v>635</v>
      </c>
      <c r="D119" s="26" t="s">
        <v>636</v>
      </c>
      <c r="E119" s="26" t="s">
        <v>637</v>
      </c>
      <c r="F119" s="26"/>
      <c r="G119" s="26" t="s">
        <v>438</v>
      </c>
      <c r="H119" s="26" t="s">
        <v>439</v>
      </c>
      <c r="I119" s="26" t="s">
        <v>422</v>
      </c>
      <c r="J119" s="27">
        <v>25.139367</v>
      </c>
      <c r="K119" s="27">
        <v>-80.294017</v>
      </c>
      <c r="L119" s="27">
        <v>2015.0</v>
      </c>
      <c r="M119" s="26" t="s">
        <v>441</v>
      </c>
    </row>
    <row r="120">
      <c r="A120" s="26" t="s">
        <v>638</v>
      </c>
      <c r="B120" s="26" t="s">
        <v>639</v>
      </c>
      <c r="C120" s="26" t="s">
        <v>640</v>
      </c>
      <c r="D120" s="26" t="s">
        <v>638</v>
      </c>
      <c r="E120" s="26" t="s">
        <v>641</v>
      </c>
      <c r="F120" s="26"/>
      <c r="G120" s="26" t="s">
        <v>438</v>
      </c>
      <c r="H120" s="26" t="s">
        <v>439</v>
      </c>
      <c r="I120" s="26" t="s">
        <v>422</v>
      </c>
      <c r="J120" s="27">
        <v>25.139367</v>
      </c>
      <c r="K120" s="27">
        <v>-80.294017</v>
      </c>
      <c r="L120" s="27">
        <v>2015.0</v>
      </c>
      <c r="M120" s="26" t="s">
        <v>441</v>
      </c>
    </row>
    <row r="121">
      <c r="A121" s="26" t="s">
        <v>87</v>
      </c>
      <c r="B121" s="26" t="s">
        <v>87</v>
      </c>
      <c r="C121" s="26" t="s">
        <v>87</v>
      </c>
      <c r="D121" s="26" t="s">
        <v>87</v>
      </c>
      <c r="E121" s="26" t="s">
        <v>642</v>
      </c>
      <c r="F121" s="26"/>
      <c r="G121" s="26" t="s">
        <v>438</v>
      </c>
      <c r="H121" s="26" t="s">
        <v>439</v>
      </c>
      <c r="I121" s="26" t="s">
        <v>422</v>
      </c>
      <c r="J121" s="27">
        <v>25.139367</v>
      </c>
      <c r="K121" s="27">
        <v>-80.294017</v>
      </c>
      <c r="L121" s="27">
        <v>2015.0</v>
      </c>
      <c r="M121" s="26" t="s">
        <v>441</v>
      </c>
    </row>
    <row r="122">
      <c r="A122" s="26" t="s">
        <v>643</v>
      </c>
      <c r="B122" s="26" t="s">
        <v>644</v>
      </c>
      <c r="C122" s="26" t="s">
        <v>645</v>
      </c>
      <c r="D122" s="26" t="s">
        <v>643</v>
      </c>
      <c r="E122" s="26" t="s">
        <v>646</v>
      </c>
      <c r="F122" s="26" t="s">
        <v>293</v>
      </c>
      <c r="G122" s="26" t="s">
        <v>438</v>
      </c>
      <c r="H122" s="26" t="s">
        <v>439</v>
      </c>
      <c r="I122" s="26" t="s">
        <v>422</v>
      </c>
      <c r="J122" s="27">
        <v>25.139367</v>
      </c>
      <c r="K122" s="27">
        <v>-80.294017</v>
      </c>
      <c r="L122" s="27">
        <v>2015.0</v>
      </c>
      <c r="M122" s="26" t="s">
        <v>441</v>
      </c>
    </row>
    <row r="123">
      <c r="A123" s="26" t="s">
        <v>44</v>
      </c>
      <c r="B123" s="26" t="s">
        <v>647</v>
      </c>
      <c r="C123" s="26" t="s">
        <v>648</v>
      </c>
      <c r="D123" s="26" t="s">
        <v>44</v>
      </c>
      <c r="E123" s="26" t="s">
        <v>649</v>
      </c>
      <c r="F123" s="26" t="s">
        <v>650</v>
      </c>
      <c r="G123" s="26" t="s">
        <v>438</v>
      </c>
      <c r="H123" s="26" t="s">
        <v>439</v>
      </c>
      <c r="I123" s="26" t="s">
        <v>422</v>
      </c>
      <c r="J123" s="27">
        <v>25.139367</v>
      </c>
      <c r="K123" s="27">
        <v>-80.294017</v>
      </c>
      <c r="L123" s="27">
        <v>2015.0</v>
      </c>
      <c r="M123" s="26" t="s">
        <v>441</v>
      </c>
    </row>
    <row r="124">
      <c r="A124" s="26" t="s">
        <v>651</v>
      </c>
      <c r="B124" s="26" t="s">
        <v>651</v>
      </c>
      <c r="C124" s="26" t="s">
        <v>651</v>
      </c>
      <c r="D124" s="26" t="s">
        <v>651</v>
      </c>
      <c r="E124" s="26" t="s">
        <v>652</v>
      </c>
      <c r="F124" s="26"/>
      <c r="G124" s="26" t="s">
        <v>438</v>
      </c>
      <c r="H124" s="26" t="s">
        <v>439</v>
      </c>
      <c r="I124" s="26" t="s">
        <v>422</v>
      </c>
      <c r="J124" s="27">
        <v>25.139367</v>
      </c>
      <c r="K124" s="27">
        <v>-80.294017</v>
      </c>
      <c r="L124" s="27">
        <v>2015.0</v>
      </c>
      <c r="M124" s="26" t="s">
        <v>441</v>
      </c>
    </row>
    <row r="125">
      <c r="A125" s="26" t="s">
        <v>653</v>
      </c>
      <c r="B125" s="26" t="s">
        <v>654</v>
      </c>
      <c r="C125" s="26" t="s">
        <v>655</v>
      </c>
      <c r="D125" s="26" t="s">
        <v>653</v>
      </c>
      <c r="E125" s="26" t="s">
        <v>656</v>
      </c>
      <c r="F125" s="26"/>
      <c r="G125" s="26" t="s">
        <v>438</v>
      </c>
      <c r="H125" s="26" t="s">
        <v>439</v>
      </c>
      <c r="I125" s="26" t="s">
        <v>422</v>
      </c>
      <c r="J125" s="27">
        <v>25.139367</v>
      </c>
      <c r="K125" s="27">
        <v>-80.294017</v>
      </c>
      <c r="L125" s="27">
        <v>2015.0</v>
      </c>
      <c r="M125" s="26" t="s">
        <v>441</v>
      </c>
    </row>
    <row r="126">
      <c r="A126" s="26" t="s">
        <v>657</v>
      </c>
      <c r="B126" s="26" t="s">
        <v>657</v>
      </c>
      <c r="C126" s="26" t="s">
        <v>657</v>
      </c>
      <c r="D126" s="26" t="s">
        <v>657</v>
      </c>
      <c r="E126" s="26" t="s">
        <v>658</v>
      </c>
      <c r="F126" s="26"/>
      <c r="G126" s="26" t="s">
        <v>438</v>
      </c>
      <c r="H126" s="26" t="s">
        <v>439</v>
      </c>
      <c r="I126" s="26" t="s">
        <v>422</v>
      </c>
      <c r="J126" s="27">
        <v>25.139367</v>
      </c>
      <c r="K126" s="27">
        <v>-80.294017</v>
      </c>
      <c r="L126" s="27">
        <v>2015.0</v>
      </c>
      <c r="M126" s="26" t="s">
        <v>441</v>
      </c>
    </row>
    <row r="127">
      <c r="A127" s="26" t="s">
        <v>139</v>
      </c>
      <c r="B127" s="26" t="s">
        <v>139</v>
      </c>
      <c r="C127" s="26" t="s">
        <v>139</v>
      </c>
      <c r="D127" s="26" t="s">
        <v>139</v>
      </c>
      <c r="E127" s="26" t="s">
        <v>659</v>
      </c>
      <c r="F127" s="26"/>
      <c r="G127" s="26" t="s">
        <v>438</v>
      </c>
      <c r="H127" s="26" t="s">
        <v>439</v>
      </c>
      <c r="I127" s="26" t="s">
        <v>422</v>
      </c>
      <c r="J127" s="27">
        <v>25.139367</v>
      </c>
      <c r="K127" s="27">
        <v>-80.294017</v>
      </c>
      <c r="L127" s="27">
        <v>2015.0</v>
      </c>
      <c r="M127" s="26" t="s">
        <v>441</v>
      </c>
    </row>
    <row r="128">
      <c r="A128" s="26" t="s">
        <v>660</v>
      </c>
      <c r="B128" s="26" t="s">
        <v>661</v>
      </c>
      <c r="C128" s="26" t="s">
        <v>662</v>
      </c>
      <c r="D128" s="26" t="s">
        <v>660</v>
      </c>
      <c r="E128" s="26" t="s">
        <v>663</v>
      </c>
      <c r="F128" s="26"/>
      <c r="G128" s="26" t="s">
        <v>438</v>
      </c>
      <c r="H128" s="26" t="s">
        <v>439</v>
      </c>
      <c r="I128" s="26" t="s">
        <v>422</v>
      </c>
      <c r="J128" s="27">
        <v>25.139367</v>
      </c>
      <c r="K128" s="27">
        <v>-80.294017</v>
      </c>
      <c r="L128" s="27">
        <v>2015.0</v>
      </c>
      <c r="M128" s="26" t="s">
        <v>441</v>
      </c>
    </row>
    <row r="129">
      <c r="A129" s="26" t="s">
        <v>664</v>
      </c>
      <c r="B129" s="26" t="s">
        <v>664</v>
      </c>
      <c r="C129" s="26" t="s">
        <v>664</v>
      </c>
      <c r="D129" s="26" t="s">
        <v>664</v>
      </c>
      <c r="E129" s="26" t="s">
        <v>665</v>
      </c>
      <c r="F129" s="26"/>
      <c r="G129" s="26" t="s">
        <v>438</v>
      </c>
      <c r="H129" s="26" t="s">
        <v>439</v>
      </c>
      <c r="I129" s="26" t="s">
        <v>422</v>
      </c>
      <c r="J129" s="27">
        <v>25.139367</v>
      </c>
      <c r="K129" s="27">
        <v>-80.294017</v>
      </c>
      <c r="L129" s="27">
        <v>2015.0</v>
      </c>
      <c r="M129" s="26" t="s">
        <v>441</v>
      </c>
    </row>
    <row r="130">
      <c r="A130" s="26" t="s">
        <v>242</v>
      </c>
      <c r="B130" s="26" t="s">
        <v>242</v>
      </c>
      <c r="C130" s="26" t="s">
        <v>242</v>
      </c>
      <c r="D130" s="26" t="s">
        <v>242</v>
      </c>
      <c r="E130" s="26" t="s">
        <v>666</v>
      </c>
      <c r="F130" s="26"/>
      <c r="G130" s="26" t="s">
        <v>438</v>
      </c>
      <c r="H130" s="26" t="s">
        <v>439</v>
      </c>
      <c r="I130" s="26" t="s">
        <v>422</v>
      </c>
      <c r="J130" s="27">
        <v>25.139367</v>
      </c>
      <c r="K130" s="27">
        <v>-80.294017</v>
      </c>
      <c r="L130" s="27">
        <v>2015.0</v>
      </c>
      <c r="M130" s="26" t="s">
        <v>441</v>
      </c>
    </row>
    <row r="131">
      <c r="A131" s="26" t="s">
        <v>607</v>
      </c>
      <c r="B131" s="26" t="s">
        <v>667</v>
      </c>
      <c r="C131" s="26" t="s">
        <v>668</v>
      </c>
      <c r="D131" s="26" t="s">
        <v>607</v>
      </c>
      <c r="E131" s="26" t="s">
        <v>669</v>
      </c>
      <c r="F131" s="26"/>
      <c r="G131" s="26" t="s">
        <v>438</v>
      </c>
      <c r="H131" s="26" t="s">
        <v>439</v>
      </c>
      <c r="I131" s="26" t="s">
        <v>422</v>
      </c>
      <c r="J131" s="27">
        <v>25.139367</v>
      </c>
      <c r="K131" s="27">
        <v>-80.294017</v>
      </c>
      <c r="L131" s="27">
        <v>2015.0</v>
      </c>
      <c r="M131" s="26" t="s">
        <v>441</v>
      </c>
    </row>
    <row r="132">
      <c r="A132" s="26" t="s">
        <v>670</v>
      </c>
      <c r="B132" s="26" t="s">
        <v>670</v>
      </c>
      <c r="C132" s="26" t="s">
        <v>670</v>
      </c>
      <c r="D132" s="26" t="s">
        <v>670</v>
      </c>
      <c r="E132" s="26" t="s">
        <v>671</v>
      </c>
      <c r="F132" s="26"/>
      <c r="G132" s="26" t="s">
        <v>438</v>
      </c>
      <c r="H132" s="26" t="s">
        <v>439</v>
      </c>
      <c r="I132" s="26" t="s">
        <v>422</v>
      </c>
      <c r="J132" s="27">
        <v>25.139367</v>
      </c>
      <c r="K132" s="27">
        <v>-80.294017</v>
      </c>
      <c r="L132" s="27">
        <v>2015.0</v>
      </c>
      <c r="M132" s="26" t="s">
        <v>441</v>
      </c>
    </row>
    <row r="133">
      <c r="A133" s="26" t="s">
        <v>672</v>
      </c>
      <c r="B133" s="26" t="s">
        <v>148</v>
      </c>
      <c r="C133" s="26" t="s">
        <v>148</v>
      </c>
      <c r="D133" s="26" t="s">
        <v>673</v>
      </c>
      <c r="E133" s="26" t="s">
        <v>673</v>
      </c>
      <c r="F133" s="26"/>
      <c r="G133" s="26" t="s">
        <v>420</v>
      </c>
      <c r="H133" s="26" t="s">
        <v>206</v>
      </c>
      <c r="I133" s="26" t="s">
        <v>207</v>
      </c>
      <c r="J133" s="27">
        <v>24.55107</v>
      </c>
      <c r="K133" s="27">
        <v>-81.80805</v>
      </c>
      <c r="L133" s="26" t="s">
        <v>208</v>
      </c>
      <c r="M133" s="26" t="s">
        <v>209</v>
      </c>
    </row>
    <row r="134">
      <c r="A134" s="26" t="s">
        <v>121</v>
      </c>
      <c r="B134" s="26" t="s">
        <v>121</v>
      </c>
      <c r="C134" s="26" t="s">
        <v>121</v>
      </c>
      <c r="D134" s="26" t="s">
        <v>121</v>
      </c>
      <c r="E134" s="26" t="s">
        <v>674</v>
      </c>
      <c r="F134" s="26"/>
      <c r="G134" s="26" t="s">
        <v>438</v>
      </c>
      <c r="H134" s="26" t="s">
        <v>439</v>
      </c>
      <c r="I134" s="26" t="s">
        <v>422</v>
      </c>
      <c r="J134" s="27">
        <v>25.139367</v>
      </c>
      <c r="K134" s="27">
        <v>-80.294017</v>
      </c>
      <c r="L134" s="27">
        <v>2015.0</v>
      </c>
      <c r="M134" s="26" t="s">
        <v>441</v>
      </c>
    </row>
    <row r="135">
      <c r="A135" s="26" t="s">
        <v>76</v>
      </c>
      <c r="B135" s="26" t="s">
        <v>76</v>
      </c>
      <c r="C135" s="26" t="s">
        <v>76</v>
      </c>
      <c r="D135" s="26" t="s">
        <v>675</v>
      </c>
      <c r="E135" s="26" t="s">
        <v>676</v>
      </c>
      <c r="F135" s="26"/>
      <c r="G135" s="26" t="s">
        <v>438</v>
      </c>
      <c r="H135" s="26" t="s">
        <v>439</v>
      </c>
      <c r="I135" s="26" t="s">
        <v>422</v>
      </c>
      <c r="J135" s="27">
        <v>25.139367</v>
      </c>
      <c r="K135" s="27">
        <v>-80.294017</v>
      </c>
      <c r="L135" s="27">
        <v>2015.0</v>
      </c>
      <c r="M135" s="26" t="s">
        <v>441</v>
      </c>
    </row>
    <row r="136">
      <c r="A136" s="26" t="s">
        <v>677</v>
      </c>
      <c r="B136" s="26" t="s">
        <v>677</v>
      </c>
      <c r="C136" s="26" t="s">
        <v>677</v>
      </c>
      <c r="D136" s="26" t="s">
        <v>677</v>
      </c>
      <c r="E136" s="26" t="s">
        <v>678</v>
      </c>
      <c r="F136" s="26"/>
      <c r="G136" s="26" t="s">
        <v>438</v>
      </c>
      <c r="H136" s="26" t="s">
        <v>439</v>
      </c>
      <c r="I136" s="26" t="s">
        <v>207</v>
      </c>
      <c r="J136" s="27">
        <v>25.139367</v>
      </c>
      <c r="K136" s="27">
        <v>-80.294017</v>
      </c>
      <c r="L136" s="27">
        <v>2015.0</v>
      </c>
      <c r="M136" s="26" t="s">
        <v>441</v>
      </c>
    </row>
    <row r="137">
      <c r="A137" s="26" t="s">
        <v>679</v>
      </c>
      <c r="B137" s="26" t="s">
        <v>679</v>
      </c>
      <c r="C137" s="26" t="s">
        <v>679</v>
      </c>
      <c r="D137" s="26" t="s">
        <v>679</v>
      </c>
      <c r="E137" s="26" t="s">
        <v>680</v>
      </c>
      <c r="F137" s="26"/>
      <c r="G137" s="26" t="s">
        <v>438</v>
      </c>
      <c r="H137" s="26" t="s">
        <v>439</v>
      </c>
      <c r="I137" s="26" t="s">
        <v>207</v>
      </c>
      <c r="J137" s="27">
        <v>25.139367</v>
      </c>
      <c r="K137" s="27">
        <v>-80.294017</v>
      </c>
      <c r="L137" s="27">
        <v>2015.0</v>
      </c>
      <c r="M137" s="26" t="s">
        <v>441</v>
      </c>
    </row>
    <row r="138">
      <c r="A138" s="26" t="s">
        <v>105</v>
      </c>
      <c r="B138" s="26" t="s">
        <v>105</v>
      </c>
      <c r="C138" s="26" t="s">
        <v>105</v>
      </c>
      <c r="D138" s="26" t="s">
        <v>681</v>
      </c>
      <c r="E138" s="26" t="s">
        <v>682</v>
      </c>
      <c r="F138" s="26"/>
      <c r="G138" s="26" t="s">
        <v>438</v>
      </c>
      <c r="H138" s="26" t="s">
        <v>439</v>
      </c>
      <c r="I138" s="26" t="s">
        <v>422</v>
      </c>
      <c r="J138" s="27">
        <v>25.139367</v>
      </c>
      <c r="K138" s="27">
        <v>-80.294017</v>
      </c>
      <c r="L138" s="27">
        <v>2015.0</v>
      </c>
      <c r="M138" s="26" t="s">
        <v>441</v>
      </c>
    </row>
    <row r="139">
      <c r="A139" s="26" t="s">
        <v>683</v>
      </c>
      <c r="B139" s="26" t="s">
        <v>683</v>
      </c>
      <c r="C139" s="26" t="s">
        <v>683</v>
      </c>
      <c r="D139" s="26" t="s">
        <v>683</v>
      </c>
      <c r="E139" s="26" t="s">
        <v>684</v>
      </c>
      <c r="F139" s="26"/>
      <c r="G139" s="26" t="s">
        <v>438</v>
      </c>
      <c r="H139" s="26" t="s">
        <v>439</v>
      </c>
      <c r="I139" s="26" t="s">
        <v>207</v>
      </c>
      <c r="J139" s="27">
        <v>25.139367</v>
      </c>
      <c r="K139" s="27">
        <v>-80.294017</v>
      </c>
      <c r="L139" s="27">
        <v>2015.0</v>
      </c>
      <c r="M139" s="26" t="s">
        <v>441</v>
      </c>
    </row>
    <row r="140">
      <c r="A140" s="26" t="s">
        <v>685</v>
      </c>
      <c r="B140" s="26" t="s">
        <v>685</v>
      </c>
      <c r="C140" s="26" t="s">
        <v>685</v>
      </c>
      <c r="D140" s="26" t="s">
        <v>686</v>
      </c>
      <c r="E140" s="26" t="s">
        <v>686</v>
      </c>
      <c r="F140" s="26"/>
      <c r="G140" s="26" t="s">
        <v>438</v>
      </c>
      <c r="H140" s="26"/>
      <c r="I140" s="26" t="s">
        <v>207</v>
      </c>
      <c r="J140" s="26"/>
      <c r="K140" s="26" t="s">
        <v>581</v>
      </c>
      <c r="L140" s="27">
        <v>2015.0</v>
      </c>
      <c r="M140" s="26"/>
    </row>
    <row r="141">
      <c r="A141" s="26" t="s">
        <v>687</v>
      </c>
      <c r="B141" s="26" t="s">
        <v>687</v>
      </c>
      <c r="C141" s="26" t="s">
        <v>687</v>
      </c>
      <c r="D141" s="26" t="s">
        <v>688</v>
      </c>
      <c r="E141" s="26" t="s">
        <v>688</v>
      </c>
      <c r="F141" s="26"/>
      <c r="G141" s="26" t="s">
        <v>438</v>
      </c>
      <c r="H141" s="26"/>
      <c r="I141" s="26" t="s">
        <v>207</v>
      </c>
      <c r="J141" s="26"/>
      <c r="K141" s="26" t="s">
        <v>581</v>
      </c>
      <c r="L141" s="27">
        <v>2015.0</v>
      </c>
      <c r="M141" s="26"/>
    </row>
    <row r="142">
      <c r="A142" s="26" t="s">
        <v>345</v>
      </c>
      <c r="B142" s="26" t="s">
        <v>345</v>
      </c>
      <c r="C142" s="26" t="s">
        <v>345</v>
      </c>
      <c r="D142" s="26" t="s">
        <v>689</v>
      </c>
      <c r="E142" s="26" t="s">
        <v>690</v>
      </c>
      <c r="F142" s="26"/>
      <c r="G142" s="26" t="s">
        <v>438</v>
      </c>
      <c r="H142" s="26"/>
      <c r="I142" s="26" t="s">
        <v>207</v>
      </c>
      <c r="J142" s="26"/>
      <c r="K142" s="26" t="s">
        <v>581</v>
      </c>
      <c r="L142" s="27">
        <v>2015.0</v>
      </c>
      <c r="M142" s="26"/>
    </row>
    <row r="143">
      <c r="A143" s="26" t="s">
        <v>99</v>
      </c>
      <c r="B143" s="26" t="s">
        <v>99</v>
      </c>
      <c r="C143" s="26" t="s">
        <v>99</v>
      </c>
      <c r="D143" s="26" t="s">
        <v>691</v>
      </c>
      <c r="E143" s="26" t="s">
        <v>692</v>
      </c>
      <c r="F143" s="26"/>
      <c r="G143" s="26" t="s">
        <v>438</v>
      </c>
      <c r="H143" s="26"/>
      <c r="I143" s="26" t="s">
        <v>207</v>
      </c>
      <c r="J143" s="26"/>
      <c r="K143" s="26" t="s">
        <v>581</v>
      </c>
      <c r="L143" s="27">
        <v>2015.0</v>
      </c>
      <c r="M143" s="26"/>
    </row>
    <row r="144">
      <c r="A144" s="26" t="s">
        <v>693</v>
      </c>
      <c r="B144" s="27">
        <v>15161.0</v>
      </c>
      <c r="C144" s="26" t="s">
        <v>694</v>
      </c>
      <c r="D144" s="26" t="s">
        <v>695</v>
      </c>
      <c r="E144" s="26" t="s">
        <v>694</v>
      </c>
      <c r="F144" s="26"/>
      <c r="G144" s="26" t="s">
        <v>438</v>
      </c>
      <c r="H144" s="26"/>
      <c r="I144" s="26" t="s">
        <v>207</v>
      </c>
      <c r="J144" s="26"/>
      <c r="K144" s="26" t="s">
        <v>581</v>
      </c>
      <c r="L144" s="27">
        <v>2015.0</v>
      </c>
      <c r="M144" s="26"/>
    </row>
    <row r="145">
      <c r="A145" s="26" t="s">
        <v>696</v>
      </c>
      <c r="B145" s="26" t="s">
        <v>64</v>
      </c>
      <c r="C145" s="26" t="s">
        <v>64</v>
      </c>
      <c r="D145" s="26" t="s">
        <v>697</v>
      </c>
      <c r="E145" s="26" t="s">
        <v>64</v>
      </c>
      <c r="F145" s="26"/>
      <c r="G145" s="26" t="s">
        <v>438</v>
      </c>
      <c r="H145" s="26"/>
      <c r="I145" s="26" t="s">
        <v>207</v>
      </c>
      <c r="J145" s="26"/>
      <c r="K145" s="26" t="s">
        <v>581</v>
      </c>
      <c r="L145" s="27">
        <v>2015.0</v>
      </c>
      <c r="M145" s="26"/>
    </row>
    <row r="146">
      <c r="A146" s="26" t="s">
        <v>46</v>
      </c>
      <c r="B146" s="26" t="s">
        <v>46</v>
      </c>
      <c r="C146" s="26" t="s">
        <v>46</v>
      </c>
      <c r="D146" s="26" t="s">
        <v>698</v>
      </c>
      <c r="E146" s="26" t="s">
        <v>698</v>
      </c>
      <c r="F146" s="26"/>
      <c r="G146" s="26" t="s">
        <v>420</v>
      </c>
      <c r="H146" s="26" t="s">
        <v>206</v>
      </c>
      <c r="I146" s="26" t="s">
        <v>207</v>
      </c>
      <c r="J146" s="27">
        <v>24.55107</v>
      </c>
      <c r="K146" s="27">
        <v>-81.80805</v>
      </c>
      <c r="L146" s="26" t="s">
        <v>208</v>
      </c>
      <c r="M146" s="26" t="s">
        <v>209</v>
      </c>
    </row>
    <row r="147">
      <c r="A147" s="26" t="s">
        <v>377</v>
      </c>
      <c r="B147" s="26" t="s">
        <v>377</v>
      </c>
      <c r="C147" s="26" t="s">
        <v>377</v>
      </c>
      <c r="D147" s="26" t="s">
        <v>699</v>
      </c>
      <c r="E147" s="26" t="s">
        <v>700</v>
      </c>
      <c r="F147" s="26"/>
      <c r="G147" s="26" t="s">
        <v>438</v>
      </c>
      <c r="H147" s="26"/>
      <c r="I147" s="26" t="s">
        <v>207</v>
      </c>
      <c r="J147" s="26"/>
      <c r="K147" s="26" t="s">
        <v>581</v>
      </c>
      <c r="L147" s="27">
        <v>2015.0</v>
      </c>
      <c r="M147" s="26"/>
    </row>
    <row r="148">
      <c r="A148" s="26" t="s">
        <v>60</v>
      </c>
      <c r="B148" s="26" t="s">
        <v>60</v>
      </c>
      <c r="C148" s="26" t="s">
        <v>60</v>
      </c>
      <c r="D148" s="26" t="s">
        <v>701</v>
      </c>
      <c r="E148" s="26" t="s">
        <v>702</v>
      </c>
      <c r="F148" s="26"/>
      <c r="G148" s="26" t="s">
        <v>438</v>
      </c>
      <c r="H148" s="26"/>
      <c r="I148" s="26" t="s">
        <v>207</v>
      </c>
      <c r="J148" s="26"/>
      <c r="K148" s="26" t="s">
        <v>581</v>
      </c>
      <c r="L148" s="27">
        <v>2015.0</v>
      </c>
      <c r="M148" s="26"/>
    </row>
    <row r="149">
      <c r="A149" s="26" t="s">
        <v>322</v>
      </c>
      <c r="B149" s="26" t="s">
        <v>322</v>
      </c>
      <c r="C149" s="26" t="s">
        <v>322</v>
      </c>
      <c r="D149" s="26" t="s">
        <v>703</v>
      </c>
      <c r="E149" s="26" t="s">
        <v>704</v>
      </c>
      <c r="F149" s="26"/>
      <c r="G149" s="26" t="s">
        <v>438</v>
      </c>
      <c r="H149" s="26"/>
      <c r="I149" s="26" t="s">
        <v>207</v>
      </c>
      <c r="J149" s="26"/>
      <c r="K149" s="26" t="s">
        <v>581</v>
      </c>
      <c r="L149" s="27">
        <v>2015.0</v>
      </c>
      <c r="M149" s="26"/>
    </row>
    <row r="150">
      <c r="A150" s="26" t="s">
        <v>143</v>
      </c>
      <c r="B150" s="26" t="s">
        <v>143</v>
      </c>
      <c r="C150" s="26" t="s">
        <v>143</v>
      </c>
      <c r="D150" s="26" t="s">
        <v>705</v>
      </c>
      <c r="E150" s="26" t="s">
        <v>705</v>
      </c>
      <c r="F150" s="26"/>
      <c r="G150" s="26" t="s">
        <v>420</v>
      </c>
      <c r="H150" s="26" t="s">
        <v>206</v>
      </c>
      <c r="I150" s="26" t="s">
        <v>207</v>
      </c>
      <c r="J150" s="27">
        <v>24.55107</v>
      </c>
      <c r="K150" s="27">
        <v>-81.80805</v>
      </c>
      <c r="L150" s="26" t="s">
        <v>208</v>
      </c>
      <c r="M150" s="26" t="s">
        <v>209</v>
      </c>
    </row>
    <row r="151">
      <c r="A151" s="26" t="s">
        <v>343</v>
      </c>
      <c r="B151" s="26" t="s">
        <v>343</v>
      </c>
      <c r="C151" s="26" t="s">
        <v>343</v>
      </c>
      <c r="D151" s="26" t="s">
        <v>706</v>
      </c>
      <c r="E151" s="26" t="s">
        <v>706</v>
      </c>
      <c r="F151" s="26"/>
      <c r="G151" s="26" t="s">
        <v>420</v>
      </c>
      <c r="H151" s="26" t="s">
        <v>206</v>
      </c>
      <c r="I151" s="26" t="s">
        <v>207</v>
      </c>
      <c r="J151" s="27">
        <v>24.55107</v>
      </c>
      <c r="K151" s="27">
        <v>-81.80805</v>
      </c>
      <c r="L151" s="26" t="s">
        <v>208</v>
      </c>
      <c r="M151" s="26" t="s">
        <v>209</v>
      </c>
    </row>
    <row r="152">
      <c r="A152" s="26" t="s">
        <v>272</v>
      </c>
      <c r="B152" s="26" t="s">
        <v>272</v>
      </c>
      <c r="C152" s="26" t="s">
        <v>272</v>
      </c>
      <c r="D152" s="26"/>
      <c r="E152" s="26" t="s">
        <v>419</v>
      </c>
      <c r="F152" s="26"/>
      <c r="G152" s="26" t="s">
        <v>420</v>
      </c>
      <c r="H152" s="26" t="s">
        <v>707</v>
      </c>
      <c r="I152" s="26" t="s">
        <v>422</v>
      </c>
      <c r="J152" s="27">
        <v>24.57888</v>
      </c>
      <c r="K152" s="27">
        <v>-81.49728</v>
      </c>
      <c r="L152" s="26" t="s">
        <v>708</v>
      </c>
      <c r="M152" s="26" t="s">
        <v>209</v>
      </c>
    </row>
    <row r="153">
      <c r="A153" s="26" t="s">
        <v>164</v>
      </c>
      <c r="B153" s="26" t="s">
        <v>164</v>
      </c>
      <c r="C153" s="26" t="s">
        <v>164</v>
      </c>
      <c r="D153" s="26"/>
      <c r="E153" s="26" t="s">
        <v>419</v>
      </c>
      <c r="F153" s="26"/>
      <c r="G153" s="26" t="s">
        <v>420</v>
      </c>
      <c r="H153" s="26" t="s">
        <v>709</v>
      </c>
      <c r="I153" s="26" t="s">
        <v>422</v>
      </c>
      <c r="J153" s="27">
        <v>24.55994</v>
      </c>
      <c r="K153" s="27">
        <v>-81.50162</v>
      </c>
      <c r="L153" s="26" t="s">
        <v>423</v>
      </c>
      <c r="M153" s="26" t="s">
        <v>209</v>
      </c>
    </row>
    <row r="154">
      <c r="A154" s="26" t="s">
        <v>287</v>
      </c>
      <c r="B154" s="26" t="s">
        <v>287</v>
      </c>
      <c r="C154" s="26" t="s">
        <v>287</v>
      </c>
      <c r="D154" s="26"/>
      <c r="E154" s="26" t="s">
        <v>419</v>
      </c>
      <c r="F154" s="26"/>
      <c r="G154" s="26" t="s">
        <v>420</v>
      </c>
      <c r="H154" s="26" t="s">
        <v>709</v>
      </c>
      <c r="I154" s="26" t="s">
        <v>422</v>
      </c>
      <c r="J154" s="27">
        <v>24.55994</v>
      </c>
      <c r="K154" s="27">
        <v>-81.50162</v>
      </c>
      <c r="L154" s="26" t="s">
        <v>423</v>
      </c>
      <c r="M154" s="26" t="s">
        <v>209</v>
      </c>
    </row>
    <row r="155">
      <c r="A155" s="26" t="s">
        <v>303</v>
      </c>
      <c r="B155" s="26" t="s">
        <v>303</v>
      </c>
      <c r="C155" s="26" t="s">
        <v>303</v>
      </c>
      <c r="D155" s="26"/>
      <c r="E155" s="26" t="s">
        <v>419</v>
      </c>
      <c r="F155" s="26"/>
      <c r="G155" s="26" t="s">
        <v>420</v>
      </c>
      <c r="H155" s="26" t="s">
        <v>421</v>
      </c>
      <c r="I155" s="26" t="s">
        <v>422</v>
      </c>
      <c r="J155" s="27">
        <v>24.58721</v>
      </c>
      <c r="K155" s="27">
        <v>-81.5783</v>
      </c>
      <c r="L155" s="26" t="s">
        <v>423</v>
      </c>
      <c r="M155" s="26" t="s">
        <v>209</v>
      </c>
    </row>
    <row r="156">
      <c r="A156" s="26" t="s">
        <v>710</v>
      </c>
      <c r="B156" s="26" t="s">
        <v>711</v>
      </c>
      <c r="C156" s="26" t="s">
        <v>136</v>
      </c>
      <c r="D156" s="26" t="s">
        <v>712</v>
      </c>
      <c r="E156" s="26" t="s">
        <v>713</v>
      </c>
      <c r="F156" s="26"/>
      <c r="G156" s="28" t="s">
        <v>420</v>
      </c>
      <c r="H156" s="28" t="s">
        <v>206</v>
      </c>
      <c r="I156" s="26" t="s">
        <v>207</v>
      </c>
      <c r="J156" s="28">
        <v>24.55107</v>
      </c>
      <c r="K156" s="28">
        <v>-81.80805</v>
      </c>
      <c r="L156" s="28" t="s">
        <v>208</v>
      </c>
      <c r="M156" s="28" t="s">
        <v>209</v>
      </c>
    </row>
  </sheetData>
  <drawing r:id="rId1"/>
</worksheet>
</file>