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oslawsyzdek/Documents/vibe/PSModel/PSModel/docs/"/>
    </mc:Choice>
  </mc:AlternateContent>
  <xr:revisionPtr revIDLastSave="0" documentId="8_{2881B0DE-3735-0A4B-B179-1FDDF2C477D6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Leads" sheetId="2" state="hidden" r:id="rId1"/>
    <sheet name="PMs PS payouts" sheetId="3" r:id="rId2"/>
    <sheet name="PS Model 2025" sheetId="4" r:id="rId3"/>
    <sheet name="PS Model 2024" sheetId="5" r:id="rId4"/>
    <sheet name="PS Model 2023" sheetId="6" r:id="rId5"/>
    <sheet name="PS Model 2022" sheetId="7" r:id="rId6"/>
    <sheet name="Mirek Revised PS Model 2021" sheetId="8" r:id="rId7"/>
    <sheet name="Revised PS Model 2021" sheetId="9" r:id="rId8"/>
    <sheet name="PS Model 2021" sheetId="10" r:id="rId9"/>
    <sheet name="Mirek Revised PS Model 2020" sheetId="11" r:id="rId10"/>
    <sheet name="Revised PS Model 2020" sheetId="12" r:id="rId11"/>
    <sheet name="PS Model 2020" sheetId="13" r:id="rId12"/>
    <sheet name="Mirek Revised PS Model 2019" sheetId="14" r:id="rId13"/>
    <sheet name="Revised PS Model 2019" sheetId="15" r:id="rId14"/>
    <sheet name="PS Model 2019" sheetId="16" r:id="rId15"/>
    <sheet name="Revised PS Model 2018" sheetId="17" r:id="rId16"/>
    <sheet name="PS Model 2018" sheetId="18" r:id="rId17"/>
    <sheet name="Mirek Revised PS Model 2017" sheetId="19" r:id="rId18"/>
    <sheet name="Revised PS Model 2017" sheetId="20" r:id="rId19"/>
    <sheet name="PS Model 2017" sheetId="21" r:id="rId20"/>
    <sheet name="PS Model 2017 Q2" sheetId="22" r:id="rId21"/>
    <sheet name="PS Model 2017 Q1" sheetId="23" r:id="rId22"/>
    <sheet name="Updated uncollectible PS Model " sheetId="24" r:id="rId23"/>
    <sheet name="QB Cleanup PS Model 2016" sheetId="25" r:id="rId24"/>
    <sheet name="Revised PS Model 2016" sheetId="26" r:id="rId25"/>
    <sheet name="PS Model 2016" sheetId="27" r:id="rId26"/>
    <sheet name="PS Model 2016 Q2" sheetId="28" r:id="rId27"/>
    <sheet name="PS Model 2016 Q1" sheetId="29" r:id="rId28"/>
    <sheet name="Revised PS Model 2015" sheetId="30" r:id="rId29"/>
    <sheet name="Copy of Revised PS Model 2015" sheetId="31" r:id="rId30"/>
    <sheet name="Revised PS Model 2014" sheetId="32" r:id="rId31"/>
    <sheet name="REVISED PS Model 2013" sheetId="33" r:id="rId32"/>
    <sheet name="REVISED 2012 2H" sheetId="34" r:id="rId33"/>
    <sheet name="PS Model 2015" sheetId="35" r:id="rId34"/>
    <sheet name="PS Model 2014" sheetId="36" r:id="rId35"/>
    <sheet name="PS Model 2013" sheetId="37" r:id="rId36"/>
    <sheet name="PS Model 2012" sheetId="38" r:id="rId37"/>
    <sheet name="Vacation" sheetId="39" state="hidden" r:id="rId38"/>
  </sheets>
  <definedNames>
    <definedName name="ColinSalary" localSheetId="29">'Copy of Revised PS Model 2015'!$B$6</definedName>
    <definedName name="ColinSalary" localSheetId="17">'Mirek Revised PS Model 2017'!$B$7</definedName>
    <definedName name="ColinSalary" localSheetId="12">'Mirek Revised PS Model 2019'!$B$7</definedName>
    <definedName name="ColinSalary" localSheetId="9">'Mirek Revised PS Model 2020'!$B$7</definedName>
    <definedName name="ColinSalary" localSheetId="6">'Mirek Revised PS Model 2021'!$B$7</definedName>
    <definedName name="ColinSalary" localSheetId="35">'PS Model 2013'!$B$5</definedName>
    <definedName name="ColinSalary" localSheetId="34">'PS Model 2014'!$B$6</definedName>
    <definedName name="ColinSalary" localSheetId="33">'PS Model 2015'!$B$6</definedName>
    <definedName name="ColinSalary" localSheetId="25">'PS Model 2016'!$B$7</definedName>
    <definedName name="ColinSalary" localSheetId="27">'PS Model 2016 Q1'!$B$7</definedName>
    <definedName name="ColinSalary" localSheetId="26">'PS Model 2016 Q2'!$B$7</definedName>
    <definedName name="ColinSalary" localSheetId="19">'PS Model 2017'!$B$7</definedName>
    <definedName name="ColinSalary" localSheetId="21">'PS Model 2017 Q1'!$B$7</definedName>
    <definedName name="ColinSalary" localSheetId="20">'PS Model 2017 Q2'!$B$7</definedName>
    <definedName name="ColinSalary" localSheetId="16">'PS Model 2018'!$B$7</definedName>
    <definedName name="ColinSalary" localSheetId="14">'PS Model 2019'!$B$7</definedName>
    <definedName name="ColinSalary" localSheetId="11">'PS Model 2020'!$B$7</definedName>
    <definedName name="ColinSalary" localSheetId="8">'PS Model 2021'!$B$7</definedName>
    <definedName name="ColinSalary" localSheetId="5">'PS Model 2022'!$B$7</definedName>
    <definedName name="ColinSalary" localSheetId="4">'PS Model 2023'!$B$9</definedName>
    <definedName name="ColinSalary" localSheetId="3">'PS Model 2024'!$B$9</definedName>
    <definedName name="ColinSalary" localSheetId="2">'PS Model 2025'!$B$9</definedName>
    <definedName name="ColinSalary" localSheetId="23">'QB Cleanup PS Model 2016'!$B$7</definedName>
    <definedName name="ColinSalary" localSheetId="32">'REVISED 2012 2H'!$B$5</definedName>
    <definedName name="ColinSalary" localSheetId="31">'REVISED PS Model 2013'!$B$5</definedName>
    <definedName name="ColinSalary" localSheetId="30">'Revised PS Model 2014'!$B$6</definedName>
    <definedName name="ColinSalary" localSheetId="28">'Revised PS Model 2015'!$B$6</definedName>
    <definedName name="ColinSalary" localSheetId="24">'Revised PS Model 2016'!$B$7</definedName>
    <definedName name="ColinSalary" localSheetId="18">'Revised PS Model 2017'!$B$7</definedName>
    <definedName name="ColinSalary" localSheetId="15">'Revised PS Model 2018'!$B$7</definedName>
    <definedName name="ColinSalary" localSheetId="13">'Revised PS Model 2019'!$B$7</definedName>
    <definedName name="ColinSalary" localSheetId="10">'Revised PS Model 2020'!$B$7</definedName>
    <definedName name="ColinSalary" localSheetId="7">'Revised PS Model 2021'!$B$7</definedName>
    <definedName name="ColinSalary" localSheetId="22">'Updated uncollectible PS Model '!$B$7</definedName>
    <definedName name="ColinSalary">'PS Model 2012'!$B$5</definedName>
    <definedName name="ColinShares" localSheetId="29">'Copy of Revised PS Model 2015'!$B$13</definedName>
    <definedName name="ColinShares" localSheetId="17">'Mirek Revised PS Model 2017'!$B$16</definedName>
    <definedName name="ColinShares" localSheetId="12">'Mirek Revised PS Model 2019'!$B$16</definedName>
    <definedName name="ColinShares" localSheetId="9">'Mirek Revised PS Model 2020'!$B$16</definedName>
    <definedName name="ColinShares" localSheetId="6">'Mirek Revised PS Model 2021'!$B$16</definedName>
    <definedName name="ColinShares" localSheetId="35">'PS Model 2013'!$B$12</definedName>
    <definedName name="ColinShares" localSheetId="34">'PS Model 2014'!$B$13</definedName>
    <definedName name="ColinShares" localSheetId="33">'PS Model 2015'!$B$13</definedName>
    <definedName name="ColinShares" localSheetId="25">'PS Model 2016'!$B$15</definedName>
    <definedName name="ColinShares" localSheetId="27">'PS Model 2016 Q1'!$B$14</definedName>
    <definedName name="ColinShares" localSheetId="26">'PS Model 2016 Q2'!$B$14</definedName>
    <definedName name="ColinShares" localSheetId="19">'PS Model 2017'!$B$15</definedName>
    <definedName name="ColinShares" localSheetId="21">'PS Model 2017 Q1'!$B$15</definedName>
    <definedName name="ColinShares" localSheetId="20">'PS Model 2017 Q2'!$B$15</definedName>
    <definedName name="ColinShares" localSheetId="16">'PS Model 2018'!$B$16</definedName>
    <definedName name="ColinShares" localSheetId="14">'PS Model 2019'!$B$16</definedName>
    <definedName name="ColinShares" localSheetId="11">'PS Model 2020'!$B$16</definedName>
    <definedName name="ColinShares" localSheetId="8">'PS Model 2021'!$B$16</definedName>
    <definedName name="ColinShares" localSheetId="5">'PS Model 2022'!$B$17</definedName>
    <definedName name="ColinShares" localSheetId="4">'PS Model 2023'!$B$19</definedName>
    <definedName name="ColinShares" localSheetId="3">'PS Model 2024'!$B$19</definedName>
    <definedName name="ColinShares" localSheetId="2">'PS Model 2025'!$B$19</definedName>
    <definedName name="ColinShares" localSheetId="23">'QB Cleanup PS Model 2016'!$B$15</definedName>
    <definedName name="ColinShares" localSheetId="32">'REVISED 2012 2H'!$B$14</definedName>
    <definedName name="ColinShares" localSheetId="31">'REVISED PS Model 2013'!$B$13</definedName>
    <definedName name="ColinShares" localSheetId="30">'Revised PS Model 2014'!$B$14</definedName>
    <definedName name="ColinShares" localSheetId="28">'Revised PS Model 2015'!$B$13</definedName>
    <definedName name="ColinShares" localSheetId="24">'Revised PS Model 2016'!$B$15</definedName>
    <definedName name="ColinShares" localSheetId="18">'Revised PS Model 2017'!$B$16</definedName>
    <definedName name="ColinShares" localSheetId="15">'Revised PS Model 2018'!$B$16</definedName>
    <definedName name="ColinShares" localSheetId="13">'Revised PS Model 2019'!$B$16</definedName>
    <definedName name="ColinShares" localSheetId="10">'Revised PS Model 2020'!$B$16</definedName>
    <definedName name="ColinShares" localSheetId="7">'Revised PS Model 2021'!$B$16</definedName>
    <definedName name="ColinShares" localSheetId="22">'Updated uncollectible PS Model '!$B$15</definedName>
    <definedName name="ColinShares">'PS Model 2012'!$B$12</definedName>
    <definedName name="firstColinPaidRow">'PMs PS payouts'!$AH$33</definedName>
    <definedName name="firstNotPaidRow">'PMs PS payouts'!$K$33</definedName>
    <definedName name="firstPaidRow">'PMs PS payouts'!$I$42</definedName>
    <definedName name="FronczykShares" localSheetId="29">'Copy of Revised PS Model 2015'!$B$14</definedName>
    <definedName name="FronczykShares" localSheetId="17">'Mirek Revised PS Model 2017'!$B$17</definedName>
    <definedName name="FronczykShares" localSheetId="12">'Mirek Revised PS Model 2019'!$B$17</definedName>
    <definedName name="FronczykShares" localSheetId="9">'Mirek Revised PS Model 2020'!$B$17</definedName>
    <definedName name="FronczykShares" localSheetId="6">'Mirek Revised PS Model 2021'!$B$17</definedName>
    <definedName name="FronczykShares" localSheetId="35">'PS Model 2013'!$B$13</definedName>
    <definedName name="FronczykShares" localSheetId="34">'PS Model 2014'!$B$14</definedName>
    <definedName name="FronczykShares" localSheetId="33">'PS Model 2015'!$B$14</definedName>
    <definedName name="FronczykShares" localSheetId="25">'PS Model 2016'!$B$16</definedName>
    <definedName name="FronczykShares" localSheetId="27">'PS Model 2016 Q1'!$B$15</definedName>
    <definedName name="FronczykShares" localSheetId="26">'PS Model 2016 Q2'!$B$15</definedName>
    <definedName name="FronczykShares" localSheetId="19">'PS Model 2017'!$B$16</definedName>
    <definedName name="FronczykShares" localSheetId="21">'PS Model 2017 Q1'!$B$16</definedName>
    <definedName name="FronczykShares" localSheetId="20">'PS Model 2017 Q2'!$B$16</definedName>
    <definedName name="FronczykShares" localSheetId="16">'PS Model 2018'!$B$17</definedName>
    <definedName name="FronczykShares" localSheetId="14">'PS Model 2019'!$B$17</definedName>
    <definedName name="FronczykShares" localSheetId="11">'PS Model 2020'!$B$17</definedName>
    <definedName name="FronczykShares" localSheetId="8">'PS Model 2021'!$B$17</definedName>
    <definedName name="FronczykShares" localSheetId="5">'PS Model 2022'!$B$18</definedName>
    <definedName name="FronczykShares" localSheetId="4">'PS Model 2023'!$B$20</definedName>
    <definedName name="FronczykShares" localSheetId="3">'PS Model 2024'!$B$20</definedName>
    <definedName name="FronczykShares" localSheetId="2">'PS Model 2025'!$B$20</definedName>
    <definedName name="FronczykShares" localSheetId="23">'QB Cleanup PS Model 2016'!$B$16</definedName>
    <definedName name="FronczykShares" localSheetId="32">'REVISED 2012 2H'!$B$15</definedName>
    <definedName name="FronczykShares" localSheetId="31">'REVISED PS Model 2013'!$B$14</definedName>
    <definedName name="FronczykShares" localSheetId="30">'Revised PS Model 2014'!$B$15</definedName>
    <definedName name="FronczykShares" localSheetId="28">'Revised PS Model 2015'!$B$14</definedName>
    <definedName name="FronczykShares" localSheetId="24">'Revised PS Model 2016'!$B$16</definedName>
    <definedName name="FronczykShares" localSheetId="18">'Revised PS Model 2017'!$B$17</definedName>
    <definedName name="FronczykShares" localSheetId="15">'Revised PS Model 2018'!$B$17</definedName>
    <definedName name="FronczykShares" localSheetId="13">'Revised PS Model 2019'!$B$17</definedName>
    <definedName name="FronczykShares" localSheetId="10">'Revised PS Model 2020'!$B$17</definedName>
    <definedName name="FronczykShares" localSheetId="7">'Revised PS Model 2021'!$B$17</definedName>
    <definedName name="FronczykShares" localSheetId="22">'Updated uncollectible PS Model '!$B$16</definedName>
    <definedName name="FronczykShares">'PS Model 2012'!$B$13</definedName>
    <definedName name="TotalShares" localSheetId="29">'Copy of Revised PS Model 2015'!$B$12</definedName>
    <definedName name="TotalShares" localSheetId="17">'Mirek Revised PS Model 2017'!$B$15</definedName>
    <definedName name="TotalShares" localSheetId="12">'Mirek Revised PS Model 2019'!$B$15</definedName>
    <definedName name="TotalShares" localSheetId="9">'Mirek Revised PS Model 2020'!$B$15</definedName>
    <definedName name="TotalShares" localSheetId="6">'Mirek Revised PS Model 2021'!$B$15</definedName>
    <definedName name="TotalShares" localSheetId="35">'PS Model 2013'!$B$11</definedName>
    <definedName name="TotalShares" localSheetId="34">'PS Model 2014'!$B$12</definedName>
    <definedName name="TotalShares" localSheetId="33">'PS Model 2015'!$B$12</definedName>
    <definedName name="TotalShares" localSheetId="25">'PS Model 2016'!$B$14</definedName>
    <definedName name="TotalShares" localSheetId="27">'PS Model 2016 Q1'!$B$13</definedName>
    <definedName name="TotalShares" localSheetId="26">'PS Model 2016 Q2'!$B$13</definedName>
    <definedName name="TotalShares" localSheetId="19">'PS Model 2017'!$B$14</definedName>
    <definedName name="TotalShares" localSheetId="21">'PS Model 2017 Q1'!$B$14</definedName>
    <definedName name="TotalShares" localSheetId="20">'PS Model 2017 Q2'!$B$14</definedName>
    <definedName name="TotalShares" localSheetId="16">'PS Model 2018'!$B$15</definedName>
    <definedName name="TotalShares" localSheetId="14">'PS Model 2019'!$B$15</definedName>
    <definedName name="TotalShares" localSheetId="11">'PS Model 2020'!$B$15</definedName>
    <definedName name="TotalShares" localSheetId="8">'PS Model 2021'!$B$15</definedName>
    <definedName name="TotalShares" localSheetId="5">'PS Model 2022'!$B$16</definedName>
    <definedName name="TotalShares" localSheetId="4">'PS Model 2023'!$B$18</definedName>
    <definedName name="TotalShares" localSheetId="3">'PS Model 2024'!$B$18</definedName>
    <definedName name="TotalShares" localSheetId="2">'PS Model 2025'!$B$18</definedName>
    <definedName name="TotalShares" localSheetId="23">'QB Cleanup PS Model 2016'!$B$14</definedName>
    <definedName name="TotalShares" localSheetId="32">'REVISED 2012 2H'!$B$13</definedName>
    <definedName name="TotalShares" localSheetId="31">'REVISED PS Model 2013'!$B$11</definedName>
    <definedName name="TotalShares" localSheetId="30">'Revised PS Model 2014'!$B$13</definedName>
    <definedName name="TotalShares" localSheetId="28">'Revised PS Model 2015'!$B$12</definedName>
    <definedName name="TotalShares" localSheetId="24">'Revised PS Model 2016'!$B$14</definedName>
    <definedName name="TotalShares" localSheetId="18">'Revised PS Model 2017'!$B$15</definedName>
    <definedName name="TotalShares" localSheetId="15">'Revised PS Model 2018'!$B$15</definedName>
    <definedName name="TotalShares" localSheetId="13">'Revised PS Model 2019'!$B$15</definedName>
    <definedName name="TotalShares" localSheetId="10">'Revised PS Model 2020'!$B$15</definedName>
    <definedName name="TotalShares" localSheetId="7">'Revised PS Model 2021'!$B$15</definedName>
    <definedName name="TotalShares" localSheetId="22">'Updated uncollectible PS Model '!$B$14</definedName>
    <definedName name="TotalShares">'PS Model 2012'!$B$11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8" l="1"/>
  <c r="AP8" i="38"/>
  <c r="AD8" i="38"/>
  <c r="AA8" i="38"/>
  <c r="X8" i="38"/>
  <c r="U8" i="38"/>
  <c r="R8" i="38"/>
  <c r="O8" i="38"/>
  <c r="L8" i="38"/>
  <c r="L7" i="38"/>
  <c r="I7" i="38"/>
  <c r="F7" i="38"/>
  <c r="AP6" i="38" a="1"/>
  <c r="AP6" i="38" s="1"/>
  <c r="AP7" i="38" s="1"/>
  <c r="AM6" i="38" a="1"/>
  <c r="AM6" i="38" s="1"/>
  <c r="AM7" i="38" s="1"/>
  <c r="AJ6" i="38" a="1"/>
  <c r="AJ6" i="38"/>
  <c r="AJ7" i="38" s="1"/>
  <c r="AG6" i="38" a="1"/>
  <c r="AG6" i="38" s="1"/>
  <c r="AD6" i="38" a="1"/>
  <c r="AD6" i="38" s="1"/>
  <c r="AA6" i="38" a="1"/>
  <c r="AA6" i="38" s="1"/>
  <c r="X6" i="38"/>
  <c r="U6" i="38"/>
  <c r="R6" i="38"/>
  <c r="O6" i="38"/>
  <c r="O7" i="38" s="1"/>
  <c r="L6" i="38"/>
  <c r="I6" i="38"/>
  <c r="F6" i="38"/>
  <c r="C6" i="38"/>
  <c r="AP5" i="38"/>
  <c r="AM5" i="38"/>
  <c r="AJ5" i="38"/>
  <c r="AG5" i="38"/>
  <c r="AD5" i="38"/>
  <c r="AD7" i="38" s="1"/>
  <c r="AA5" i="38"/>
  <c r="AA7" i="38" s="1"/>
  <c r="X5" i="38"/>
  <c r="X7" i="38" s="1"/>
  <c r="X12" i="38" s="1"/>
  <c r="Z12" i="38" s="1"/>
  <c r="U5" i="38"/>
  <c r="U7" i="38" s="1"/>
  <c r="R5" i="38"/>
  <c r="R7" i="38" s="1"/>
  <c r="O5" i="38"/>
  <c r="L5" i="38"/>
  <c r="I5" i="38"/>
  <c r="F5" i="38"/>
  <c r="C5" i="38"/>
  <c r="C7" i="38" s="1"/>
  <c r="AS4" i="38"/>
  <c r="AP2" i="38"/>
  <c r="AM2" i="38"/>
  <c r="AJ2" i="38"/>
  <c r="AG2" i="38"/>
  <c r="AD2" i="38"/>
  <c r="AA2" i="38"/>
  <c r="X2" i="38"/>
  <c r="U2" i="38"/>
  <c r="R2" i="38"/>
  <c r="O2" i="38"/>
  <c r="AS3" i="38" s="1"/>
  <c r="L2" i="38"/>
  <c r="I2" i="38"/>
  <c r="F2" i="38"/>
  <c r="C2" i="38"/>
  <c r="AS6" i="38" s="1"/>
  <c r="L13" i="37"/>
  <c r="N13" i="37" s="1"/>
  <c r="B11" i="37"/>
  <c r="AA8" i="37" s="1"/>
  <c r="AJ8" i="37"/>
  <c r="AG8" i="37"/>
  <c r="R8" i="37"/>
  <c r="R12" i="37" s="1"/>
  <c r="T12" i="37" s="1"/>
  <c r="O8" i="37"/>
  <c r="L8" i="37"/>
  <c r="I8" i="37"/>
  <c r="F8" i="37"/>
  <c r="C8" i="37"/>
  <c r="X7" i="37"/>
  <c r="R7" i="37"/>
  <c r="R13" i="37" s="1"/>
  <c r="T13" i="37" s="1"/>
  <c r="O7" i="37"/>
  <c r="AJ6" i="37"/>
  <c r="AG6" i="37"/>
  <c r="AD6" i="37"/>
  <c r="AA6" i="37"/>
  <c r="X6" i="37"/>
  <c r="U6" i="37"/>
  <c r="U7" i="37" s="1"/>
  <c r="R6" i="37"/>
  <c r="O6" i="37"/>
  <c r="L6" i="37"/>
  <c r="I6" i="37"/>
  <c r="F6" i="37"/>
  <c r="C6" i="37"/>
  <c r="AJ5" i="37"/>
  <c r="AJ7" i="37" s="1"/>
  <c r="AG5" i="37"/>
  <c r="AD5" i="37"/>
  <c r="AD7" i="37" s="1"/>
  <c r="AA5" i="37"/>
  <c r="AA7" i="37" s="1"/>
  <c r="X5" i="37"/>
  <c r="U5" i="37"/>
  <c r="R5" i="37"/>
  <c r="O5" i="37"/>
  <c r="L5" i="37"/>
  <c r="L7" i="37" s="1"/>
  <c r="L12" i="37" s="1"/>
  <c r="N12" i="37" s="1"/>
  <c r="I5" i="37"/>
  <c r="I7" i="37" s="1"/>
  <c r="F5" i="37"/>
  <c r="F7" i="37" s="1"/>
  <c r="C5" i="37"/>
  <c r="AJ2" i="37"/>
  <c r="AG2" i="37"/>
  <c r="AD2" i="37"/>
  <c r="AA2" i="37"/>
  <c r="X2" i="37"/>
  <c r="U2" i="37"/>
  <c r="R2" i="37"/>
  <c r="O2" i="37"/>
  <c r="L2" i="37"/>
  <c r="I2" i="37"/>
  <c r="F2" i="37"/>
  <c r="C2" i="37"/>
  <c r="B17" i="36"/>
  <c r="M14" i="36" s="1"/>
  <c r="O14" i="36" s="1"/>
  <c r="B16" i="36"/>
  <c r="B12" i="36"/>
  <c r="AK10" i="36"/>
  <c r="AH10" i="36"/>
  <c r="AE10" i="36"/>
  <c r="AB10" i="36"/>
  <c r="M10" i="36"/>
  <c r="G10" i="36"/>
  <c r="D10" i="36"/>
  <c r="AN9" i="36"/>
  <c r="AE8" i="36"/>
  <c r="Y8" i="36"/>
  <c r="V8" i="36"/>
  <c r="AK7" i="36"/>
  <c r="AK8" i="36" s="1"/>
  <c r="AH7" i="36"/>
  <c r="AH8" i="36" s="1"/>
  <c r="AH13" i="36" s="1"/>
  <c r="AJ13" i="36" s="1"/>
  <c r="AE7" i="36"/>
  <c r="AB7" i="36"/>
  <c r="AB8" i="36" s="1"/>
  <c r="Y7" i="36"/>
  <c r="V7" i="36"/>
  <c r="S7" i="36"/>
  <c r="P7" i="36"/>
  <c r="M7" i="36"/>
  <c r="J7" i="36"/>
  <c r="G7" i="36"/>
  <c r="G8" i="36" s="1"/>
  <c r="D7" i="36"/>
  <c r="D8" i="36" s="1"/>
  <c r="D13" i="36" s="1"/>
  <c r="F13" i="36" s="1"/>
  <c r="AK6" i="36"/>
  <c r="AH6" i="36"/>
  <c r="AE6" i="36"/>
  <c r="AB6" i="36"/>
  <c r="Y6" i="36"/>
  <c r="Y10" i="36" s="1"/>
  <c r="V6" i="36"/>
  <c r="V10" i="36" s="1"/>
  <c r="S6" i="36"/>
  <c r="P6" i="36"/>
  <c r="P10" i="36" s="1"/>
  <c r="M6" i="36"/>
  <c r="M8" i="36" s="1"/>
  <c r="M13" i="36" s="1"/>
  <c r="O13" i="36" s="1"/>
  <c r="J6" i="36"/>
  <c r="G6" i="36"/>
  <c r="D6" i="36"/>
  <c r="AK3" i="36"/>
  <c r="AH3" i="36"/>
  <c r="AE3" i="36"/>
  <c r="AB3" i="36"/>
  <c r="Y3" i="36"/>
  <c r="V3" i="36"/>
  <c r="S3" i="36"/>
  <c r="P3" i="36"/>
  <c r="M3" i="36"/>
  <c r="AN5" i="36" s="1"/>
  <c r="J3" i="36"/>
  <c r="G3" i="36"/>
  <c r="D3" i="36"/>
  <c r="AK2" i="36"/>
  <c r="AH2" i="36"/>
  <c r="AE2" i="36"/>
  <c r="AB2" i="36"/>
  <c r="Y2" i="36"/>
  <c r="V2" i="36"/>
  <c r="S2" i="36"/>
  <c r="AP4" i="36" s="1"/>
  <c r="P2" i="36"/>
  <c r="M2" i="36"/>
  <c r="J2" i="36"/>
  <c r="G2" i="36"/>
  <c r="D2" i="36"/>
  <c r="AV18" i="35"/>
  <c r="AR18" i="35"/>
  <c r="AN18" i="35"/>
  <c r="AJ18" i="35"/>
  <c r="AF18" i="35"/>
  <c r="AB18" i="35"/>
  <c r="X18" i="35"/>
  <c r="Y13" i="35" s="1"/>
  <c r="T18" i="35"/>
  <c r="P18" i="35"/>
  <c r="L18" i="35"/>
  <c r="H18" i="35"/>
  <c r="D18" i="35"/>
  <c r="AS17" i="35"/>
  <c r="AU17" i="35" s="1"/>
  <c r="Y17" i="35"/>
  <c r="AA17" i="35" s="1"/>
  <c r="G17" i="35"/>
  <c r="E17" i="35"/>
  <c r="C17" i="35"/>
  <c r="E16" i="35"/>
  <c r="G16" i="35" s="1"/>
  <c r="C16" i="35"/>
  <c r="U15" i="35"/>
  <c r="W15" i="35" s="1"/>
  <c r="C15" i="35"/>
  <c r="AG14" i="35"/>
  <c r="AI14" i="35" s="1"/>
  <c r="AS13" i="35"/>
  <c r="AU13" i="35" s="1"/>
  <c r="R13" i="35"/>
  <c r="F13" i="35"/>
  <c r="D7" i="35" s="1"/>
  <c r="D8" i="35" s="1"/>
  <c r="E13" i="35"/>
  <c r="AR10" i="35"/>
  <c r="AN10" i="35"/>
  <c r="AJ10" i="35"/>
  <c r="AF10" i="35"/>
  <c r="AB10" i="35"/>
  <c r="X10" i="35"/>
  <c r="D10" i="35"/>
  <c r="P9" i="35"/>
  <c r="D9" i="35"/>
  <c r="AJ8" i="35"/>
  <c r="AK16" i="35" s="1"/>
  <c r="AM16" i="35" s="1"/>
  <c r="AF8" i="35"/>
  <c r="AG13" i="35" s="1"/>
  <c r="X8" i="35"/>
  <c r="Y14" i="35" s="1"/>
  <c r="AA14" i="35" s="1"/>
  <c r="T8" i="35"/>
  <c r="AV7" i="35"/>
  <c r="AR7" i="35"/>
  <c r="AR8" i="35" s="1"/>
  <c r="AS15" i="35" s="1"/>
  <c r="AU15" i="35" s="1"/>
  <c r="AN7" i="35"/>
  <c r="AN8" i="35" s="1"/>
  <c r="AJ7" i="35"/>
  <c r="AF7" i="35"/>
  <c r="AB7" i="35"/>
  <c r="X7" i="35"/>
  <c r="T7" i="35"/>
  <c r="P7" i="35"/>
  <c r="L7" i="35"/>
  <c r="H7" i="35"/>
  <c r="AV6" i="35"/>
  <c r="AV10" i="35" s="1"/>
  <c r="AR6" i="35"/>
  <c r="AN6" i="35"/>
  <c r="AJ6" i="35"/>
  <c r="AF6" i="35"/>
  <c r="AB6" i="35"/>
  <c r="AB8" i="35" s="1"/>
  <c r="X6" i="35"/>
  <c r="T6" i="35"/>
  <c r="T10" i="35" s="1"/>
  <c r="P6" i="35"/>
  <c r="P8" i="35" s="1"/>
  <c r="L6" i="35"/>
  <c r="H6" i="35"/>
  <c r="D6" i="35"/>
  <c r="BB4" i="35"/>
  <c r="AV3" i="35"/>
  <c r="AR3" i="35"/>
  <c r="AN3" i="35"/>
  <c r="AJ3" i="35"/>
  <c r="AF3" i="35"/>
  <c r="AB3" i="35"/>
  <c r="X3" i="35"/>
  <c r="T3" i="35"/>
  <c r="P3" i="35"/>
  <c r="L3" i="35"/>
  <c r="H3" i="35"/>
  <c r="D3" i="35"/>
  <c r="AV2" i="35"/>
  <c r="AR2" i="35"/>
  <c r="AN2" i="35"/>
  <c r="AJ2" i="35"/>
  <c r="AF2" i="35"/>
  <c r="AB2" i="35"/>
  <c r="X2" i="35"/>
  <c r="BB9" i="35" s="1"/>
  <c r="T2" i="35"/>
  <c r="P2" i="35"/>
  <c r="L2" i="35"/>
  <c r="H2" i="35"/>
  <c r="D2" i="35"/>
  <c r="AR24" i="34"/>
  <c r="AR23" i="34"/>
  <c r="AR21" i="34"/>
  <c r="AR20" i="34"/>
  <c r="AR18" i="34"/>
  <c r="AR17" i="34"/>
  <c r="B13" i="34"/>
  <c r="AP10" i="34"/>
  <c r="AA10" i="34"/>
  <c r="X10" i="34"/>
  <c r="AP8" i="34"/>
  <c r="AM8" i="34"/>
  <c r="AM15" i="34" s="1"/>
  <c r="AO15" i="34" s="1"/>
  <c r="AG8" i="34"/>
  <c r="AD8" i="34"/>
  <c r="F8" i="34"/>
  <c r="C8" i="34"/>
  <c r="AM7" i="34"/>
  <c r="L7" i="34"/>
  <c r="AP6" i="34"/>
  <c r="AM6" i="34"/>
  <c r="AJ6" i="34"/>
  <c r="AG6" i="34"/>
  <c r="AD6" i="34"/>
  <c r="AA6" i="34"/>
  <c r="AA7" i="34" s="1"/>
  <c r="X6" i="34"/>
  <c r="X7" i="34" s="1"/>
  <c r="U6" i="34"/>
  <c r="R6" i="34"/>
  <c r="R7" i="34" s="1"/>
  <c r="O6" i="34"/>
  <c r="L6" i="34"/>
  <c r="I6" i="34"/>
  <c r="F6" i="34"/>
  <c r="C6" i="34"/>
  <c r="AP5" i="34"/>
  <c r="AP7" i="34" s="1"/>
  <c r="AM5" i="34"/>
  <c r="AM10" i="34" s="1"/>
  <c r="AJ5" i="34"/>
  <c r="AJ10" i="34" s="1"/>
  <c r="AG5" i="34"/>
  <c r="AG10" i="34" s="1"/>
  <c r="AD5" i="34"/>
  <c r="AA5" i="34"/>
  <c r="X5" i="34"/>
  <c r="U5" i="34"/>
  <c r="U10" i="34" s="1"/>
  <c r="R5" i="34"/>
  <c r="R10" i="34" s="1"/>
  <c r="O5" i="34"/>
  <c r="O10" i="34" s="1"/>
  <c r="L5" i="34"/>
  <c r="L10" i="34" s="1"/>
  <c r="I5" i="34"/>
  <c r="F5" i="34"/>
  <c r="F10" i="34" s="1"/>
  <c r="C5" i="34"/>
  <c r="AJ3" i="34"/>
  <c r="AP2" i="34"/>
  <c r="AM2" i="34"/>
  <c r="AJ2" i="34"/>
  <c r="AG2" i="34"/>
  <c r="AD2" i="34"/>
  <c r="AA2" i="34"/>
  <c r="X2" i="34"/>
  <c r="U2" i="34"/>
  <c r="R2" i="34"/>
  <c r="O2" i="34"/>
  <c r="L2" i="34"/>
  <c r="I2" i="34"/>
  <c r="F2" i="34"/>
  <c r="C2" i="34"/>
  <c r="AS6" i="34" s="1"/>
  <c r="B18" i="33"/>
  <c r="I15" i="33"/>
  <c r="K15" i="33" s="1"/>
  <c r="H15" i="33"/>
  <c r="I14" i="33"/>
  <c r="K14" i="33" s="1"/>
  <c r="B13" i="33"/>
  <c r="B17" i="33" s="1"/>
  <c r="U10" i="33"/>
  <c r="R10" i="33"/>
  <c r="O10" i="33"/>
  <c r="I10" i="33"/>
  <c r="F10" i="33"/>
  <c r="AJ8" i="33"/>
  <c r="AJ15" i="33" s="1"/>
  <c r="AL15" i="33" s="1"/>
  <c r="I8" i="33"/>
  <c r="F8" i="33"/>
  <c r="F15" i="33" s="1"/>
  <c r="C8" i="33"/>
  <c r="AJ7" i="33"/>
  <c r="AG7" i="33"/>
  <c r="AD7" i="33"/>
  <c r="AA7" i="33"/>
  <c r="X7" i="33"/>
  <c r="U7" i="33"/>
  <c r="R7" i="33"/>
  <c r="R8" i="33" s="1"/>
  <c r="O7" i="33"/>
  <c r="O8" i="33" s="1"/>
  <c r="L7" i="33"/>
  <c r="I7" i="33"/>
  <c r="F7" i="33"/>
  <c r="C7" i="33"/>
  <c r="AJ6" i="33"/>
  <c r="AJ10" i="33" s="1"/>
  <c r="AG6" i="33"/>
  <c r="AG10" i="33" s="1"/>
  <c r="AD6" i="33"/>
  <c r="AD10" i="33" s="1"/>
  <c r="AA6" i="33"/>
  <c r="AA8" i="33" s="1"/>
  <c r="AA15" i="33" s="1"/>
  <c r="AC15" i="33" s="1"/>
  <c r="X6" i="33"/>
  <c r="U6" i="33"/>
  <c r="U8" i="33" s="1"/>
  <c r="U15" i="33" s="1"/>
  <c r="W15" i="33" s="1"/>
  <c r="R6" i="33"/>
  <c r="O6" i="33"/>
  <c r="L6" i="33"/>
  <c r="I6" i="33"/>
  <c r="F6" i="33"/>
  <c r="C6" i="33"/>
  <c r="C10" i="33" s="1"/>
  <c r="AJ4" i="33"/>
  <c r="AJ3" i="33"/>
  <c r="AG3" i="33"/>
  <c r="AD3" i="33"/>
  <c r="AA3" i="33"/>
  <c r="X3" i="33"/>
  <c r="U3" i="33"/>
  <c r="R3" i="33"/>
  <c r="O3" i="33"/>
  <c r="L3" i="33"/>
  <c r="I3" i="33"/>
  <c r="F3" i="33"/>
  <c r="C3" i="33"/>
  <c r="AJ2" i="33"/>
  <c r="AG2" i="33"/>
  <c r="AD2" i="33"/>
  <c r="AA2" i="33"/>
  <c r="X2" i="33"/>
  <c r="U2" i="33"/>
  <c r="AO4" i="33" s="1"/>
  <c r="R2" i="33"/>
  <c r="O2" i="33"/>
  <c r="L2" i="33"/>
  <c r="I2" i="33"/>
  <c r="F2" i="33"/>
  <c r="C2" i="33"/>
  <c r="B18" i="32"/>
  <c r="B17" i="32"/>
  <c r="V14" i="32" s="1"/>
  <c r="X14" i="32" s="1"/>
  <c r="AL15" i="32"/>
  <c r="AK7" i="32" s="1"/>
  <c r="AH15" i="32"/>
  <c r="AJ15" i="32" s="1"/>
  <c r="AE15" i="32"/>
  <c r="AG15" i="32" s="1"/>
  <c r="D15" i="32"/>
  <c r="F15" i="32" s="1"/>
  <c r="D14" i="32"/>
  <c r="F14" i="32" s="1"/>
  <c r="B13" i="32"/>
  <c r="Y10" i="32"/>
  <c r="V10" i="32"/>
  <c r="S10" i="32"/>
  <c r="P10" i="32"/>
  <c r="J10" i="32"/>
  <c r="AB9" i="32"/>
  <c r="E9" i="32"/>
  <c r="AE8" i="32"/>
  <c r="M8" i="32"/>
  <c r="D8" i="32"/>
  <c r="AH7" i="32"/>
  <c r="AE7" i="32"/>
  <c r="AB7" i="32"/>
  <c r="Y7" i="32"/>
  <c r="V7" i="32"/>
  <c r="V8" i="32" s="1"/>
  <c r="S7" i="32"/>
  <c r="S8" i="32" s="1"/>
  <c r="S14" i="32" s="1"/>
  <c r="U14" i="32" s="1"/>
  <c r="P7" i="32"/>
  <c r="M7" i="32"/>
  <c r="J7" i="32"/>
  <c r="G7" i="32"/>
  <c r="D7" i="32"/>
  <c r="AK6" i="32"/>
  <c r="AH6" i="32"/>
  <c r="AH8" i="32" s="1"/>
  <c r="AE6" i="32"/>
  <c r="AE10" i="32" s="1"/>
  <c r="AB6" i="32"/>
  <c r="AB10" i="32" s="1"/>
  <c r="Y6" i="32"/>
  <c r="V6" i="32"/>
  <c r="S6" i="32"/>
  <c r="P6" i="32"/>
  <c r="P8" i="32" s="1"/>
  <c r="M6" i="32"/>
  <c r="M10" i="32" s="1"/>
  <c r="J6" i="32"/>
  <c r="J8" i="32" s="1"/>
  <c r="G6" i="32"/>
  <c r="D6" i="32"/>
  <c r="D10" i="32" s="1"/>
  <c r="AK3" i="32"/>
  <c r="AH3" i="32"/>
  <c r="AE3" i="32"/>
  <c r="AB3" i="32"/>
  <c r="Y3" i="32"/>
  <c r="V3" i="32"/>
  <c r="S3" i="32"/>
  <c r="P3" i="32"/>
  <c r="M3" i="32"/>
  <c r="J3" i="32"/>
  <c r="G3" i="32"/>
  <c r="D3" i="32"/>
  <c r="AK2" i="32"/>
  <c r="AH2" i="32"/>
  <c r="AE2" i="32"/>
  <c r="AB2" i="32"/>
  <c r="Y2" i="32"/>
  <c r="V2" i="32"/>
  <c r="S2" i="32"/>
  <c r="P2" i="32"/>
  <c r="M2" i="32"/>
  <c r="J2" i="32"/>
  <c r="G2" i="32"/>
  <c r="D2" i="32"/>
  <c r="AV18" i="31"/>
  <c r="AR18" i="31"/>
  <c r="AN18" i="31"/>
  <c r="AJ18" i="31"/>
  <c r="AF18" i="31"/>
  <c r="AB18" i="31"/>
  <c r="X18" i="31"/>
  <c r="T18" i="31"/>
  <c r="P18" i="31"/>
  <c r="L18" i="31"/>
  <c r="H18" i="31"/>
  <c r="D18" i="31"/>
  <c r="Y17" i="31"/>
  <c r="AA17" i="31" s="1"/>
  <c r="C17" i="31"/>
  <c r="AO16" i="31"/>
  <c r="AQ16" i="31" s="1"/>
  <c r="Y16" i="31"/>
  <c r="AA16" i="31" s="1"/>
  <c r="C16" i="31"/>
  <c r="AA15" i="31"/>
  <c r="C15" i="31"/>
  <c r="AK14" i="31"/>
  <c r="AM14" i="31" s="1"/>
  <c r="Y13" i="31"/>
  <c r="R13" i="31"/>
  <c r="P7" i="31" s="1"/>
  <c r="P8" i="31" s="1"/>
  <c r="F13" i="31"/>
  <c r="AF10" i="31"/>
  <c r="T10" i="31"/>
  <c r="AV9" i="31"/>
  <c r="P9" i="31"/>
  <c r="P10" i="31" s="1"/>
  <c r="D9" i="31"/>
  <c r="AR8" i="31"/>
  <c r="AB8" i="31"/>
  <c r="X8" i="31"/>
  <c r="Y15" i="31" s="1"/>
  <c r="AV7" i="31"/>
  <c r="AR7" i="31"/>
  <c r="AN7" i="31"/>
  <c r="AJ7" i="31"/>
  <c r="AF7" i="31"/>
  <c r="AF8" i="31" s="1"/>
  <c r="AB7" i="31"/>
  <c r="X7" i="31"/>
  <c r="T7" i="31"/>
  <c r="L7" i="31"/>
  <c r="H7" i="31"/>
  <c r="D7" i="31"/>
  <c r="AV6" i="31"/>
  <c r="AR6" i="31"/>
  <c r="AR10" i="31" s="1"/>
  <c r="AN6" i="31"/>
  <c r="AN8" i="31" s="1"/>
  <c r="AJ6" i="31"/>
  <c r="AJ8" i="31" s="1"/>
  <c r="AF6" i="31"/>
  <c r="AB6" i="31"/>
  <c r="AB10" i="31" s="1"/>
  <c r="X6" i="31"/>
  <c r="X10" i="31" s="1"/>
  <c r="T6" i="31"/>
  <c r="P6" i="31"/>
  <c r="L6" i="31"/>
  <c r="H6" i="31"/>
  <c r="H10" i="31" s="1"/>
  <c r="D6" i="31"/>
  <c r="AV3" i="31"/>
  <c r="AR3" i="31"/>
  <c r="AN3" i="31"/>
  <c r="AJ3" i="31"/>
  <c r="AF3" i="31"/>
  <c r="AB3" i="31"/>
  <c r="X3" i="31"/>
  <c r="T3" i="31"/>
  <c r="P3" i="31"/>
  <c r="L3" i="31"/>
  <c r="H3" i="31"/>
  <c r="AZ5" i="31" s="1"/>
  <c r="D3" i="31"/>
  <c r="AV2" i="31"/>
  <c r="AR2" i="31"/>
  <c r="AN2" i="31"/>
  <c r="AJ2" i="31"/>
  <c r="AF2" i="31"/>
  <c r="AB2" i="31"/>
  <c r="X2" i="31"/>
  <c r="T2" i="31"/>
  <c r="P2" i="31"/>
  <c r="L2" i="31"/>
  <c r="H2" i="31"/>
  <c r="BB5" i="31" s="1"/>
  <c r="D2" i="31"/>
  <c r="AV18" i="30"/>
  <c r="AR18" i="30"/>
  <c r="AN18" i="30"/>
  <c r="AJ18" i="30"/>
  <c r="AF18" i="30"/>
  <c r="AB18" i="30"/>
  <c r="X18" i="30"/>
  <c r="T18" i="30"/>
  <c r="P18" i="30"/>
  <c r="L18" i="30"/>
  <c r="H18" i="30"/>
  <c r="D18" i="30"/>
  <c r="U17" i="30"/>
  <c r="W17" i="30" s="1"/>
  <c r="S17" i="30"/>
  <c r="Q17" i="30"/>
  <c r="E17" i="30"/>
  <c r="G17" i="30" s="1"/>
  <c r="C17" i="30"/>
  <c r="AG16" i="30"/>
  <c r="AI16" i="30" s="1"/>
  <c r="Q16" i="30"/>
  <c r="S16" i="30" s="1"/>
  <c r="M16" i="30"/>
  <c r="O16" i="30" s="1"/>
  <c r="C16" i="30"/>
  <c r="C15" i="30"/>
  <c r="AG14" i="30"/>
  <c r="AI14" i="30" s="1"/>
  <c r="AE14" i="30"/>
  <c r="S14" i="30"/>
  <c r="Q14" i="30"/>
  <c r="AC13" i="30"/>
  <c r="AE13" i="30" s="1"/>
  <c r="R13" i="30"/>
  <c r="P7" i="30" s="1"/>
  <c r="F13" i="30"/>
  <c r="AF10" i="30"/>
  <c r="AB10" i="30"/>
  <c r="X10" i="30"/>
  <c r="T10" i="30"/>
  <c r="AV9" i="30"/>
  <c r="AJ9" i="30"/>
  <c r="P9" i="30"/>
  <c r="P10" i="30" s="1"/>
  <c r="D9" i="30"/>
  <c r="D10" i="30" s="1"/>
  <c r="AR8" i="30"/>
  <c r="AS13" i="30" s="1"/>
  <c r="AF8" i="30"/>
  <c r="AB8" i="30"/>
  <c r="AC14" i="30" s="1"/>
  <c r="T8" i="30"/>
  <c r="U16" i="30" s="1"/>
  <c r="W16" i="30" s="1"/>
  <c r="P8" i="30"/>
  <c r="L8" i="30"/>
  <c r="D8" i="30"/>
  <c r="E16" i="30" s="1"/>
  <c r="G16" i="30" s="1"/>
  <c r="AV7" i="30"/>
  <c r="AR7" i="30"/>
  <c r="AN7" i="30"/>
  <c r="AJ7" i="30"/>
  <c r="AF7" i="30"/>
  <c r="AB7" i="30"/>
  <c r="X7" i="30"/>
  <c r="T7" i="30"/>
  <c r="L7" i="30"/>
  <c r="H7" i="30"/>
  <c r="D7" i="30"/>
  <c r="AV6" i="30"/>
  <c r="AV8" i="30" s="1"/>
  <c r="AW16" i="30" s="1"/>
  <c r="AY16" i="30" s="1"/>
  <c r="AR6" i="30"/>
  <c r="AR10" i="30" s="1"/>
  <c r="AN6" i="30"/>
  <c r="AJ6" i="30"/>
  <c r="AJ10" i="30" s="1"/>
  <c r="AF6" i="30"/>
  <c r="AB6" i="30"/>
  <c r="X6" i="30"/>
  <c r="X8" i="30" s="1"/>
  <c r="T6" i="30"/>
  <c r="P6" i="30"/>
  <c r="L6" i="30"/>
  <c r="L10" i="30" s="1"/>
  <c r="H6" i="30"/>
  <c r="H8" i="30" s="1"/>
  <c r="I17" i="30" s="1"/>
  <c r="K17" i="30" s="1"/>
  <c r="D6" i="30"/>
  <c r="AV3" i="30"/>
  <c r="AR3" i="30"/>
  <c r="AN3" i="30"/>
  <c r="AJ3" i="30"/>
  <c r="AF3" i="30"/>
  <c r="AB3" i="30"/>
  <c r="X3" i="30"/>
  <c r="T3" i="30"/>
  <c r="P3" i="30"/>
  <c r="L3" i="30"/>
  <c r="H3" i="30"/>
  <c r="D3" i="30"/>
  <c r="AV2" i="30"/>
  <c r="AR2" i="30"/>
  <c r="AN2" i="30"/>
  <c r="AJ2" i="30"/>
  <c r="AF2" i="30"/>
  <c r="AB2" i="30"/>
  <c r="X2" i="30"/>
  <c r="T2" i="30"/>
  <c r="P2" i="30"/>
  <c r="L2" i="30"/>
  <c r="H2" i="30"/>
  <c r="D2" i="30"/>
  <c r="BB20" i="29"/>
  <c r="AZ20" i="29"/>
  <c r="AV19" i="29"/>
  <c r="AR19" i="29"/>
  <c r="AN19" i="29"/>
  <c r="AJ19" i="29"/>
  <c r="AF19" i="29"/>
  <c r="AB19" i="29"/>
  <c r="X19" i="29"/>
  <c r="T19" i="29"/>
  <c r="P19" i="29"/>
  <c r="L19" i="29"/>
  <c r="H19" i="29"/>
  <c r="D19" i="29"/>
  <c r="AK15" i="29"/>
  <c r="AM15" i="29" s="1"/>
  <c r="L11" i="29"/>
  <c r="BB10" i="29"/>
  <c r="AZ10" i="29"/>
  <c r="P10" i="29"/>
  <c r="P11" i="29" s="1"/>
  <c r="D10" i="29"/>
  <c r="D11" i="29" s="1"/>
  <c r="AN9" i="29"/>
  <c r="AJ9" i="29"/>
  <c r="AK18" i="29" s="1"/>
  <c r="AM18" i="29" s="1"/>
  <c r="AV8" i="29"/>
  <c r="AR8" i="29"/>
  <c r="AN8" i="29"/>
  <c r="AJ8" i="29"/>
  <c r="AF8" i="29"/>
  <c r="AB8" i="29"/>
  <c r="X8" i="29"/>
  <c r="T8" i="29"/>
  <c r="P8" i="29"/>
  <c r="L8" i="29"/>
  <c r="L9" i="29" s="1"/>
  <c r="H8" i="29"/>
  <c r="D8" i="29"/>
  <c r="AV7" i="29"/>
  <c r="AV11" i="29" s="1"/>
  <c r="AR7" i="29"/>
  <c r="AR11" i="29" s="1"/>
  <c r="AN7" i="29"/>
  <c r="AN11" i="29" s="1"/>
  <c r="AJ7" i="29"/>
  <c r="AJ11" i="29" s="1"/>
  <c r="AF7" i="29"/>
  <c r="AF11" i="29" s="1"/>
  <c r="AB7" i="29"/>
  <c r="AB11" i="29" s="1"/>
  <c r="X7" i="29"/>
  <c r="X9" i="29" s="1"/>
  <c r="T7" i="29"/>
  <c r="T11" i="29" s="1"/>
  <c r="P7" i="29"/>
  <c r="L7" i="29"/>
  <c r="AZ7" i="29" s="1"/>
  <c r="H7" i="29"/>
  <c r="H11" i="29" s="1"/>
  <c r="AZ11" i="29" s="1"/>
  <c r="D7" i="29"/>
  <c r="AZ6" i="29"/>
  <c r="AZ5" i="29"/>
  <c r="AV4" i="29"/>
  <c r="AR4" i="29"/>
  <c r="AN4" i="29"/>
  <c r="AJ4" i="29"/>
  <c r="AF4" i="29"/>
  <c r="AB4" i="29"/>
  <c r="X4" i="29"/>
  <c r="T4" i="29"/>
  <c r="P4" i="29"/>
  <c r="BB5" i="29" s="1"/>
  <c r="L4" i="29"/>
  <c r="H4" i="29"/>
  <c r="D4" i="29"/>
  <c r="AV2" i="29"/>
  <c r="AR2" i="29"/>
  <c r="AN2" i="29"/>
  <c r="AJ2" i="29"/>
  <c r="AF2" i="29"/>
  <c r="AB2" i="29"/>
  <c r="X2" i="29"/>
  <c r="T2" i="29"/>
  <c r="P2" i="29"/>
  <c r="L2" i="29"/>
  <c r="H2" i="29"/>
  <c r="D2" i="29"/>
  <c r="BB20" i="28"/>
  <c r="AZ20" i="28"/>
  <c r="AV19" i="28"/>
  <c r="AR19" i="28"/>
  <c r="AN19" i="28"/>
  <c r="AJ19" i="28"/>
  <c r="AF19" i="28"/>
  <c r="AB19" i="28"/>
  <c r="X19" i="28"/>
  <c r="T19" i="28"/>
  <c r="P19" i="28"/>
  <c r="L19" i="28"/>
  <c r="H19" i="28"/>
  <c r="D19" i="28"/>
  <c r="Q18" i="28"/>
  <c r="S18" i="28" s="1"/>
  <c r="AM17" i="28"/>
  <c r="AK17" i="28"/>
  <c r="AK16" i="28"/>
  <c r="AM16" i="28" s="1"/>
  <c r="AK15" i="28"/>
  <c r="AM15" i="28" s="1"/>
  <c r="Q15" i="28"/>
  <c r="S15" i="28" s="1"/>
  <c r="AN11" i="28"/>
  <c r="AJ11" i="28"/>
  <c r="AF11" i="28"/>
  <c r="AB11" i="28"/>
  <c r="L11" i="28"/>
  <c r="AZ10" i="28"/>
  <c r="X10" i="28"/>
  <c r="P10" i="28"/>
  <c r="P11" i="28" s="1"/>
  <c r="D10" i="28"/>
  <c r="AJ9" i="28"/>
  <c r="AK18" i="28" s="1"/>
  <c r="AM18" i="28" s="1"/>
  <c r="AF9" i="28"/>
  <c r="AB9" i="28"/>
  <c r="AC14" i="28" s="1"/>
  <c r="H9" i="28"/>
  <c r="AV8" i="28"/>
  <c r="AV9" i="28" s="1"/>
  <c r="AW16" i="28" s="1"/>
  <c r="AY16" i="28" s="1"/>
  <c r="AR8" i="28"/>
  <c r="AN8" i="28"/>
  <c r="AJ8" i="28"/>
  <c r="AF8" i="28"/>
  <c r="AB8" i="28"/>
  <c r="X8" i="28"/>
  <c r="T8" i="28"/>
  <c r="P8" i="28"/>
  <c r="L8" i="28"/>
  <c r="H8" i="28"/>
  <c r="D8" i="28"/>
  <c r="AV7" i="28"/>
  <c r="AV11" i="28" s="1"/>
  <c r="AR7" i="28"/>
  <c r="AN7" i="28"/>
  <c r="AJ7" i="28"/>
  <c r="AF7" i="28"/>
  <c r="AB7" i="28"/>
  <c r="X7" i="28"/>
  <c r="X9" i="28" s="1"/>
  <c r="T7" i="28"/>
  <c r="P7" i="28"/>
  <c r="P9" i="28" s="1"/>
  <c r="L7" i="28"/>
  <c r="H7" i="28"/>
  <c r="H11" i="28" s="1"/>
  <c r="D7" i="28"/>
  <c r="AZ6" i="28"/>
  <c r="AZ5" i="28"/>
  <c r="AV4" i="28"/>
  <c r="AR4" i="28"/>
  <c r="AN4" i="28"/>
  <c r="AJ4" i="28"/>
  <c r="AF4" i="28"/>
  <c r="AB4" i="28"/>
  <c r="X4" i="28"/>
  <c r="T4" i="28"/>
  <c r="P4" i="28"/>
  <c r="L4" i="28"/>
  <c r="H4" i="28"/>
  <c r="D4" i="28"/>
  <c r="AV2" i="28"/>
  <c r="AR2" i="28"/>
  <c r="AN2" i="28"/>
  <c r="AJ2" i="28"/>
  <c r="AF2" i="28"/>
  <c r="AB2" i="28"/>
  <c r="X2" i="28"/>
  <c r="T2" i="28"/>
  <c r="P2" i="28"/>
  <c r="L2" i="28"/>
  <c r="H2" i="28"/>
  <c r="D2" i="28"/>
  <c r="BB26" i="27"/>
  <c r="BD26" i="27" s="1"/>
  <c r="BD25" i="27"/>
  <c r="BB25" i="27"/>
  <c r="BD24" i="27"/>
  <c r="BB24" i="27"/>
  <c r="BD23" i="27"/>
  <c r="BB23" i="27"/>
  <c r="BD21" i="27"/>
  <c r="BB21" i="27"/>
  <c r="AZ21" i="27"/>
  <c r="AV20" i="27"/>
  <c r="AR20" i="27"/>
  <c r="AN20" i="27"/>
  <c r="AJ20" i="27"/>
  <c r="AF20" i="27"/>
  <c r="AB20" i="27"/>
  <c r="X20" i="27"/>
  <c r="T20" i="27"/>
  <c r="P20" i="27"/>
  <c r="L20" i="27"/>
  <c r="H20" i="27"/>
  <c r="D20" i="27"/>
  <c r="Y19" i="27"/>
  <c r="AA19" i="27" s="1"/>
  <c r="M18" i="27"/>
  <c r="O18" i="27" s="1"/>
  <c r="AN12" i="27"/>
  <c r="AF12" i="27"/>
  <c r="AB12" i="27"/>
  <c r="P12" i="27"/>
  <c r="L12" i="27"/>
  <c r="AZ11" i="27"/>
  <c r="AV11" i="27"/>
  <c r="P11" i="27"/>
  <c r="D11" i="27"/>
  <c r="AF10" i="27"/>
  <c r="X10" i="27"/>
  <c r="P10" i="27"/>
  <c r="L10" i="27"/>
  <c r="AV9" i="27"/>
  <c r="AR9" i="27"/>
  <c r="AN9" i="27"/>
  <c r="AJ9" i="27"/>
  <c r="AF9" i="27"/>
  <c r="AB9" i="27"/>
  <c r="X9" i="27"/>
  <c r="T9" i="27"/>
  <c r="P9" i="27"/>
  <c r="L9" i="27"/>
  <c r="H9" i="27"/>
  <c r="D9" i="27"/>
  <c r="AZ9" i="27" s="1"/>
  <c r="AV8" i="27"/>
  <c r="AB8" i="27"/>
  <c r="AV7" i="27"/>
  <c r="AV10" i="27" s="1"/>
  <c r="AR7" i="27"/>
  <c r="AN7" i="27"/>
  <c r="AJ7" i="27"/>
  <c r="AJ12" i="27" s="1"/>
  <c r="AF7" i="27"/>
  <c r="AB7" i="27"/>
  <c r="X7" i="27"/>
  <c r="X12" i="27" s="1"/>
  <c r="T7" i="27"/>
  <c r="T12" i="27" s="1"/>
  <c r="P7" i="27"/>
  <c r="L7" i="27"/>
  <c r="H7" i="27"/>
  <c r="D7" i="27"/>
  <c r="AZ6" i="27"/>
  <c r="AZ5" i="27"/>
  <c r="AV4" i="27"/>
  <c r="AR4" i="27"/>
  <c r="AN4" i="27"/>
  <c r="AJ4" i="27"/>
  <c r="AF4" i="27"/>
  <c r="AB4" i="27"/>
  <c r="X4" i="27"/>
  <c r="T4" i="27"/>
  <c r="P4" i="27"/>
  <c r="L4" i="27"/>
  <c r="H4" i="27"/>
  <c r="D4" i="27"/>
  <c r="AV2" i="27"/>
  <c r="AR2" i="27"/>
  <c r="AN2" i="27"/>
  <c r="AJ2" i="27"/>
  <c r="AF2" i="27"/>
  <c r="AB2" i="27"/>
  <c r="X2" i="27"/>
  <c r="T2" i="27"/>
  <c r="P2" i="27"/>
  <c r="L2" i="27"/>
  <c r="H2" i="27"/>
  <c r="D2" i="27"/>
  <c r="BD26" i="26"/>
  <c r="BB26" i="26"/>
  <c r="BB25" i="26"/>
  <c r="BD25" i="26" s="1"/>
  <c r="BB24" i="26"/>
  <c r="BD24" i="26" s="1"/>
  <c r="BB23" i="26"/>
  <c r="BD23" i="26" s="1"/>
  <c r="BD21" i="26"/>
  <c r="BB21" i="26"/>
  <c r="AZ21" i="26"/>
  <c r="AV20" i="26"/>
  <c r="AR20" i="26"/>
  <c r="AN20" i="26"/>
  <c r="AJ20" i="26"/>
  <c r="AF20" i="26"/>
  <c r="AB20" i="26"/>
  <c r="X20" i="26"/>
  <c r="T20" i="26"/>
  <c r="P20" i="26"/>
  <c r="L20" i="26"/>
  <c r="H20" i="26"/>
  <c r="D20" i="26"/>
  <c r="M19" i="26"/>
  <c r="O19" i="26" s="1"/>
  <c r="AK17" i="26"/>
  <c r="AM17" i="26" s="1"/>
  <c r="M17" i="26"/>
  <c r="O17" i="26" s="1"/>
  <c r="AS15" i="26"/>
  <c r="M15" i="26"/>
  <c r="AR12" i="26"/>
  <c r="AN12" i="26"/>
  <c r="AJ12" i="26"/>
  <c r="AF12" i="26"/>
  <c r="T12" i="26"/>
  <c r="D12" i="26"/>
  <c r="BD11" i="26"/>
  <c r="AV11" i="26"/>
  <c r="P11" i="26"/>
  <c r="D11" i="26"/>
  <c r="AZ11" i="26" s="1"/>
  <c r="AR10" i="26"/>
  <c r="L10" i="26"/>
  <c r="D10" i="26"/>
  <c r="AV9" i="26"/>
  <c r="AR9" i="26"/>
  <c r="AN9" i="26"/>
  <c r="AJ9" i="26"/>
  <c r="AJ10" i="26" s="1"/>
  <c r="AF9" i="26"/>
  <c r="AF10" i="26" s="1"/>
  <c r="AB9" i="26"/>
  <c r="X9" i="26"/>
  <c r="T9" i="26"/>
  <c r="T10" i="26" s="1"/>
  <c r="P9" i="26"/>
  <c r="L9" i="26"/>
  <c r="AZ9" i="26" s="1"/>
  <c r="H9" i="26"/>
  <c r="D9" i="26"/>
  <c r="AV8" i="26"/>
  <c r="AB8" i="26"/>
  <c r="AV7" i="26"/>
  <c r="AV12" i="26" s="1"/>
  <c r="AR7" i="26"/>
  <c r="AN7" i="26"/>
  <c r="AJ7" i="26"/>
  <c r="AF7" i="26"/>
  <c r="AB7" i="26"/>
  <c r="X7" i="26"/>
  <c r="T7" i="26"/>
  <c r="P7" i="26"/>
  <c r="L7" i="26"/>
  <c r="L12" i="26" s="1"/>
  <c r="H7" i="26"/>
  <c r="D7" i="26"/>
  <c r="AZ6" i="26"/>
  <c r="AZ5" i="26"/>
  <c r="AV4" i="26"/>
  <c r="AR4" i="26"/>
  <c r="AN4" i="26"/>
  <c r="AJ4" i="26"/>
  <c r="AF4" i="26"/>
  <c r="AB4" i="26"/>
  <c r="X4" i="26"/>
  <c r="T4" i="26"/>
  <c r="P4" i="26"/>
  <c r="L4" i="26"/>
  <c r="BB9" i="26" s="1"/>
  <c r="H4" i="26"/>
  <c r="D4" i="26"/>
  <c r="AV2" i="26"/>
  <c r="AR2" i="26"/>
  <c r="AN2" i="26"/>
  <c r="AJ2" i="26"/>
  <c r="AF2" i="26"/>
  <c r="AB2" i="26"/>
  <c r="X2" i="26"/>
  <c r="T2" i="26"/>
  <c r="P2" i="26"/>
  <c r="L2" i="26"/>
  <c r="H2" i="26"/>
  <c r="D2" i="26"/>
  <c r="BD26" i="25"/>
  <c r="BB26" i="25"/>
  <c r="BD25" i="25"/>
  <c r="BB25" i="25"/>
  <c r="BD24" i="25"/>
  <c r="BB24" i="25"/>
  <c r="BD23" i="25"/>
  <c r="BB23" i="25"/>
  <c r="BD21" i="25"/>
  <c r="BB21" i="25"/>
  <c r="AZ21" i="25"/>
  <c r="AV20" i="25"/>
  <c r="AR20" i="25"/>
  <c r="AN20" i="25"/>
  <c r="AJ20" i="25"/>
  <c r="AF20" i="25"/>
  <c r="AB20" i="25"/>
  <c r="X20" i="25"/>
  <c r="T20" i="25"/>
  <c r="P20" i="25"/>
  <c r="L20" i="25"/>
  <c r="H20" i="25"/>
  <c r="D20" i="25"/>
  <c r="Q18" i="25"/>
  <c r="S18" i="25" s="1"/>
  <c r="AB12" i="25"/>
  <c r="X12" i="25"/>
  <c r="T12" i="25"/>
  <c r="H12" i="25"/>
  <c r="AZ11" i="25"/>
  <c r="AV11" i="25"/>
  <c r="AV12" i="25" s="1"/>
  <c r="P11" i="25"/>
  <c r="P12" i="25" s="1"/>
  <c r="D11" i="25"/>
  <c r="AF10" i="25"/>
  <c r="L10" i="25"/>
  <c r="AV9" i="25"/>
  <c r="AV10" i="25" s="1"/>
  <c r="AR9" i="25"/>
  <c r="AN9" i="25"/>
  <c r="AJ9" i="25"/>
  <c r="AF9" i="25"/>
  <c r="AB9" i="25"/>
  <c r="X9" i="25"/>
  <c r="T9" i="25"/>
  <c r="P9" i="25"/>
  <c r="L9" i="25"/>
  <c r="H9" i="25"/>
  <c r="AZ9" i="25" s="1"/>
  <c r="D9" i="25"/>
  <c r="AV8" i="25"/>
  <c r="AB8" i="25"/>
  <c r="AV7" i="25"/>
  <c r="AR7" i="25"/>
  <c r="AN7" i="25"/>
  <c r="AN12" i="25" s="1"/>
  <c r="AJ7" i="25"/>
  <c r="AJ10" i="25" s="1"/>
  <c r="AF7" i="25"/>
  <c r="AF12" i="25" s="1"/>
  <c r="AB7" i="25"/>
  <c r="X7" i="25"/>
  <c r="X10" i="25" s="1"/>
  <c r="T7" i="25"/>
  <c r="T10" i="25" s="1"/>
  <c r="P7" i="25"/>
  <c r="P10" i="25" s="1"/>
  <c r="Q19" i="25" s="1"/>
  <c r="S19" i="25" s="1"/>
  <c r="L7" i="25"/>
  <c r="L12" i="25" s="1"/>
  <c r="H7" i="25"/>
  <c r="D7" i="25"/>
  <c r="AZ6" i="25"/>
  <c r="AZ5" i="25"/>
  <c r="D5" i="25"/>
  <c r="AV4" i="25"/>
  <c r="AR4" i="25"/>
  <c r="AN4" i="25"/>
  <c r="AJ4" i="25"/>
  <c r="AF4" i="25"/>
  <c r="AB4" i="25"/>
  <c r="X4" i="25"/>
  <c r="T4" i="25"/>
  <c r="P4" i="25"/>
  <c r="L4" i="25"/>
  <c r="H4" i="25"/>
  <c r="D4" i="25"/>
  <c r="AV2" i="25"/>
  <c r="AR2" i="25"/>
  <c r="AN2" i="25"/>
  <c r="AJ2" i="25"/>
  <c r="AF2" i="25"/>
  <c r="AB2" i="25"/>
  <c r="X2" i="25"/>
  <c r="T2" i="25"/>
  <c r="P2" i="25"/>
  <c r="L2" i="25"/>
  <c r="H2" i="25"/>
  <c r="D2" i="25"/>
  <c r="BD26" i="24"/>
  <c r="BB26" i="24"/>
  <c r="BB25" i="24"/>
  <c r="BD25" i="24" s="1"/>
  <c r="BB24" i="24"/>
  <c r="BD24" i="24" s="1"/>
  <c r="BB23" i="24"/>
  <c r="BD21" i="24"/>
  <c r="BB21" i="24"/>
  <c r="AZ21" i="24"/>
  <c r="AV20" i="24"/>
  <c r="AR20" i="24"/>
  <c r="AN20" i="24"/>
  <c r="AJ20" i="24"/>
  <c r="AF20" i="24"/>
  <c r="AB20" i="24"/>
  <c r="X20" i="24"/>
  <c r="T20" i="24"/>
  <c r="P20" i="24"/>
  <c r="L20" i="24"/>
  <c r="H20" i="24"/>
  <c r="D20" i="24"/>
  <c r="AI19" i="24"/>
  <c r="AG19" i="24"/>
  <c r="AA19" i="24"/>
  <c r="Y18" i="24"/>
  <c r="AA18" i="24" s="1"/>
  <c r="Y17" i="24"/>
  <c r="AA17" i="24" s="1"/>
  <c r="Y16" i="24"/>
  <c r="AA16" i="24" s="1"/>
  <c r="Y15" i="24"/>
  <c r="AF12" i="24"/>
  <c r="X12" i="24"/>
  <c r="T12" i="24"/>
  <c r="AV11" i="24"/>
  <c r="AV12" i="24" s="1"/>
  <c r="AJ11" i="24"/>
  <c r="P11" i="24"/>
  <c r="D11" i="24"/>
  <c r="AJ10" i="24"/>
  <c r="AF10" i="24"/>
  <c r="AB10" i="24"/>
  <c r="BB9" i="24"/>
  <c r="AV9" i="24"/>
  <c r="AR9" i="24"/>
  <c r="AN9" i="24"/>
  <c r="AJ9" i="24"/>
  <c r="AF9" i="24"/>
  <c r="AB9" i="24"/>
  <c r="X9" i="24"/>
  <c r="X10" i="24" s="1"/>
  <c r="Y19" i="24" s="1"/>
  <c r="T9" i="24"/>
  <c r="P9" i="24"/>
  <c r="L9" i="24"/>
  <c r="H9" i="24"/>
  <c r="D9" i="24"/>
  <c r="AZ9" i="24" s="1"/>
  <c r="AV8" i="24"/>
  <c r="AB8" i="24"/>
  <c r="AV7" i="24"/>
  <c r="AV10" i="24" s="1"/>
  <c r="AR7" i="24"/>
  <c r="AR12" i="24" s="1"/>
  <c r="AN7" i="24"/>
  <c r="AJ7" i="24"/>
  <c r="AJ12" i="24" s="1"/>
  <c r="AF7" i="24"/>
  <c r="AB7" i="24"/>
  <c r="AB12" i="24" s="1"/>
  <c r="X7" i="24"/>
  <c r="T7" i="24"/>
  <c r="P7" i="24"/>
  <c r="L7" i="24"/>
  <c r="H7" i="24"/>
  <c r="D7" i="24"/>
  <c r="AZ6" i="24"/>
  <c r="D5" i="24"/>
  <c r="AZ5" i="24" s="1"/>
  <c r="AV4" i="24"/>
  <c r="AR4" i="24"/>
  <c r="AN4" i="24"/>
  <c r="AJ4" i="24"/>
  <c r="AF4" i="24"/>
  <c r="AB4" i="24"/>
  <c r="X4" i="24"/>
  <c r="T4" i="24"/>
  <c r="P4" i="24"/>
  <c r="L4" i="24"/>
  <c r="H4" i="24"/>
  <c r="D4" i="24"/>
  <c r="BB11" i="24" s="1"/>
  <c r="AV2" i="24"/>
  <c r="AR2" i="24"/>
  <c r="AN2" i="24"/>
  <c r="AJ2" i="24"/>
  <c r="AF2" i="24"/>
  <c r="AB2" i="24"/>
  <c r="X2" i="24"/>
  <c r="T2" i="24"/>
  <c r="P2" i="24"/>
  <c r="L2" i="24"/>
  <c r="BD9" i="24" s="1"/>
  <c r="H2" i="24"/>
  <c r="D2" i="24"/>
  <c r="BD11" i="24" s="1"/>
  <c r="BB24" i="23"/>
  <c r="BD24" i="23" s="1"/>
  <c r="BB23" i="23"/>
  <c r="BD23" i="23" s="1"/>
  <c r="BD22" i="23"/>
  <c r="BB22" i="23"/>
  <c r="BD20" i="23"/>
  <c r="BB20" i="23"/>
  <c r="AZ20" i="23"/>
  <c r="AV19" i="23"/>
  <c r="AR19" i="23"/>
  <c r="AS18" i="23" s="1"/>
  <c r="AU18" i="23" s="1"/>
  <c r="AN19" i="23"/>
  <c r="AJ19" i="23"/>
  <c r="AF19" i="23"/>
  <c r="AG18" i="23" s="1"/>
  <c r="AI18" i="23" s="1"/>
  <c r="AB19" i="23"/>
  <c r="X19" i="23"/>
  <c r="T19" i="23"/>
  <c r="P19" i="23"/>
  <c r="L19" i="23"/>
  <c r="H19" i="23"/>
  <c r="D19" i="23"/>
  <c r="E18" i="23"/>
  <c r="G18" i="23" s="1"/>
  <c r="AS17" i="23"/>
  <c r="AU17" i="23" s="1"/>
  <c r="E17" i="23"/>
  <c r="G17" i="23" s="1"/>
  <c r="Q16" i="23"/>
  <c r="S16" i="23" s="1"/>
  <c r="AC15" i="23"/>
  <c r="P12" i="23"/>
  <c r="AZ11" i="23"/>
  <c r="AV10" i="23"/>
  <c r="AF10" i="23"/>
  <c r="AB10" i="23"/>
  <c r="P10" i="23"/>
  <c r="Q18" i="23" s="1"/>
  <c r="S18" i="23" s="1"/>
  <c r="AV9" i="23"/>
  <c r="AR9" i="23"/>
  <c r="AN9" i="23"/>
  <c r="AJ9" i="23"/>
  <c r="AF9" i="23"/>
  <c r="AB9" i="23"/>
  <c r="X9" i="23"/>
  <c r="T9" i="23"/>
  <c r="T10" i="23" s="1"/>
  <c r="U16" i="23" s="1"/>
  <c r="W16" i="23" s="1"/>
  <c r="P9" i="23"/>
  <c r="L9" i="23"/>
  <c r="AZ9" i="23" s="1"/>
  <c r="H9" i="23"/>
  <c r="D9" i="23"/>
  <c r="AB8" i="23"/>
  <c r="AV7" i="23"/>
  <c r="AV12" i="23" s="1"/>
  <c r="AR7" i="23"/>
  <c r="AR10" i="23" s="1"/>
  <c r="AN7" i="23"/>
  <c r="AJ7" i="23"/>
  <c r="AJ10" i="23" s="1"/>
  <c r="AF7" i="23"/>
  <c r="AF12" i="23" s="1"/>
  <c r="AB7" i="23"/>
  <c r="AB12" i="23" s="1"/>
  <c r="X7" i="23"/>
  <c r="X10" i="23" s="1"/>
  <c r="Y18" i="23" s="1"/>
  <c r="AA18" i="23" s="1"/>
  <c r="T7" i="23"/>
  <c r="T12" i="23" s="1"/>
  <c r="P7" i="23"/>
  <c r="L7" i="23"/>
  <c r="H7" i="23"/>
  <c r="H12" i="23" s="1"/>
  <c r="D7" i="23"/>
  <c r="D10" i="23" s="1"/>
  <c r="BB6" i="23"/>
  <c r="AZ6" i="23"/>
  <c r="AZ5" i="23"/>
  <c r="AV4" i="23"/>
  <c r="AR4" i="23"/>
  <c r="AN4" i="23"/>
  <c r="AJ4" i="23"/>
  <c r="AF4" i="23"/>
  <c r="AB4" i="23"/>
  <c r="X4" i="23"/>
  <c r="T4" i="23"/>
  <c r="P4" i="23"/>
  <c r="BB5" i="23" s="1"/>
  <c r="L4" i="23"/>
  <c r="H4" i="23"/>
  <c r="D4" i="23"/>
  <c r="AV2" i="23"/>
  <c r="AR2" i="23"/>
  <c r="AN2" i="23"/>
  <c r="AJ2" i="23"/>
  <c r="AF2" i="23"/>
  <c r="AB2" i="23"/>
  <c r="X2" i="23"/>
  <c r="T2" i="23"/>
  <c r="P2" i="23"/>
  <c r="L2" i="23"/>
  <c r="H2" i="23"/>
  <c r="D2" i="23"/>
  <c r="BD24" i="22"/>
  <c r="BB24" i="22"/>
  <c r="BD23" i="22"/>
  <c r="BB23" i="22"/>
  <c r="BD22" i="22"/>
  <c r="BB22" i="22"/>
  <c r="BD20" i="22"/>
  <c r="BB20" i="22"/>
  <c r="AZ20" i="22"/>
  <c r="AV19" i="22"/>
  <c r="AR19" i="22"/>
  <c r="AN19" i="22"/>
  <c r="AJ19" i="22"/>
  <c r="AF19" i="22"/>
  <c r="AB19" i="22"/>
  <c r="X19" i="22"/>
  <c r="T19" i="22"/>
  <c r="P19" i="22"/>
  <c r="L19" i="22"/>
  <c r="H19" i="22"/>
  <c r="D19" i="22"/>
  <c r="U18" i="22"/>
  <c r="W18" i="22" s="1"/>
  <c r="U16" i="22"/>
  <c r="W16" i="22" s="1"/>
  <c r="W15" i="22"/>
  <c r="AN12" i="22"/>
  <c r="P12" i="22"/>
  <c r="AZ11" i="22"/>
  <c r="AB10" i="22"/>
  <c r="AC18" i="22" s="1"/>
  <c r="AE18" i="22" s="1"/>
  <c r="T10" i="22"/>
  <c r="U15" i="22" s="1"/>
  <c r="P10" i="22"/>
  <c r="Q16" i="22" s="1"/>
  <c r="S16" i="22" s="1"/>
  <c r="AV9" i="22"/>
  <c r="AV10" i="22" s="1"/>
  <c r="AR9" i="22"/>
  <c r="AN9" i="22"/>
  <c r="AJ9" i="22"/>
  <c r="AJ10" i="22" s="1"/>
  <c r="AF9" i="22"/>
  <c r="AB9" i="22"/>
  <c r="X9" i="22"/>
  <c r="T9" i="22"/>
  <c r="P9" i="22"/>
  <c r="L9" i="22"/>
  <c r="H9" i="22"/>
  <c r="D9" i="22"/>
  <c r="AN8" i="22"/>
  <c r="AB8" i="22"/>
  <c r="AV7" i="22"/>
  <c r="AV12" i="22" s="1"/>
  <c r="AR7" i="22"/>
  <c r="AR12" i="22" s="1"/>
  <c r="AN7" i="22"/>
  <c r="AJ7" i="22"/>
  <c r="AJ12" i="22" s="1"/>
  <c r="AF7" i="22"/>
  <c r="AB7" i="22"/>
  <c r="AB12" i="22" s="1"/>
  <c r="X7" i="22"/>
  <c r="X12" i="22" s="1"/>
  <c r="T7" i="22"/>
  <c r="T12" i="22" s="1"/>
  <c r="P7" i="22"/>
  <c r="L7" i="22"/>
  <c r="H7" i="22"/>
  <c r="H12" i="22" s="1"/>
  <c r="D7" i="22"/>
  <c r="D10" i="22" s="1"/>
  <c r="AZ6" i="22"/>
  <c r="AZ5" i="22"/>
  <c r="AV4" i="22"/>
  <c r="AR4" i="22"/>
  <c r="AN4" i="22"/>
  <c r="AJ4" i="22"/>
  <c r="AF4" i="22"/>
  <c r="AB4" i="22"/>
  <c r="X4" i="22"/>
  <c r="T4" i="22"/>
  <c r="P4" i="22"/>
  <c r="L4" i="22"/>
  <c r="H4" i="22"/>
  <c r="D4" i="22"/>
  <c r="AV2" i="22"/>
  <c r="AR2" i="22"/>
  <c r="AN2" i="22"/>
  <c r="AJ2" i="22"/>
  <c r="AF2" i="22"/>
  <c r="AB2" i="22"/>
  <c r="X2" i="22"/>
  <c r="T2" i="22"/>
  <c r="P2" i="22"/>
  <c r="L2" i="22"/>
  <c r="H2" i="22"/>
  <c r="D2" i="22"/>
  <c r="BD24" i="21"/>
  <c r="BB24" i="21"/>
  <c r="BD23" i="21"/>
  <c r="BB23" i="21"/>
  <c r="BB22" i="21"/>
  <c r="BD20" i="21"/>
  <c r="BB20" i="21"/>
  <c r="AZ20" i="21"/>
  <c r="AV19" i="21"/>
  <c r="AR19" i="21"/>
  <c r="AN19" i="21"/>
  <c r="AJ19" i="21"/>
  <c r="AF19" i="21"/>
  <c r="AB19" i="21"/>
  <c r="X19" i="21"/>
  <c r="T19" i="21"/>
  <c r="U18" i="21" s="1"/>
  <c r="W18" i="21" s="1"/>
  <c r="P19" i="21"/>
  <c r="L19" i="21"/>
  <c r="H19" i="21"/>
  <c r="D19" i="21"/>
  <c r="AO17" i="21"/>
  <c r="AQ17" i="21" s="1"/>
  <c r="AG16" i="21"/>
  <c r="AI16" i="21" s="1"/>
  <c r="M16" i="21"/>
  <c r="O16" i="21" s="1"/>
  <c r="AG15" i="21"/>
  <c r="AR12" i="21"/>
  <c r="X12" i="21"/>
  <c r="L12" i="21"/>
  <c r="AZ11" i="21"/>
  <c r="AR10" i="21"/>
  <c r="AF10" i="21"/>
  <c r="AG17" i="21" s="1"/>
  <c r="AI17" i="21" s="1"/>
  <c r="T10" i="21"/>
  <c r="U17" i="21" s="1"/>
  <c r="W17" i="21" s="1"/>
  <c r="AV9" i="21"/>
  <c r="AR9" i="21"/>
  <c r="AN9" i="21"/>
  <c r="AJ9" i="21"/>
  <c r="AF9" i="21"/>
  <c r="AB9" i="21"/>
  <c r="AB10" i="21" s="1"/>
  <c r="X9" i="21"/>
  <c r="T9" i="21"/>
  <c r="P9" i="21"/>
  <c r="L9" i="21"/>
  <c r="H9" i="21"/>
  <c r="AZ9" i="21" s="1"/>
  <c r="D9" i="21"/>
  <c r="AB8" i="21"/>
  <c r="BB7" i="21"/>
  <c r="AV7" i="21"/>
  <c r="AV12" i="21" s="1"/>
  <c r="AR7" i="21"/>
  <c r="AN7" i="21"/>
  <c r="AN10" i="21" s="1"/>
  <c r="AJ7" i="21"/>
  <c r="AJ12" i="21" s="1"/>
  <c r="AF7" i="21"/>
  <c r="AF12" i="21" s="1"/>
  <c r="AB7" i="21"/>
  <c r="AB12" i="21" s="1"/>
  <c r="X7" i="21"/>
  <c r="X10" i="21" s="1"/>
  <c r="T7" i="21"/>
  <c r="T12" i="21" s="1"/>
  <c r="P7" i="21"/>
  <c r="L7" i="21"/>
  <c r="L10" i="21" s="1"/>
  <c r="M18" i="21" s="1"/>
  <c r="O18" i="21" s="1"/>
  <c r="H7" i="21"/>
  <c r="D7" i="21"/>
  <c r="D12" i="21" s="1"/>
  <c r="AZ6" i="21"/>
  <c r="AZ5" i="21"/>
  <c r="AV4" i="21"/>
  <c r="AR4" i="21"/>
  <c r="AN4" i="21"/>
  <c r="AJ4" i="21"/>
  <c r="AF4" i="21"/>
  <c r="AB4" i="21"/>
  <c r="X4" i="21"/>
  <c r="T4" i="21"/>
  <c r="P4" i="21"/>
  <c r="L4" i="21"/>
  <c r="H4" i="21"/>
  <c r="D4" i="21"/>
  <c r="AV2" i="21"/>
  <c r="AR2" i="21"/>
  <c r="AN2" i="21"/>
  <c r="AJ2" i="21"/>
  <c r="AF2" i="21"/>
  <c r="AB2" i="21"/>
  <c r="X2" i="21"/>
  <c r="T2" i="21"/>
  <c r="P2" i="21"/>
  <c r="L2" i="21"/>
  <c r="H2" i="21"/>
  <c r="D2" i="21"/>
  <c r="BD25" i="20"/>
  <c r="BB25" i="20"/>
  <c r="BD24" i="20"/>
  <c r="BB24" i="20"/>
  <c r="BD23" i="20"/>
  <c r="AV8" i="20" s="1"/>
  <c r="BB23" i="20"/>
  <c r="BD21" i="20"/>
  <c r="BB21" i="20"/>
  <c r="AZ21" i="20"/>
  <c r="AV20" i="20"/>
  <c r="AR20" i="20"/>
  <c r="AN20" i="20"/>
  <c r="AJ20" i="20"/>
  <c r="AF20" i="20"/>
  <c r="AB20" i="20"/>
  <c r="X20" i="20"/>
  <c r="T20" i="20"/>
  <c r="P20" i="20"/>
  <c r="L20" i="20"/>
  <c r="H20" i="20"/>
  <c r="D20" i="20"/>
  <c r="AO19" i="20"/>
  <c r="AQ19" i="20" s="1"/>
  <c r="AG18" i="20"/>
  <c r="AI18" i="20" s="1"/>
  <c r="AO17" i="20"/>
  <c r="AQ17" i="20" s="1"/>
  <c r="AN13" i="20"/>
  <c r="AJ13" i="20"/>
  <c r="AF13" i="20"/>
  <c r="AB13" i="20"/>
  <c r="X13" i="20"/>
  <c r="P13" i="20"/>
  <c r="AZ12" i="20"/>
  <c r="AV12" i="20"/>
  <c r="AZ11" i="20"/>
  <c r="AY11" i="20"/>
  <c r="AN10" i="20"/>
  <c r="AO16" i="20" s="1"/>
  <c r="L10" i="20"/>
  <c r="AV9" i="20"/>
  <c r="AR9" i="20"/>
  <c r="AN9" i="20"/>
  <c r="AJ9" i="20"/>
  <c r="AJ10" i="20" s="1"/>
  <c r="AF9" i="20"/>
  <c r="AB9" i="20"/>
  <c r="AB10" i="20" s="1"/>
  <c r="X9" i="20"/>
  <c r="T9" i="20"/>
  <c r="P9" i="20"/>
  <c r="L9" i="20"/>
  <c r="H9" i="20"/>
  <c r="D9" i="20"/>
  <c r="AB8" i="20"/>
  <c r="AV7" i="20"/>
  <c r="AR7" i="20"/>
  <c r="AN7" i="20"/>
  <c r="AJ7" i="20"/>
  <c r="AF7" i="20"/>
  <c r="AF10" i="20" s="1"/>
  <c r="AG17" i="20" s="1"/>
  <c r="AI17" i="20" s="1"/>
  <c r="AB7" i="20"/>
  <c r="X7" i="20"/>
  <c r="X10" i="20" s="1"/>
  <c r="T7" i="20"/>
  <c r="P7" i="20"/>
  <c r="P10" i="20" s="1"/>
  <c r="L7" i="20"/>
  <c r="L13" i="20" s="1"/>
  <c r="H7" i="20"/>
  <c r="H13" i="20" s="1"/>
  <c r="D7" i="20"/>
  <c r="D13" i="20" s="1"/>
  <c r="AZ6" i="20"/>
  <c r="AZ5" i="20"/>
  <c r="AV4" i="20"/>
  <c r="AR4" i="20"/>
  <c r="AN4" i="20"/>
  <c r="AJ4" i="20"/>
  <c r="AF4" i="20"/>
  <c r="AB4" i="20"/>
  <c r="X4" i="20"/>
  <c r="T4" i="20"/>
  <c r="P4" i="20"/>
  <c r="L4" i="20"/>
  <c r="H4" i="20"/>
  <c r="D4" i="20"/>
  <c r="AV2" i="20"/>
  <c r="AR2" i="20"/>
  <c r="AN2" i="20"/>
  <c r="AJ2" i="20"/>
  <c r="AF2" i="20"/>
  <c r="AB2" i="20"/>
  <c r="X2" i="20"/>
  <c r="T2" i="20"/>
  <c r="P2" i="20"/>
  <c r="L2" i="20"/>
  <c r="H2" i="20"/>
  <c r="D2" i="20"/>
  <c r="BD33" i="19"/>
  <c r="BB25" i="19"/>
  <c r="BD25" i="19" s="1"/>
  <c r="BB24" i="19"/>
  <c r="BD24" i="19" s="1"/>
  <c r="BD23" i="19"/>
  <c r="AV8" i="19" s="1"/>
  <c r="BB23" i="19"/>
  <c r="BD21" i="19"/>
  <c r="BB21" i="19"/>
  <c r="AZ21" i="19"/>
  <c r="AV20" i="19"/>
  <c r="AR20" i="19"/>
  <c r="AN20" i="19"/>
  <c r="AJ20" i="19"/>
  <c r="AF20" i="19"/>
  <c r="AB20" i="19"/>
  <c r="X20" i="19"/>
  <c r="T20" i="19"/>
  <c r="P20" i="19"/>
  <c r="L20" i="19"/>
  <c r="H20" i="19"/>
  <c r="D20" i="19"/>
  <c r="W19" i="19"/>
  <c r="E19" i="19"/>
  <c r="G19" i="19" s="1"/>
  <c r="U18" i="19"/>
  <c r="W18" i="19" s="1"/>
  <c r="U17" i="19"/>
  <c r="W17" i="19" s="1"/>
  <c r="AV13" i="19"/>
  <c r="AB13" i="19"/>
  <c r="H13" i="19"/>
  <c r="AZ12" i="19"/>
  <c r="AV12" i="19"/>
  <c r="AZ11" i="19"/>
  <c r="AF10" i="19"/>
  <c r="T10" i="19"/>
  <c r="U19" i="19" s="1"/>
  <c r="H10" i="19"/>
  <c r="AV9" i="19"/>
  <c r="AV10" i="19" s="1"/>
  <c r="AW18" i="19" s="1"/>
  <c r="AY18" i="19" s="1"/>
  <c r="AR9" i="19"/>
  <c r="AN9" i="19"/>
  <c r="AJ9" i="19"/>
  <c r="AF9" i="19"/>
  <c r="AB9" i="19"/>
  <c r="AB10" i="19" s="1"/>
  <c r="X9" i="19"/>
  <c r="T9" i="19"/>
  <c r="P9" i="19"/>
  <c r="L9" i="19"/>
  <c r="H9" i="19"/>
  <c r="AZ9" i="19" s="1"/>
  <c r="D9" i="19"/>
  <c r="AB8" i="19"/>
  <c r="BB7" i="19"/>
  <c r="AV7" i="19"/>
  <c r="AR7" i="19"/>
  <c r="AR13" i="19" s="1"/>
  <c r="AN7" i="19"/>
  <c r="AN10" i="19" s="1"/>
  <c r="AJ7" i="19"/>
  <c r="AF7" i="19"/>
  <c r="AF13" i="19" s="1"/>
  <c r="AB7" i="19"/>
  <c r="X7" i="19"/>
  <c r="X13" i="19" s="1"/>
  <c r="T7" i="19"/>
  <c r="T13" i="19" s="1"/>
  <c r="P7" i="19"/>
  <c r="L7" i="19"/>
  <c r="L13" i="19" s="1"/>
  <c r="H7" i="19"/>
  <c r="D7" i="19"/>
  <c r="D10" i="19" s="1"/>
  <c r="AZ6" i="19"/>
  <c r="AZ5" i="19"/>
  <c r="AV4" i="19"/>
  <c r="AR4" i="19"/>
  <c r="AN4" i="19"/>
  <c r="AJ4" i="19"/>
  <c r="AF4" i="19"/>
  <c r="AB4" i="19"/>
  <c r="X4" i="19"/>
  <c r="T4" i="19"/>
  <c r="P4" i="19"/>
  <c r="L4" i="19"/>
  <c r="H4" i="19"/>
  <c r="D4" i="19"/>
  <c r="AV2" i="19"/>
  <c r="AR2" i="19"/>
  <c r="AN2" i="19"/>
  <c r="AJ2" i="19"/>
  <c r="AF2" i="19"/>
  <c r="AB2" i="19"/>
  <c r="X2" i="19"/>
  <c r="T2" i="19"/>
  <c r="P2" i="19"/>
  <c r="L2" i="19"/>
  <c r="BD6" i="19" s="1"/>
  <c r="H2" i="19"/>
  <c r="D2" i="19"/>
  <c r="BF33" i="18"/>
  <c r="BB33" i="18"/>
  <c r="BC33" i="18" s="1"/>
  <c r="BF32" i="18"/>
  <c r="BC32" i="18"/>
  <c r="BB32" i="18"/>
  <c r="BB31" i="18"/>
  <c r="BC31" i="18" s="1"/>
  <c r="BF31" i="18" s="1"/>
  <c r="BF30" i="18"/>
  <c r="BC30" i="18"/>
  <c r="BB30" i="18"/>
  <c r="BC29" i="18"/>
  <c r="BF29" i="18" s="1"/>
  <c r="BF28" i="18"/>
  <c r="BC28" i="18"/>
  <c r="BC27" i="18"/>
  <c r="BF27" i="18" s="1"/>
  <c r="BE25" i="18"/>
  <c r="BB25" i="18"/>
  <c r="AZ25" i="18"/>
  <c r="AV24" i="18"/>
  <c r="AR24" i="18"/>
  <c r="AN24" i="18"/>
  <c r="AJ24" i="18"/>
  <c r="AF24" i="18"/>
  <c r="AB24" i="18"/>
  <c r="X24" i="18"/>
  <c r="T24" i="18"/>
  <c r="P24" i="18"/>
  <c r="L24" i="18"/>
  <c r="H24" i="18"/>
  <c r="D24" i="18"/>
  <c r="C23" i="18"/>
  <c r="AO22" i="18"/>
  <c r="AQ22" i="18" s="1"/>
  <c r="Y22" i="18"/>
  <c r="AA22" i="18" s="1"/>
  <c r="C22" i="18"/>
  <c r="AO21" i="18"/>
  <c r="AQ21" i="18" s="1"/>
  <c r="C21" i="18"/>
  <c r="C20" i="18"/>
  <c r="Y19" i="18"/>
  <c r="AA19" i="18" s="1"/>
  <c r="U18" i="18"/>
  <c r="W18" i="18" s="1"/>
  <c r="AW17" i="18"/>
  <c r="AY17" i="18" s="1"/>
  <c r="AA16" i="18"/>
  <c r="Y16" i="18"/>
  <c r="AV13" i="18"/>
  <c r="AF13" i="18"/>
  <c r="X13" i="18"/>
  <c r="T13" i="18"/>
  <c r="AZ12" i="18"/>
  <c r="AZ11" i="18"/>
  <c r="AB10" i="18"/>
  <c r="T10" i="18"/>
  <c r="U19" i="18" s="1"/>
  <c r="W19" i="18" s="1"/>
  <c r="P10" i="18"/>
  <c r="AV9" i="18"/>
  <c r="AV10" i="18" s="1"/>
  <c r="AR9" i="18"/>
  <c r="AN9" i="18"/>
  <c r="AJ9" i="18"/>
  <c r="AF9" i="18"/>
  <c r="AB9" i="18"/>
  <c r="X9" i="18"/>
  <c r="T9" i="18"/>
  <c r="P9" i="18"/>
  <c r="L9" i="18"/>
  <c r="H9" i="18"/>
  <c r="D9" i="18"/>
  <c r="AZ9" i="18" s="1"/>
  <c r="AV8" i="18"/>
  <c r="AJ8" i="18"/>
  <c r="AV7" i="18"/>
  <c r="AR7" i="18"/>
  <c r="AN7" i="18"/>
  <c r="AN10" i="18" s="1"/>
  <c r="AJ7" i="18"/>
  <c r="AJ13" i="18" s="1"/>
  <c r="AF7" i="18"/>
  <c r="AF10" i="18" s="1"/>
  <c r="AB7" i="18"/>
  <c r="AB13" i="18" s="1"/>
  <c r="X7" i="18"/>
  <c r="X10" i="18" s="1"/>
  <c r="Y20" i="18" s="1"/>
  <c r="AA20" i="18" s="1"/>
  <c r="T7" i="18"/>
  <c r="P7" i="18"/>
  <c r="P13" i="18" s="1"/>
  <c r="L7" i="18"/>
  <c r="H7" i="18"/>
  <c r="H13" i="18" s="1"/>
  <c r="D7" i="18"/>
  <c r="AZ6" i="18"/>
  <c r="H5" i="18"/>
  <c r="AV4" i="18"/>
  <c r="AR4" i="18"/>
  <c r="AN4" i="18"/>
  <c r="AJ4" i="18"/>
  <c r="AF4" i="18"/>
  <c r="AB4" i="18"/>
  <c r="X4" i="18"/>
  <c r="BB11" i="18" s="1"/>
  <c r="T4" i="18"/>
  <c r="P4" i="18"/>
  <c r="L4" i="18"/>
  <c r="H4" i="18"/>
  <c r="D4" i="18"/>
  <c r="AV2" i="18"/>
  <c r="AR2" i="18"/>
  <c r="AN2" i="18"/>
  <c r="AJ2" i="18"/>
  <c r="AF2" i="18"/>
  <c r="AB2" i="18"/>
  <c r="X2" i="18"/>
  <c r="T2" i="18"/>
  <c r="P2" i="18"/>
  <c r="L2" i="18"/>
  <c r="H2" i="18"/>
  <c r="D2" i="18"/>
  <c r="BE39" i="17"/>
  <c r="BB33" i="17"/>
  <c r="BC33" i="17" s="1"/>
  <c r="BF33" i="17" s="1"/>
  <c r="BB32" i="17"/>
  <c r="BC32" i="17" s="1"/>
  <c r="BF32" i="17" s="1"/>
  <c r="BB31" i="17"/>
  <c r="BC30" i="17"/>
  <c r="BF30" i="17" s="1"/>
  <c r="BB30" i="17"/>
  <c r="BF29" i="17"/>
  <c r="BC29" i="17"/>
  <c r="BF28" i="17"/>
  <c r="BC28" i="17"/>
  <c r="BF27" i="17"/>
  <c r="BC27" i="17"/>
  <c r="BE25" i="17"/>
  <c r="BB25" i="17"/>
  <c r="AZ25" i="17"/>
  <c r="AV24" i="17"/>
  <c r="AR24" i="17"/>
  <c r="AN24" i="17"/>
  <c r="AJ24" i="17"/>
  <c r="AF24" i="17"/>
  <c r="AB24" i="17"/>
  <c r="X24" i="17"/>
  <c r="T24" i="17"/>
  <c r="P24" i="17"/>
  <c r="L24" i="17"/>
  <c r="H24" i="17"/>
  <c r="D24" i="17"/>
  <c r="AG23" i="17"/>
  <c r="AI23" i="17" s="1"/>
  <c r="AC23" i="17"/>
  <c r="AE23" i="17" s="1"/>
  <c r="C23" i="17"/>
  <c r="Q22" i="17"/>
  <c r="S22" i="17" s="1"/>
  <c r="C22" i="17"/>
  <c r="AC21" i="17"/>
  <c r="AE21" i="17" s="1"/>
  <c r="C21" i="17"/>
  <c r="C20" i="17"/>
  <c r="AW17" i="17"/>
  <c r="AY17" i="17" s="1"/>
  <c r="AG17" i="17"/>
  <c r="AI17" i="17" s="1"/>
  <c r="Q17" i="17"/>
  <c r="S17" i="17" s="1"/>
  <c r="E17" i="17"/>
  <c r="G17" i="17" s="1"/>
  <c r="AI16" i="17"/>
  <c r="AG16" i="17"/>
  <c r="AC16" i="17"/>
  <c r="AV13" i="17"/>
  <c r="AN13" i="17"/>
  <c r="AJ13" i="17"/>
  <c r="AF13" i="17"/>
  <c r="AB13" i="17"/>
  <c r="P13" i="17"/>
  <c r="L13" i="17"/>
  <c r="AZ12" i="17"/>
  <c r="AZ11" i="17"/>
  <c r="AV10" i="17"/>
  <c r="AN10" i="17"/>
  <c r="AO20" i="17" s="1"/>
  <c r="AQ20" i="17" s="1"/>
  <c r="AB10" i="17"/>
  <c r="AC20" i="17" s="1"/>
  <c r="AE20" i="17" s="1"/>
  <c r="D10" i="17"/>
  <c r="AV9" i="17"/>
  <c r="AR9" i="17"/>
  <c r="AN9" i="17"/>
  <c r="AJ9" i="17"/>
  <c r="AF9" i="17"/>
  <c r="AF10" i="17" s="1"/>
  <c r="AB9" i="17"/>
  <c r="X9" i="17"/>
  <c r="T9" i="17"/>
  <c r="P9" i="17"/>
  <c r="P10" i="17" s="1"/>
  <c r="L9" i="17"/>
  <c r="AZ9" i="17" s="1"/>
  <c r="H9" i="17"/>
  <c r="D9" i="17"/>
  <c r="AV8" i="17"/>
  <c r="AV7" i="17"/>
  <c r="AR7" i="17"/>
  <c r="AN7" i="17"/>
  <c r="AJ7" i="17"/>
  <c r="AF7" i="17"/>
  <c r="AB7" i="17"/>
  <c r="X7" i="17"/>
  <c r="T7" i="17"/>
  <c r="P7" i="17"/>
  <c r="L7" i="17"/>
  <c r="H7" i="17"/>
  <c r="H13" i="17" s="1"/>
  <c r="D7" i="17"/>
  <c r="AZ7" i="17" s="1"/>
  <c r="AZ6" i="17"/>
  <c r="AZ5" i="17"/>
  <c r="AV4" i="17"/>
  <c r="AR4" i="17"/>
  <c r="AN4" i="17"/>
  <c r="AJ4" i="17"/>
  <c r="AF4" i="17"/>
  <c r="AB4" i="17"/>
  <c r="X4" i="17"/>
  <c r="T4" i="17"/>
  <c r="P4" i="17"/>
  <c r="L4" i="17"/>
  <c r="BB11" i="17" s="1"/>
  <c r="H4" i="17"/>
  <c r="D4" i="17"/>
  <c r="AV2" i="17"/>
  <c r="AR2" i="17"/>
  <c r="AN2" i="17"/>
  <c r="AJ2" i="17"/>
  <c r="AF2" i="17"/>
  <c r="AB2" i="17"/>
  <c r="X2" i="17"/>
  <c r="T2" i="17"/>
  <c r="P2" i="17"/>
  <c r="L2" i="17"/>
  <c r="H2" i="17"/>
  <c r="D2" i="17"/>
  <c r="BE7" i="17" s="1"/>
  <c r="BC33" i="16"/>
  <c r="BF33" i="16" s="1"/>
  <c r="BC32" i="16"/>
  <c r="BF32" i="16" s="1"/>
  <c r="BF31" i="16"/>
  <c r="BC31" i="16"/>
  <c r="BF30" i="16"/>
  <c r="BC30" i="16"/>
  <c r="BC29" i="16"/>
  <c r="BF29" i="16" s="1"/>
  <c r="BC28" i="16"/>
  <c r="BF28" i="16" s="1"/>
  <c r="BF27" i="16"/>
  <c r="BC27" i="16"/>
  <c r="BF26" i="16"/>
  <c r="BC26" i="16"/>
  <c r="BE25" i="16"/>
  <c r="BB25" i="16"/>
  <c r="AZ25" i="16"/>
  <c r="AV24" i="16"/>
  <c r="AR24" i="16"/>
  <c r="AN24" i="16"/>
  <c r="AJ24" i="16"/>
  <c r="AF24" i="16"/>
  <c r="AB24" i="16"/>
  <c r="X24" i="16"/>
  <c r="T24" i="16"/>
  <c r="P24" i="16"/>
  <c r="L24" i="16"/>
  <c r="H24" i="16"/>
  <c r="D24" i="16"/>
  <c r="U23" i="16"/>
  <c r="W23" i="16" s="1"/>
  <c r="AW22" i="16"/>
  <c r="AY22" i="16" s="1"/>
  <c r="E22" i="16"/>
  <c r="G22" i="16" s="1"/>
  <c r="AG20" i="16"/>
  <c r="AI20" i="16" s="1"/>
  <c r="AC19" i="16"/>
  <c r="AE19" i="16" s="1"/>
  <c r="G18" i="16"/>
  <c r="E18" i="16"/>
  <c r="U16" i="16"/>
  <c r="AV13" i="16"/>
  <c r="AR13" i="16"/>
  <c r="AJ13" i="16"/>
  <c r="T13" i="16"/>
  <c r="D13" i="16"/>
  <c r="AZ12" i="16"/>
  <c r="AZ11" i="16"/>
  <c r="AF10" i="16"/>
  <c r="T10" i="16"/>
  <c r="AV9" i="16"/>
  <c r="AR9" i="16"/>
  <c r="AR10" i="16" s="1"/>
  <c r="AN9" i="16"/>
  <c r="AJ9" i="16"/>
  <c r="AF9" i="16"/>
  <c r="AB9" i="16"/>
  <c r="AB10" i="16" s="1"/>
  <c r="X9" i="16"/>
  <c r="T9" i="16"/>
  <c r="P9" i="16"/>
  <c r="L9" i="16"/>
  <c r="H9" i="16"/>
  <c r="D9" i="16"/>
  <c r="AN8" i="16"/>
  <c r="AF8" i="16"/>
  <c r="AV7" i="16"/>
  <c r="AV10" i="16" s="1"/>
  <c r="AR7" i="16"/>
  <c r="AN7" i="16"/>
  <c r="AN13" i="16" s="1"/>
  <c r="AJ7" i="16"/>
  <c r="AF7" i="16"/>
  <c r="AF13" i="16" s="1"/>
  <c r="AB7" i="16"/>
  <c r="AB13" i="16" s="1"/>
  <c r="X7" i="16"/>
  <c r="X13" i="16" s="1"/>
  <c r="T7" i="16"/>
  <c r="P7" i="16"/>
  <c r="L7" i="16"/>
  <c r="L13" i="16" s="1"/>
  <c r="H7" i="16"/>
  <c r="D7" i="16"/>
  <c r="D10" i="16" s="1"/>
  <c r="AZ6" i="16"/>
  <c r="AZ5" i="16"/>
  <c r="AV4" i="16"/>
  <c r="AR4" i="16"/>
  <c r="AN4" i="16"/>
  <c r="AJ4" i="16"/>
  <c r="AF4" i="16"/>
  <c r="AB4" i="16"/>
  <c r="X4" i="16"/>
  <c r="T4" i="16"/>
  <c r="P4" i="16"/>
  <c r="L4" i="16"/>
  <c r="H4" i="16"/>
  <c r="D4" i="16"/>
  <c r="AV2" i="16"/>
  <c r="AR2" i="16"/>
  <c r="AN2" i="16"/>
  <c r="AJ2" i="16"/>
  <c r="AF2" i="16"/>
  <c r="AB2" i="16"/>
  <c r="X2" i="16"/>
  <c r="T2" i="16"/>
  <c r="P2" i="16"/>
  <c r="L2" i="16"/>
  <c r="H2" i="16"/>
  <c r="D2" i="16"/>
  <c r="BE5" i="16" s="1"/>
  <c r="BF33" i="15"/>
  <c r="BC33" i="15"/>
  <c r="BC32" i="15"/>
  <c r="BF32" i="15" s="1"/>
  <c r="BF31" i="15"/>
  <c r="BC31" i="15"/>
  <c r="BF30" i="15"/>
  <c r="BC30" i="15"/>
  <c r="BC29" i="15"/>
  <c r="BF29" i="15" s="1"/>
  <c r="BC28" i="15"/>
  <c r="BF28" i="15" s="1"/>
  <c r="BF27" i="15"/>
  <c r="BC27" i="15"/>
  <c r="AV26" i="15"/>
  <c r="BE25" i="15"/>
  <c r="BB25" i="15"/>
  <c r="AZ25" i="15"/>
  <c r="AV24" i="15"/>
  <c r="AV25" i="15" s="1"/>
  <c r="AR24" i="15"/>
  <c r="AS22" i="15" s="1"/>
  <c r="AU22" i="15" s="1"/>
  <c r="AN24" i="15"/>
  <c r="AJ24" i="15"/>
  <c r="AF24" i="15"/>
  <c r="AB24" i="15"/>
  <c r="X24" i="15"/>
  <c r="T24" i="15"/>
  <c r="P24" i="15"/>
  <c r="L24" i="15"/>
  <c r="H24" i="15"/>
  <c r="D24" i="15"/>
  <c r="E23" i="15"/>
  <c r="G23" i="15" s="1"/>
  <c r="AK22" i="15"/>
  <c r="AM22" i="15" s="1"/>
  <c r="E22" i="15"/>
  <c r="G22" i="15" s="1"/>
  <c r="AS21" i="15"/>
  <c r="AU21" i="15" s="1"/>
  <c r="I21" i="15"/>
  <c r="K21" i="15" s="1"/>
  <c r="AS20" i="15"/>
  <c r="AU20" i="15" s="1"/>
  <c r="E18" i="15"/>
  <c r="G18" i="15" s="1"/>
  <c r="AS17" i="15"/>
  <c r="AU17" i="15" s="1"/>
  <c r="I17" i="15"/>
  <c r="K17" i="15" s="1"/>
  <c r="AS16" i="15"/>
  <c r="AV13" i="15"/>
  <c r="AR13" i="15"/>
  <c r="AJ13" i="15"/>
  <c r="P13" i="15"/>
  <c r="D13" i="15"/>
  <c r="AZ12" i="15"/>
  <c r="AZ11" i="15"/>
  <c r="AR10" i="15"/>
  <c r="T10" i="15"/>
  <c r="P10" i="15"/>
  <c r="D10" i="15"/>
  <c r="E19" i="15" s="1"/>
  <c r="G19" i="15" s="1"/>
  <c r="AV9" i="15"/>
  <c r="AV10" i="15" s="1"/>
  <c r="AR9" i="15"/>
  <c r="AN9" i="15"/>
  <c r="AJ9" i="15"/>
  <c r="AJ10" i="15" s="1"/>
  <c r="AF9" i="15"/>
  <c r="AB9" i="15"/>
  <c r="X9" i="15"/>
  <c r="T9" i="15"/>
  <c r="P9" i="15"/>
  <c r="L9" i="15"/>
  <c r="H9" i="15"/>
  <c r="AZ9" i="15" s="1"/>
  <c r="D9" i="15"/>
  <c r="AN8" i="15"/>
  <c r="AF8" i="15"/>
  <c r="AV7" i="15"/>
  <c r="AR7" i="15"/>
  <c r="AN7" i="15"/>
  <c r="AJ7" i="15"/>
  <c r="AF7" i="15"/>
  <c r="AF13" i="15" s="1"/>
  <c r="AB7" i="15"/>
  <c r="AB10" i="15" s="1"/>
  <c r="X7" i="15"/>
  <c r="T7" i="15"/>
  <c r="T13" i="15" s="1"/>
  <c r="P7" i="15"/>
  <c r="L7" i="15"/>
  <c r="L13" i="15" s="1"/>
  <c r="H7" i="15"/>
  <c r="H10" i="15" s="1"/>
  <c r="D7" i="15"/>
  <c r="AZ6" i="15"/>
  <c r="AP6" i="15"/>
  <c r="AP8" i="15" s="1"/>
  <c r="AZ5" i="15"/>
  <c r="F5" i="15"/>
  <c r="AV4" i="15"/>
  <c r="AR4" i="15"/>
  <c r="AN4" i="15"/>
  <c r="AJ4" i="15"/>
  <c r="AF4" i="15"/>
  <c r="AB4" i="15"/>
  <c r="X4" i="15"/>
  <c r="T4" i="15"/>
  <c r="BB5" i="15" s="1"/>
  <c r="P4" i="15"/>
  <c r="L4" i="15"/>
  <c r="H4" i="15"/>
  <c r="D4" i="15"/>
  <c r="AV2" i="15"/>
  <c r="AR2" i="15"/>
  <c r="AN2" i="15"/>
  <c r="AJ2" i="15"/>
  <c r="AF2" i="15"/>
  <c r="AB2" i="15"/>
  <c r="BE11" i="15" s="1"/>
  <c r="X2" i="15"/>
  <c r="T2" i="15"/>
  <c r="P2" i="15"/>
  <c r="L2" i="15"/>
  <c r="H2" i="15"/>
  <c r="D2" i="15"/>
  <c r="BE57" i="14"/>
  <c r="BB57" i="14"/>
  <c r="AZ57" i="14"/>
  <c r="BE56" i="14"/>
  <c r="BC56" i="14"/>
  <c r="BB56" i="14"/>
  <c r="AZ56" i="14"/>
  <c r="BE55" i="14"/>
  <c r="BB55" i="14"/>
  <c r="AZ55" i="14"/>
  <c r="BE54" i="14"/>
  <c r="BC54" i="14"/>
  <c r="BB54" i="14"/>
  <c r="AZ54" i="14"/>
  <c r="BF53" i="14"/>
  <c r="BE53" i="14"/>
  <c r="BB53" i="14"/>
  <c r="AZ53" i="14"/>
  <c r="BE52" i="14"/>
  <c r="BB52" i="14"/>
  <c r="AZ52" i="14"/>
  <c r="BE51" i="14"/>
  <c r="BB51" i="14"/>
  <c r="AZ51" i="14"/>
  <c r="AO43" i="14"/>
  <c r="AK43" i="14"/>
  <c r="AG43" i="14"/>
  <c r="Y43" i="14"/>
  <c r="M43" i="14"/>
  <c r="E43" i="14"/>
  <c r="AO42" i="14"/>
  <c r="AK42" i="14"/>
  <c r="AC42" i="14"/>
  <c r="Y42" i="14"/>
  <c r="M42" i="14"/>
  <c r="E42" i="14"/>
  <c r="AS41" i="14"/>
  <c r="AS43" i="14" s="1"/>
  <c r="AO41" i="14"/>
  <c r="AK41" i="14"/>
  <c r="AG41" i="14"/>
  <c r="AG42" i="14" s="1"/>
  <c r="AC41" i="14"/>
  <c r="AC43" i="14" s="1"/>
  <c r="Y41" i="14"/>
  <c r="U41" i="14"/>
  <c r="U43" i="14" s="1"/>
  <c r="Q41" i="14"/>
  <c r="Q43" i="14" s="1"/>
  <c r="M41" i="14"/>
  <c r="I41" i="14"/>
  <c r="I43" i="14" s="1"/>
  <c r="E41" i="14"/>
  <c r="BE39" i="14"/>
  <c r="AS37" i="14"/>
  <c r="AW36" i="14"/>
  <c r="AO36" i="14"/>
  <c r="U36" i="14"/>
  <c r="Q36" i="14"/>
  <c r="I36" i="14"/>
  <c r="E36" i="14"/>
  <c r="AW35" i="14"/>
  <c r="AS35" i="14"/>
  <c r="AO35" i="14"/>
  <c r="AK35" i="14"/>
  <c r="AG35" i="14"/>
  <c r="AC35" i="14"/>
  <c r="Y35" i="14"/>
  <c r="U35" i="14"/>
  <c r="Q35" i="14"/>
  <c r="M35" i="14"/>
  <c r="I35" i="14"/>
  <c r="E35" i="14"/>
  <c r="BC33" i="14"/>
  <c r="BF32" i="14"/>
  <c r="BF56" i="14" s="1"/>
  <c r="BC32" i="14"/>
  <c r="BC31" i="14"/>
  <c r="BC55" i="14" s="1"/>
  <c r="BF30" i="14"/>
  <c r="BF54" i="14" s="1"/>
  <c r="BC30" i="14"/>
  <c r="AO30" i="14"/>
  <c r="AC30" i="14"/>
  <c r="AC31" i="14" s="1"/>
  <c r="Q30" i="14"/>
  <c r="Q31" i="14" s="1"/>
  <c r="E30" i="14"/>
  <c r="BF29" i="14"/>
  <c r="BC29" i="14"/>
  <c r="BC53" i="14" s="1"/>
  <c r="AO29" i="14"/>
  <c r="Q29" i="14"/>
  <c r="BC28" i="14"/>
  <c r="BC27" i="14"/>
  <c r="BF27" i="14" s="1"/>
  <c r="BF51" i="14" s="1"/>
  <c r="AT27" i="14"/>
  <c r="AV26" i="14"/>
  <c r="BE25" i="14"/>
  <c r="BB25" i="14"/>
  <c r="AZ25" i="14"/>
  <c r="AV25" i="14"/>
  <c r="AV24" i="14"/>
  <c r="AR24" i="14"/>
  <c r="AN24" i="14"/>
  <c r="AJ24" i="14"/>
  <c r="AF24" i="14"/>
  <c r="AB24" i="14"/>
  <c r="X24" i="14"/>
  <c r="T24" i="14"/>
  <c r="P24" i="14"/>
  <c r="L24" i="14"/>
  <c r="H24" i="14"/>
  <c r="D24" i="14"/>
  <c r="E23" i="14"/>
  <c r="G23" i="14" s="1"/>
  <c r="AS22" i="14"/>
  <c r="AU22" i="14" s="1"/>
  <c r="E21" i="14"/>
  <c r="G21" i="14" s="1"/>
  <c r="AS20" i="14"/>
  <c r="AU20" i="14" s="1"/>
  <c r="E20" i="14"/>
  <c r="G20" i="14" s="1"/>
  <c r="AS16" i="14"/>
  <c r="AU16" i="14" s="1"/>
  <c r="Q16" i="14"/>
  <c r="S16" i="14" s="1"/>
  <c r="E16" i="14"/>
  <c r="G16" i="14" s="1"/>
  <c r="AR13" i="14"/>
  <c r="AN13" i="14"/>
  <c r="AB13" i="14"/>
  <c r="L13" i="14"/>
  <c r="D13" i="14"/>
  <c r="AZ12" i="14"/>
  <c r="AZ11" i="14"/>
  <c r="AR10" i="14"/>
  <c r="AS19" i="14" s="1"/>
  <c r="AU19" i="14" s="1"/>
  <c r="P10" i="14"/>
  <c r="D10" i="14"/>
  <c r="E19" i="14" s="1"/>
  <c r="G19" i="14" s="1"/>
  <c r="AV9" i="14"/>
  <c r="AR9" i="14"/>
  <c r="AS36" i="14" s="1"/>
  <c r="AS38" i="14" s="1"/>
  <c r="AN9" i="14"/>
  <c r="AJ9" i="14"/>
  <c r="AF9" i="14"/>
  <c r="AG36" i="14" s="1"/>
  <c r="AB9" i="14"/>
  <c r="AC29" i="14" s="1"/>
  <c r="X9" i="14"/>
  <c r="Y36" i="14" s="1"/>
  <c r="T9" i="14"/>
  <c r="P9" i="14"/>
  <c r="L9" i="14"/>
  <c r="H9" i="14"/>
  <c r="D9" i="14"/>
  <c r="AN8" i="14"/>
  <c r="AF8" i="14"/>
  <c r="G8" i="14"/>
  <c r="AV7" i="14"/>
  <c r="AV13" i="14" s="1"/>
  <c r="AR7" i="14"/>
  <c r="AN7" i="14"/>
  <c r="AJ7" i="14"/>
  <c r="AJ13" i="14" s="1"/>
  <c r="AF7" i="14"/>
  <c r="AB7" i="14"/>
  <c r="AB10" i="14" s="1"/>
  <c r="X7" i="14"/>
  <c r="T7" i="14"/>
  <c r="T13" i="14" s="1"/>
  <c r="P7" i="14"/>
  <c r="P13" i="14" s="1"/>
  <c r="L7" i="14"/>
  <c r="H7" i="14"/>
  <c r="D7" i="14"/>
  <c r="AZ6" i="14"/>
  <c r="AP6" i="14"/>
  <c r="AP8" i="14" s="1"/>
  <c r="AZ5" i="14"/>
  <c r="AV4" i="14"/>
  <c r="AR4" i="14"/>
  <c r="AN4" i="14"/>
  <c r="AJ4" i="14"/>
  <c r="AF4" i="14"/>
  <c r="AB4" i="14"/>
  <c r="X4" i="14"/>
  <c r="T4" i="14"/>
  <c r="P4" i="14"/>
  <c r="BB5" i="14" s="1"/>
  <c r="L4" i="14"/>
  <c r="H4" i="14"/>
  <c r="D4" i="14"/>
  <c r="AV2" i="14"/>
  <c r="AR2" i="14"/>
  <c r="AN2" i="14"/>
  <c r="AJ2" i="14"/>
  <c r="AF2" i="14"/>
  <c r="AB2" i="14"/>
  <c r="BE5" i="14" s="1"/>
  <c r="X2" i="14"/>
  <c r="T2" i="14"/>
  <c r="P2" i="14"/>
  <c r="L2" i="14"/>
  <c r="H2" i="14"/>
  <c r="D2" i="14"/>
  <c r="BF33" i="13"/>
  <c r="BC33" i="13"/>
  <c r="BF32" i="13"/>
  <c r="BC32" i="13"/>
  <c r="BC31" i="13"/>
  <c r="BF31" i="13" s="1"/>
  <c r="BF30" i="13"/>
  <c r="BC30" i="13"/>
  <c r="BF29" i="13"/>
  <c r="BC29" i="13"/>
  <c r="BF28" i="13"/>
  <c r="BC28" i="13"/>
  <c r="BF27" i="13"/>
  <c r="BC27" i="13"/>
  <c r="BE25" i="13"/>
  <c r="BB25" i="13"/>
  <c r="AZ25" i="13"/>
  <c r="AV24" i="13"/>
  <c r="AR24" i="13"/>
  <c r="AN24" i="13"/>
  <c r="AJ24" i="13"/>
  <c r="AF24" i="13"/>
  <c r="AB24" i="13"/>
  <c r="X24" i="13"/>
  <c r="T24" i="13"/>
  <c r="P24" i="13"/>
  <c r="L24" i="13"/>
  <c r="H24" i="13"/>
  <c r="D24" i="13"/>
  <c r="AO21" i="13"/>
  <c r="AQ21" i="13" s="1"/>
  <c r="Y21" i="13"/>
  <c r="AA21" i="13" s="1"/>
  <c r="M21" i="13"/>
  <c r="O21" i="13" s="1"/>
  <c r="AC19" i="13"/>
  <c r="AE19" i="13" s="1"/>
  <c r="AC18" i="13"/>
  <c r="AE18" i="13" s="1"/>
  <c r="AO17" i="13"/>
  <c r="AQ17" i="13" s="1"/>
  <c r="AA17" i="13"/>
  <c r="Y17" i="13"/>
  <c r="O16" i="13"/>
  <c r="M16" i="13"/>
  <c r="AN13" i="13"/>
  <c r="AJ13" i="13"/>
  <c r="AF13" i="13"/>
  <c r="AB13" i="13"/>
  <c r="X13" i="13"/>
  <c r="AZ12" i="13"/>
  <c r="AZ11" i="13"/>
  <c r="AN10" i="13"/>
  <c r="AO23" i="13" s="1"/>
  <c r="AQ23" i="13" s="1"/>
  <c r="AB10" i="13"/>
  <c r="L10" i="13"/>
  <c r="AV9" i="13"/>
  <c r="AV10" i="13" s="1"/>
  <c r="AR9" i="13"/>
  <c r="AN9" i="13"/>
  <c r="AJ9" i="13"/>
  <c r="AF9" i="13"/>
  <c r="AF10" i="13" s="1"/>
  <c r="AB9" i="13"/>
  <c r="X9" i="13"/>
  <c r="T9" i="13"/>
  <c r="P9" i="13"/>
  <c r="BE9" i="13" s="1"/>
  <c r="L9" i="13"/>
  <c r="H9" i="13"/>
  <c r="AZ9" i="13" s="1"/>
  <c r="D9" i="13"/>
  <c r="AN8" i="13"/>
  <c r="AB8" i="13"/>
  <c r="AV7" i="13"/>
  <c r="AV13" i="13" s="1"/>
  <c r="AR7" i="13"/>
  <c r="AN7" i="13"/>
  <c r="AJ7" i="13"/>
  <c r="AJ10" i="13" s="1"/>
  <c r="AF7" i="13"/>
  <c r="AB7" i="13"/>
  <c r="X7" i="13"/>
  <c r="X10" i="13" s="1"/>
  <c r="T7" i="13"/>
  <c r="P7" i="13"/>
  <c r="L7" i="13"/>
  <c r="L13" i="13" s="1"/>
  <c r="H7" i="13"/>
  <c r="H10" i="13" s="1"/>
  <c r="D7" i="13"/>
  <c r="BE6" i="13"/>
  <c r="AZ6" i="13"/>
  <c r="AZ5" i="13"/>
  <c r="AV4" i="13"/>
  <c r="AR4" i="13"/>
  <c r="AN4" i="13"/>
  <c r="AJ4" i="13"/>
  <c r="AF4" i="13"/>
  <c r="AB4" i="13"/>
  <c r="X4" i="13"/>
  <c r="T4" i="13"/>
  <c r="P4" i="13"/>
  <c r="L4" i="13"/>
  <c r="H4" i="13"/>
  <c r="D4" i="13"/>
  <c r="BB12" i="13" s="1"/>
  <c r="AV2" i="13"/>
  <c r="AR2" i="13"/>
  <c r="AN2" i="13"/>
  <c r="AJ2" i="13"/>
  <c r="AF2" i="13"/>
  <c r="AB2" i="13"/>
  <c r="X2" i="13"/>
  <c r="T2" i="13"/>
  <c r="L2" i="13"/>
  <c r="H2" i="13"/>
  <c r="D2" i="13"/>
  <c r="BF33" i="12"/>
  <c r="BC33" i="12"/>
  <c r="BC32" i="12"/>
  <c r="BF32" i="12" s="1"/>
  <c r="BF31" i="12"/>
  <c r="BC31" i="12"/>
  <c r="BF30" i="12"/>
  <c r="BC30" i="12"/>
  <c r="BF29" i="12"/>
  <c r="BC29" i="12"/>
  <c r="BC28" i="12"/>
  <c r="BF28" i="12" s="1"/>
  <c r="BF27" i="12"/>
  <c r="BC27" i="12"/>
  <c r="BB26" i="12"/>
  <c r="BE25" i="12"/>
  <c r="BB25" i="12"/>
  <c r="AZ25" i="12"/>
  <c r="AV24" i="12"/>
  <c r="AR24" i="12"/>
  <c r="AN24" i="12"/>
  <c r="AJ24" i="12"/>
  <c r="AF24" i="12"/>
  <c r="AB24" i="12"/>
  <c r="X24" i="12"/>
  <c r="T24" i="12"/>
  <c r="P24" i="12"/>
  <c r="L24" i="12"/>
  <c r="H24" i="12"/>
  <c r="D24" i="12"/>
  <c r="AA23" i="12"/>
  <c r="Y23" i="12"/>
  <c r="AC22" i="12"/>
  <c r="AE22" i="12" s="1"/>
  <c r="Y20" i="12"/>
  <c r="AA20" i="12" s="1"/>
  <c r="AC19" i="12"/>
  <c r="AE19" i="12" s="1"/>
  <c r="Q19" i="12"/>
  <c r="S19" i="12" s="1"/>
  <c r="AR13" i="12"/>
  <c r="AB13" i="12"/>
  <c r="X13" i="12"/>
  <c r="P13" i="12"/>
  <c r="L13" i="12"/>
  <c r="H13" i="12"/>
  <c r="AZ13" i="12" s="1"/>
  <c r="AZ26" i="12" s="1"/>
  <c r="D13" i="12"/>
  <c r="BB13" i="12" s="1"/>
  <c r="AZ12" i="12"/>
  <c r="AZ11" i="12"/>
  <c r="X10" i="12"/>
  <c r="Y21" i="12" s="1"/>
  <c r="AA21" i="12" s="1"/>
  <c r="P10" i="12"/>
  <c r="AV9" i="12"/>
  <c r="AR9" i="12"/>
  <c r="AN9" i="12"/>
  <c r="AJ9" i="12"/>
  <c r="AF9" i="12"/>
  <c r="AB9" i="12"/>
  <c r="AB10" i="12" s="1"/>
  <c r="X9" i="12"/>
  <c r="T9" i="12"/>
  <c r="P9" i="12"/>
  <c r="L9" i="12"/>
  <c r="L10" i="12" s="1"/>
  <c r="H9" i="12"/>
  <c r="BB9" i="12" s="1"/>
  <c r="D9" i="12"/>
  <c r="AV8" i="12"/>
  <c r="AN8" i="12"/>
  <c r="AB8" i="12"/>
  <c r="AV7" i="12"/>
  <c r="AV13" i="12" s="1"/>
  <c r="AR7" i="12"/>
  <c r="AN7" i="12"/>
  <c r="AJ7" i="12"/>
  <c r="AJ13" i="12" s="1"/>
  <c r="AF7" i="12"/>
  <c r="AB7" i="12"/>
  <c r="X7" i="12"/>
  <c r="T7" i="12"/>
  <c r="T13" i="12" s="1"/>
  <c r="P7" i="12"/>
  <c r="L7" i="12"/>
  <c r="H7" i="12"/>
  <c r="D7" i="12"/>
  <c r="AZ6" i="12"/>
  <c r="AZ5" i="12"/>
  <c r="AV4" i="12"/>
  <c r="AR4" i="12"/>
  <c r="AN4" i="12"/>
  <c r="AJ4" i="12"/>
  <c r="AF4" i="12"/>
  <c r="AB4" i="12"/>
  <c r="X4" i="12"/>
  <c r="T4" i="12"/>
  <c r="P4" i="12"/>
  <c r="L4" i="12"/>
  <c r="H4" i="12"/>
  <c r="D4" i="12"/>
  <c r="AV2" i="12"/>
  <c r="AR2" i="12"/>
  <c r="AN2" i="12"/>
  <c r="AJ2" i="12"/>
  <c r="AF2" i="12"/>
  <c r="AB2" i="12"/>
  <c r="X2" i="12"/>
  <c r="T2" i="12"/>
  <c r="L2" i="12"/>
  <c r="H2" i="12"/>
  <c r="D2" i="12"/>
  <c r="BC33" i="11"/>
  <c r="BF33" i="11" s="1"/>
  <c r="BF32" i="11"/>
  <c r="BC32" i="11"/>
  <c r="BC31" i="11"/>
  <c r="BF31" i="11" s="1"/>
  <c r="BF30" i="11"/>
  <c r="BC30" i="11"/>
  <c r="BF29" i="11"/>
  <c r="BC29" i="11"/>
  <c r="BF28" i="11"/>
  <c r="BC28" i="11"/>
  <c r="BF27" i="11"/>
  <c r="BC27" i="11"/>
  <c r="BE25" i="11"/>
  <c r="BB25" i="11"/>
  <c r="AZ25" i="11"/>
  <c r="AV24" i="11"/>
  <c r="AW17" i="11" s="1"/>
  <c r="AY17" i="11" s="1"/>
  <c r="AR24" i="11"/>
  <c r="AN24" i="11"/>
  <c r="AJ24" i="11"/>
  <c r="AF24" i="11"/>
  <c r="AB24" i="11"/>
  <c r="X24" i="11"/>
  <c r="T24" i="11"/>
  <c r="P24" i="11"/>
  <c r="L24" i="11"/>
  <c r="H24" i="11"/>
  <c r="D24" i="11"/>
  <c r="AY23" i="11"/>
  <c r="AW23" i="11"/>
  <c r="AG21" i="11"/>
  <c r="AI21" i="11" s="1"/>
  <c r="AW20" i="11"/>
  <c r="AY20" i="11" s="1"/>
  <c r="AK20" i="11"/>
  <c r="AM20" i="11" s="1"/>
  <c r="U19" i="11"/>
  <c r="W19" i="11" s="1"/>
  <c r="I19" i="11"/>
  <c r="K19" i="11" s="1"/>
  <c r="AW18" i="11"/>
  <c r="AY18" i="11" s="1"/>
  <c r="U17" i="11"/>
  <c r="W17" i="11" s="1"/>
  <c r="I17" i="11"/>
  <c r="K17" i="11" s="1"/>
  <c r="AY16" i="11"/>
  <c r="AW16" i="11"/>
  <c r="K16" i="11"/>
  <c r="I16" i="11"/>
  <c r="AV13" i="11"/>
  <c r="AB13" i="11"/>
  <c r="X13" i="11"/>
  <c r="T13" i="11"/>
  <c r="H13" i="11"/>
  <c r="AZ12" i="11"/>
  <c r="AZ11" i="11"/>
  <c r="AV9" i="11"/>
  <c r="AV10" i="11" s="1"/>
  <c r="AR9" i="11"/>
  <c r="AR10" i="11" s="1"/>
  <c r="AN9" i="11"/>
  <c r="AJ9" i="11"/>
  <c r="AF9" i="11"/>
  <c r="AF10" i="11" s="1"/>
  <c r="AG17" i="11" s="1"/>
  <c r="AI17" i="11" s="1"/>
  <c r="AB9" i="11"/>
  <c r="X9" i="11"/>
  <c r="X10" i="11" s="1"/>
  <c r="T9" i="11"/>
  <c r="T10" i="11" s="1"/>
  <c r="P9" i="11"/>
  <c r="L9" i="11"/>
  <c r="H9" i="11"/>
  <c r="H10" i="11" s="1"/>
  <c r="D9" i="11"/>
  <c r="AZ9" i="11" s="1"/>
  <c r="AV8" i="11"/>
  <c r="AN8" i="11"/>
  <c r="AB8" i="11"/>
  <c r="AB10" i="11" s="1"/>
  <c r="AV7" i="11"/>
  <c r="AR7" i="11"/>
  <c r="AR13" i="11" s="1"/>
  <c r="AN7" i="11"/>
  <c r="AN10" i="11" s="1"/>
  <c r="AJ7" i="11"/>
  <c r="AJ10" i="11" s="1"/>
  <c r="AF7" i="11"/>
  <c r="AF13" i="11" s="1"/>
  <c r="AB7" i="11"/>
  <c r="X7" i="11"/>
  <c r="T7" i="11"/>
  <c r="P7" i="11"/>
  <c r="L7" i="11"/>
  <c r="L13" i="11" s="1"/>
  <c r="H7" i="11"/>
  <c r="D7" i="11"/>
  <c r="AZ6" i="11"/>
  <c r="AZ5" i="11"/>
  <c r="AV4" i="11"/>
  <c r="AR4" i="11"/>
  <c r="AN4" i="11"/>
  <c r="AJ4" i="11"/>
  <c r="AF4" i="11"/>
  <c r="AB4" i="11"/>
  <c r="BB12" i="11" s="1"/>
  <c r="X4" i="11"/>
  <c r="T4" i="11"/>
  <c r="P4" i="11"/>
  <c r="L4" i="11"/>
  <c r="H4" i="11"/>
  <c r="BB11" i="11" s="1"/>
  <c r="D4" i="11"/>
  <c r="AV2" i="11"/>
  <c r="AR2" i="11"/>
  <c r="AN2" i="11"/>
  <c r="AJ2" i="11"/>
  <c r="BE12" i="11" s="1"/>
  <c r="AF2" i="11"/>
  <c r="AB2" i="11"/>
  <c r="X2" i="11"/>
  <c r="T2" i="11"/>
  <c r="L2" i="11"/>
  <c r="H2" i="11"/>
  <c r="D2" i="11"/>
  <c r="BF37" i="10"/>
  <c r="BC37" i="10"/>
  <c r="BC36" i="10"/>
  <c r="BF36" i="10" s="1"/>
  <c r="BF35" i="10"/>
  <c r="BC35" i="10"/>
  <c r="BC34" i="10"/>
  <c r="BF34" i="10" s="1"/>
  <c r="BC33" i="10"/>
  <c r="BF33" i="10" s="1"/>
  <c r="BF32" i="10"/>
  <c r="BC32" i="10"/>
  <c r="BF31" i="10"/>
  <c r="BC31" i="10"/>
  <c r="BF30" i="10"/>
  <c r="BC30" i="10"/>
  <c r="BF29" i="10"/>
  <c r="BC29" i="10"/>
  <c r="BC28" i="10"/>
  <c r="BF28" i="10" s="1"/>
  <c r="BE27" i="10"/>
  <c r="BB27" i="10"/>
  <c r="AZ27" i="10"/>
  <c r="AV26" i="10"/>
  <c r="AR26" i="10"/>
  <c r="AN26" i="10"/>
  <c r="AJ26" i="10"/>
  <c r="AF26" i="10"/>
  <c r="AB26" i="10"/>
  <c r="X26" i="10"/>
  <c r="T26" i="10"/>
  <c r="P26" i="10"/>
  <c r="L26" i="10"/>
  <c r="H26" i="10"/>
  <c r="D26" i="10"/>
  <c r="AK25" i="10"/>
  <c r="AM25" i="10" s="1"/>
  <c r="C25" i="10"/>
  <c r="C24" i="10"/>
  <c r="E23" i="10"/>
  <c r="G23" i="10" s="1"/>
  <c r="AG22" i="10"/>
  <c r="AI22" i="10" s="1"/>
  <c r="AC21" i="10"/>
  <c r="AE21" i="10" s="1"/>
  <c r="Y20" i="10"/>
  <c r="AA20" i="10" s="1"/>
  <c r="AS19" i="10"/>
  <c r="AU19" i="10" s="1"/>
  <c r="AW18" i="10"/>
  <c r="AY18" i="10" s="1"/>
  <c r="Q17" i="10"/>
  <c r="S17" i="10" s="1"/>
  <c r="AV13" i="10"/>
  <c r="AR13" i="10"/>
  <c r="AN13" i="10"/>
  <c r="AB13" i="10"/>
  <c r="P13" i="10"/>
  <c r="D13" i="10"/>
  <c r="AZ12" i="10"/>
  <c r="AZ11" i="10"/>
  <c r="AF10" i="10"/>
  <c r="AG25" i="10" s="1"/>
  <c r="AI25" i="10" s="1"/>
  <c r="X10" i="10"/>
  <c r="AV9" i="10"/>
  <c r="AR9" i="10"/>
  <c r="AN9" i="10"/>
  <c r="AN10" i="10" s="1"/>
  <c r="AJ9" i="10"/>
  <c r="AF9" i="10"/>
  <c r="AB9" i="10"/>
  <c r="X9" i="10"/>
  <c r="T9" i="10"/>
  <c r="P9" i="10"/>
  <c r="L9" i="10"/>
  <c r="AZ9" i="10" s="1"/>
  <c r="H9" i="10"/>
  <c r="D9" i="10"/>
  <c r="D10" i="10" s="1"/>
  <c r="BE7" i="10"/>
  <c r="AV7" i="10"/>
  <c r="AV10" i="10" s="1"/>
  <c r="AR7" i="10"/>
  <c r="AR10" i="10" s="1"/>
  <c r="AN7" i="10"/>
  <c r="AJ7" i="10"/>
  <c r="AJ10" i="10" s="1"/>
  <c r="AF7" i="10"/>
  <c r="AF13" i="10" s="1"/>
  <c r="AB7" i="10"/>
  <c r="AB10" i="10" s="1"/>
  <c r="X7" i="10"/>
  <c r="X13" i="10" s="1"/>
  <c r="T7" i="10"/>
  <c r="T13" i="10" s="1"/>
  <c r="P7" i="10"/>
  <c r="P10" i="10" s="1"/>
  <c r="L7" i="10"/>
  <c r="L13" i="10" s="1"/>
  <c r="H7" i="10"/>
  <c r="H10" i="10" s="1"/>
  <c r="I24" i="10" s="1"/>
  <c r="K24" i="10" s="1"/>
  <c r="D7" i="10"/>
  <c r="AZ6" i="10"/>
  <c r="AZ5" i="10"/>
  <c r="Z5" i="10"/>
  <c r="AV4" i="10"/>
  <c r="AR4" i="10"/>
  <c r="AN4" i="10"/>
  <c r="AJ4" i="10"/>
  <c r="AF4" i="10"/>
  <c r="AB4" i="10"/>
  <c r="X4" i="10"/>
  <c r="T4" i="10"/>
  <c r="P4" i="10"/>
  <c r="L4" i="10"/>
  <c r="H4" i="10"/>
  <c r="BB12" i="10" s="1"/>
  <c r="D4" i="10"/>
  <c r="AV2" i="10"/>
  <c r="AR2" i="10"/>
  <c r="AN2" i="10"/>
  <c r="AJ2" i="10"/>
  <c r="AF2" i="10"/>
  <c r="AB2" i="10"/>
  <c r="X2" i="10"/>
  <c r="T2" i="10"/>
  <c r="L2" i="10"/>
  <c r="H2" i="10"/>
  <c r="BE11" i="10" s="1"/>
  <c r="D2" i="10"/>
  <c r="BF37" i="9"/>
  <c r="BC37" i="9"/>
  <c r="BF36" i="9"/>
  <c r="BC36" i="9"/>
  <c r="BF35" i="9"/>
  <c r="BC35" i="9"/>
  <c r="BF34" i="9"/>
  <c r="BC34" i="9"/>
  <c r="BF33" i="9"/>
  <c r="BC33" i="9"/>
  <c r="BC32" i="9"/>
  <c r="BF32" i="9" s="1"/>
  <c r="BC31" i="9"/>
  <c r="BF31" i="9" s="1"/>
  <c r="BC30" i="9"/>
  <c r="BF30" i="9" s="1"/>
  <c r="AL30" i="9"/>
  <c r="AL34" i="9" s="1"/>
  <c r="BC29" i="9"/>
  <c r="BF29" i="9" s="1"/>
  <c r="BF28" i="9"/>
  <c r="BC28" i="9"/>
  <c r="BE27" i="9"/>
  <c r="BB27" i="9"/>
  <c r="AZ27" i="9"/>
  <c r="AV26" i="9"/>
  <c r="AR26" i="9"/>
  <c r="AN26" i="9"/>
  <c r="AJ26" i="9"/>
  <c r="AF26" i="9"/>
  <c r="AB26" i="9"/>
  <c r="X26" i="9"/>
  <c r="T26" i="9"/>
  <c r="U20" i="9" s="1"/>
  <c r="W20" i="9" s="1"/>
  <c r="P26" i="9"/>
  <c r="L26" i="9"/>
  <c r="H26" i="9"/>
  <c r="D26" i="9"/>
  <c r="AG25" i="9"/>
  <c r="AI25" i="9" s="1"/>
  <c r="C25" i="9"/>
  <c r="AW24" i="9"/>
  <c r="AY24" i="9" s="1"/>
  <c r="Y24" i="9"/>
  <c r="AA24" i="9" s="1"/>
  <c r="U24" i="9"/>
  <c r="W24" i="9" s="1"/>
  <c r="I24" i="9"/>
  <c r="K24" i="9" s="1"/>
  <c r="C24" i="9"/>
  <c r="AW22" i="9"/>
  <c r="AY22" i="9" s="1"/>
  <c r="Y22" i="9"/>
  <c r="AA22" i="9" s="1"/>
  <c r="I22" i="9"/>
  <c r="K22" i="9" s="1"/>
  <c r="AI21" i="9"/>
  <c r="AG21" i="9"/>
  <c r="U21" i="9"/>
  <c r="W21" i="9" s="1"/>
  <c r="AW20" i="9"/>
  <c r="AY20" i="9" s="1"/>
  <c r="I20" i="9"/>
  <c r="K20" i="9" s="1"/>
  <c r="AI19" i="9"/>
  <c r="AG19" i="9"/>
  <c r="U18" i="9"/>
  <c r="W18" i="9" s="1"/>
  <c r="AI17" i="9"/>
  <c r="AG17" i="9"/>
  <c r="I17" i="9"/>
  <c r="K17" i="9" s="1"/>
  <c r="AY16" i="9"/>
  <c r="AW16" i="9"/>
  <c r="U16" i="9"/>
  <c r="AV13" i="9"/>
  <c r="T13" i="9"/>
  <c r="H13" i="9"/>
  <c r="AZ12" i="9"/>
  <c r="AZ11" i="9"/>
  <c r="AF10" i="9"/>
  <c r="AE10" i="9"/>
  <c r="T10" i="9"/>
  <c r="U25" i="9" s="1"/>
  <c r="W25" i="9" s="1"/>
  <c r="AV9" i="9"/>
  <c r="AV10" i="9" s="1"/>
  <c r="AR9" i="9"/>
  <c r="AN9" i="9"/>
  <c r="AJ9" i="9"/>
  <c r="AF9" i="9"/>
  <c r="AB9" i="9"/>
  <c r="X9" i="9"/>
  <c r="T9" i="9"/>
  <c r="P9" i="9"/>
  <c r="P10" i="9" s="1"/>
  <c r="L9" i="9"/>
  <c r="H9" i="9"/>
  <c r="H10" i="9" s="1"/>
  <c r="I23" i="9" s="1"/>
  <c r="K23" i="9" s="1"/>
  <c r="D9" i="9"/>
  <c r="AZ9" i="9" s="1"/>
  <c r="AE8" i="9"/>
  <c r="AB8" i="9"/>
  <c r="AV7" i="9"/>
  <c r="AR7" i="9"/>
  <c r="AR13" i="9" s="1"/>
  <c r="AN7" i="9"/>
  <c r="AN13" i="9" s="1"/>
  <c r="AJ7" i="9"/>
  <c r="AF7" i="9"/>
  <c r="AF13" i="9" s="1"/>
  <c r="AB7" i="9"/>
  <c r="X7" i="9"/>
  <c r="X10" i="9" s="1"/>
  <c r="Y18" i="9" s="1"/>
  <c r="AA18" i="9" s="1"/>
  <c r="T7" i="9"/>
  <c r="P7" i="9"/>
  <c r="P13" i="9" s="1"/>
  <c r="L7" i="9"/>
  <c r="L10" i="9" s="1"/>
  <c r="H7" i="9"/>
  <c r="D7" i="9"/>
  <c r="D13" i="9" s="1"/>
  <c r="AZ6" i="9"/>
  <c r="AM6" i="9"/>
  <c r="AZ5" i="9"/>
  <c r="AM5" i="9"/>
  <c r="AD5" i="9"/>
  <c r="Z5" i="9"/>
  <c r="AV4" i="9"/>
  <c r="AR4" i="9"/>
  <c r="AN4" i="9"/>
  <c r="AJ4" i="9"/>
  <c r="BB6" i="9" s="1"/>
  <c r="AF4" i="9"/>
  <c r="AC4" i="9"/>
  <c r="AB4" i="9"/>
  <c r="X4" i="9"/>
  <c r="T4" i="9"/>
  <c r="P4" i="9"/>
  <c r="L4" i="9"/>
  <c r="H4" i="9"/>
  <c r="D4" i="9"/>
  <c r="AV2" i="9"/>
  <c r="AR2" i="9"/>
  <c r="AN2" i="9"/>
  <c r="AJ2" i="9"/>
  <c r="AF2" i="9"/>
  <c r="AB2" i="9"/>
  <c r="X2" i="9"/>
  <c r="T2" i="9"/>
  <c r="L2" i="9"/>
  <c r="H2" i="9"/>
  <c r="D2" i="9"/>
  <c r="BG43" i="8"/>
  <c r="BC37" i="8"/>
  <c r="BF37" i="8" s="1"/>
  <c r="BF36" i="8"/>
  <c r="BC36" i="8"/>
  <c r="BC35" i="8"/>
  <c r="BF35" i="8" s="1"/>
  <c r="BF34" i="8"/>
  <c r="BC34" i="8"/>
  <c r="BF33" i="8"/>
  <c r="BC33" i="8"/>
  <c r="BF32" i="8"/>
  <c r="BC32" i="8"/>
  <c r="BF31" i="8"/>
  <c r="BC31" i="8"/>
  <c r="BF30" i="8"/>
  <c r="BC30" i="8"/>
  <c r="AL30" i="8"/>
  <c r="AL34" i="8" s="1"/>
  <c r="BC29" i="8"/>
  <c r="BF29" i="8" s="1"/>
  <c r="BE27" i="8"/>
  <c r="BB27" i="8"/>
  <c r="AZ27" i="8"/>
  <c r="AV26" i="8"/>
  <c r="AR26" i="8"/>
  <c r="AN26" i="8"/>
  <c r="AJ26" i="8"/>
  <c r="AF26" i="8"/>
  <c r="AB26" i="8"/>
  <c r="X26" i="8"/>
  <c r="T26" i="8"/>
  <c r="P26" i="8"/>
  <c r="L26" i="8"/>
  <c r="H26" i="8"/>
  <c r="D26" i="8"/>
  <c r="C25" i="8"/>
  <c r="C24" i="8"/>
  <c r="AS23" i="8"/>
  <c r="AU23" i="8" s="1"/>
  <c r="AO21" i="8"/>
  <c r="AQ21" i="8" s="1"/>
  <c r="I20" i="8"/>
  <c r="K20" i="8" s="1"/>
  <c r="AG18" i="8"/>
  <c r="AI18" i="8" s="1"/>
  <c r="AG17" i="8"/>
  <c r="AI17" i="8" s="1"/>
  <c r="AV13" i="8"/>
  <c r="AR13" i="8"/>
  <c r="AN13" i="8"/>
  <c r="AF13" i="8"/>
  <c r="L13" i="8"/>
  <c r="H13" i="8"/>
  <c r="D13" i="8"/>
  <c r="AZ13" i="8" s="1"/>
  <c r="AZ28" i="8" s="1"/>
  <c r="AZ12" i="8"/>
  <c r="AZ11" i="8"/>
  <c r="AR10" i="8"/>
  <c r="AE10" i="8"/>
  <c r="X10" i="8"/>
  <c r="Y21" i="8" s="1"/>
  <c r="AA21" i="8" s="1"/>
  <c r="L10" i="8"/>
  <c r="M19" i="8" s="1"/>
  <c r="O19" i="8" s="1"/>
  <c r="AV9" i="8"/>
  <c r="AR9" i="8"/>
  <c r="AN9" i="8"/>
  <c r="AN10" i="8" s="1"/>
  <c r="AJ9" i="8"/>
  <c r="AF9" i="8"/>
  <c r="AF10" i="8" s="1"/>
  <c r="AB9" i="8"/>
  <c r="X9" i="8"/>
  <c r="T9" i="8"/>
  <c r="P9" i="8"/>
  <c r="L9" i="8"/>
  <c r="H9" i="8"/>
  <c r="D9" i="8"/>
  <c r="AE8" i="8"/>
  <c r="AB8" i="8"/>
  <c r="AV7" i="8"/>
  <c r="AV10" i="8" s="1"/>
  <c r="AR7" i="8"/>
  <c r="AN7" i="8"/>
  <c r="AJ7" i="8"/>
  <c r="AF7" i="8"/>
  <c r="AB7" i="8"/>
  <c r="X7" i="8"/>
  <c r="X13" i="8" s="1"/>
  <c r="T7" i="8"/>
  <c r="T13" i="8" s="1"/>
  <c r="P7" i="8"/>
  <c r="P10" i="8" s="1"/>
  <c r="L7" i="8"/>
  <c r="H7" i="8"/>
  <c r="H10" i="8" s="1"/>
  <c r="D7" i="8"/>
  <c r="AZ7" i="8" s="1"/>
  <c r="AZ6" i="8"/>
  <c r="AZ5" i="8"/>
  <c r="AD5" i="8"/>
  <c r="Z5" i="8"/>
  <c r="AV4" i="8"/>
  <c r="AR4" i="8"/>
  <c r="AN4" i="8"/>
  <c r="AJ4" i="8"/>
  <c r="AF4" i="8"/>
  <c r="AC4" i="8"/>
  <c r="AB4" i="8"/>
  <c r="X4" i="8"/>
  <c r="T4" i="8"/>
  <c r="P4" i="8"/>
  <c r="L4" i="8"/>
  <c r="H4" i="8"/>
  <c r="D4" i="8"/>
  <c r="AV2" i="8"/>
  <c r="AR2" i="8"/>
  <c r="AN2" i="8"/>
  <c r="AJ2" i="8"/>
  <c r="AF2" i="8"/>
  <c r="AB2" i="8"/>
  <c r="X2" i="8"/>
  <c r="T2" i="8"/>
  <c r="L2" i="8"/>
  <c r="H2" i="8"/>
  <c r="D2" i="8"/>
  <c r="BI46" i="7"/>
  <c r="BL36" i="7"/>
  <c r="BJ36" i="7"/>
  <c r="BC36" i="7"/>
  <c r="BL35" i="7"/>
  <c r="BJ35" i="7"/>
  <c r="BC35" i="7"/>
  <c r="BL34" i="7"/>
  <c r="BJ34" i="7"/>
  <c r="BC34" i="7"/>
  <c r="BL33" i="7"/>
  <c r="BJ33" i="7"/>
  <c r="BC33" i="7"/>
  <c r="BL32" i="7"/>
  <c r="BJ32" i="7"/>
  <c r="BC32" i="7"/>
  <c r="BL31" i="7"/>
  <c r="BJ31" i="7"/>
  <c r="BI31" i="7"/>
  <c r="BF31" i="7"/>
  <c r="BE31" i="7"/>
  <c r="BC31" i="7"/>
  <c r="BL30" i="7"/>
  <c r="BE30" i="7"/>
  <c r="BI30" i="7" s="1"/>
  <c r="BJ30" i="7" s="1"/>
  <c r="BC30" i="7"/>
  <c r="BL29" i="7"/>
  <c r="BF29" i="7"/>
  <c r="BE29" i="7"/>
  <c r="BI29" i="7" s="1"/>
  <c r="BJ29" i="7" s="1"/>
  <c r="BC29" i="7"/>
  <c r="BL28" i="7"/>
  <c r="BH27" i="7"/>
  <c r="BE27" i="7"/>
  <c r="AZ27" i="7"/>
  <c r="AV26" i="7"/>
  <c r="AR26" i="7"/>
  <c r="AF26" i="7"/>
  <c r="P26" i="7"/>
  <c r="L26" i="7"/>
  <c r="AS24" i="7"/>
  <c r="AU24" i="7" s="1"/>
  <c r="AU21" i="7"/>
  <c r="AS21" i="7"/>
  <c r="AV20" i="7"/>
  <c r="AR20" i="7"/>
  <c r="AN20" i="7"/>
  <c r="AJ20" i="7"/>
  <c r="AF20" i="7"/>
  <c r="AB20" i="7"/>
  <c r="X20" i="7"/>
  <c r="T20" i="7"/>
  <c r="P20" i="7"/>
  <c r="L20" i="7"/>
  <c r="H20" i="7"/>
  <c r="D20" i="7"/>
  <c r="AV19" i="7"/>
  <c r="AR19" i="7"/>
  <c r="AN19" i="7"/>
  <c r="AJ19" i="7"/>
  <c r="AF19" i="7"/>
  <c r="AB19" i="7"/>
  <c r="X19" i="7"/>
  <c r="X26" i="7" s="1"/>
  <c r="T19" i="7"/>
  <c r="P19" i="7"/>
  <c r="L19" i="7"/>
  <c r="H19" i="7"/>
  <c r="D19" i="7"/>
  <c r="D26" i="7" s="1"/>
  <c r="AV18" i="7"/>
  <c r="AR18" i="7"/>
  <c r="AN18" i="7"/>
  <c r="AJ18" i="7"/>
  <c r="AF18" i="7"/>
  <c r="AB18" i="7"/>
  <c r="AB26" i="7" s="1"/>
  <c r="X18" i="7"/>
  <c r="T18" i="7"/>
  <c r="T26" i="7" s="1"/>
  <c r="P18" i="7"/>
  <c r="L18" i="7"/>
  <c r="H18" i="7"/>
  <c r="D18" i="7"/>
  <c r="D17" i="7"/>
  <c r="AV14" i="7"/>
  <c r="AF14" i="7"/>
  <c r="P14" i="7"/>
  <c r="D14" i="7"/>
  <c r="BH13" i="7"/>
  <c r="BE13" i="7"/>
  <c r="BB13" i="7"/>
  <c r="AZ13" i="7"/>
  <c r="BH12" i="7"/>
  <c r="BE12" i="7"/>
  <c r="BB12" i="7"/>
  <c r="AZ12" i="7"/>
  <c r="Q12" i="7"/>
  <c r="BH11" i="7"/>
  <c r="BE11" i="7"/>
  <c r="BB11" i="7"/>
  <c r="AZ11" i="7"/>
  <c r="AR10" i="7"/>
  <c r="AN10" i="7"/>
  <c r="D10" i="7"/>
  <c r="E17" i="7" s="1"/>
  <c r="BH9" i="7"/>
  <c r="AV9" i="7"/>
  <c r="AR9" i="7"/>
  <c r="AN9" i="7"/>
  <c r="AJ9" i="7"/>
  <c r="AF9" i="7"/>
  <c r="AF10" i="7" s="1"/>
  <c r="AB9" i="7"/>
  <c r="BE9" i="7" s="1"/>
  <c r="X9" i="7"/>
  <c r="T9" i="7"/>
  <c r="P9" i="7"/>
  <c r="BB9" i="7" s="1"/>
  <c r="L9" i="7"/>
  <c r="H9" i="7"/>
  <c r="D9" i="7"/>
  <c r="AZ9" i="7" s="1"/>
  <c r="BH8" i="7"/>
  <c r="BE8" i="7"/>
  <c r="BB8" i="7"/>
  <c r="AZ8" i="7"/>
  <c r="BH7" i="7"/>
  <c r="BE7" i="7"/>
  <c r="AV7" i="7"/>
  <c r="AR7" i="7"/>
  <c r="AR14" i="7" s="1"/>
  <c r="AN7" i="7"/>
  <c r="AN14" i="7" s="1"/>
  <c r="AJ7" i="7"/>
  <c r="AJ14" i="7" s="1"/>
  <c r="AF7" i="7"/>
  <c r="AB7" i="7"/>
  <c r="AB14" i="7" s="1"/>
  <c r="X7" i="7"/>
  <c r="T7" i="7"/>
  <c r="P7" i="7"/>
  <c r="L7" i="7"/>
  <c r="L14" i="7" s="1"/>
  <c r="H7" i="7"/>
  <c r="H10" i="7" s="1"/>
  <c r="D7" i="7"/>
  <c r="AZ7" i="7" s="1"/>
  <c r="BH6" i="7"/>
  <c r="BE6" i="7"/>
  <c r="BB6" i="7"/>
  <c r="AZ6" i="7"/>
  <c r="BE5" i="7"/>
  <c r="BB5" i="7"/>
  <c r="AZ5" i="7"/>
  <c r="AV5" i="7"/>
  <c r="AV4" i="7"/>
  <c r="AR4" i="7"/>
  <c r="AN4" i="7"/>
  <c r="AJ4" i="7"/>
  <c r="AF4" i="7"/>
  <c r="AB4" i="7"/>
  <c r="X4" i="7"/>
  <c r="T4" i="7"/>
  <c r="P4" i="7"/>
  <c r="L4" i="7"/>
  <c r="H4" i="7"/>
  <c r="D4" i="7"/>
  <c r="AV2" i="7"/>
  <c r="AR2" i="7"/>
  <c r="AN2" i="7"/>
  <c r="AJ2" i="7"/>
  <c r="AF2" i="7"/>
  <c r="AB2" i="7"/>
  <c r="X2" i="7"/>
  <c r="T2" i="7"/>
  <c r="P2" i="7"/>
  <c r="L2" i="7"/>
  <c r="BJ5" i="7" s="1"/>
  <c r="H2" i="7"/>
  <c r="D2" i="7"/>
  <c r="H51" i="6"/>
  <c r="H50" i="6"/>
  <c r="H49" i="6"/>
  <c r="H48" i="6"/>
  <c r="H47" i="6"/>
  <c r="H46" i="6"/>
  <c r="H45" i="6"/>
  <c r="H44" i="6"/>
  <c r="G44" i="6"/>
  <c r="BL38" i="6"/>
  <c r="BJ38" i="6"/>
  <c r="BC38" i="6"/>
  <c r="BF38" i="6" s="1"/>
  <c r="BL37" i="6"/>
  <c r="BJ37" i="6"/>
  <c r="BC37" i="6"/>
  <c r="BF37" i="6" s="1"/>
  <c r="BL36" i="6"/>
  <c r="BJ36" i="6"/>
  <c r="BC36" i="6"/>
  <c r="BF36" i="6" s="1"/>
  <c r="BL35" i="6"/>
  <c r="BJ35" i="6"/>
  <c r="BC35" i="6"/>
  <c r="BF35" i="6" s="1"/>
  <c r="BL34" i="6"/>
  <c r="BJ34" i="6"/>
  <c r="BC34" i="6"/>
  <c r="BF34" i="6" s="1"/>
  <c r="BL33" i="6"/>
  <c r="BJ33" i="6"/>
  <c r="BI33" i="6"/>
  <c r="BH33" i="6"/>
  <c r="BF33" i="6"/>
  <c r="BC33" i="6"/>
  <c r="BL32" i="6"/>
  <c r="BH32" i="6"/>
  <c r="BI32" i="6" s="1"/>
  <c r="BJ32" i="6" s="1"/>
  <c r="BC32" i="6"/>
  <c r="BF32" i="6" s="1"/>
  <c r="BL31" i="6"/>
  <c r="BH31" i="6"/>
  <c r="BI31" i="6" s="1"/>
  <c r="BJ31" i="6" s="1"/>
  <c r="BC31" i="6"/>
  <c r="BF31" i="6" s="1"/>
  <c r="C31" i="6"/>
  <c r="C30" i="6"/>
  <c r="BH29" i="6"/>
  <c r="BE29" i="6"/>
  <c r="AZ29" i="6"/>
  <c r="AV28" i="6"/>
  <c r="Q26" i="6"/>
  <c r="S26" i="6" s="1"/>
  <c r="AV22" i="6"/>
  <c r="AR22" i="6"/>
  <c r="AN22" i="6"/>
  <c r="AJ22" i="6"/>
  <c r="AF22" i="6"/>
  <c r="AB22" i="6"/>
  <c r="X22" i="6"/>
  <c r="T22" i="6"/>
  <c r="P22" i="6"/>
  <c r="L22" i="6"/>
  <c r="H22" i="6"/>
  <c r="D22" i="6"/>
  <c r="AV21" i="6"/>
  <c r="AR21" i="6"/>
  <c r="AR28" i="6" s="1"/>
  <c r="AN21" i="6"/>
  <c r="AJ21" i="6"/>
  <c r="AF21" i="6"/>
  <c r="AF28" i="6" s="1"/>
  <c r="AB21" i="6"/>
  <c r="X21" i="6"/>
  <c r="T21" i="6"/>
  <c r="P21" i="6"/>
  <c r="L21" i="6"/>
  <c r="H21" i="6"/>
  <c r="D21" i="6"/>
  <c r="AV20" i="6"/>
  <c r="AR20" i="6"/>
  <c r="AN20" i="6"/>
  <c r="AN28" i="6" s="1"/>
  <c r="AJ20" i="6"/>
  <c r="AF20" i="6"/>
  <c r="AB20" i="6"/>
  <c r="AB28" i="6" s="1"/>
  <c r="X20" i="6"/>
  <c r="X28" i="6" s="1"/>
  <c r="Y26" i="6" s="1"/>
  <c r="AA26" i="6" s="1"/>
  <c r="T20" i="6"/>
  <c r="P20" i="6"/>
  <c r="P28" i="6" s="1"/>
  <c r="L20" i="6"/>
  <c r="H20" i="6"/>
  <c r="H28" i="6" s="1"/>
  <c r="D20" i="6"/>
  <c r="D19" i="6"/>
  <c r="D28" i="6" s="1"/>
  <c r="AJ16" i="6"/>
  <c r="AF16" i="6"/>
  <c r="P16" i="6"/>
  <c r="BB16" i="6" s="1"/>
  <c r="BB30" i="6" s="1"/>
  <c r="BH15" i="6"/>
  <c r="BE15" i="6"/>
  <c r="BB15" i="6"/>
  <c r="AZ15" i="6"/>
  <c r="BH14" i="6"/>
  <c r="BE14" i="6"/>
  <c r="BB14" i="6"/>
  <c r="AZ14" i="6"/>
  <c r="BH13" i="6"/>
  <c r="BE13" i="6"/>
  <c r="BB13" i="6"/>
  <c r="AZ13" i="6"/>
  <c r="AV12" i="6"/>
  <c r="AW25" i="6" s="1"/>
  <c r="AY25" i="6" s="1"/>
  <c r="X12" i="6"/>
  <c r="P12" i="6"/>
  <c r="Q21" i="6" s="1"/>
  <c r="S21" i="6" s="1"/>
  <c r="AV11" i="6"/>
  <c r="AR11" i="6"/>
  <c r="AN11" i="6"/>
  <c r="BH11" i="6" s="1"/>
  <c r="AJ11" i="6"/>
  <c r="AF11" i="6"/>
  <c r="AB11" i="6"/>
  <c r="X11" i="6"/>
  <c r="T11" i="6"/>
  <c r="P11" i="6"/>
  <c r="BB11" i="6" s="1"/>
  <c r="L11" i="6"/>
  <c r="L12" i="6" s="1"/>
  <c r="H11" i="6"/>
  <c r="D11" i="6"/>
  <c r="BH10" i="6"/>
  <c r="BE10" i="6"/>
  <c r="BB10" i="6"/>
  <c r="AZ10" i="6"/>
  <c r="BB9" i="6"/>
  <c r="AV9" i="6"/>
  <c r="AV16" i="6" s="1"/>
  <c r="AR9" i="6"/>
  <c r="AN9" i="6"/>
  <c r="AJ9" i="6"/>
  <c r="AF9" i="6"/>
  <c r="AB9" i="6"/>
  <c r="AB16" i="6" s="1"/>
  <c r="X9" i="6"/>
  <c r="X16" i="6" s="1"/>
  <c r="T9" i="6"/>
  <c r="T16" i="6" s="1"/>
  <c r="P9" i="6"/>
  <c r="L9" i="6"/>
  <c r="L16" i="6" s="1"/>
  <c r="H9" i="6"/>
  <c r="H12" i="6" s="1"/>
  <c r="D9" i="6"/>
  <c r="BH8" i="6"/>
  <c r="BE8" i="6"/>
  <c r="BB8" i="6"/>
  <c r="AZ8" i="6"/>
  <c r="AY8" i="6"/>
  <c r="AU8" i="6"/>
  <c r="AQ8" i="6"/>
  <c r="AM8" i="6"/>
  <c r="AI8" i="6"/>
  <c r="AE8" i="6"/>
  <c r="AA8" i="6"/>
  <c r="W8" i="6"/>
  <c r="S8" i="6"/>
  <c r="O8" i="6"/>
  <c r="K8" i="6"/>
  <c r="G8" i="6"/>
  <c r="BH7" i="6"/>
  <c r="BE7" i="6"/>
  <c r="BB7" i="6"/>
  <c r="AZ7" i="6"/>
  <c r="BH6" i="6"/>
  <c r="BE6" i="6"/>
  <c r="BB6" i="6"/>
  <c r="AZ6" i="6"/>
  <c r="BH5" i="6"/>
  <c r="BE5" i="6"/>
  <c r="BB5" i="6"/>
  <c r="AZ5" i="6"/>
  <c r="AV4" i="6"/>
  <c r="X4" i="6"/>
  <c r="T4" i="6"/>
  <c r="P4" i="6"/>
  <c r="H4" i="6"/>
  <c r="AR2" i="6"/>
  <c r="AN2" i="6"/>
  <c r="T2" i="6"/>
  <c r="P2" i="6"/>
  <c r="D2" i="6"/>
  <c r="AV1" i="6"/>
  <c r="AV2" i="6" s="1"/>
  <c r="AR1" i="6"/>
  <c r="AR4" i="6" s="1"/>
  <c r="AN1" i="6"/>
  <c r="AN4" i="6" s="1"/>
  <c r="AJ1" i="6"/>
  <c r="AF1" i="6"/>
  <c r="AF2" i="6" s="1"/>
  <c r="AB1" i="6"/>
  <c r="AB4" i="6" s="1"/>
  <c r="X1" i="6"/>
  <c r="X2" i="6" s="1"/>
  <c r="T1" i="6"/>
  <c r="P1" i="6"/>
  <c r="L1" i="6"/>
  <c r="L2" i="6" s="1"/>
  <c r="H1" i="6"/>
  <c r="H2" i="6" s="1"/>
  <c r="D1" i="6"/>
  <c r="D4" i="6" s="1"/>
  <c r="BM78" i="5"/>
  <c r="BL78" i="5"/>
  <c r="BK78" i="5"/>
  <c r="BG78" i="5"/>
  <c r="BD78" i="5"/>
  <c r="BC78" i="5"/>
  <c r="AZ78" i="5"/>
  <c r="BL77" i="5"/>
  <c r="BK77" i="5"/>
  <c r="BG77" i="5"/>
  <c r="BC77" i="5"/>
  <c r="AZ77" i="5"/>
  <c r="BM76" i="5"/>
  <c r="BL76" i="5"/>
  <c r="BK76" i="5"/>
  <c r="BG76" i="5"/>
  <c r="BD76" i="5"/>
  <c r="BC76" i="5"/>
  <c r="AZ76" i="5"/>
  <c r="BL75" i="5"/>
  <c r="BK75" i="5"/>
  <c r="BG75" i="5"/>
  <c r="BC75" i="5"/>
  <c r="AZ75" i="5"/>
  <c r="BM74" i="5"/>
  <c r="BL74" i="5"/>
  <c r="BK74" i="5"/>
  <c r="BG74" i="5"/>
  <c r="BC74" i="5"/>
  <c r="AZ74" i="5"/>
  <c r="BL73" i="5"/>
  <c r="BK73" i="5"/>
  <c r="BG73" i="5"/>
  <c r="BC73" i="5"/>
  <c r="AZ73" i="5"/>
  <c r="BL72" i="5"/>
  <c r="BK72" i="5"/>
  <c r="BG72" i="5"/>
  <c r="BC72" i="5"/>
  <c r="AZ72" i="5"/>
  <c r="BL71" i="5"/>
  <c r="BK71" i="5"/>
  <c r="BG71" i="5"/>
  <c r="BD71" i="5"/>
  <c r="BC71" i="5"/>
  <c r="AZ71" i="5"/>
  <c r="BK70" i="5"/>
  <c r="BG70" i="5"/>
  <c r="BC70" i="5"/>
  <c r="AZ70" i="5"/>
  <c r="BK69" i="5"/>
  <c r="AX56" i="5"/>
  <c r="AX55" i="5"/>
  <c r="AX54" i="5"/>
  <c r="AX53" i="5"/>
  <c r="BQ47" i="5"/>
  <c r="BM45" i="5"/>
  <c r="BH45" i="5"/>
  <c r="BH78" i="5" s="1"/>
  <c r="BD45" i="5"/>
  <c r="BA45" i="5"/>
  <c r="BA78" i="5" s="1"/>
  <c r="AY45" i="5"/>
  <c r="BP45" i="5" s="1"/>
  <c r="AU45" i="5"/>
  <c r="BP44" i="5"/>
  <c r="BM44" i="5"/>
  <c r="BM77" i="5" s="1"/>
  <c r="BD44" i="5"/>
  <c r="BD77" i="5" s="1"/>
  <c r="AY44" i="5"/>
  <c r="AU44" i="5"/>
  <c r="BP43" i="5"/>
  <c r="BM43" i="5"/>
  <c r="BI43" i="5"/>
  <c r="BI76" i="5" s="1"/>
  <c r="BH43" i="5"/>
  <c r="BH76" i="5" s="1"/>
  <c r="BE43" i="5"/>
  <c r="BE76" i="5" s="1"/>
  <c r="BD43" i="5"/>
  <c r="BA43" i="5"/>
  <c r="BA76" i="5" s="1"/>
  <c r="AY43" i="5"/>
  <c r="AU43" i="5"/>
  <c r="BP42" i="5"/>
  <c r="BM42" i="5"/>
  <c r="BM75" i="5" s="1"/>
  <c r="BD42" i="5"/>
  <c r="BD75" i="5" s="1"/>
  <c r="AY42" i="5"/>
  <c r="AU42" i="5"/>
  <c r="BM41" i="5"/>
  <c r="BD41" i="5"/>
  <c r="BD74" i="5" s="1"/>
  <c r="AY41" i="5"/>
  <c r="BP41" i="5" s="1"/>
  <c r="AU41" i="5"/>
  <c r="BP40" i="5"/>
  <c r="BM40" i="5"/>
  <c r="BM73" i="5" s="1"/>
  <c r="BH40" i="5"/>
  <c r="BH73" i="5" s="1"/>
  <c r="BD40" i="5"/>
  <c r="BD73" i="5" s="1"/>
  <c r="AY40" i="5"/>
  <c r="AU40" i="5"/>
  <c r="BM39" i="5"/>
  <c r="BM72" i="5" s="1"/>
  <c r="BD39" i="5"/>
  <c r="BD72" i="5" s="1"/>
  <c r="AY39" i="5"/>
  <c r="BP39" i="5" s="1"/>
  <c r="AU39" i="5"/>
  <c r="BP38" i="5"/>
  <c r="BM38" i="5"/>
  <c r="BM71" i="5" s="1"/>
  <c r="BH38" i="5"/>
  <c r="BH71" i="5" s="1"/>
  <c r="BD38" i="5"/>
  <c r="AY38" i="5"/>
  <c r="AU38" i="5"/>
  <c r="BP37" i="5"/>
  <c r="BL37" i="5"/>
  <c r="BM37" i="5" s="1"/>
  <c r="BM70" i="5" s="1"/>
  <c r="BE37" i="5"/>
  <c r="BD37" i="5"/>
  <c r="BH37" i="5" s="1"/>
  <c r="BH70" i="5" s="1"/>
  <c r="AY37" i="5"/>
  <c r="AU37" i="5"/>
  <c r="AY36" i="5"/>
  <c r="BP36" i="5" s="1"/>
  <c r="AU36" i="5"/>
  <c r="BP35" i="5"/>
  <c r="AY35" i="5"/>
  <c r="AU35" i="5"/>
  <c r="AY34" i="5"/>
  <c r="AU34" i="5"/>
  <c r="BK33" i="5"/>
  <c r="BG33" i="5"/>
  <c r="BC33" i="5"/>
  <c r="BB33" i="5"/>
  <c r="BA33" i="5"/>
  <c r="AZ33" i="5"/>
  <c r="C33" i="5"/>
  <c r="C34" i="5" s="1"/>
  <c r="L31" i="5"/>
  <c r="BL30" i="5"/>
  <c r="BI30" i="5"/>
  <c r="BE30" i="5"/>
  <c r="BA30" i="5"/>
  <c r="BL29" i="5"/>
  <c r="BI29" i="5"/>
  <c r="BE29" i="5"/>
  <c r="BA29" i="5"/>
  <c r="BA44" i="5" s="1"/>
  <c r="BL28" i="5"/>
  <c r="BI28" i="5"/>
  <c r="BE28" i="5"/>
  <c r="BA28" i="5"/>
  <c r="AW28" i="5"/>
  <c r="AY28" i="5" s="1"/>
  <c r="BL27" i="5"/>
  <c r="BI27" i="5"/>
  <c r="BE27" i="5"/>
  <c r="BA27" i="5"/>
  <c r="BA42" i="5" s="1"/>
  <c r="BL26" i="5"/>
  <c r="BI26" i="5"/>
  <c r="BE26" i="5"/>
  <c r="BA26" i="5"/>
  <c r="BA41" i="5" s="1"/>
  <c r="BE41" i="5" s="1"/>
  <c r="BL25" i="5"/>
  <c r="BI25" i="5"/>
  <c r="BE25" i="5"/>
  <c r="BA25" i="5"/>
  <c r="BA40" i="5" s="1"/>
  <c r="BL24" i="5"/>
  <c r="BI24" i="5"/>
  <c r="BE24" i="5"/>
  <c r="BA24" i="5"/>
  <c r="BA39" i="5" s="1"/>
  <c r="BL23" i="5"/>
  <c r="BI23" i="5"/>
  <c r="BE23" i="5"/>
  <c r="BA23" i="5"/>
  <c r="BA38" i="5" s="1"/>
  <c r="BL22" i="5"/>
  <c r="BI22" i="5"/>
  <c r="BE22" i="5"/>
  <c r="BA22" i="5"/>
  <c r="BA37" i="5" s="1"/>
  <c r="BA70" i="5" s="1"/>
  <c r="AV22" i="5"/>
  <c r="AR22" i="5"/>
  <c r="AN22" i="5"/>
  <c r="AJ22" i="5"/>
  <c r="AF22" i="5"/>
  <c r="AB22" i="5"/>
  <c r="X22" i="5"/>
  <c r="T22" i="5"/>
  <c r="P22" i="5"/>
  <c r="L22" i="5"/>
  <c r="H22" i="5"/>
  <c r="D22" i="5"/>
  <c r="BL21" i="5"/>
  <c r="BI21" i="5"/>
  <c r="BE21" i="5"/>
  <c r="BA21" i="5"/>
  <c r="AV21" i="5"/>
  <c r="AR21" i="5"/>
  <c r="AN21" i="5"/>
  <c r="AJ21" i="5"/>
  <c r="AF21" i="5"/>
  <c r="AC21" i="5"/>
  <c r="AE21" i="5" s="1"/>
  <c r="AB21" i="5"/>
  <c r="X21" i="5"/>
  <c r="T21" i="5"/>
  <c r="P21" i="5"/>
  <c r="L21" i="5"/>
  <c r="H21" i="5"/>
  <c r="D21" i="5"/>
  <c r="BL20" i="5"/>
  <c r="BI20" i="5"/>
  <c r="BE20" i="5"/>
  <c r="BA20" i="5"/>
  <c r="AV20" i="5"/>
  <c r="AR20" i="5"/>
  <c r="AR31" i="5" s="1"/>
  <c r="AN20" i="5"/>
  <c r="AJ20" i="5"/>
  <c r="AF20" i="5"/>
  <c r="AB20" i="5"/>
  <c r="X20" i="5"/>
  <c r="T20" i="5"/>
  <c r="P20" i="5"/>
  <c r="L20" i="5"/>
  <c r="H20" i="5"/>
  <c r="D20" i="5"/>
  <c r="BL19" i="5"/>
  <c r="BI19" i="5"/>
  <c r="BE19" i="5"/>
  <c r="BA19" i="5"/>
  <c r="AV19" i="5"/>
  <c r="AV31" i="5" s="1"/>
  <c r="AR19" i="5"/>
  <c r="AN19" i="5"/>
  <c r="AJ19" i="5"/>
  <c r="AJ31" i="5" s="1"/>
  <c r="AF19" i="5"/>
  <c r="AB19" i="5"/>
  <c r="AB31" i="5" s="1"/>
  <c r="X19" i="5"/>
  <c r="X31" i="5" s="1"/>
  <c r="U19" i="5"/>
  <c r="T19" i="5"/>
  <c r="T31" i="5" s="1"/>
  <c r="P19" i="5"/>
  <c r="P31" i="5" s="1"/>
  <c r="L19" i="5"/>
  <c r="H19" i="5"/>
  <c r="H31" i="5" s="1"/>
  <c r="D19" i="5"/>
  <c r="D31" i="5" s="1"/>
  <c r="BO18" i="5"/>
  <c r="AV16" i="5"/>
  <c r="AF16" i="5"/>
  <c r="AB16" i="5"/>
  <c r="L16" i="5"/>
  <c r="BK15" i="5"/>
  <c r="BG15" i="5"/>
  <c r="BC15" i="5"/>
  <c r="AZ15" i="5"/>
  <c r="BK14" i="5"/>
  <c r="BG14" i="5"/>
  <c r="BC14" i="5"/>
  <c r="AZ14" i="5"/>
  <c r="BK13" i="5"/>
  <c r="BG13" i="5"/>
  <c r="BC13" i="5"/>
  <c r="AZ13" i="5"/>
  <c r="AN12" i="5"/>
  <c r="AB12" i="5"/>
  <c r="AC29" i="5" s="1"/>
  <c r="AE29" i="5" s="1"/>
  <c r="X12" i="5"/>
  <c r="T12" i="5"/>
  <c r="U30" i="5" s="1"/>
  <c r="W30" i="5" s="1"/>
  <c r="AV11" i="5"/>
  <c r="AR11" i="5"/>
  <c r="AN11" i="5"/>
  <c r="BK11" i="5" s="1"/>
  <c r="AJ11" i="5"/>
  <c r="AF11" i="5"/>
  <c r="AF12" i="5" s="1"/>
  <c r="AB11" i="5"/>
  <c r="X11" i="5"/>
  <c r="T11" i="5"/>
  <c r="P11" i="5"/>
  <c r="BC11" i="5" s="1"/>
  <c r="L11" i="5"/>
  <c r="AZ11" i="5" s="1"/>
  <c r="H11" i="5"/>
  <c r="D11" i="5"/>
  <c r="BK10" i="5"/>
  <c r="BG10" i="5"/>
  <c r="BC10" i="5"/>
  <c r="AZ10" i="5"/>
  <c r="AV9" i="5"/>
  <c r="AV12" i="5" s="1"/>
  <c r="AR9" i="5"/>
  <c r="AR12" i="5" s="1"/>
  <c r="AN9" i="5"/>
  <c r="AN16" i="5" s="1"/>
  <c r="AJ9" i="5"/>
  <c r="AJ16" i="5" s="1"/>
  <c r="AF9" i="5"/>
  <c r="AB9" i="5"/>
  <c r="X9" i="5"/>
  <c r="X16" i="5" s="1"/>
  <c r="T9" i="5"/>
  <c r="T16" i="5" s="1"/>
  <c r="P9" i="5"/>
  <c r="BC9" i="5" s="1"/>
  <c r="L9" i="5"/>
  <c r="H9" i="5"/>
  <c r="H12" i="5" s="1"/>
  <c r="D9" i="5"/>
  <c r="BK8" i="5"/>
  <c r="BG8" i="5"/>
  <c r="BC8" i="5"/>
  <c r="AZ8" i="5"/>
  <c r="AY8" i="5"/>
  <c r="AU8" i="5"/>
  <c r="AQ8" i="5"/>
  <c r="AM8" i="5"/>
  <c r="AI8" i="5"/>
  <c r="AE8" i="5"/>
  <c r="AA8" i="5"/>
  <c r="W8" i="5"/>
  <c r="S8" i="5"/>
  <c r="O8" i="5"/>
  <c r="K8" i="5"/>
  <c r="G8" i="5"/>
  <c r="BK7" i="5"/>
  <c r="BG7" i="5"/>
  <c r="AZ7" i="5"/>
  <c r="P7" i="5"/>
  <c r="BC7" i="5" s="1"/>
  <c r="BK6" i="5"/>
  <c r="BG6" i="5"/>
  <c r="BC6" i="5"/>
  <c r="AZ6" i="5"/>
  <c r="BK5" i="5"/>
  <c r="BG5" i="5"/>
  <c r="BC5" i="5"/>
  <c r="AZ5" i="5"/>
  <c r="AX5" i="5"/>
  <c r="AR4" i="5"/>
  <c r="AN4" i="5"/>
  <c r="AJ4" i="5"/>
  <c r="AF4" i="5"/>
  <c r="AB4" i="5"/>
  <c r="T4" i="5"/>
  <c r="D4" i="5"/>
  <c r="BM2" i="5"/>
  <c r="AR2" i="5"/>
  <c r="AN2" i="5"/>
  <c r="AF2" i="5"/>
  <c r="P2" i="5"/>
  <c r="D2" i="5"/>
  <c r="AV1" i="5"/>
  <c r="AV4" i="5" s="1"/>
  <c r="AR1" i="5"/>
  <c r="AN1" i="5"/>
  <c r="AJ1" i="5"/>
  <c r="AJ2" i="5" s="1"/>
  <c r="AF1" i="5"/>
  <c r="AB1" i="5"/>
  <c r="AB2" i="5" s="1"/>
  <c r="X1" i="5"/>
  <c r="T1" i="5"/>
  <c r="T2" i="5" s="1"/>
  <c r="P1" i="5"/>
  <c r="P4" i="5" s="1"/>
  <c r="L1" i="5"/>
  <c r="L4" i="5" s="1"/>
  <c r="H1" i="5"/>
  <c r="H4" i="5" s="1"/>
  <c r="D1" i="5"/>
  <c r="BL89" i="4"/>
  <c r="BK89" i="4"/>
  <c r="BH89" i="4"/>
  <c r="BG89" i="4"/>
  <c r="BD89" i="4"/>
  <c r="BC89" i="4"/>
  <c r="AZ89" i="4"/>
  <c r="BL88" i="4"/>
  <c r="BK88" i="4"/>
  <c r="BG88" i="4"/>
  <c r="BC88" i="4"/>
  <c r="AZ88" i="4"/>
  <c r="BL87" i="4"/>
  <c r="BK87" i="4"/>
  <c r="BG87" i="4"/>
  <c r="BC87" i="4"/>
  <c r="AZ87" i="4"/>
  <c r="BL86" i="4"/>
  <c r="BK86" i="4"/>
  <c r="BG86" i="4"/>
  <c r="BD86" i="4"/>
  <c r="BC86" i="4"/>
  <c r="AZ86" i="4"/>
  <c r="BL85" i="4"/>
  <c r="BK85" i="4"/>
  <c r="BG85" i="4"/>
  <c r="BD85" i="4"/>
  <c r="BC85" i="4"/>
  <c r="AZ85" i="4"/>
  <c r="BL84" i="4"/>
  <c r="BK84" i="4"/>
  <c r="BG84" i="4"/>
  <c r="BC84" i="4"/>
  <c r="AZ84" i="4"/>
  <c r="BL83" i="4"/>
  <c r="BK83" i="4"/>
  <c r="BH83" i="4"/>
  <c r="BG83" i="4"/>
  <c r="BD83" i="4"/>
  <c r="BC83" i="4"/>
  <c r="AZ83" i="4"/>
  <c r="BL82" i="4"/>
  <c r="BK82" i="4"/>
  <c r="BG82" i="4"/>
  <c r="BC82" i="4"/>
  <c r="AZ82" i="4"/>
  <c r="BM81" i="4"/>
  <c r="BL81" i="4"/>
  <c r="BK81" i="4"/>
  <c r="BG81" i="4"/>
  <c r="BD81" i="4"/>
  <c r="BC81" i="4"/>
  <c r="AZ81" i="4"/>
  <c r="BK80" i="4"/>
  <c r="BG80" i="4"/>
  <c r="BD80" i="4"/>
  <c r="BC80" i="4"/>
  <c r="AZ80" i="4"/>
  <c r="BK79" i="4"/>
  <c r="BH79" i="4"/>
  <c r="BG79" i="4"/>
  <c r="BD79" i="4"/>
  <c r="BC79" i="4"/>
  <c r="AZ79" i="4"/>
  <c r="BM55" i="4"/>
  <c r="BD55" i="4"/>
  <c r="BH55" i="4" s="1"/>
  <c r="AY55" i="4"/>
  <c r="BP55" i="4" s="1"/>
  <c r="BM54" i="4"/>
  <c r="BH54" i="4"/>
  <c r="BD54" i="4"/>
  <c r="BA54" i="4"/>
  <c r="BE54" i="4" s="1"/>
  <c r="BI54" i="4" s="1"/>
  <c r="AY54" i="4"/>
  <c r="BP54" i="4" s="1"/>
  <c r="BM53" i="4"/>
  <c r="BD53" i="4"/>
  <c r="BH53" i="4" s="1"/>
  <c r="AY53" i="4"/>
  <c r="BP53" i="4" s="1"/>
  <c r="BM52" i="4"/>
  <c r="BH52" i="4"/>
  <c r="BD52" i="4"/>
  <c r="BA52" i="4"/>
  <c r="AY52" i="4"/>
  <c r="BP52" i="4" s="1"/>
  <c r="BM51" i="4"/>
  <c r="BE51" i="4"/>
  <c r="BI51" i="4" s="1"/>
  <c r="BD51" i="4"/>
  <c r="BH51" i="4" s="1"/>
  <c r="AY51" i="4"/>
  <c r="BP51" i="4" s="1"/>
  <c r="BM50" i="4"/>
  <c r="BM89" i="4" s="1"/>
  <c r="BH50" i="4"/>
  <c r="BD50" i="4"/>
  <c r="BA50" i="4"/>
  <c r="BE50" i="4" s="1"/>
  <c r="AY50" i="4"/>
  <c r="BP50" i="4" s="1"/>
  <c r="BP49" i="4"/>
  <c r="BM49" i="4"/>
  <c r="BM88" i="4" s="1"/>
  <c r="BD49" i="4"/>
  <c r="AY49" i="4"/>
  <c r="BM48" i="4"/>
  <c r="BM87" i="4" s="1"/>
  <c r="BH48" i="4"/>
  <c r="BH87" i="4" s="1"/>
  <c r="BD48" i="4"/>
  <c r="BD87" i="4" s="1"/>
  <c r="BA48" i="4"/>
  <c r="AY48" i="4"/>
  <c r="BP48" i="4" s="1"/>
  <c r="BM47" i="4"/>
  <c r="BM86" i="4" s="1"/>
  <c r="BD47" i="4"/>
  <c r="BH47" i="4" s="1"/>
  <c r="BH86" i="4" s="1"/>
  <c r="BA47" i="4"/>
  <c r="BE47" i="4" s="1"/>
  <c r="BN47" i="4" s="1"/>
  <c r="AY47" i="4"/>
  <c r="BP46" i="4"/>
  <c r="BM46" i="4"/>
  <c r="BM85" i="4" s="1"/>
  <c r="BH46" i="4"/>
  <c r="BH85" i="4" s="1"/>
  <c r="BE46" i="4"/>
  <c r="BN46" i="4" s="1"/>
  <c r="BD46" i="4"/>
  <c r="AY46" i="4"/>
  <c r="BM45" i="4"/>
  <c r="BM84" i="4" s="1"/>
  <c r="BD45" i="4"/>
  <c r="BA45" i="4"/>
  <c r="BE45" i="4" s="1"/>
  <c r="AY45" i="4"/>
  <c r="BP45" i="4" s="1"/>
  <c r="BP44" i="4"/>
  <c r="BM44" i="4"/>
  <c r="BM83" i="4" s="1"/>
  <c r="BH44" i="4"/>
  <c r="BE44" i="4"/>
  <c r="BD44" i="4"/>
  <c r="AY44" i="4"/>
  <c r="BP43" i="4"/>
  <c r="BM43" i="4"/>
  <c r="BM82" i="4" s="1"/>
  <c r="BD43" i="4"/>
  <c r="BA43" i="4"/>
  <c r="AY43" i="4"/>
  <c r="BP42" i="4"/>
  <c r="BM42" i="4"/>
  <c r="BL42" i="4"/>
  <c r="BH42" i="4"/>
  <c r="BH81" i="4" s="1"/>
  <c r="BD42" i="4"/>
  <c r="AY42" i="4"/>
  <c r="BP41" i="4"/>
  <c r="BL41" i="4"/>
  <c r="BM41" i="4" s="1"/>
  <c r="BM80" i="4" s="1"/>
  <c r="BD41" i="4"/>
  <c r="BH41" i="4" s="1"/>
  <c r="BH80" i="4" s="1"/>
  <c r="AY41" i="4"/>
  <c r="BP40" i="4"/>
  <c r="BN40" i="4"/>
  <c r="BM40" i="4"/>
  <c r="BM79" i="4" s="1"/>
  <c r="BL40" i="4"/>
  <c r="BL79" i="4" s="1"/>
  <c r="BD40" i="4"/>
  <c r="BH40" i="4" s="1"/>
  <c r="BA40" i="4"/>
  <c r="BE40" i="4" s="1"/>
  <c r="BI40" i="4" s="1"/>
  <c r="AY40" i="4"/>
  <c r="AY39" i="4"/>
  <c r="C39" i="4"/>
  <c r="BK38" i="4"/>
  <c r="BG38" i="4"/>
  <c r="BC38" i="4"/>
  <c r="BB38" i="4"/>
  <c r="BA38" i="4"/>
  <c r="AZ38" i="4"/>
  <c r="C38" i="4"/>
  <c r="D36" i="4"/>
  <c r="BL35" i="4"/>
  <c r="BI35" i="4"/>
  <c r="BE35" i="4"/>
  <c r="BA35" i="4"/>
  <c r="BA55" i="4" s="1"/>
  <c r="BE55" i="4" s="1"/>
  <c r="AF35" i="4"/>
  <c r="AJ35" i="4" s="1"/>
  <c r="AN35" i="4" s="1"/>
  <c r="AR35" i="4" s="1"/>
  <c r="AV35" i="4" s="1"/>
  <c r="T35" i="4"/>
  <c r="X35" i="4" s="1"/>
  <c r="AB35" i="4" s="1"/>
  <c r="L35" i="4"/>
  <c r="H35" i="4"/>
  <c r="BL34" i="4"/>
  <c r="BI34" i="4"/>
  <c r="BE34" i="4"/>
  <c r="BA34" i="4"/>
  <c r="T34" i="4"/>
  <c r="X34" i="4" s="1"/>
  <c r="AB34" i="4" s="1"/>
  <c r="AF34" i="4" s="1"/>
  <c r="AJ34" i="4" s="1"/>
  <c r="AN34" i="4" s="1"/>
  <c r="AR34" i="4" s="1"/>
  <c r="AV34" i="4" s="1"/>
  <c r="L34" i="4"/>
  <c r="H34" i="4"/>
  <c r="BL33" i="4"/>
  <c r="BI33" i="4"/>
  <c r="BE33" i="4"/>
  <c r="BE53" i="4" s="1"/>
  <c r="BA33" i="4"/>
  <c r="BA53" i="4" s="1"/>
  <c r="T33" i="4"/>
  <c r="X33" i="4" s="1"/>
  <c r="AB33" i="4" s="1"/>
  <c r="AF33" i="4" s="1"/>
  <c r="AJ33" i="4" s="1"/>
  <c r="AN33" i="4" s="1"/>
  <c r="AR33" i="4" s="1"/>
  <c r="AV33" i="4" s="1"/>
  <c r="P33" i="4"/>
  <c r="L33" i="4"/>
  <c r="H33" i="4"/>
  <c r="BL32" i="4"/>
  <c r="BI32" i="4"/>
  <c r="BE32" i="4"/>
  <c r="BA32" i="4"/>
  <c r="AN32" i="4"/>
  <c r="AR32" i="4" s="1"/>
  <c r="AV32" i="4" s="1"/>
  <c r="X32" i="4"/>
  <c r="AB32" i="4" s="1"/>
  <c r="AF32" i="4" s="1"/>
  <c r="AJ32" i="4" s="1"/>
  <c r="T32" i="4"/>
  <c r="P32" i="4"/>
  <c r="L32" i="4"/>
  <c r="H32" i="4"/>
  <c r="BL31" i="4"/>
  <c r="BI31" i="4"/>
  <c r="BE31" i="4"/>
  <c r="BA31" i="4"/>
  <c r="BA51" i="4" s="1"/>
  <c r="T31" i="4"/>
  <c r="X31" i="4" s="1"/>
  <c r="AB31" i="4" s="1"/>
  <c r="AF31" i="4" s="1"/>
  <c r="AJ31" i="4" s="1"/>
  <c r="AN31" i="4" s="1"/>
  <c r="AR31" i="4" s="1"/>
  <c r="AV31" i="4" s="1"/>
  <c r="P31" i="4"/>
  <c r="L31" i="4"/>
  <c r="H31" i="4"/>
  <c r="E31" i="4"/>
  <c r="G31" i="4" s="1"/>
  <c r="BL30" i="4"/>
  <c r="BI30" i="4"/>
  <c r="BE30" i="4"/>
  <c r="BA30" i="4"/>
  <c r="AN30" i="4"/>
  <c r="AR30" i="4" s="1"/>
  <c r="AV30" i="4" s="1"/>
  <c r="T30" i="4"/>
  <c r="X30" i="4" s="1"/>
  <c r="AB30" i="4" s="1"/>
  <c r="AF30" i="4" s="1"/>
  <c r="AJ30" i="4" s="1"/>
  <c r="H30" i="4"/>
  <c r="L30" i="4" s="1"/>
  <c r="BL29" i="4"/>
  <c r="BI29" i="4"/>
  <c r="BE29" i="4"/>
  <c r="BA29" i="4"/>
  <c r="BA49" i="4" s="1"/>
  <c r="AN29" i="4"/>
  <c r="AR29" i="4" s="1"/>
  <c r="AV29" i="4" s="1"/>
  <c r="AJ29" i="4"/>
  <c r="AB29" i="4"/>
  <c r="X29" i="4"/>
  <c r="T29" i="4"/>
  <c r="H29" i="4"/>
  <c r="L29" i="4" s="1"/>
  <c r="BL28" i="4"/>
  <c r="BI28" i="4"/>
  <c r="BE28" i="4"/>
  <c r="BA28" i="4"/>
  <c r="AN28" i="4"/>
  <c r="AR28" i="4" s="1"/>
  <c r="AV28" i="4" s="1"/>
  <c r="AB28" i="4"/>
  <c r="AF28" i="4" s="1"/>
  <c r="AJ28" i="4" s="1"/>
  <c r="X28" i="4"/>
  <c r="T28" i="4"/>
  <c r="L28" i="4"/>
  <c r="H28" i="4"/>
  <c r="BL27" i="4"/>
  <c r="BI27" i="4"/>
  <c r="BE27" i="4"/>
  <c r="BA27" i="4"/>
  <c r="X27" i="4"/>
  <c r="AB27" i="4" s="1"/>
  <c r="AF27" i="4" s="1"/>
  <c r="AJ27" i="4" s="1"/>
  <c r="AN27" i="4" s="1"/>
  <c r="AR27" i="4" s="1"/>
  <c r="AV27" i="4" s="1"/>
  <c r="T27" i="4"/>
  <c r="H27" i="4"/>
  <c r="L27" i="4" s="1"/>
  <c r="BL26" i="4"/>
  <c r="BI26" i="4"/>
  <c r="BE26" i="4"/>
  <c r="BA26" i="4"/>
  <c r="BA46" i="4" s="1"/>
  <c r="AR26" i="4"/>
  <c r="AV26" i="4" s="1"/>
  <c r="L26" i="4"/>
  <c r="P26" i="4" s="1"/>
  <c r="T26" i="4" s="1"/>
  <c r="X26" i="4" s="1"/>
  <c r="AB26" i="4" s="1"/>
  <c r="AF26" i="4" s="1"/>
  <c r="AJ26" i="4" s="1"/>
  <c r="AN26" i="4" s="1"/>
  <c r="H26" i="4"/>
  <c r="BL25" i="4"/>
  <c r="BI25" i="4"/>
  <c r="BE25" i="4"/>
  <c r="BA25" i="4"/>
  <c r="AN25" i="4"/>
  <c r="AR25" i="4" s="1"/>
  <c r="AV25" i="4" s="1"/>
  <c r="L25" i="4"/>
  <c r="P25" i="4" s="1"/>
  <c r="T25" i="4" s="1"/>
  <c r="X25" i="4" s="1"/>
  <c r="AB25" i="4" s="1"/>
  <c r="AF25" i="4" s="1"/>
  <c r="AJ25" i="4" s="1"/>
  <c r="H25" i="4"/>
  <c r="BL24" i="4"/>
  <c r="BI24" i="4"/>
  <c r="BE24" i="4"/>
  <c r="BA24" i="4"/>
  <c r="BA44" i="4" s="1"/>
  <c r="H24" i="4"/>
  <c r="L24" i="4" s="1"/>
  <c r="P24" i="4" s="1"/>
  <c r="T24" i="4" s="1"/>
  <c r="X24" i="4" s="1"/>
  <c r="AB24" i="4" s="1"/>
  <c r="AF24" i="4" s="1"/>
  <c r="AJ24" i="4" s="1"/>
  <c r="AN24" i="4" s="1"/>
  <c r="AR24" i="4" s="1"/>
  <c r="AV24" i="4" s="1"/>
  <c r="E24" i="4"/>
  <c r="G24" i="4" s="1"/>
  <c r="BL23" i="4"/>
  <c r="BI23" i="4"/>
  <c r="BE23" i="4"/>
  <c r="BA23" i="4"/>
  <c r="AR23" i="4"/>
  <c r="AV23" i="4" s="1"/>
  <c r="L23" i="4"/>
  <c r="P23" i="4" s="1"/>
  <c r="T23" i="4" s="1"/>
  <c r="X23" i="4" s="1"/>
  <c r="AB23" i="4" s="1"/>
  <c r="AF23" i="4" s="1"/>
  <c r="AJ23" i="4" s="1"/>
  <c r="AN23" i="4" s="1"/>
  <c r="H23" i="4"/>
  <c r="BL22" i="4"/>
  <c r="BI22" i="4"/>
  <c r="BE22" i="4"/>
  <c r="BA22" i="4"/>
  <c r="BA42" i="4" s="1"/>
  <c r="BE42" i="4" s="1"/>
  <c r="H22" i="4"/>
  <c r="L22" i="4" s="1"/>
  <c r="P22" i="4" s="1"/>
  <c r="T22" i="4" s="1"/>
  <c r="X22" i="4" s="1"/>
  <c r="AB22" i="4" s="1"/>
  <c r="AF22" i="4" s="1"/>
  <c r="AJ22" i="4" s="1"/>
  <c r="D22" i="4"/>
  <c r="BL21" i="4"/>
  <c r="BI21" i="4"/>
  <c r="BN41" i="4" s="1"/>
  <c r="BE21" i="4"/>
  <c r="BA21" i="4"/>
  <c r="BA41" i="4" s="1"/>
  <c r="BE41" i="4" s="1"/>
  <c r="D21" i="4"/>
  <c r="H21" i="4" s="1"/>
  <c r="L21" i="4" s="1"/>
  <c r="P21" i="4" s="1"/>
  <c r="T21" i="4" s="1"/>
  <c r="X21" i="4" s="1"/>
  <c r="AB21" i="4" s="1"/>
  <c r="AF21" i="4" s="1"/>
  <c r="AJ21" i="4" s="1"/>
  <c r="AN21" i="4" s="1"/>
  <c r="AR21" i="4" s="1"/>
  <c r="AV21" i="4" s="1"/>
  <c r="BL20" i="4"/>
  <c r="BI20" i="4"/>
  <c r="BE20" i="4"/>
  <c r="BA20" i="4"/>
  <c r="AB20" i="4"/>
  <c r="AF20" i="4" s="1"/>
  <c r="AJ20" i="4" s="1"/>
  <c r="AN20" i="4" s="1"/>
  <c r="P20" i="4"/>
  <c r="T20" i="4" s="1"/>
  <c r="X20" i="4" s="1"/>
  <c r="L20" i="4"/>
  <c r="H20" i="4"/>
  <c r="D20" i="4"/>
  <c r="BL19" i="4"/>
  <c r="BE19" i="4"/>
  <c r="BA19" i="4"/>
  <c r="AL19" i="4"/>
  <c r="AH19" i="4"/>
  <c r="AF11" i="4" s="1"/>
  <c r="D19" i="4"/>
  <c r="H19" i="4" s="1"/>
  <c r="BO18" i="4"/>
  <c r="AR16" i="4"/>
  <c r="AN16" i="4"/>
  <c r="AJ16" i="4"/>
  <c r="AB16" i="4"/>
  <c r="BG16" i="4" s="1"/>
  <c r="BG39" i="4" s="1"/>
  <c r="BG78" i="4" s="1"/>
  <c r="X16" i="4"/>
  <c r="T16" i="4"/>
  <c r="D16" i="4"/>
  <c r="BK15" i="4"/>
  <c r="BG15" i="4"/>
  <c r="BC15" i="4"/>
  <c r="AZ15" i="4"/>
  <c r="BK14" i="4"/>
  <c r="BG14" i="4"/>
  <c r="BC14" i="4"/>
  <c r="AZ14" i="4"/>
  <c r="BK13" i="4"/>
  <c r="BG13" i="4"/>
  <c r="BC13" i="4"/>
  <c r="AZ13" i="4"/>
  <c r="AN12" i="4"/>
  <c r="AJ12" i="4"/>
  <c r="AB12" i="4"/>
  <c r="X12" i="4"/>
  <c r="T12" i="4"/>
  <c r="AV11" i="4"/>
  <c r="AR11" i="4"/>
  <c r="AR12" i="4" s="1"/>
  <c r="AN11" i="4"/>
  <c r="AJ11" i="4"/>
  <c r="AB11" i="4"/>
  <c r="X11" i="4"/>
  <c r="T11" i="4"/>
  <c r="P11" i="4"/>
  <c r="BC11" i="4" s="1"/>
  <c r="L11" i="4"/>
  <c r="H11" i="4"/>
  <c r="AZ11" i="4" s="1"/>
  <c r="D11" i="4"/>
  <c r="D12" i="4" s="1"/>
  <c r="BK10" i="4"/>
  <c r="BG10" i="4"/>
  <c r="BC10" i="4"/>
  <c r="AZ10" i="4"/>
  <c r="BG9" i="4"/>
  <c r="AV9" i="4"/>
  <c r="AV16" i="4" s="1"/>
  <c r="BK16" i="4" s="1"/>
  <c r="BK39" i="4" s="1"/>
  <c r="AR9" i="4"/>
  <c r="AN9" i="4"/>
  <c r="AJ9" i="4"/>
  <c r="AF9" i="4"/>
  <c r="AF16" i="4" s="1"/>
  <c r="AB9" i="4"/>
  <c r="X9" i="4"/>
  <c r="T9" i="4"/>
  <c r="P9" i="4"/>
  <c r="L9" i="4"/>
  <c r="L16" i="4" s="1"/>
  <c r="H9" i="4"/>
  <c r="H16" i="4" s="1"/>
  <c r="D9" i="4"/>
  <c r="BK8" i="4"/>
  <c r="BG8" i="4"/>
  <c r="BC8" i="4"/>
  <c r="AZ8" i="4"/>
  <c r="BK7" i="4"/>
  <c r="BG7" i="4"/>
  <c r="BC7" i="4"/>
  <c r="L7" i="4"/>
  <c r="L12" i="4" s="1"/>
  <c r="BK6" i="4"/>
  <c r="BG6" i="4"/>
  <c r="BC6" i="4"/>
  <c r="AZ6" i="4"/>
  <c r="BK5" i="4"/>
  <c r="BG5" i="4"/>
  <c r="BC5" i="4"/>
  <c r="AZ5" i="4"/>
  <c r="AN4" i="4"/>
  <c r="AJ4" i="4"/>
  <c r="AF4" i="4"/>
  <c r="AB4" i="4"/>
  <c r="X4" i="4"/>
  <c r="BM2" i="4"/>
  <c r="AR2" i="4"/>
  <c r="AN2" i="4"/>
  <c r="AJ2" i="4"/>
  <c r="AF2" i="4"/>
  <c r="P2" i="4"/>
  <c r="L2" i="4"/>
  <c r="D2" i="4"/>
  <c r="AV1" i="4"/>
  <c r="AR1" i="4"/>
  <c r="AR4" i="4" s="1"/>
  <c r="AN1" i="4"/>
  <c r="AJ1" i="4"/>
  <c r="AF1" i="4"/>
  <c r="AB1" i="4"/>
  <c r="AB2" i="4" s="1"/>
  <c r="X1" i="4"/>
  <c r="X2" i="4" s="1"/>
  <c r="T1" i="4"/>
  <c r="T2" i="4" s="1"/>
  <c r="P1" i="4"/>
  <c r="P4" i="4" s="1"/>
  <c r="L1" i="4"/>
  <c r="L4" i="4" s="1"/>
  <c r="H1" i="4"/>
  <c r="D1" i="4"/>
  <c r="D4" i="4" s="1"/>
  <c r="AT58" i="3"/>
  <c r="I57" i="3"/>
  <c r="AX56" i="3"/>
  <c r="AT56" i="3"/>
  <c r="AG56" i="3"/>
  <c r="AD56" i="3"/>
  <c r="V56" i="3"/>
  <c r="N56" i="3"/>
  <c r="F56" i="3"/>
  <c r="AX55" i="3"/>
  <c r="AT55" i="3"/>
  <c r="AG55" i="3"/>
  <c r="AD55" i="3"/>
  <c r="V55" i="3"/>
  <c r="N55" i="3"/>
  <c r="F55" i="3"/>
  <c r="AX54" i="3"/>
  <c r="AT54" i="3"/>
  <c r="AG54" i="3"/>
  <c r="AD54" i="3"/>
  <c r="V54" i="3"/>
  <c r="N54" i="3"/>
  <c r="F54" i="3"/>
  <c r="AX53" i="3"/>
  <c r="AQ53" i="3"/>
  <c r="AT53" i="3" s="1"/>
  <c r="AX52" i="3"/>
  <c r="AQ52" i="3"/>
  <c r="AO52" i="3"/>
  <c r="AT52" i="3" s="1"/>
  <c r="AX51" i="3"/>
  <c r="AR51" i="3"/>
  <c r="AT51" i="3" s="1"/>
  <c r="AQ51" i="3"/>
  <c r="AO51" i="3"/>
  <c r="AX50" i="3"/>
  <c r="AT50" i="3"/>
  <c r="AR50" i="3"/>
  <c r="AQ50" i="3"/>
  <c r="AO50" i="3"/>
  <c r="AX49" i="3"/>
  <c r="AR49" i="3"/>
  <c r="AQ49" i="3"/>
  <c r="AT49" i="3" s="1"/>
  <c r="AX48" i="3"/>
  <c r="AT48" i="3"/>
  <c r="AQ48" i="3"/>
  <c r="AO48" i="3"/>
  <c r="AT47" i="3"/>
  <c r="AT46" i="3"/>
  <c r="AT45" i="3"/>
  <c r="AT44" i="3"/>
  <c r="AT43" i="3"/>
  <c r="AT42" i="3"/>
  <c r="AT41" i="3"/>
  <c r="AT40" i="3"/>
  <c r="AT39" i="3"/>
  <c r="AT38" i="3"/>
  <c r="AT37" i="3"/>
  <c r="AT36" i="3"/>
  <c r="AT35" i="3"/>
  <c r="AT34" i="3"/>
  <c r="AT33" i="3"/>
  <c r="AT32" i="3"/>
  <c r="AT31" i="3"/>
  <c r="AT30" i="3"/>
  <c r="AT29" i="3"/>
  <c r="AT28" i="3"/>
  <c r="AT27" i="3"/>
  <c r="AT26" i="3"/>
  <c r="AT25" i="3"/>
  <c r="AT24" i="3"/>
  <c r="AT23" i="3"/>
  <c r="AT22" i="3"/>
  <c r="AT21" i="3"/>
  <c r="BI20" i="3"/>
  <c r="BF20" i="3"/>
  <c r="BD20" i="3"/>
  <c r="BK20" i="3" s="1"/>
  <c r="BB20" i="3"/>
  <c r="AT20" i="3"/>
  <c r="AL20" i="3"/>
  <c r="L14" i="3"/>
  <c r="E14" i="3"/>
  <c r="L13" i="3"/>
  <c r="E13" i="3"/>
  <c r="L12" i="3"/>
  <c r="E12" i="3"/>
  <c r="B12" i="3"/>
  <c r="L11" i="3"/>
  <c r="E11" i="3"/>
  <c r="F14" i="3" s="1"/>
  <c r="B11" i="3"/>
  <c r="B13" i="3" s="1"/>
  <c r="B10" i="3"/>
  <c r="E6" i="3"/>
  <c r="B5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B4" i="3" s="1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E5" i="3" s="1"/>
  <c r="Y1" i="3"/>
  <c r="X1" i="3"/>
  <c r="W1" i="3"/>
  <c r="V1" i="3"/>
  <c r="U1" i="3"/>
  <c r="T1" i="3"/>
  <c r="S1" i="3"/>
  <c r="R1" i="3"/>
  <c r="E4" i="3" s="1"/>
  <c r="Q1" i="3"/>
  <c r="P1" i="3"/>
  <c r="O1" i="3"/>
  <c r="N1" i="3"/>
  <c r="M1" i="3"/>
  <c r="L1" i="3"/>
  <c r="K1" i="3"/>
  <c r="J1" i="3"/>
  <c r="E3" i="3" s="1"/>
  <c r="I1" i="3"/>
  <c r="G3" i="3" s="1"/>
  <c r="H1" i="3"/>
  <c r="G1" i="3"/>
  <c r="F1" i="3"/>
  <c r="F3" i="3" s="1"/>
  <c r="E1" i="3"/>
  <c r="D1" i="3"/>
  <c r="C1" i="3"/>
  <c r="B1" i="3"/>
  <c r="B3" i="3" s="1"/>
  <c r="E55" i="3"/>
  <c r="AE54" i="3"/>
  <c r="G50" i="3"/>
  <c r="G49" i="3"/>
  <c r="M48" i="3"/>
  <c r="O47" i="3"/>
  <c r="B47" i="3"/>
  <c r="AC46" i="3"/>
  <c r="AE45" i="3"/>
  <c r="M43" i="3"/>
  <c r="O42" i="3"/>
  <c r="B42" i="3"/>
  <c r="AC41" i="3"/>
  <c r="AE40" i="3"/>
  <c r="M38" i="3"/>
  <c r="O37" i="3"/>
  <c r="B37" i="3"/>
  <c r="AC36" i="3"/>
  <c r="AE35" i="3"/>
  <c r="W32" i="3"/>
  <c r="G32" i="3"/>
  <c r="U30" i="3"/>
  <c r="E30" i="3"/>
  <c r="AG28" i="3"/>
  <c r="W27" i="3"/>
  <c r="G27" i="3"/>
  <c r="U25" i="3"/>
  <c r="E25" i="3"/>
  <c r="AG23" i="3"/>
  <c r="W22" i="3"/>
  <c r="G22" i="3"/>
  <c r="O55" i="3"/>
  <c r="B55" i="3"/>
  <c r="G54" i="3"/>
  <c r="E53" i="3"/>
  <c r="AG52" i="3"/>
  <c r="U52" i="3"/>
  <c r="E51" i="3"/>
  <c r="W48" i="3"/>
  <c r="E46" i="3"/>
  <c r="G45" i="3"/>
  <c r="AG44" i="3"/>
  <c r="U44" i="3"/>
  <c r="W43" i="3"/>
  <c r="E41" i="3"/>
  <c r="G40" i="3"/>
  <c r="AG39" i="3"/>
  <c r="U39" i="3"/>
  <c r="W38" i="3"/>
  <c r="E36" i="3"/>
  <c r="G35" i="3"/>
  <c r="U34" i="3"/>
  <c r="W56" i="3"/>
  <c r="O53" i="3"/>
  <c r="B53" i="3"/>
  <c r="AE52" i="3"/>
  <c r="O51" i="3"/>
  <c r="B51" i="3"/>
  <c r="E50" i="3"/>
  <c r="E49" i="3"/>
  <c r="M47" i="3"/>
  <c r="O46" i="3"/>
  <c r="B46" i="3"/>
  <c r="AC45" i="3"/>
  <c r="AE44" i="3"/>
  <c r="M42" i="3"/>
  <c r="O41" i="3"/>
  <c r="B41" i="3"/>
  <c r="AC40" i="3"/>
  <c r="AE39" i="3"/>
  <c r="M37" i="3"/>
  <c r="O36" i="3"/>
  <c r="B36" i="3"/>
  <c r="AC35" i="3"/>
  <c r="AE34" i="3"/>
  <c r="W33" i="3"/>
  <c r="AE56" i="3"/>
  <c r="G56" i="3"/>
  <c r="AG53" i="3"/>
  <c r="AE51" i="3"/>
  <c r="M51" i="3"/>
  <c r="O50" i="3"/>
  <c r="O49" i="3"/>
  <c r="G48" i="3"/>
  <c r="W42" i="3"/>
  <c r="F39" i="3"/>
  <c r="U38" i="3"/>
  <c r="U37" i="3"/>
  <c r="G36" i="3"/>
  <c r="B35" i="3"/>
  <c r="B34" i="3"/>
  <c r="AC30" i="3"/>
  <c r="M29" i="3"/>
  <c r="M28" i="3"/>
  <c r="AG27" i="3"/>
  <c r="O27" i="3"/>
  <c r="U23" i="3"/>
  <c r="B23" i="3"/>
  <c r="E22" i="3"/>
  <c r="W21" i="3"/>
  <c r="G30" i="3"/>
  <c r="G29" i="3"/>
  <c r="M27" i="3"/>
  <c r="U21" i="3"/>
  <c r="AG37" i="3"/>
  <c r="U32" i="3"/>
  <c r="G28" i="3"/>
  <c r="U27" i="3"/>
  <c r="O54" i="3"/>
  <c r="AE53" i="3"/>
  <c r="M53" i="3"/>
  <c r="AG50" i="3"/>
  <c r="AG49" i="3"/>
  <c r="U48" i="3"/>
  <c r="G44" i="3"/>
  <c r="G43" i="3"/>
  <c r="G42" i="3"/>
  <c r="W41" i="3"/>
  <c r="W40" i="3"/>
  <c r="E40" i="3"/>
  <c r="W39" i="3"/>
  <c r="E39" i="3"/>
  <c r="E38" i="3"/>
  <c r="E37" i="3"/>
  <c r="U36" i="3"/>
  <c r="U35" i="3"/>
  <c r="E33" i="3"/>
  <c r="G31" i="3"/>
  <c r="AC29" i="3"/>
  <c r="AC28" i="3"/>
  <c r="AE27" i="3"/>
  <c r="AG26" i="3"/>
  <c r="O26" i="3"/>
  <c r="AG25" i="3"/>
  <c r="O25" i="3"/>
  <c r="U22" i="3"/>
  <c r="B22" i="3"/>
  <c r="E21" i="3"/>
  <c r="E32" i="3"/>
  <c r="M26" i="3"/>
  <c r="AE25" i="3"/>
  <c r="AG24" i="3"/>
  <c r="U46" i="3"/>
  <c r="M35" i="3"/>
  <c r="M33" i="3"/>
  <c r="E28" i="3"/>
  <c r="AC24" i="3"/>
  <c r="E56" i="3"/>
  <c r="AE55" i="3"/>
  <c r="O52" i="3"/>
  <c r="AE50" i="3"/>
  <c r="M50" i="3"/>
  <c r="AE49" i="3"/>
  <c r="M49" i="3"/>
  <c r="E48" i="3"/>
  <c r="W47" i="3"/>
  <c r="U43" i="3"/>
  <c r="U42" i="3"/>
  <c r="G41" i="3"/>
  <c r="B40" i="3"/>
  <c r="B39" i="3"/>
  <c r="B38" i="3"/>
  <c r="AE33" i="3"/>
  <c r="B33" i="3"/>
  <c r="W31" i="3"/>
  <c r="AE26" i="3"/>
  <c r="O24" i="3"/>
  <c r="O23" i="3"/>
  <c r="B21" i="3"/>
  <c r="B32" i="3"/>
  <c r="W29" i="3"/>
  <c r="AC27" i="3"/>
  <c r="AC26" i="3"/>
  <c r="O40" i="3"/>
  <c r="AD37" i="3"/>
  <c r="M36" i="3"/>
  <c r="B29" i="3"/>
  <c r="AC23" i="3"/>
  <c r="M41" i="3"/>
  <c r="E26" i="3"/>
  <c r="B56" i="3"/>
  <c r="B48" i="3"/>
  <c r="G47" i="3"/>
  <c r="W46" i="3"/>
  <c r="W45" i="3"/>
  <c r="E45" i="3"/>
  <c r="W44" i="3"/>
  <c r="E44" i="3"/>
  <c r="E43" i="3"/>
  <c r="E42" i="3"/>
  <c r="U41" i="3"/>
  <c r="U40" i="3"/>
  <c r="AG38" i="3"/>
  <c r="O35" i="3"/>
  <c r="O34" i="3"/>
  <c r="E31" i="3"/>
  <c r="W30" i="3"/>
  <c r="M25" i="3"/>
  <c r="AE24" i="3"/>
  <c r="AE23" i="3"/>
  <c r="U45" i="3"/>
  <c r="O39" i="3"/>
  <c r="AE36" i="3"/>
  <c r="M34" i="3"/>
  <c r="AE22" i="3"/>
  <c r="B27" i="3"/>
  <c r="G23" i="3"/>
  <c r="M52" i="3"/>
  <c r="W51" i="3"/>
  <c r="U47" i="3"/>
  <c r="G46" i="3"/>
  <c r="B45" i="3"/>
  <c r="B44" i="3"/>
  <c r="B43" i="3"/>
  <c r="AE38" i="3"/>
  <c r="AE37" i="3"/>
  <c r="AG35" i="3"/>
  <c r="AC34" i="3"/>
  <c r="O33" i="3"/>
  <c r="U31" i="3"/>
  <c r="B31" i="3"/>
  <c r="B30" i="3"/>
  <c r="E29" i="3"/>
  <c r="W28" i="3"/>
  <c r="AC25" i="3"/>
  <c r="M24" i="3"/>
  <c r="M23" i="3"/>
  <c r="O22" i="3"/>
  <c r="G51" i="3"/>
  <c r="AE48" i="3"/>
  <c r="O38" i="3"/>
  <c r="AC33" i="3"/>
  <c r="U29" i="3"/>
  <c r="G34" i="3"/>
  <c r="W25" i="3"/>
  <c r="F24" i="3"/>
  <c r="W55" i="3"/>
  <c r="G55" i="3"/>
  <c r="W53" i="3"/>
  <c r="E47" i="3"/>
  <c r="AG42" i="3"/>
  <c r="G26" i="3"/>
  <c r="O21" i="3"/>
  <c r="G53" i="3"/>
  <c r="G52" i="3"/>
  <c r="U51" i="3"/>
  <c r="W50" i="3"/>
  <c r="W49" i="3"/>
  <c r="O48" i="3"/>
  <c r="AE43" i="3"/>
  <c r="AE42" i="3"/>
  <c r="AG41" i="3"/>
  <c r="AG40" i="3"/>
  <c r="AC39" i="3"/>
  <c r="AC38" i="3"/>
  <c r="AC37" i="3"/>
  <c r="AG32" i="3"/>
  <c r="O32" i="3"/>
  <c r="U28" i="3"/>
  <c r="B28" i="3"/>
  <c r="E27" i="3"/>
  <c r="W26" i="3"/>
  <c r="G25" i="3"/>
  <c r="G24" i="3"/>
  <c r="M22" i="3"/>
  <c r="AE21" i="3"/>
  <c r="M21" i="3"/>
  <c r="O56" i="3"/>
  <c r="W54" i="3"/>
  <c r="U53" i="3"/>
  <c r="B50" i="3"/>
  <c r="B49" i="3"/>
  <c r="AG47" i="3"/>
  <c r="O45" i="3"/>
  <c r="O44" i="3"/>
  <c r="O43" i="3"/>
  <c r="AE41" i="3"/>
  <c r="M40" i="3"/>
  <c r="M39" i="3"/>
  <c r="AE32" i="3"/>
  <c r="O31" i="3"/>
  <c r="O30" i="3"/>
  <c r="W24" i="3"/>
  <c r="AC22" i="3"/>
  <c r="E54" i="3"/>
  <c r="W52" i="3"/>
  <c r="E52" i="3"/>
  <c r="U50" i="3"/>
  <c r="U49" i="3"/>
  <c r="AE47" i="3"/>
  <c r="AG46" i="3"/>
  <c r="AG45" i="3"/>
  <c r="AC44" i="3"/>
  <c r="AC43" i="3"/>
  <c r="AC42" i="3"/>
  <c r="W37" i="3"/>
  <c r="M32" i="3"/>
  <c r="AE31" i="3"/>
  <c r="M31" i="3"/>
  <c r="AE30" i="3"/>
  <c r="AG29" i="3"/>
  <c r="O29" i="3"/>
  <c r="O28" i="3"/>
  <c r="U26" i="3"/>
  <c r="B26" i="3"/>
  <c r="B25" i="3"/>
  <c r="E24" i="3"/>
  <c r="W23" i="3"/>
  <c r="M45" i="3"/>
  <c r="U24" i="3"/>
  <c r="U54" i="3"/>
  <c r="B54" i="3"/>
  <c r="B52" i="3"/>
  <c r="AG51" i="3"/>
  <c r="AE46" i="3"/>
  <c r="M46" i="3"/>
  <c r="M44" i="3"/>
  <c r="G39" i="3"/>
  <c r="G38" i="3"/>
  <c r="G37" i="3"/>
  <c r="W36" i="3"/>
  <c r="W35" i="3"/>
  <c r="E35" i="3"/>
  <c r="W34" i="3"/>
  <c r="E34" i="3"/>
  <c r="U33" i="3"/>
  <c r="G33" i="3"/>
  <c r="AC32" i="3"/>
  <c r="AC31" i="3"/>
  <c r="M30" i="3"/>
  <c r="AE29" i="3"/>
  <c r="AE28" i="3"/>
  <c r="B24" i="3"/>
  <c r="E23" i="3"/>
  <c r="G21" i="3"/>
  <c r="AC21" i="3"/>
  <c r="F13" i="3" l="1"/>
  <c r="I21" i="3"/>
  <c r="BA24" i="3"/>
  <c r="AH28" i="3"/>
  <c r="AH29" i="3"/>
  <c r="I33" i="3"/>
  <c r="Y34" i="3"/>
  <c r="Y35" i="3"/>
  <c r="Y36" i="3"/>
  <c r="I37" i="3"/>
  <c r="I38" i="3"/>
  <c r="I39" i="3"/>
  <c r="AH46" i="3"/>
  <c r="Y23" i="3"/>
  <c r="BA25" i="3"/>
  <c r="BA26" i="3"/>
  <c r="Q28" i="3"/>
  <c r="Q29" i="3"/>
  <c r="Y37" i="3"/>
  <c r="AH47" i="3"/>
  <c r="Y52" i="3"/>
  <c r="Y24" i="3"/>
  <c r="Q30" i="3"/>
  <c r="Q31" i="3"/>
  <c r="AH32" i="3"/>
  <c r="AH41" i="3"/>
  <c r="Q43" i="3"/>
  <c r="Q44" i="3"/>
  <c r="Q45" i="3"/>
  <c r="Y54" i="3"/>
  <c r="Q56" i="3"/>
  <c r="I24" i="3"/>
  <c r="I25" i="3"/>
  <c r="Y26" i="3"/>
  <c r="BA28" i="3"/>
  <c r="Q32" i="3"/>
  <c r="AH42" i="3"/>
  <c r="Q48" i="3"/>
  <c r="Y49" i="3"/>
  <c r="Y50" i="3"/>
  <c r="I52" i="3"/>
  <c r="I53" i="3"/>
  <c r="Q21" i="3"/>
  <c r="I26" i="3"/>
  <c r="Y53" i="3"/>
  <c r="I55" i="3"/>
  <c r="Y55" i="3"/>
  <c r="Y25" i="3"/>
  <c r="I34" i="3"/>
  <c r="Q38" i="3"/>
  <c r="I51" i="3"/>
  <c r="Q22" i="3"/>
  <c r="Y28" i="3"/>
  <c r="BA30" i="3"/>
  <c r="BA31" i="3"/>
  <c r="Q33" i="3"/>
  <c r="AH37" i="3"/>
  <c r="AH38" i="3"/>
  <c r="BA43" i="3"/>
  <c r="BA44" i="3"/>
  <c r="BA45" i="3"/>
  <c r="I46" i="3"/>
  <c r="Y51" i="3"/>
  <c r="I23" i="3"/>
  <c r="BA27" i="3"/>
  <c r="Q39" i="3"/>
  <c r="AH23" i="3"/>
  <c r="AH24" i="3"/>
  <c r="Y30" i="3"/>
  <c r="Q34" i="3"/>
  <c r="Q35" i="3"/>
  <c r="Y44" i="3"/>
  <c r="Y45" i="3"/>
  <c r="Y46" i="3"/>
  <c r="I47" i="3"/>
  <c r="BA29" i="3"/>
  <c r="Q40" i="3"/>
  <c r="Y29" i="3"/>
  <c r="BA32" i="3"/>
  <c r="BA21" i="3"/>
  <c r="Q23" i="3"/>
  <c r="Q24" i="3"/>
  <c r="AH26" i="3"/>
  <c r="Y31" i="3"/>
  <c r="BA33" i="3"/>
  <c r="BA38" i="3"/>
  <c r="BA39" i="3"/>
  <c r="BA40" i="3"/>
  <c r="I41" i="3"/>
  <c r="Y47" i="3"/>
  <c r="AH49" i="3"/>
  <c r="AH50" i="3"/>
  <c r="Q52" i="3"/>
  <c r="AH55" i="3"/>
  <c r="BI64" i="3"/>
  <c r="AH25" i="3"/>
  <c r="BE61" i="3"/>
  <c r="BL63" i="3" s="1"/>
  <c r="BJ20" i="3" s="1"/>
  <c r="BA22" i="3"/>
  <c r="Q25" i="3"/>
  <c r="Q26" i="3"/>
  <c r="AH27" i="3"/>
  <c r="I31" i="3"/>
  <c r="Y39" i="3"/>
  <c r="Y40" i="3"/>
  <c r="Y41" i="3"/>
  <c r="I42" i="3"/>
  <c r="I43" i="3"/>
  <c r="I44" i="3"/>
  <c r="AH53" i="3"/>
  <c r="Q54" i="3"/>
  <c r="I28" i="3"/>
  <c r="I29" i="3"/>
  <c r="I30" i="3"/>
  <c r="Y21" i="3"/>
  <c r="BA23" i="3"/>
  <c r="Q27" i="3"/>
  <c r="BA34" i="3"/>
  <c r="BA35" i="3"/>
  <c r="I36" i="3"/>
  <c r="Y42" i="3"/>
  <c r="I48" i="3"/>
  <c r="Q49" i="3"/>
  <c r="Q50" i="3"/>
  <c r="AH51" i="3"/>
  <c r="I56" i="3"/>
  <c r="AH56" i="3"/>
  <c r="Y33" i="3"/>
  <c r="BA36" i="3"/>
  <c r="Q36" i="3"/>
  <c r="AH39" i="3"/>
  <c r="BA41" i="3"/>
  <c r="Q41" i="3"/>
  <c r="AH44" i="3"/>
  <c r="BA46" i="3"/>
  <c r="Q46" i="3"/>
  <c r="Q51" i="3"/>
  <c r="AH52" i="3"/>
  <c r="Q53" i="3"/>
  <c r="Y56" i="3"/>
  <c r="I35" i="3"/>
  <c r="Y38" i="3"/>
  <c r="I40" i="3"/>
  <c r="Y43" i="3"/>
  <c r="I45" i="3"/>
  <c r="Y48" i="3"/>
  <c r="I54" i="3"/>
  <c r="Q55" i="3"/>
  <c r="I22" i="3"/>
  <c r="Y22" i="3"/>
  <c r="I27" i="3"/>
  <c r="Y27" i="3"/>
  <c r="I32" i="3"/>
  <c r="Y32" i="3"/>
  <c r="AH35" i="3"/>
  <c r="BA37" i="3"/>
  <c r="Q37" i="3"/>
  <c r="AH40" i="3"/>
  <c r="BA42" i="3"/>
  <c r="Q42" i="3"/>
  <c r="AH45" i="3"/>
  <c r="Q47" i="3"/>
  <c r="I49" i="3"/>
  <c r="I50" i="3"/>
  <c r="AH54" i="3"/>
  <c r="BL39" i="4"/>
  <c r="BK78" i="4"/>
  <c r="AR20" i="4"/>
  <c r="AN22" i="4"/>
  <c r="BN42" i="4"/>
  <c r="BI42" i="4"/>
  <c r="H4" i="4"/>
  <c r="H2" i="4"/>
  <c r="BM6" i="4" s="1"/>
  <c r="AV4" i="4"/>
  <c r="AV2" i="4"/>
  <c r="BM13" i="4" s="1"/>
  <c r="H36" i="4"/>
  <c r="L19" i="4"/>
  <c r="BH45" i="4"/>
  <c r="BH84" i="4" s="1"/>
  <c r="BD84" i="4"/>
  <c r="E29" i="4"/>
  <c r="G29" i="4" s="1"/>
  <c r="G41" i="4" s="1"/>
  <c r="G42" i="4" s="1"/>
  <c r="E28" i="4"/>
  <c r="G28" i="4" s="1"/>
  <c r="E27" i="4"/>
  <c r="G27" i="4" s="1"/>
  <c r="E34" i="4"/>
  <c r="G34" i="4" s="1"/>
  <c r="E25" i="4"/>
  <c r="G25" i="4" s="1"/>
  <c r="E26" i="4"/>
  <c r="G26" i="4" s="1"/>
  <c r="E23" i="4"/>
  <c r="G23" i="4" s="1"/>
  <c r="E19" i="4"/>
  <c r="E30" i="4"/>
  <c r="G30" i="4" s="1"/>
  <c r="E20" i="4"/>
  <c r="E35" i="4"/>
  <c r="G35" i="4" s="1"/>
  <c r="E32" i="4"/>
  <c r="G32" i="4" s="1"/>
  <c r="E22" i="4"/>
  <c r="AZ16" i="4"/>
  <c r="AZ39" i="4" s="1"/>
  <c r="E21" i="4"/>
  <c r="BE49" i="4"/>
  <c r="BN50" i="4"/>
  <c r="BI50" i="4"/>
  <c r="BI55" i="4"/>
  <c r="BN55" i="4"/>
  <c r="F12" i="3"/>
  <c r="AZ9" i="4"/>
  <c r="P16" i="4"/>
  <c r="BC9" i="4"/>
  <c r="P12" i="4"/>
  <c r="BG11" i="4"/>
  <c r="F11" i="3"/>
  <c r="BM8" i="4"/>
  <c r="BM15" i="4"/>
  <c r="BM9" i="4"/>
  <c r="BM14" i="4"/>
  <c r="BM7" i="4"/>
  <c r="BI41" i="4"/>
  <c r="BI53" i="4"/>
  <c r="BN53" i="4"/>
  <c r="T4" i="4"/>
  <c r="BM5" i="4"/>
  <c r="E33" i="4"/>
  <c r="G33" i="4" s="1"/>
  <c r="BN45" i="4"/>
  <c r="BI45" i="4"/>
  <c r="BD88" i="4"/>
  <c r="BH49" i="4"/>
  <c r="BH88" i="4" s="1"/>
  <c r="W19" i="5"/>
  <c r="BE43" i="4"/>
  <c r="BE48" i="4"/>
  <c r="BN54" i="4"/>
  <c r="X4" i="5"/>
  <c r="X2" i="5"/>
  <c r="BE40" i="5"/>
  <c r="BA73" i="5"/>
  <c r="AJ2" i="6"/>
  <c r="AJ4" i="6"/>
  <c r="AG23" i="7"/>
  <c r="AI23" i="7" s="1"/>
  <c r="AG19" i="7"/>
  <c r="AI19" i="7" s="1"/>
  <c r="AG22" i="7"/>
  <c r="AI22" i="7" s="1"/>
  <c r="AG20" i="7"/>
  <c r="AI20" i="7" s="1"/>
  <c r="AG18" i="7"/>
  <c r="AI18" i="7" s="1"/>
  <c r="AG24" i="7"/>
  <c r="AI24" i="7" s="1"/>
  <c r="AG25" i="7"/>
  <c r="AI25" i="7" s="1"/>
  <c r="AG21" i="7"/>
  <c r="AI21" i="7" s="1"/>
  <c r="AG17" i="7"/>
  <c r="BH43" i="4"/>
  <c r="BH82" i="4" s="1"/>
  <c r="BD82" i="4"/>
  <c r="BN44" i="4"/>
  <c r="BE52" i="4"/>
  <c r="BG16" i="5"/>
  <c r="BG34" i="5" s="1"/>
  <c r="Y25" i="6"/>
  <c r="AA25" i="6" s="1"/>
  <c r="D12" i="5"/>
  <c r="AZ9" i="5"/>
  <c r="D16" i="5"/>
  <c r="AS29" i="5"/>
  <c r="AU29" i="5" s="1"/>
  <c r="AS26" i="5"/>
  <c r="AU26" i="5" s="1"/>
  <c r="AS25" i="5"/>
  <c r="AU25" i="5" s="1"/>
  <c r="AS24" i="5"/>
  <c r="AU24" i="5" s="1"/>
  <c r="AS23" i="5"/>
  <c r="AU23" i="5" s="1"/>
  <c r="AS22" i="5"/>
  <c r="AS27" i="5"/>
  <c r="AU27" i="5" s="1"/>
  <c r="AS21" i="5"/>
  <c r="AS30" i="5"/>
  <c r="AU30" i="5" s="1"/>
  <c r="AS28" i="5"/>
  <c r="AU28" i="5" s="1"/>
  <c r="AS19" i="5"/>
  <c r="BE39" i="5"/>
  <c r="BA72" i="5"/>
  <c r="AZ9" i="6"/>
  <c r="D16" i="6"/>
  <c r="D12" i="6"/>
  <c r="AR16" i="6"/>
  <c r="AR12" i="6"/>
  <c r="BK9" i="4"/>
  <c r="AF12" i="4"/>
  <c r="BG12" i="4" s="1"/>
  <c r="AV2" i="5"/>
  <c r="I27" i="5"/>
  <c r="K27" i="5" s="1"/>
  <c r="I21" i="5"/>
  <c r="I20" i="5"/>
  <c r="I30" i="5"/>
  <c r="K30" i="5" s="1"/>
  <c r="I28" i="5"/>
  <c r="K28" i="5" s="1"/>
  <c r="I19" i="5"/>
  <c r="I29" i="5"/>
  <c r="K29" i="5" s="1"/>
  <c r="I26" i="5"/>
  <c r="K26" i="5" s="1"/>
  <c r="I25" i="5"/>
  <c r="K25" i="5" s="1"/>
  <c r="I24" i="5"/>
  <c r="K24" i="5" s="1"/>
  <c r="I23" i="5"/>
  <c r="K23" i="5" s="1"/>
  <c r="I22" i="5"/>
  <c r="AW29" i="5"/>
  <c r="AY29" i="5" s="1"/>
  <c r="AW21" i="5"/>
  <c r="AW27" i="5"/>
  <c r="AY27" i="5" s="1"/>
  <c r="AW20" i="5"/>
  <c r="AW19" i="5"/>
  <c r="AW26" i="5"/>
  <c r="AY26" i="5" s="1"/>
  <c r="AW25" i="5"/>
  <c r="AY25" i="5" s="1"/>
  <c r="AW24" i="5"/>
  <c r="AY24" i="5" s="1"/>
  <c r="AW23" i="5"/>
  <c r="AY23" i="5" s="1"/>
  <c r="AW22" i="5"/>
  <c r="Y29" i="5"/>
  <c r="AA29" i="5" s="1"/>
  <c r="Y26" i="5"/>
  <c r="AA26" i="5" s="1"/>
  <c r="Y25" i="5"/>
  <c r="AA25" i="5" s="1"/>
  <c r="Y24" i="5"/>
  <c r="AA24" i="5" s="1"/>
  <c r="Y23" i="5"/>
  <c r="AA23" i="5" s="1"/>
  <c r="Y20" i="5"/>
  <c r="Y27" i="5"/>
  <c r="AA27" i="5" s="1"/>
  <c r="Y19" i="5"/>
  <c r="Y28" i="5"/>
  <c r="AA28" i="5" s="1"/>
  <c r="Y22" i="5"/>
  <c r="Y21" i="5"/>
  <c r="AF31" i="5"/>
  <c r="AG28" i="5" s="1"/>
  <c r="AI28" i="5" s="1"/>
  <c r="BE42" i="5"/>
  <c r="BA75" i="5"/>
  <c r="Y30" i="5"/>
  <c r="AA30" i="5" s="1"/>
  <c r="BE70" i="5"/>
  <c r="BN37" i="5"/>
  <c r="BN70" i="5" s="1"/>
  <c r="BI37" i="5"/>
  <c r="BI70" i="5" s="1"/>
  <c r="I27" i="6"/>
  <c r="K27" i="6" s="1"/>
  <c r="I22" i="6"/>
  <c r="I26" i="6"/>
  <c r="K26" i="6" s="1"/>
  <c r="I25" i="6"/>
  <c r="K25" i="6" s="1"/>
  <c r="I21" i="6"/>
  <c r="I24" i="6"/>
  <c r="K24" i="6" s="1"/>
  <c r="I23" i="6"/>
  <c r="K23" i="6" s="1"/>
  <c r="I20" i="6"/>
  <c r="I19" i="6"/>
  <c r="Y19" i="6"/>
  <c r="BK11" i="4"/>
  <c r="BI19" i="4"/>
  <c r="BI44" i="4"/>
  <c r="BI47" i="4"/>
  <c r="BM14" i="5"/>
  <c r="BM12" i="5"/>
  <c r="BO12" i="5" s="1"/>
  <c r="L12" i="5"/>
  <c r="AW30" i="5"/>
  <c r="AY30" i="5" s="1"/>
  <c r="BK12" i="4"/>
  <c r="BI46" i="4"/>
  <c r="P16" i="5"/>
  <c r="P12" i="5"/>
  <c r="AO22" i="5"/>
  <c r="BE38" i="5"/>
  <c r="BA71" i="5"/>
  <c r="BN51" i="4"/>
  <c r="AG22" i="5"/>
  <c r="AG30" i="5"/>
  <c r="AI30" i="5" s="1"/>
  <c r="AG21" i="5"/>
  <c r="AG20" i="5"/>
  <c r="AG25" i="5"/>
  <c r="AI25" i="5" s="1"/>
  <c r="AG24" i="5"/>
  <c r="AI24" i="5" s="1"/>
  <c r="AG23" i="5"/>
  <c r="AI23" i="5" s="1"/>
  <c r="AG19" i="5"/>
  <c r="BG12" i="5"/>
  <c r="AG29" i="5"/>
  <c r="AI29" i="5" s="1"/>
  <c r="BK12" i="5"/>
  <c r="AN31" i="5"/>
  <c r="AO26" i="5" s="1"/>
  <c r="AQ26" i="5" s="1"/>
  <c r="AS20" i="5"/>
  <c r="BE74" i="5"/>
  <c r="BI41" i="5"/>
  <c r="BI74" i="5" s="1"/>
  <c r="BN41" i="5"/>
  <c r="BN74" i="5" s="1"/>
  <c r="G17" i="7"/>
  <c r="H12" i="4"/>
  <c r="BM12" i="4" s="1"/>
  <c r="AV12" i="4"/>
  <c r="BL80" i="4"/>
  <c r="H2" i="5"/>
  <c r="BE44" i="5"/>
  <c r="BA77" i="5"/>
  <c r="BA74" i="5"/>
  <c r="AZ7" i="4"/>
  <c r="L2" i="5"/>
  <c r="AO19" i="7"/>
  <c r="AQ19" i="7" s="1"/>
  <c r="AO20" i="5"/>
  <c r="AC23" i="5"/>
  <c r="AE23" i="5" s="1"/>
  <c r="AC24" i="5"/>
  <c r="AE24" i="5" s="1"/>
  <c r="AC25" i="5"/>
  <c r="AE25" i="5" s="1"/>
  <c r="AC26" i="5"/>
  <c r="AE26" i="5" s="1"/>
  <c r="AO28" i="5"/>
  <c r="AQ28" i="5" s="1"/>
  <c r="BK28" i="5" s="1"/>
  <c r="BH39" i="5"/>
  <c r="BH72" i="5" s="1"/>
  <c r="BH42" i="5"/>
  <c r="BH75" i="5" s="1"/>
  <c r="AF4" i="6"/>
  <c r="AF12" i="6"/>
  <c r="BE9" i="6"/>
  <c r="H16" i="6"/>
  <c r="T28" i="6"/>
  <c r="AW21" i="6"/>
  <c r="Y22" i="6"/>
  <c r="BE12" i="8"/>
  <c r="AR16" i="5"/>
  <c r="AC20" i="5"/>
  <c r="U28" i="5"/>
  <c r="W28" i="5" s="1"/>
  <c r="AB2" i="6"/>
  <c r="BJ11" i="6" s="1"/>
  <c r="AJ12" i="6"/>
  <c r="AW27" i="6"/>
  <c r="AY27" i="6" s="1"/>
  <c r="AW22" i="6"/>
  <c r="AW26" i="6"/>
  <c r="AY26" i="6" s="1"/>
  <c r="U27" i="5"/>
  <c r="W27" i="5" s="1"/>
  <c r="H16" i="5"/>
  <c r="BJ8" i="6"/>
  <c r="BH9" i="6"/>
  <c r="AZ11" i="6"/>
  <c r="Y27" i="6"/>
  <c r="AA27" i="6" s="1"/>
  <c r="BB7" i="7"/>
  <c r="BJ9" i="7"/>
  <c r="BJ13" i="7"/>
  <c r="T14" i="7"/>
  <c r="BB14" i="7" s="1"/>
  <c r="BB28" i="7" s="1"/>
  <c r="T10" i="7"/>
  <c r="E22" i="7"/>
  <c r="G22" i="7" s="1"/>
  <c r="E23" i="7"/>
  <c r="G23" i="7" s="1"/>
  <c r="E21" i="7"/>
  <c r="G21" i="7" s="1"/>
  <c r="E24" i="7"/>
  <c r="G24" i="7" s="1"/>
  <c r="E25" i="7"/>
  <c r="G25" i="7" s="1"/>
  <c r="E19" i="7"/>
  <c r="G19" i="7" s="1"/>
  <c r="E18" i="7"/>
  <c r="G18" i="7" s="1"/>
  <c r="E20" i="7"/>
  <c r="G20" i="7" s="1"/>
  <c r="BG9" i="5"/>
  <c r="AC28" i="5"/>
  <c r="AE28" i="5" s="1"/>
  <c r="AC30" i="5"/>
  <c r="AE30" i="5" s="1"/>
  <c r="AN16" i="6"/>
  <c r="AW19" i="6"/>
  <c r="Y20" i="6"/>
  <c r="X14" i="7"/>
  <c r="X10" i="7"/>
  <c r="BK9" i="5"/>
  <c r="BG11" i="5"/>
  <c r="U20" i="5"/>
  <c r="AC22" i="5"/>
  <c r="BL70" i="5"/>
  <c r="BE14" i="7"/>
  <c r="BE28" i="7" s="1"/>
  <c r="AJ10" i="7"/>
  <c r="H26" i="7"/>
  <c r="AS24" i="8"/>
  <c r="AU24" i="8" s="1"/>
  <c r="AS19" i="8"/>
  <c r="AU19" i="8" s="1"/>
  <c r="AS25" i="8"/>
  <c r="AU25" i="8" s="1"/>
  <c r="AS20" i="8"/>
  <c r="AU20" i="8" s="1"/>
  <c r="AS16" i="8"/>
  <c r="AS17" i="8"/>
  <c r="AU17" i="8" s="1"/>
  <c r="AS21" i="8"/>
  <c r="AU21" i="8" s="1"/>
  <c r="AS18" i="8"/>
  <c r="AU18" i="8" s="1"/>
  <c r="AS22" i="8"/>
  <c r="AU22" i="8" s="1"/>
  <c r="AJ12" i="5"/>
  <c r="U23" i="5"/>
  <c r="W23" i="5" s="1"/>
  <c r="AO23" i="5"/>
  <c r="AQ23" i="5" s="1"/>
  <c r="U24" i="5"/>
  <c r="W24" i="5" s="1"/>
  <c r="U25" i="5"/>
  <c r="W25" i="5" s="1"/>
  <c r="AO25" i="5"/>
  <c r="AQ25" i="5" s="1"/>
  <c r="U26" i="5"/>
  <c r="W26" i="5" s="1"/>
  <c r="U29" i="5"/>
  <c r="W29" i="5" s="1"/>
  <c r="BH41" i="5"/>
  <c r="BH74" i="5" s="1"/>
  <c r="BN43" i="5"/>
  <c r="BN76" i="5" s="1"/>
  <c r="BH44" i="5"/>
  <c r="BH77" i="5" s="1"/>
  <c r="L4" i="6"/>
  <c r="BE11" i="6"/>
  <c r="AB12" i="6"/>
  <c r="BJ11" i="7"/>
  <c r="BJ12" i="7"/>
  <c r="BJ6" i="7"/>
  <c r="BJ7" i="7"/>
  <c r="BF30" i="7"/>
  <c r="U21" i="5"/>
  <c r="BE45" i="5"/>
  <c r="BD70" i="5"/>
  <c r="BJ16" i="6"/>
  <c r="BJ14" i="6"/>
  <c r="BJ7" i="6"/>
  <c r="BJ5" i="6"/>
  <c r="Q23" i="6"/>
  <c r="S23" i="6" s="1"/>
  <c r="Q20" i="6"/>
  <c r="Q19" i="6"/>
  <c r="Q27" i="6"/>
  <c r="S27" i="6" s="1"/>
  <c r="L28" i="6"/>
  <c r="M21" i="6" s="1"/>
  <c r="AW20" i="6"/>
  <c r="Q22" i="6"/>
  <c r="AW23" i="6"/>
  <c r="AY23" i="6" s="1"/>
  <c r="AW24" i="6"/>
  <c r="AY24" i="6" s="1"/>
  <c r="AS22" i="7"/>
  <c r="AU22" i="7" s="1"/>
  <c r="AS25" i="7"/>
  <c r="AU25" i="7" s="1"/>
  <c r="AS20" i="7"/>
  <c r="AU20" i="7" s="1"/>
  <c r="AS19" i="7"/>
  <c r="AU19" i="7" s="1"/>
  <c r="AS23" i="7"/>
  <c r="AU23" i="7" s="1"/>
  <c r="AS18" i="7"/>
  <c r="AU18" i="7" s="1"/>
  <c r="AS17" i="7"/>
  <c r="I22" i="8"/>
  <c r="K22" i="8" s="1"/>
  <c r="I21" i="8"/>
  <c r="K21" i="8" s="1"/>
  <c r="I16" i="8"/>
  <c r="I17" i="8"/>
  <c r="K17" i="8" s="1"/>
  <c r="I18" i="8"/>
  <c r="K18" i="8" s="1"/>
  <c r="I19" i="8"/>
  <c r="K19" i="8" s="1"/>
  <c r="I25" i="8"/>
  <c r="K25" i="8" s="1"/>
  <c r="I24" i="8"/>
  <c r="K24" i="8" s="1"/>
  <c r="I23" i="8"/>
  <c r="K23" i="8" s="1"/>
  <c r="AW22" i="8"/>
  <c r="AY22" i="8" s="1"/>
  <c r="AW24" i="8"/>
  <c r="AY24" i="8" s="1"/>
  <c r="AW25" i="8"/>
  <c r="AY25" i="8" s="1"/>
  <c r="AW20" i="8"/>
  <c r="AY20" i="8" s="1"/>
  <c r="AW21" i="8"/>
  <c r="AY21" i="8" s="1"/>
  <c r="AW16" i="8"/>
  <c r="AW17" i="8"/>
  <c r="AY17" i="8" s="1"/>
  <c r="AW18" i="8"/>
  <c r="AY18" i="8" s="1"/>
  <c r="AW19" i="8"/>
  <c r="AY19" i="8" s="1"/>
  <c r="AW23" i="8"/>
  <c r="AY23" i="8" s="1"/>
  <c r="AC27" i="5"/>
  <c r="AE27" i="5" s="1"/>
  <c r="Y24" i="6"/>
  <c r="AA24" i="6" s="1"/>
  <c r="Y21" i="6"/>
  <c r="Q21" i="9"/>
  <c r="S21" i="9" s="1"/>
  <c r="Q24" i="9"/>
  <c r="S24" i="9" s="1"/>
  <c r="Q19" i="9"/>
  <c r="S19" i="9" s="1"/>
  <c r="Q17" i="9"/>
  <c r="S17" i="9" s="1"/>
  <c r="Q22" i="9"/>
  <c r="S22" i="9" s="1"/>
  <c r="Q25" i="9"/>
  <c r="S25" i="9" s="1"/>
  <c r="Q23" i="9"/>
  <c r="S23" i="9" s="1"/>
  <c r="Q20" i="9"/>
  <c r="S20" i="9" s="1"/>
  <c r="Q18" i="9"/>
  <c r="S18" i="9" s="1"/>
  <c r="Q16" i="9"/>
  <c r="AC19" i="5"/>
  <c r="U22" i="5"/>
  <c r="BE16" i="6"/>
  <c r="BE30" i="6" s="1"/>
  <c r="AN12" i="6"/>
  <c r="BJ13" i="6"/>
  <c r="AJ28" i="6"/>
  <c r="Y23" i="6"/>
  <c r="AA23" i="6" s="1"/>
  <c r="Q24" i="6"/>
  <c r="S24" i="6" s="1"/>
  <c r="Q25" i="6"/>
  <c r="S25" i="6" s="1"/>
  <c r="Q18" i="8"/>
  <c r="S18" i="8" s="1"/>
  <c r="Q22" i="8"/>
  <c r="S22" i="8" s="1"/>
  <c r="Q16" i="8"/>
  <c r="Q19" i="8"/>
  <c r="S19" i="8" s="1"/>
  <c r="Q17" i="8"/>
  <c r="S17" i="8" s="1"/>
  <c r="Q25" i="8"/>
  <c r="S25" i="8" s="1"/>
  <c r="Q24" i="8"/>
  <c r="S24" i="8" s="1"/>
  <c r="Q20" i="8"/>
  <c r="S20" i="8" s="1"/>
  <c r="Q23" i="8"/>
  <c r="S23" i="8" s="1"/>
  <c r="Q21" i="8"/>
  <c r="S21" i="8" s="1"/>
  <c r="AO16" i="8"/>
  <c r="AO23" i="8"/>
  <c r="AQ23" i="8" s="1"/>
  <c r="AO18" i="8"/>
  <c r="AQ18" i="8" s="1"/>
  <c r="AO24" i="8"/>
  <c r="AQ24" i="8" s="1"/>
  <c r="AO19" i="8"/>
  <c r="AQ19" i="8" s="1"/>
  <c r="AO25" i="8"/>
  <c r="AQ25" i="8" s="1"/>
  <c r="AO20" i="8"/>
  <c r="AQ20" i="8" s="1"/>
  <c r="AO17" i="8"/>
  <c r="AQ17" i="8" s="1"/>
  <c r="AO22" i="8"/>
  <c r="AQ22" i="8" s="1"/>
  <c r="AO24" i="10"/>
  <c r="AQ24" i="10" s="1"/>
  <c r="AO20" i="10"/>
  <c r="AQ20" i="10" s="1"/>
  <c r="AO19" i="10"/>
  <c r="AQ19" i="10" s="1"/>
  <c r="AO17" i="10"/>
  <c r="AQ17" i="10" s="1"/>
  <c r="AO16" i="10"/>
  <c r="AO21" i="10"/>
  <c r="AQ21" i="10" s="1"/>
  <c r="AO22" i="10"/>
  <c r="AQ22" i="10" s="1"/>
  <c r="AO23" i="10"/>
  <c r="AQ23" i="10" s="1"/>
  <c r="AO25" i="10"/>
  <c r="AQ25" i="10" s="1"/>
  <c r="AO18" i="10"/>
  <c r="AQ18" i="10" s="1"/>
  <c r="BB12" i="8"/>
  <c r="BB9" i="8"/>
  <c r="BB6" i="8"/>
  <c r="BB7" i="8"/>
  <c r="T10" i="8"/>
  <c r="BE11" i="8"/>
  <c r="Y18" i="8"/>
  <c r="AA18" i="8" s="1"/>
  <c r="Y20" i="8"/>
  <c r="AA20" i="8" s="1"/>
  <c r="BE9" i="9"/>
  <c r="BE7" i="9"/>
  <c r="BE11" i="9"/>
  <c r="BE5" i="9"/>
  <c r="AJ10" i="9"/>
  <c r="AJ13" i="9"/>
  <c r="BB9" i="9"/>
  <c r="AC22" i="11"/>
  <c r="AE22" i="11" s="1"/>
  <c r="AC20" i="11"/>
  <c r="AE20" i="11" s="1"/>
  <c r="AC18" i="11"/>
  <c r="AE18" i="11" s="1"/>
  <c r="AC16" i="11"/>
  <c r="AC17" i="11"/>
  <c r="AE17" i="11" s="1"/>
  <c r="AC19" i="11"/>
  <c r="AE19" i="11" s="1"/>
  <c r="AC21" i="11"/>
  <c r="AE21" i="11" s="1"/>
  <c r="AC23" i="11"/>
  <c r="AE23" i="11" s="1"/>
  <c r="BE7" i="8"/>
  <c r="AG20" i="8"/>
  <c r="AI20" i="8" s="1"/>
  <c r="AG16" i="8"/>
  <c r="AG21" i="8"/>
  <c r="AI21" i="8" s="1"/>
  <c r="AG22" i="8"/>
  <c r="AI22" i="8" s="1"/>
  <c r="Y24" i="8"/>
  <c r="AA24" i="8" s="1"/>
  <c r="Y19" i="8"/>
  <c r="AA19" i="8" s="1"/>
  <c r="Y17" i="8"/>
  <c r="AA17" i="8" s="1"/>
  <c r="AG23" i="8"/>
  <c r="AI23" i="8" s="1"/>
  <c r="AG24" i="8"/>
  <c r="AI24" i="8" s="1"/>
  <c r="AG25" i="8"/>
  <c r="AI25" i="8" s="1"/>
  <c r="BB11" i="9"/>
  <c r="BB5" i="9"/>
  <c r="BB7" i="9"/>
  <c r="BB10" i="9"/>
  <c r="BE6" i="9"/>
  <c r="D10" i="9"/>
  <c r="Q16" i="10"/>
  <c r="Q22" i="10"/>
  <c r="S22" i="10" s="1"/>
  <c r="Q21" i="10"/>
  <c r="S21" i="10" s="1"/>
  <c r="Q19" i="10"/>
  <c r="S19" i="10" s="1"/>
  <c r="Q23" i="10"/>
  <c r="S23" i="10" s="1"/>
  <c r="Q24" i="10"/>
  <c r="S24" i="10" s="1"/>
  <c r="Q25" i="10"/>
  <c r="S25" i="10" s="1"/>
  <c r="Q18" i="10"/>
  <c r="S18" i="10" s="1"/>
  <c r="Q20" i="10"/>
  <c r="S20" i="10" s="1"/>
  <c r="E22" i="10"/>
  <c r="G22" i="10" s="1"/>
  <c r="E17" i="10"/>
  <c r="G17" i="10" s="1"/>
  <c r="E25" i="10"/>
  <c r="G25" i="10" s="1"/>
  <c r="E20" i="10"/>
  <c r="G20" i="10" s="1"/>
  <c r="E18" i="10"/>
  <c r="G18" i="10" s="1"/>
  <c r="E21" i="10"/>
  <c r="G21" i="10" s="1"/>
  <c r="E16" i="10"/>
  <c r="E24" i="10"/>
  <c r="G24" i="10" s="1"/>
  <c r="E19" i="10"/>
  <c r="G19" i="10" s="1"/>
  <c r="AO25" i="7"/>
  <c r="AQ25" i="7" s="1"/>
  <c r="AN26" i="7"/>
  <c r="AO21" i="7"/>
  <c r="AQ21" i="7" s="1"/>
  <c r="Y16" i="8"/>
  <c r="BB12" i="9"/>
  <c r="AB13" i="8"/>
  <c r="AB10" i="8"/>
  <c r="AG19" i="8"/>
  <c r="AI19" i="8" s="1"/>
  <c r="BE12" i="9"/>
  <c r="AS23" i="11"/>
  <c r="AU23" i="11" s="1"/>
  <c r="AS18" i="11"/>
  <c r="AU18" i="11" s="1"/>
  <c r="AS17" i="11"/>
  <c r="AU17" i="11" s="1"/>
  <c r="AS16" i="11"/>
  <c r="AS20" i="11"/>
  <c r="AU20" i="11" s="1"/>
  <c r="AS19" i="11"/>
  <c r="AU19" i="11" s="1"/>
  <c r="AS21" i="11"/>
  <c r="AU21" i="11" s="1"/>
  <c r="AS22" i="11"/>
  <c r="AU22" i="11" s="1"/>
  <c r="M23" i="9"/>
  <c r="O23" i="9" s="1"/>
  <c r="M16" i="9"/>
  <c r="M22" i="9"/>
  <c r="O22" i="9" s="1"/>
  <c r="M20" i="9"/>
  <c r="O20" i="9" s="1"/>
  <c r="M18" i="9"/>
  <c r="O18" i="9" s="1"/>
  <c r="M24" i="9"/>
  <c r="O24" i="9" s="1"/>
  <c r="AZ7" i="9"/>
  <c r="AC20" i="10"/>
  <c r="AE20" i="10" s="1"/>
  <c r="AC25" i="10"/>
  <c r="AE25" i="10" s="1"/>
  <c r="AC23" i="10"/>
  <c r="AE23" i="10" s="1"/>
  <c r="AC19" i="10"/>
  <c r="AE19" i="10" s="1"/>
  <c r="AC18" i="10"/>
  <c r="AE18" i="10" s="1"/>
  <c r="AC17" i="10"/>
  <c r="AE17" i="10" s="1"/>
  <c r="AC22" i="10"/>
  <c r="AE22" i="10" s="1"/>
  <c r="AC16" i="10"/>
  <c r="AC24" i="10"/>
  <c r="AE24" i="10" s="1"/>
  <c r="Y22" i="10"/>
  <c r="AA22" i="10" s="1"/>
  <c r="Y17" i="10"/>
  <c r="AA17" i="10" s="1"/>
  <c r="Y25" i="10"/>
  <c r="AA25" i="10" s="1"/>
  <c r="Y19" i="10"/>
  <c r="AA19" i="10" s="1"/>
  <c r="Y18" i="10"/>
  <c r="AA18" i="10" s="1"/>
  <c r="Y21" i="10"/>
  <c r="AA21" i="10" s="1"/>
  <c r="Y16" i="10"/>
  <c r="Y23" i="10"/>
  <c r="AA23" i="10" s="1"/>
  <c r="Y24" i="10"/>
  <c r="AA24" i="10" s="1"/>
  <c r="T12" i="6"/>
  <c r="BJ12" i="6" s="1"/>
  <c r="AV10" i="7"/>
  <c r="BH10" i="7" s="1"/>
  <c r="BH14" i="7"/>
  <c r="BH28" i="7" s="1"/>
  <c r="L10" i="7"/>
  <c r="AZ10" i="7" s="1"/>
  <c r="H14" i="7"/>
  <c r="AZ14" i="7" s="1"/>
  <c r="AZ28" i="7" s="1"/>
  <c r="BC28" i="7" s="1"/>
  <c r="BB5" i="8"/>
  <c r="AJ10" i="8"/>
  <c r="AJ13" i="8"/>
  <c r="M22" i="8"/>
  <c r="O22" i="8" s="1"/>
  <c r="M23" i="8"/>
  <c r="O23" i="8" s="1"/>
  <c r="M24" i="8"/>
  <c r="O24" i="8" s="1"/>
  <c r="M25" i="8"/>
  <c r="O25" i="8" s="1"/>
  <c r="AG23" i="9"/>
  <c r="AI23" i="9" s="1"/>
  <c r="AG16" i="9"/>
  <c r="AG24" i="9"/>
  <c r="AI24" i="9" s="1"/>
  <c r="L13" i="9"/>
  <c r="BB5" i="10"/>
  <c r="M23" i="12"/>
  <c r="O23" i="12" s="1"/>
  <c r="M21" i="12"/>
  <c r="O21" i="12" s="1"/>
  <c r="M16" i="12"/>
  <c r="M19" i="12"/>
  <c r="O19" i="12" s="1"/>
  <c r="M18" i="12"/>
  <c r="O18" i="12" s="1"/>
  <c r="M22" i="12"/>
  <c r="O22" i="12" s="1"/>
  <c r="M17" i="12"/>
  <c r="O17" i="12" s="1"/>
  <c r="M20" i="12"/>
  <c r="O20" i="12" s="1"/>
  <c r="P10" i="7"/>
  <c r="D10" i="8"/>
  <c r="P13" i="8"/>
  <c r="BA13" i="8" s="1"/>
  <c r="AN10" i="9"/>
  <c r="W16" i="9"/>
  <c r="I19" i="9"/>
  <c r="K19" i="9" s="1"/>
  <c r="I21" i="9"/>
  <c r="K21" i="9" s="1"/>
  <c r="AK16" i="10"/>
  <c r="AK22" i="10"/>
  <c r="AM22" i="10" s="1"/>
  <c r="AK21" i="10"/>
  <c r="AM21" i="10" s="1"/>
  <c r="AK19" i="10"/>
  <c r="AM19" i="10" s="1"/>
  <c r="AK20" i="10"/>
  <c r="AM20" i="10" s="1"/>
  <c r="AK17" i="10"/>
  <c r="AM17" i="10" s="1"/>
  <c r="AK23" i="10"/>
  <c r="AM23" i="10" s="1"/>
  <c r="AK24" i="10"/>
  <c r="AM24" i="10" s="1"/>
  <c r="AK18" i="10"/>
  <c r="AM18" i="10" s="1"/>
  <c r="I20" i="7"/>
  <c r="K20" i="7" s="1"/>
  <c r="I23" i="7"/>
  <c r="K23" i="7" s="1"/>
  <c r="I19" i="7"/>
  <c r="K19" i="7" s="1"/>
  <c r="I24" i="7"/>
  <c r="K24" i="7" s="1"/>
  <c r="M16" i="8"/>
  <c r="Y17" i="9"/>
  <c r="AA17" i="9" s="1"/>
  <c r="Y20" i="9"/>
  <c r="AA20" i="9" s="1"/>
  <c r="Y19" i="9"/>
  <c r="AA19" i="9" s="1"/>
  <c r="Y25" i="9"/>
  <c r="AA25" i="9" s="1"/>
  <c r="Y23" i="9"/>
  <c r="AA23" i="9" s="1"/>
  <c r="Y21" i="9"/>
  <c r="AA21" i="9" s="1"/>
  <c r="AR10" i="9"/>
  <c r="Y16" i="9"/>
  <c r="BB6" i="10"/>
  <c r="AO22" i="11"/>
  <c r="AQ22" i="11" s="1"/>
  <c r="AO19" i="11"/>
  <c r="AQ19" i="11" s="1"/>
  <c r="AO17" i="11"/>
  <c r="AQ17" i="11" s="1"/>
  <c r="AO21" i="11"/>
  <c r="AQ21" i="11" s="1"/>
  <c r="AO23" i="11"/>
  <c r="AQ23" i="11" s="1"/>
  <c r="AO18" i="11"/>
  <c r="AQ18" i="11" s="1"/>
  <c r="AO16" i="11"/>
  <c r="AO20" i="11"/>
  <c r="AQ20" i="11" s="1"/>
  <c r="AO22" i="7"/>
  <c r="AQ22" i="7" s="1"/>
  <c r="BE5" i="8"/>
  <c r="M20" i="8"/>
  <c r="O20" i="8" s="1"/>
  <c r="M21" i="8"/>
  <c r="O21" i="8" s="1"/>
  <c r="M17" i="8"/>
  <c r="O17" i="8" s="1"/>
  <c r="M18" i="8"/>
  <c r="O18" i="8" s="1"/>
  <c r="Y23" i="8"/>
  <c r="AA23" i="8" s="1"/>
  <c r="AB13" i="9"/>
  <c r="AB10" i="9"/>
  <c r="BE10" i="9" s="1"/>
  <c r="I25" i="9"/>
  <c r="K25" i="9" s="1"/>
  <c r="I18" i="9"/>
  <c r="K18" i="9" s="1"/>
  <c r="I16" i="9"/>
  <c r="AW25" i="9"/>
  <c r="AY25" i="9" s="1"/>
  <c r="AW18" i="9"/>
  <c r="AY18" i="9" s="1"/>
  <c r="AW17" i="9"/>
  <c r="AY17" i="9" s="1"/>
  <c r="AW23" i="9"/>
  <c r="AY23" i="9" s="1"/>
  <c r="AW21" i="9"/>
  <c r="AY21" i="9" s="1"/>
  <c r="AW19" i="9"/>
  <c r="AY19" i="9" s="1"/>
  <c r="M17" i="9"/>
  <c r="O17" i="9" s="1"/>
  <c r="AG18" i="9"/>
  <c r="AI18" i="9" s="1"/>
  <c r="M19" i="9"/>
  <c r="O19" i="9" s="1"/>
  <c r="AG20" i="9"/>
  <c r="AI20" i="9" s="1"/>
  <c r="M21" i="9"/>
  <c r="O21" i="9" s="1"/>
  <c r="AG22" i="9"/>
  <c r="AI22" i="9" s="1"/>
  <c r="M25" i="9"/>
  <c r="O25" i="9" s="1"/>
  <c r="AS22" i="10"/>
  <c r="AU22" i="10" s="1"/>
  <c r="AS17" i="10"/>
  <c r="AU17" i="10" s="1"/>
  <c r="AS25" i="10"/>
  <c r="AU25" i="10" s="1"/>
  <c r="AS23" i="10"/>
  <c r="AU23" i="10" s="1"/>
  <c r="AS24" i="10"/>
  <c r="AU24" i="10" s="1"/>
  <c r="AS18" i="10"/>
  <c r="AU18" i="10" s="1"/>
  <c r="AS20" i="10"/>
  <c r="AU20" i="10" s="1"/>
  <c r="AS21" i="10"/>
  <c r="AU21" i="10" s="1"/>
  <c r="AS16" i="10"/>
  <c r="I19" i="10"/>
  <c r="K19" i="10" s="1"/>
  <c r="Y17" i="11"/>
  <c r="AA17" i="11" s="1"/>
  <c r="Y19" i="11"/>
  <c r="AA19" i="11" s="1"/>
  <c r="Y16" i="11"/>
  <c r="Y21" i="11"/>
  <c r="AA21" i="11" s="1"/>
  <c r="Y22" i="11"/>
  <c r="AA22" i="11" s="1"/>
  <c r="Y23" i="11"/>
  <c r="AA23" i="11" s="1"/>
  <c r="Y18" i="11"/>
  <c r="AA18" i="11" s="1"/>
  <c r="Y20" i="11"/>
  <c r="AA20" i="11" s="1"/>
  <c r="BH5" i="7"/>
  <c r="AB10" i="7"/>
  <c r="AJ26" i="7"/>
  <c r="BB11" i="8"/>
  <c r="Y22" i="8"/>
  <c r="AA22" i="8" s="1"/>
  <c r="Y25" i="8"/>
  <c r="AA25" i="8" s="1"/>
  <c r="I20" i="10"/>
  <c r="K20" i="10" s="1"/>
  <c r="I25" i="10"/>
  <c r="K25" i="10" s="1"/>
  <c r="I23" i="10"/>
  <c r="K23" i="10" s="1"/>
  <c r="I21" i="10"/>
  <c r="K21" i="10" s="1"/>
  <c r="I17" i="10"/>
  <c r="K17" i="10" s="1"/>
  <c r="I22" i="10"/>
  <c r="K22" i="10" s="1"/>
  <c r="I16" i="10"/>
  <c r="I18" i="10"/>
  <c r="K18" i="10" s="1"/>
  <c r="AW20" i="10"/>
  <c r="AY20" i="10" s="1"/>
  <c r="AW25" i="10"/>
  <c r="AY25" i="10" s="1"/>
  <c r="AW23" i="10"/>
  <c r="AY23" i="10" s="1"/>
  <c r="AW24" i="10"/>
  <c r="AY24" i="10" s="1"/>
  <c r="AW19" i="10"/>
  <c r="AY19" i="10" s="1"/>
  <c r="AW17" i="10"/>
  <c r="AY17" i="10" s="1"/>
  <c r="AW21" i="10"/>
  <c r="AY21" i="10" s="1"/>
  <c r="AW16" i="10"/>
  <c r="AW22" i="10"/>
  <c r="AY22" i="10" s="1"/>
  <c r="BE5" i="10"/>
  <c r="L10" i="10"/>
  <c r="AJ13" i="10"/>
  <c r="AN13" i="11"/>
  <c r="AW22" i="13"/>
  <c r="AY22" i="13" s="1"/>
  <c r="AW21" i="13"/>
  <c r="AY21" i="13" s="1"/>
  <c r="AW20" i="13"/>
  <c r="AY20" i="13" s="1"/>
  <c r="AW16" i="13"/>
  <c r="AW17" i="13"/>
  <c r="AY17" i="13" s="1"/>
  <c r="AW23" i="13"/>
  <c r="AY23" i="13" s="1"/>
  <c r="AW18" i="13"/>
  <c r="AY18" i="13" s="1"/>
  <c r="AW19" i="13"/>
  <c r="AY19" i="13" s="1"/>
  <c r="BB10" i="10"/>
  <c r="BB7" i="10"/>
  <c r="BB11" i="10"/>
  <c r="AZ7" i="10"/>
  <c r="T10" i="10"/>
  <c r="BB6" i="11"/>
  <c r="AK18" i="11"/>
  <c r="AM18" i="11" s="1"/>
  <c r="AK21" i="11"/>
  <c r="AM21" i="11" s="1"/>
  <c r="AK23" i="11"/>
  <c r="AM23" i="11" s="1"/>
  <c r="AK17" i="11"/>
  <c r="AM17" i="11" s="1"/>
  <c r="AK16" i="11"/>
  <c r="I22" i="11"/>
  <c r="K22" i="11" s="1"/>
  <c r="I20" i="11"/>
  <c r="K20" i="11" s="1"/>
  <c r="I23" i="11"/>
  <c r="K23" i="11" s="1"/>
  <c r="I18" i="11"/>
  <c r="K18" i="11" s="1"/>
  <c r="AW22" i="11"/>
  <c r="AY22" i="11" s="1"/>
  <c r="AW19" i="11"/>
  <c r="AY19" i="11" s="1"/>
  <c r="AW21" i="11"/>
  <c r="AY21" i="11" s="1"/>
  <c r="AG23" i="11"/>
  <c r="AI23" i="11" s="1"/>
  <c r="BE12" i="12"/>
  <c r="BE9" i="12"/>
  <c r="BE6" i="12"/>
  <c r="BE5" i="12"/>
  <c r="BE11" i="12"/>
  <c r="BE7" i="12"/>
  <c r="BB9" i="13"/>
  <c r="BE6" i="11"/>
  <c r="BE9" i="11"/>
  <c r="BC57" i="14"/>
  <c r="BF33" i="14"/>
  <c r="BF57" i="14" s="1"/>
  <c r="AG18" i="10"/>
  <c r="AI18" i="10" s="1"/>
  <c r="AG24" i="10"/>
  <c r="AI24" i="10" s="1"/>
  <c r="AG23" i="10"/>
  <c r="AI23" i="10" s="1"/>
  <c r="AG21" i="10"/>
  <c r="AI21" i="10" s="1"/>
  <c r="D13" i="11"/>
  <c r="BE7" i="11"/>
  <c r="D10" i="11"/>
  <c r="AK20" i="13"/>
  <c r="AM20" i="13" s="1"/>
  <c r="AK18" i="13"/>
  <c r="AM18" i="13" s="1"/>
  <c r="AK17" i="13"/>
  <c r="AM17" i="13" s="1"/>
  <c r="AK16" i="13"/>
  <c r="AK21" i="13"/>
  <c r="AM21" i="13" s="1"/>
  <c r="AK22" i="13"/>
  <c r="AM22" i="13" s="1"/>
  <c r="AK23" i="13"/>
  <c r="AM23" i="13" s="1"/>
  <c r="BE11" i="14"/>
  <c r="AC37" i="14"/>
  <c r="AC45" i="14" s="1"/>
  <c r="AC23" i="14"/>
  <c r="AE23" i="14" s="1"/>
  <c r="AC18" i="14"/>
  <c r="AE18" i="14" s="1"/>
  <c r="AC19" i="14"/>
  <c r="AE19" i="14" s="1"/>
  <c r="AC20" i="14"/>
  <c r="AE20" i="14" s="1"/>
  <c r="AC21" i="14"/>
  <c r="AE21" i="14" s="1"/>
  <c r="AC22" i="14"/>
  <c r="AE22" i="14" s="1"/>
  <c r="AC17" i="14"/>
  <c r="AE17" i="14" s="1"/>
  <c r="AC16" i="14"/>
  <c r="BE12" i="10"/>
  <c r="BB13" i="10"/>
  <c r="U23" i="11"/>
  <c r="W23" i="11" s="1"/>
  <c r="U18" i="11"/>
  <c r="W18" i="11" s="1"/>
  <c r="U20" i="11"/>
  <c r="W20" i="11" s="1"/>
  <c r="U21" i="11"/>
  <c r="W21" i="11" s="1"/>
  <c r="L10" i="11"/>
  <c r="U22" i="11"/>
  <c r="W22" i="11" s="1"/>
  <c r="BB5" i="12"/>
  <c r="BB11" i="12"/>
  <c r="AF13" i="12"/>
  <c r="BE13" i="12" s="1"/>
  <c r="BE26" i="12" s="1"/>
  <c r="AF10" i="12"/>
  <c r="AZ9" i="12"/>
  <c r="BC26" i="12"/>
  <c r="AF13" i="14"/>
  <c r="AF10" i="14"/>
  <c r="L10" i="14"/>
  <c r="E29" i="14"/>
  <c r="E31" i="14" s="1"/>
  <c r="M36" i="14"/>
  <c r="AZ9" i="14"/>
  <c r="AZ7" i="11"/>
  <c r="AZ7" i="13"/>
  <c r="D10" i="13"/>
  <c r="D13" i="13"/>
  <c r="AR13" i="13"/>
  <c r="AR10" i="13"/>
  <c r="AZ9" i="8"/>
  <c r="U23" i="9"/>
  <c r="W23" i="9" s="1"/>
  <c r="BB9" i="10"/>
  <c r="H13" i="10"/>
  <c r="BE13" i="10" s="1"/>
  <c r="AG16" i="10"/>
  <c r="BE11" i="11"/>
  <c r="BE5" i="11"/>
  <c r="BB9" i="11"/>
  <c r="BB13" i="11"/>
  <c r="BB10" i="11"/>
  <c r="P13" i="11"/>
  <c r="P10" i="11"/>
  <c r="BB7" i="11"/>
  <c r="AK19" i="11"/>
  <c r="AM19" i="11" s="1"/>
  <c r="BB6" i="12"/>
  <c r="I22" i="13"/>
  <c r="K22" i="13" s="1"/>
  <c r="I21" i="13"/>
  <c r="K21" i="13" s="1"/>
  <c r="I20" i="13"/>
  <c r="K20" i="13" s="1"/>
  <c r="I23" i="13"/>
  <c r="K23" i="13" s="1"/>
  <c r="I16" i="13"/>
  <c r="I17" i="13"/>
  <c r="K17" i="13" s="1"/>
  <c r="I18" i="13"/>
  <c r="K18" i="13" s="1"/>
  <c r="I19" i="13"/>
  <c r="K19" i="13" s="1"/>
  <c r="AG17" i="13"/>
  <c r="AI17" i="13" s="1"/>
  <c r="BE9" i="10"/>
  <c r="AG20" i="11"/>
  <c r="AI20" i="11" s="1"/>
  <c r="AG22" i="11"/>
  <c r="AI22" i="11" s="1"/>
  <c r="AG18" i="11"/>
  <c r="AI18" i="11" s="1"/>
  <c r="AG19" i="11"/>
  <c r="AI19" i="11" s="1"/>
  <c r="AG16" i="11"/>
  <c r="U16" i="11"/>
  <c r="BE6" i="8"/>
  <c r="U19" i="9"/>
  <c r="W19" i="9" s="1"/>
  <c r="U22" i="9"/>
  <c r="W22" i="9" s="1"/>
  <c r="X13" i="9"/>
  <c r="BE13" i="9" s="1"/>
  <c r="U17" i="9"/>
  <c r="W17" i="9" s="1"/>
  <c r="BE6" i="10"/>
  <c r="AG17" i="10"/>
  <c r="AI17" i="10" s="1"/>
  <c r="AG20" i="10"/>
  <c r="AI20" i="10" s="1"/>
  <c r="I21" i="11"/>
  <c r="K21" i="11" s="1"/>
  <c r="AK22" i="11"/>
  <c r="AM22" i="11" s="1"/>
  <c r="H10" i="12"/>
  <c r="AC17" i="12"/>
  <c r="AE17" i="12" s="1"/>
  <c r="AC16" i="12"/>
  <c r="AC23" i="12"/>
  <c r="AE23" i="12" s="1"/>
  <c r="AC18" i="12"/>
  <c r="AE18" i="12" s="1"/>
  <c r="AC21" i="12"/>
  <c r="AE21" i="12" s="1"/>
  <c r="AC20" i="12"/>
  <c r="AE20" i="12" s="1"/>
  <c r="AJ10" i="12"/>
  <c r="BE9" i="8"/>
  <c r="AG19" i="10"/>
  <c r="AI19" i="10" s="1"/>
  <c r="BB5" i="11"/>
  <c r="AJ13" i="11"/>
  <c r="AV10" i="12"/>
  <c r="BE11" i="13"/>
  <c r="BE5" i="13"/>
  <c r="BE12" i="13"/>
  <c r="BE7" i="13"/>
  <c r="AK19" i="13"/>
  <c r="AM19" i="13" s="1"/>
  <c r="P13" i="13"/>
  <c r="P10" i="13"/>
  <c r="BB7" i="13"/>
  <c r="M22" i="13"/>
  <c r="O22" i="13" s="1"/>
  <c r="M20" i="13"/>
  <c r="O20" i="13" s="1"/>
  <c r="M19" i="13"/>
  <c r="O19" i="13" s="1"/>
  <c r="M18" i="13"/>
  <c r="O18" i="13" s="1"/>
  <c r="Q23" i="14"/>
  <c r="S23" i="14" s="1"/>
  <c r="Q21" i="14"/>
  <c r="S21" i="14" s="1"/>
  <c r="Q22" i="14"/>
  <c r="S22" i="14" s="1"/>
  <c r="Q17" i="14"/>
  <c r="S17" i="14" s="1"/>
  <c r="Q20" i="14"/>
  <c r="S20" i="14" s="1"/>
  <c r="AT53" i="14"/>
  <c r="I22" i="15"/>
  <c r="K22" i="15" s="1"/>
  <c r="I20" i="15"/>
  <c r="K20" i="15" s="1"/>
  <c r="I19" i="15"/>
  <c r="K19" i="15" s="1"/>
  <c r="I23" i="15"/>
  <c r="K23" i="15" s="1"/>
  <c r="I18" i="15"/>
  <c r="K18" i="15" s="1"/>
  <c r="I16" i="15"/>
  <c r="AU16" i="15"/>
  <c r="AS17" i="16"/>
  <c r="AU17" i="16" s="1"/>
  <c r="AS23" i="16"/>
  <c r="AU23" i="16" s="1"/>
  <c r="AS18" i="16"/>
  <c r="AU18" i="16" s="1"/>
  <c r="AS19" i="16"/>
  <c r="AU19" i="16" s="1"/>
  <c r="AS16" i="16"/>
  <c r="AS21" i="16"/>
  <c r="AU21" i="16" s="1"/>
  <c r="AS20" i="16"/>
  <c r="AU20" i="16" s="1"/>
  <c r="AS22" i="16"/>
  <c r="AU22" i="16" s="1"/>
  <c r="BB12" i="12"/>
  <c r="Q23" i="12"/>
  <c r="S23" i="12" s="1"/>
  <c r="Q22" i="12"/>
  <c r="S22" i="12" s="1"/>
  <c r="Q21" i="12"/>
  <c r="S21" i="12" s="1"/>
  <c r="Q16" i="12"/>
  <c r="BB5" i="13"/>
  <c r="T13" i="13"/>
  <c r="T10" i="13"/>
  <c r="AG22" i="13"/>
  <c r="AI22" i="13" s="1"/>
  <c r="AG20" i="13"/>
  <c r="AI20" i="13" s="1"/>
  <c r="AG19" i="13"/>
  <c r="AI19" i="13" s="1"/>
  <c r="AG18" i="13"/>
  <c r="AI18" i="13" s="1"/>
  <c r="AC22" i="13"/>
  <c r="AE22" i="13" s="1"/>
  <c r="AC21" i="13"/>
  <c r="AE21" i="13" s="1"/>
  <c r="AC20" i="13"/>
  <c r="AE20" i="13" s="1"/>
  <c r="AG16" i="13"/>
  <c r="AZ7" i="14"/>
  <c r="H13" i="14"/>
  <c r="AZ13" i="14" s="1"/>
  <c r="AZ26" i="14" s="1"/>
  <c r="BE7" i="14"/>
  <c r="T10" i="12"/>
  <c r="Y16" i="13"/>
  <c r="Y23" i="13"/>
  <c r="AA23" i="13" s="1"/>
  <c r="Y22" i="13"/>
  <c r="AA22" i="13" s="1"/>
  <c r="Y20" i="13"/>
  <c r="AA20" i="13" s="1"/>
  <c r="BE6" i="15"/>
  <c r="Y19" i="12"/>
  <c r="AA19" i="12" s="1"/>
  <c r="Y18" i="12"/>
  <c r="AA18" i="12" s="1"/>
  <c r="Y17" i="12"/>
  <c r="AA17" i="12" s="1"/>
  <c r="Q17" i="12"/>
  <c r="S17" i="12" s="1"/>
  <c r="AO18" i="13"/>
  <c r="AQ18" i="13" s="1"/>
  <c r="AO16" i="13"/>
  <c r="AO22" i="13"/>
  <c r="AQ22" i="13" s="1"/>
  <c r="H13" i="13"/>
  <c r="BB13" i="13" s="1"/>
  <c r="BE12" i="14"/>
  <c r="BB9" i="14"/>
  <c r="BB11" i="14"/>
  <c r="BB13" i="14"/>
  <c r="BB26" i="14" s="1"/>
  <c r="BB50" i="14" s="1"/>
  <c r="BB6" i="14"/>
  <c r="BB12" i="14"/>
  <c r="BB7" i="14"/>
  <c r="AK36" i="14"/>
  <c r="AJ10" i="14"/>
  <c r="BE10" i="14" s="1"/>
  <c r="BE38" i="14" s="1"/>
  <c r="AV10" i="14"/>
  <c r="Y22" i="12"/>
  <c r="AA22" i="12" s="1"/>
  <c r="M17" i="13"/>
  <c r="Y19" i="13"/>
  <c r="AA19" i="13" s="1"/>
  <c r="M23" i="13"/>
  <c r="O23" i="13" s="1"/>
  <c r="Q19" i="14"/>
  <c r="S19" i="14" s="1"/>
  <c r="X10" i="15"/>
  <c r="X13" i="15"/>
  <c r="Q23" i="15"/>
  <c r="S23" i="15" s="1"/>
  <c r="Q19" i="15"/>
  <c r="S19" i="15" s="1"/>
  <c r="Q21" i="15"/>
  <c r="S21" i="15" s="1"/>
  <c r="Y16" i="12"/>
  <c r="Q18" i="12"/>
  <c r="S18" i="12" s="1"/>
  <c r="BB6" i="13"/>
  <c r="Y18" i="13"/>
  <c r="AA18" i="13" s="1"/>
  <c r="AO20" i="13"/>
  <c r="AQ20" i="13" s="1"/>
  <c r="X13" i="14"/>
  <c r="X10" i="14"/>
  <c r="AC36" i="14"/>
  <c r="AC38" i="14" s="1"/>
  <c r="AC22" i="15"/>
  <c r="AE22" i="15" s="1"/>
  <c r="AC20" i="15"/>
  <c r="AE20" i="15" s="1"/>
  <c r="AC21" i="15"/>
  <c r="AE21" i="15" s="1"/>
  <c r="AC17" i="15"/>
  <c r="AE17" i="15" s="1"/>
  <c r="AC16" i="15"/>
  <c r="AC19" i="15"/>
  <c r="AE19" i="15" s="1"/>
  <c r="AC18" i="15"/>
  <c r="AE18" i="15" s="1"/>
  <c r="AW22" i="15"/>
  <c r="AY22" i="15" s="1"/>
  <c r="AW19" i="15"/>
  <c r="AY19" i="15" s="1"/>
  <c r="AW23" i="15"/>
  <c r="AY23" i="15" s="1"/>
  <c r="AW18" i="15"/>
  <c r="AY18" i="15" s="1"/>
  <c r="AW21" i="15"/>
  <c r="AY21" i="15" s="1"/>
  <c r="AW17" i="15"/>
  <c r="AY17" i="15" s="1"/>
  <c r="AW20" i="15"/>
  <c r="AY20" i="15" s="1"/>
  <c r="AW16" i="15"/>
  <c r="BE12" i="15"/>
  <c r="BE5" i="15"/>
  <c r="AC22" i="16"/>
  <c r="AE22" i="16" s="1"/>
  <c r="AC17" i="16"/>
  <c r="AE17" i="16" s="1"/>
  <c r="AC18" i="16"/>
  <c r="AE18" i="16" s="1"/>
  <c r="AC21" i="16"/>
  <c r="AE21" i="16" s="1"/>
  <c r="AC16" i="16"/>
  <c r="AC23" i="16"/>
  <c r="AE23" i="16" s="1"/>
  <c r="AC20" i="16"/>
  <c r="AE20" i="16" s="1"/>
  <c r="AN13" i="12"/>
  <c r="AN10" i="12"/>
  <c r="BB11" i="13"/>
  <c r="AC17" i="13"/>
  <c r="AE17" i="13" s="1"/>
  <c r="AO19" i="13"/>
  <c r="AQ19" i="13" s="1"/>
  <c r="AG21" i="13"/>
  <c r="AI21" i="13" s="1"/>
  <c r="AC23" i="13"/>
  <c r="AE23" i="13" s="1"/>
  <c r="Q24" i="14"/>
  <c r="AO31" i="14"/>
  <c r="Q37" i="14"/>
  <c r="U16" i="15"/>
  <c r="U23" i="15"/>
  <c r="W23" i="15" s="1"/>
  <c r="U18" i="15"/>
  <c r="W18" i="15" s="1"/>
  <c r="U22" i="15"/>
  <c r="W22" i="15" s="1"/>
  <c r="U21" i="15"/>
  <c r="W21" i="15" s="1"/>
  <c r="U17" i="15"/>
  <c r="W17" i="15" s="1"/>
  <c r="U20" i="15"/>
  <c r="W20" i="15" s="1"/>
  <c r="U19" i="15"/>
  <c r="W19" i="15" s="1"/>
  <c r="D10" i="12"/>
  <c r="BB7" i="12"/>
  <c r="AZ7" i="12"/>
  <c r="AR10" i="12"/>
  <c r="Q20" i="12"/>
  <c r="S20" i="12" s="1"/>
  <c r="AC16" i="13"/>
  <c r="AG23" i="13"/>
  <c r="AI23" i="13" s="1"/>
  <c r="AN10" i="14"/>
  <c r="H10" i="14"/>
  <c r="Q18" i="14"/>
  <c r="S18" i="14" s="1"/>
  <c r="Q45" i="14"/>
  <c r="AF10" i="15"/>
  <c r="Q16" i="15"/>
  <c r="AC23" i="15"/>
  <c r="AE23" i="15" s="1"/>
  <c r="BE9" i="14"/>
  <c r="AS21" i="14"/>
  <c r="AU21" i="14" s="1"/>
  <c r="E22" i="14"/>
  <c r="G22" i="14" s="1"/>
  <c r="G30" i="14"/>
  <c r="U42" i="14"/>
  <c r="BB7" i="15"/>
  <c r="L10" i="15"/>
  <c r="AB13" i="15"/>
  <c r="E17" i="15"/>
  <c r="G17" i="15" s="1"/>
  <c r="AS19" i="15"/>
  <c r="AU19" i="15" s="1"/>
  <c r="E21" i="15"/>
  <c r="G21" i="15" s="1"/>
  <c r="BB11" i="16"/>
  <c r="BE7" i="15"/>
  <c r="Q18" i="15"/>
  <c r="S18" i="15" s="1"/>
  <c r="Q17" i="15"/>
  <c r="S17" i="15" s="1"/>
  <c r="Q22" i="15"/>
  <c r="S22" i="15" s="1"/>
  <c r="BB11" i="15"/>
  <c r="Q20" i="15"/>
  <c r="S20" i="15" s="1"/>
  <c r="BB9" i="16"/>
  <c r="BB12" i="16"/>
  <c r="BB6" i="16"/>
  <c r="BB5" i="16"/>
  <c r="BE11" i="16"/>
  <c r="AC16" i="18"/>
  <c r="AC22" i="18"/>
  <c r="AE22" i="18" s="1"/>
  <c r="AC21" i="18"/>
  <c r="AE21" i="18" s="1"/>
  <c r="AC19" i="18"/>
  <c r="AE19" i="18" s="1"/>
  <c r="AC23" i="18"/>
  <c r="AE23" i="18" s="1"/>
  <c r="AC17" i="18"/>
  <c r="AE17" i="18" s="1"/>
  <c r="AC18" i="18"/>
  <c r="AE18" i="18" s="1"/>
  <c r="AC20" i="18"/>
  <c r="AE20" i="18" s="1"/>
  <c r="BC51" i="14"/>
  <c r="AK18" i="15"/>
  <c r="AM18" i="15" s="1"/>
  <c r="AK21" i="15"/>
  <c r="AM21" i="15" s="1"/>
  <c r="AK17" i="15"/>
  <c r="AM17" i="15" s="1"/>
  <c r="BE12" i="16"/>
  <c r="W16" i="16"/>
  <c r="AO16" i="17"/>
  <c r="AO23" i="17"/>
  <c r="AQ23" i="17" s="1"/>
  <c r="AO18" i="17"/>
  <c r="AQ18" i="17" s="1"/>
  <c r="AO19" i="17"/>
  <c r="AQ19" i="17" s="1"/>
  <c r="AO17" i="17"/>
  <c r="AQ17" i="17" s="1"/>
  <c r="AO21" i="17"/>
  <c r="AQ21" i="17" s="1"/>
  <c r="L10" i="16"/>
  <c r="AW22" i="17"/>
  <c r="AY22" i="17" s="1"/>
  <c r="AW20" i="17"/>
  <c r="AY20" i="17" s="1"/>
  <c r="AW21" i="17"/>
  <c r="AY21" i="17" s="1"/>
  <c r="AW16" i="17"/>
  <c r="AW23" i="17"/>
  <c r="AY23" i="17" s="1"/>
  <c r="AW19" i="17"/>
  <c r="AY19" i="17" s="1"/>
  <c r="AW18" i="17"/>
  <c r="AY18" i="17" s="1"/>
  <c r="D13" i="18"/>
  <c r="BB7" i="18"/>
  <c r="D10" i="18"/>
  <c r="AZ7" i="18"/>
  <c r="AR10" i="18"/>
  <c r="AR13" i="18"/>
  <c r="T10" i="14"/>
  <c r="BF31" i="14"/>
  <c r="BF55" i="14" s="1"/>
  <c r="AS45" i="14"/>
  <c r="AS42" i="14"/>
  <c r="AS44" i="14" s="1"/>
  <c r="AS23" i="15"/>
  <c r="AU23" i="15" s="1"/>
  <c r="AS18" i="15"/>
  <c r="AU18" i="15" s="1"/>
  <c r="U19" i="16"/>
  <c r="W19" i="16" s="1"/>
  <c r="U18" i="16"/>
  <c r="W18" i="16" s="1"/>
  <c r="U20" i="16"/>
  <c r="W20" i="16" s="1"/>
  <c r="U21" i="16"/>
  <c r="W21" i="16" s="1"/>
  <c r="U17" i="16"/>
  <c r="W17" i="16" s="1"/>
  <c r="U22" i="16"/>
  <c r="W22" i="16" s="1"/>
  <c r="AE16" i="17"/>
  <c r="BE6" i="14"/>
  <c r="AS23" i="14"/>
  <c r="AU23" i="14" s="1"/>
  <c r="E24" i="14"/>
  <c r="AN13" i="15"/>
  <c r="AN10" i="15"/>
  <c r="H13" i="15"/>
  <c r="BB13" i="15" s="1"/>
  <c r="AK19" i="15"/>
  <c r="AM19" i="15" s="1"/>
  <c r="AK23" i="15"/>
  <c r="AM23" i="15" s="1"/>
  <c r="E17" i="16"/>
  <c r="G17" i="16" s="1"/>
  <c r="E19" i="16"/>
  <c r="G19" i="16" s="1"/>
  <c r="E20" i="16"/>
  <c r="G20" i="16" s="1"/>
  <c r="E23" i="16"/>
  <c r="G23" i="16" s="1"/>
  <c r="E16" i="16"/>
  <c r="E21" i="16"/>
  <c r="G21" i="16" s="1"/>
  <c r="X10" i="16"/>
  <c r="E18" i="17"/>
  <c r="G18" i="17" s="1"/>
  <c r="E22" i="17"/>
  <c r="G22" i="17" s="1"/>
  <c r="AS18" i="14"/>
  <c r="AU18" i="14" s="1"/>
  <c r="I42" i="14"/>
  <c r="BE9" i="15"/>
  <c r="H10" i="16"/>
  <c r="H13" i="16"/>
  <c r="AZ13" i="16" s="1"/>
  <c r="AW19" i="16"/>
  <c r="AY19" i="16" s="1"/>
  <c r="AW20" i="16"/>
  <c r="AY20" i="16" s="1"/>
  <c r="AW23" i="16"/>
  <c r="AY23" i="16" s="1"/>
  <c r="AW21" i="16"/>
  <c r="AY21" i="16" s="1"/>
  <c r="AW18" i="16"/>
  <c r="AY18" i="16" s="1"/>
  <c r="AW16" i="16"/>
  <c r="L10" i="17"/>
  <c r="BF28" i="14"/>
  <c r="BF52" i="14" s="1"/>
  <c r="BC52" i="14"/>
  <c r="BB6" i="15"/>
  <c r="BB12" i="15"/>
  <c r="BB9" i="15"/>
  <c r="E16" i="15"/>
  <c r="E20" i="15"/>
  <c r="G20" i="15" s="1"/>
  <c r="AK20" i="15"/>
  <c r="AM20" i="15" s="1"/>
  <c r="AZ7" i="16"/>
  <c r="AG23" i="16"/>
  <c r="AI23" i="16" s="1"/>
  <c r="AG22" i="16"/>
  <c r="AI22" i="16" s="1"/>
  <c r="AG18" i="16"/>
  <c r="AI18" i="16" s="1"/>
  <c r="AG17" i="16"/>
  <c r="AI17" i="16" s="1"/>
  <c r="AG16" i="16"/>
  <c r="AG19" i="16"/>
  <c r="AI19" i="16" s="1"/>
  <c r="E17" i="14"/>
  <c r="G17" i="14" s="1"/>
  <c r="AS17" i="14"/>
  <c r="AU17" i="14" s="1"/>
  <c r="E18" i="14"/>
  <c r="G18" i="14" s="1"/>
  <c r="Q38" i="14"/>
  <c r="E37" i="14"/>
  <c r="E45" i="14" s="1"/>
  <c r="Q42" i="14"/>
  <c r="Q44" i="14" s="1"/>
  <c r="AZ7" i="15"/>
  <c r="AK16" i="15"/>
  <c r="BE6" i="16"/>
  <c r="BE7" i="16"/>
  <c r="BE9" i="16"/>
  <c r="P13" i="16"/>
  <c r="P10" i="16"/>
  <c r="BB7" i="16"/>
  <c r="AW17" i="16"/>
  <c r="AY17" i="16" s="1"/>
  <c r="AG21" i="16"/>
  <c r="AI21" i="16" s="1"/>
  <c r="BE11" i="17"/>
  <c r="BE5" i="17"/>
  <c r="BE12" i="17"/>
  <c r="BE9" i="17"/>
  <c r="BE6" i="17"/>
  <c r="T13" i="17"/>
  <c r="T10" i="17"/>
  <c r="AO22" i="17"/>
  <c r="AQ22" i="17" s="1"/>
  <c r="BB6" i="17"/>
  <c r="BB5" i="17"/>
  <c r="BB7" i="17"/>
  <c r="L10" i="18"/>
  <c r="L13" i="18"/>
  <c r="P13" i="19"/>
  <c r="P10" i="19"/>
  <c r="AJ10" i="18"/>
  <c r="BE9" i="18"/>
  <c r="BE7" i="18"/>
  <c r="BE5" i="18"/>
  <c r="BE12" i="18"/>
  <c r="BE11" i="18"/>
  <c r="BE6" i="18"/>
  <c r="AZ9" i="16"/>
  <c r="Q18" i="17"/>
  <c r="S18" i="17" s="1"/>
  <c r="Q19" i="17"/>
  <c r="S19" i="17" s="1"/>
  <c r="Q20" i="17"/>
  <c r="S20" i="17" s="1"/>
  <c r="Q21" i="17"/>
  <c r="S21" i="17" s="1"/>
  <c r="BB9" i="17"/>
  <c r="BB11" i="19"/>
  <c r="BB9" i="19"/>
  <c r="BB5" i="19"/>
  <c r="BB12" i="19"/>
  <c r="BB6" i="19"/>
  <c r="E20" i="17"/>
  <c r="G20" i="17" s="1"/>
  <c r="E21" i="17"/>
  <c r="G21" i="17" s="1"/>
  <c r="E16" i="17"/>
  <c r="AZ10" i="17"/>
  <c r="BB12" i="17"/>
  <c r="BB12" i="18"/>
  <c r="AW16" i="18"/>
  <c r="AW22" i="18"/>
  <c r="AY22" i="18" s="1"/>
  <c r="AW21" i="18"/>
  <c r="AY21" i="18" s="1"/>
  <c r="AW19" i="18"/>
  <c r="AY19" i="18" s="1"/>
  <c r="AW20" i="18"/>
  <c r="AY20" i="18" s="1"/>
  <c r="AW18" i="18"/>
  <c r="AY18" i="18" s="1"/>
  <c r="AJ10" i="16"/>
  <c r="AR13" i="17"/>
  <c r="BE13" i="17" s="1"/>
  <c r="AR10" i="17"/>
  <c r="D13" i="17"/>
  <c r="AZ13" i="17" s="1"/>
  <c r="AZ26" i="17" s="1"/>
  <c r="E23" i="17"/>
  <c r="G23" i="17" s="1"/>
  <c r="AJ8" i="17"/>
  <c r="AJ10" i="17" s="1"/>
  <c r="BC31" i="17"/>
  <c r="BF31" i="17" s="1"/>
  <c r="BB6" i="18"/>
  <c r="AG20" i="18"/>
  <c r="AI20" i="18" s="1"/>
  <c r="AG19" i="18"/>
  <c r="AI19" i="18" s="1"/>
  <c r="AG17" i="18"/>
  <c r="AI17" i="18" s="1"/>
  <c r="AG18" i="18"/>
  <c r="AI18" i="18" s="1"/>
  <c r="AG22" i="18"/>
  <c r="AI22" i="18" s="1"/>
  <c r="AG21" i="18"/>
  <c r="AI21" i="18" s="1"/>
  <c r="AG16" i="18"/>
  <c r="AG23" i="18"/>
  <c r="AI23" i="18" s="1"/>
  <c r="AC22" i="17"/>
  <c r="AE22" i="17" s="1"/>
  <c r="AC17" i="17"/>
  <c r="AE17" i="17" s="1"/>
  <c r="AC18" i="17"/>
  <c r="AE18" i="17" s="1"/>
  <c r="AC19" i="17"/>
  <c r="AE19" i="17" s="1"/>
  <c r="E19" i="17"/>
  <c r="G19" i="17" s="1"/>
  <c r="BB9" i="18"/>
  <c r="AZ5" i="18"/>
  <c r="BB5" i="18"/>
  <c r="H10" i="18"/>
  <c r="Q22" i="18"/>
  <c r="S22" i="18" s="1"/>
  <c r="Q18" i="18"/>
  <c r="S18" i="18" s="1"/>
  <c r="Q17" i="18"/>
  <c r="S17" i="18" s="1"/>
  <c r="Q20" i="18"/>
  <c r="S20" i="18" s="1"/>
  <c r="Q21" i="18"/>
  <c r="S21" i="18" s="1"/>
  <c r="Q23" i="18"/>
  <c r="S23" i="18" s="1"/>
  <c r="Q16" i="18"/>
  <c r="Q19" i="18"/>
  <c r="S19" i="18" s="1"/>
  <c r="AG20" i="17"/>
  <c r="AI20" i="17" s="1"/>
  <c r="AG21" i="17"/>
  <c r="AI21" i="17" s="1"/>
  <c r="AG22" i="17"/>
  <c r="AI22" i="17" s="1"/>
  <c r="AG18" i="17"/>
  <c r="AG19" i="17"/>
  <c r="AI19" i="17" s="1"/>
  <c r="Q16" i="17"/>
  <c r="Q23" i="17"/>
  <c r="S23" i="17" s="1"/>
  <c r="AW23" i="18"/>
  <c r="AY23" i="18" s="1"/>
  <c r="AO20" i="18"/>
  <c r="AQ20" i="18" s="1"/>
  <c r="AO16" i="18"/>
  <c r="AO23" i="18"/>
  <c r="AQ23" i="18" s="1"/>
  <c r="AO17" i="18"/>
  <c r="AQ17" i="18" s="1"/>
  <c r="AJ13" i="19"/>
  <c r="AJ10" i="19"/>
  <c r="I17" i="19"/>
  <c r="K17" i="19" s="1"/>
  <c r="I18" i="19"/>
  <c r="K18" i="19" s="1"/>
  <c r="AZ13" i="20"/>
  <c r="AZ22" i="20" s="1"/>
  <c r="AR10" i="20"/>
  <c r="AR13" i="20"/>
  <c r="AC19" i="20"/>
  <c r="AE19" i="20" s="1"/>
  <c r="AC18" i="20"/>
  <c r="AE18" i="20" s="1"/>
  <c r="AC16" i="20"/>
  <c r="AC17" i="20"/>
  <c r="AE17" i="20" s="1"/>
  <c r="AO19" i="19"/>
  <c r="AQ19" i="19" s="1"/>
  <c r="AO17" i="19"/>
  <c r="AQ17" i="19" s="1"/>
  <c r="AO18" i="19"/>
  <c r="AQ18" i="19" s="1"/>
  <c r="L10" i="19"/>
  <c r="BB10" i="19" s="1"/>
  <c r="D13" i="19"/>
  <c r="AZ13" i="19" s="1"/>
  <c r="AZ22" i="19" s="1"/>
  <c r="I19" i="19"/>
  <c r="K19" i="19" s="1"/>
  <c r="AV10" i="20"/>
  <c r="AZ12" i="21"/>
  <c r="AZ21" i="21" s="1"/>
  <c r="AC18" i="21"/>
  <c r="AE18" i="21" s="1"/>
  <c r="AC17" i="21"/>
  <c r="AE17" i="21" s="1"/>
  <c r="AC15" i="21"/>
  <c r="AC16" i="21"/>
  <c r="AE16" i="21" s="1"/>
  <c r="AK17" i="22"/>
  <c r="AM17" i="22" s="1"/>
  <c r="AK15" i="22"/>
  <c r="AK18" i="22"/>
  <c r="AM18" i="22" s="1"/>
  <c r="AK16" i="22"/>
  <c r="AM16" i="22" s="1"/>
  <c r="E17" i="19"/>
  <c r="G17" i="19" s="1"/>
  <c r="E16" i="19"/>
  <c r="AZ7" i="20"/>
  <c r="AK18" i="20"/>
  <c r="AM18" i="20" s="1"/>
  <c r="AK17" i="20"/>
  <c r="AM17" i="20" s="1"/>
  <c r="AK19" i="20"/>
  <c r="AM19" i="20" s="1"/>
  <c r="AK16" i="20"/>
  <c r="H12" i="21"/>
  <c r="BB12" i="21" s="1"/>
  <c r="BB21" i="21" s="1"/>
  <c r="AZ7" i="21"/>
  <c r="H10" i="21"/>
  <c r="BD9" i="19"/>
  <c r="BD12" i="19"/>
  <c r="BD11" i="19"/>
  <c r="BD5" i="19"/>
  <c r="BD13" i="19"/>
  <c r="BD22" i="19" s="1"/>
  <c r="BD34" i="19" s="1"/>
  <c r="BD7" i="19"/>
  <c r="AC19" i="19"/>
  <c r="AE19" i="19" s="1"/>
  <c r="AC16" i="19"/>
  <c r="AC17" i="19"/>
  <c r="AE17" i="19" s="1"/>
  <c r="AG16" i="19"/>
  <c r="AG17" i="19"/>
  <c r="AI17" i="19" s="1"/>
  <c r="AG18" i="19"/>
  <c r="AI18" i="19" s="1"/>
  <c r="Q18" i="20"/>
  <c r="S18" i="20" s="1"/>
  <c r="Q17" i="20"/>
  <c r="S17" i="20" s="1"/>
  <c r="Q16" i="20"/>
  <c r="H10" i="17"/>
  <c r="U20" i="18"/>
  <c r="W20" i="18" s="1"/>
  <c r="U16" i="18"/>
  <c r="U23" i="18"/>
  <c r="W23" i="18" s="1"/>
  <c r="AN13" i="18"/>
  <c r="U17" i="18"/>
  <c r="W17" i="18" s="1"/>
  <c r="AZ7" i="19"/>
  <c r="AR10" i="19"/>
  <c r="AN13" i="19"/>
  <c r="AO16" i="19"/>
  <c r="AC18" i="19"/>
  <c r="AE18" i="19" s="1"/>
  <c r="BD5" i="20"/>
  <c r="BD6" i="20"/>
  <c r="BD9" i="20"/>
  <c r="BD12" i="20"/>
  <c r="BD11" i="20"/>
  <c r="BD7" i="20"/>
  <c r="P12" i="21"/>
  <c r="P10" i="21"/>
  <c r="H10" i="22"/>
  <c r="AZ9" i="22"/>
  <c r="Y18" i="20"/>
  <c r="AA18" i="20" s="1"/>
  <c r="Y16" i="20"/>
  <c r="Y19" i="20"/>
  <c r="AA19" i="20" s="1"/>
  <c r="Y17" i="20"/>
  <c r="AA17" i="20" s="1"/>
  <c r="X10" i="17"/>
  <c r="Y18" i="18"/>
  <c r="AA18" i="18" s="1"/>
  <c r="Y23" i="18"/>
  <c r="AA23" i="18" s="1"/>
  <c r="Y21" i="18"/>
  <c r="AA21" i="18" s="1"/>
  <c r="Y17" i="18"/>
  <c r="AA17" i="18" s="1"/>
  <c r="AG19" i="19"/>
  <c r="AI19" i="19" s="1"/>
  <c r="D10" i="20"/>
  <c r="X13" i="17"/>
  <c r="I16" i="19"/>
  <c r="M17" i="20"/>
  <c r="O17" i="20" s="1"/>
  <c r="M19" i="20"/>
  <c r="O19" i="20" s="1"/>
  <c r="M16" i="20"/>
  <c r="M18" i="20"/>
  <c r="O18" i="20" s="1"/>
  <c r="Q19" i="20"/>
  <c r="S19" i="20" s="1"/>
  <c r="AO19" i="18"/>
  <c r="AQ19" i="18" s="1"/>
  <c r="AW16" i="19"/>
  <c r="AW17" i="19"/>
  <c r="AY17" i="19" s="1"/>
  <c r="AW19" i="19"/>
  <c r="AY19" i="19" s="1"/>
  <c r="BB11" i="21"/>
  <c r="AN10" i="16"/>
  <c r="AO18" i="18"/>
  <c r="AQ18" i="18" s="1"/>
  <c r="U21" i="18"/>
  <c r="W21" i="18" s="1"/>
  <c r="U22" i="18"/>
  <c r="W22" i="18" s="1"/>
  <c r="E18" i="19"/>
  <c r="G18" i="19" s="1"/>
  <c r="BB11" i="20"/>
  <c r="T10" i="20"/>
  <c r="BB10" i="20" s="1"/>
  <c r="T13" i="20"/>
  <c r="BD13" i="20" s="1"/>
  <c r="BD22" i="20" s="1"/>
  <c r="Y18" i="21"/>
  <c r="AA18" i="21" s="1"/>
  <c r="Y17" i="21"/>
  <c r="AA17" i="21" s="1"/>
  <c r="Y16" i="21"/>
  <c r="AA16" i="21" s="1"/>
  <c r="Y15" i="21"/>
  <c r="AS16" i="21"/>
  <c r="AU16" i="21" s="1"/>
  <c r="AS15" i="21"/>
  <c r="AI15" i="21"/>
  <c r="AG19" i="21"/>
  <c r="AZ10" i="22"/>
  <c r="Q15" i="22"/>
  <c r="E17" i="22"/>
  <c r="G17" i="22" s="1"/>
  <c r="BD5" i="23"/>
  <c r="BD7" i="23"/>
  <c r="BD9" i="23"/>
  <c r="BD11" i="23"/>
  <c r="AZ7" i="25"/>
  <c r="BD7" i="25"/>
  <c r="AR10" i="25"/>
  <c r="AR12" i="25"/>
  <c r="AV13" i="20"/>
  <c r="AO18" i="20"/>
  <c r="AQ18" i="20" s="1"/>
  <c r="AE15" i="23"/>
  <c r="U16" i="19"/>
  <c r="AZ9" i="20"/>
  <c r="AQ16" i="20"/>
  <c r="BB5" i="21"/>
  <c r="BB9" i="21"/>
  <c r="L10" i="22"/>
  <c r="L12" i="22"/>
  <c r="AZ7" i="22"/>
  <c r="BB5" i="20"/>
  <c r="BB12" i="20"/>
  <c r="AG19" i="20"/>
  <c r="AI19" i="20" s="1"/>
  <c r="D10" i="21"/>
  <c r="AS17" i="21"/>
  <c r="AU17" i="21" s="1"/>
  <c r="BD7" i="22"/>
  <c r="BD9" i="22"/>
  <c r="BD5" i="22"/>
  <c r="BD10" i="22"/>
  <c r="BD6" i="22"/>
  <c r="BD11" i="22"/>
  <c r="AC15" i="22"/>
  <c r="AC16" i="22"/>
  <c r="AE16" i="22" s="1"/>
  <c r="BB11" i="23"/>
  <c r="X10" i="19"/>
  <c r="BB9" i="20"/>
  <c r="BB6" i="21"/>
  <c r="AO16" i="21"/>
  <c r="AQ16" i="21" s="1"/>
  <c r="AO15" i="21"/>
  <c r="AO18" i="21"/>
  <c r="AQ18" i="21" s="1"/>
  <c r="D12" i="22"/>
  <c r="AZ12" i="22" s="1"/>
  <c r="AZ21" i="22" s="1"/>
  <c r="AC17" i="22"/>
  <c r="AE17" i="22" s="1"/>
  <c r="AK17" i="24"/>
  <c r="AM17" i="24" s="1"/>
  <c r="AK18" i="24"/>
  <c r="AM18" i="24" s="1"/>
  <c r="AK19" i="24"/>
  <c r="AM19" i="24" s="1"/>
  <c r="AK16" i="24"/>
  <c r="AM16" i="24" s="1"/>
  <c r="AK15" i="24"/>
  <c r="BB6" i="20"/>
  <c r="BB13" i="20"/>
  <c r="BB22" i="20" s="1"/>
  <c r="M15" i="21"/>
  <c r="M17" i="21"/>
  <c r="O17" i="21" s="1"/>
  <c r="BD22" i="21"/>
  <c r="AV8" i="21"/>
  <c r="AV10" i="21" s="1"/>
  <c r="BB11" i="22"/>
  <c r="BB7" i="22"/>
  <c r="BB9" i="22"/>
  <c r="BB6" i="22"/>
  <c r="AW17" i="24"/>
  <c r="AY17" i="24" s="1"/>
  <c r="AW15" i="24"/>
  <c r="AW16" i="24"/>
  <c r="AY16" i="24" s="1"/>
  <c r="AW19" i="24"/>
  <c r="AY19" i="24" s="1"/>
  <c r="AW18" i="24"/>
  <c r="AY18" i="24" s="1"/>
  <c r="AW18" i="22"/>
  <c r="AY18" i="22" s="1"/>
  <c r="AW16" i="22"/>
  <c r="AY16" i="22" s="1"/>
  <c r="AW15" i="22"/>
  <c r="L10" i="24"/>
  <c r="L12" i="24"/>
  <c r="AZ7" i="24"/>
  <c r="H10" i="20"/>
  <c r="BD12" i="21"/>
  <c r="BD21" i="21" s="1"/>
  <c r="BD7" i="21"/>
  <c r="BD9" i="21"/>
  <c r="BD11" i="21"/>
  <c r="BD6" i="21"/>
  <c r="BD5" i="21"/>
  <c r="AS18" i="21"/>
  <c r="AU18" i="21" s="1"/>
  <c r="AF10" i="22"/>
  <c r="AF12" i="22"/>
  <c r="Q17" i="22"/>
  <c r="S17" i="22" s="1"/>
  <c r="Q18" i="22"/>
  <c r="S18" i="22" s="1"/>
  <c r="AW17" i="22"/>
  <c r="AY17" i="22" s="1"/>
  <c r="AK17" i="23"/>
  <c r="AM17" i="23" s="1"/>
  <c r="AK15" i="23"/>
  <c r="AK16" i="23"/>
  <c r="AM16" i="23" s="1"/>
  <c r="AK18" i="23"/>
  <c r="AM18" i="23" s="1"/>
  <c r="BB5" i="22"/>
  <c r="E16" i="22"/>
  <c r="G16" i="22" s="1"/>
  <c r="BD6" i="23"/>
  <c r="AN8" i="24"/>
  <c r="BB7" i="20"/>
  <c r="AG16" i="20"/>
  <c r="AJ10" i="21"/>
  <c r="X10" i="22"/>
  <c r="E15" i="22"/>
  <c r="E18" i="22"/>
  <c r="G18" i="22" s="1"/>
  <c r="AW18" i="23"/>
  <c r="AY18" i="23" s="1"/>
  <c r="AW17" i="23"/>
  <c r="AY17" i="23" s="1"/>
  <c r="BD5" i="24"/>
  <c r="BB10" i="25"/>
  <c r="BB11" i="25"/>
  <c r="BB7" i="25"/>
  <c r="BB6" i="25"/>
  <c r="BB9" i="25"/>
  <c r="BB5" i="25"/>
  <c r="Y16" i="25"/>
  <c r="AA16" i="25" s="1"/>
  <c r="Y17" i="25"/>
  <c r="AA17" i="25" s="1"/>
  <c r="Y18" i="25"/>
  <c r="AA18" i="25" s="1"/>
  <c r="Y15" i="25"/>
  <c r="AR10" i="22"/>
  <c r="L10" i="23"/>
  <c r="BB10" i="23" s="1"/>
  <c r="BB7" i="23"/>
  <c r="AW19" i="25"/>
  <c r="AY19" i="25" s="1"/>
  <c r="AW17" i="25"/>
  <c r="AY17" i="25" s="1"/>
  <c r="AW18" i="25"/>
  <c r="AY18" i="25" s="1"/>
  <c r="AW16" i="25"/>
  <c r="AY16" i="25" s="1"/>
  <c r="AW15" i="25"/>
  <c r="AG18" i="21"/>
  <c r="AI18" i="21" s="1"/>
  <c r="AN10" i="22"/>
  <c r="BB9" i="23"/>
  <c r="AW16" i="23"/>
  <c r="AY16" i="23" s="1"/>
  <c r="BB6" i="24"/>
  <c r="AN10" i="24"/>
  <c r="BD23" i="24"/>
  <c r="D10" i="25"/>
  <c r="M17" i="25"/>
  <c r="O17" i="25" s="1"/>
  <c r="M15" i="25"/>
  <c r="M16" i="25"/>
  <c r="O16" i="25" s="1"/>
  <c r="M18" i="25"/>
  <c r="O18" i="25" s="1"/>
  <c r="M19" i="25"/>
  <c r="O19" i="25" s="1"/>
  <c r="AC17" i="24"/>
  <c r="AE17" i="24" s="1"/>
  <c r="AC15" i="24"/>
  <c r="AC16" i="24"/>
  <c r="AE16" i="24" s="1"/>
  <c r="AG17" i="25"/>
  <c r="AI17" i="25" s="1"/>
  <c r="AG18" i="25"/>
  <c r="AI18" i="25" s="1"/>
  <c r="AG19" i="25"/>
  <c r="AI19" i="25" s="1"/>
  <c r="AG15" i="25"/>
  <c r="AG16" i="25"/>
  <c r="AI16" i="25" s="1"/>
  <c r="AN12" i="21"/>
  <c r="Y16" i="23"/>
  <c r="AA16" i="23" s="1"/>
  <c r="Y15" i="23"/>
  <c r="H12" i="24"/>
  <c r="H10" i="24"/>
  <c r="U17" i="22"/>
  <c r="H10" i="23"/>
  <c r="X12" i="23"/>
  <c r="BD7" i="24"/>
  <c r="Q16" i="25"/>
  <c r="S16" i="25" s="1"/>
  <c r="E19" i="26"/>
  <c r="G19" i="26" s="1"/>
  <c r="E18" i="26"/>
  <c r="G18" i="26" s="1"/>
  <c r="E15" i="26"/>
  <c r="E17" i="26"/>
  <c r="G17" i="26" s="1"/>
  <c r="E16" i="26"/>
  <c r="G16" i="26" s="1"/>
  <c r="U18" i="23"/>
  <c r="W18" i="23" s="1"/>
  <c r="U17" i="23"/>
  <c r="W17" i="23" s="1"/>
  <c r="U15" i="23"/>
  <c r="Q17" i="23"/>
  <c r="S17" i="23" s="1"/>
  <c r="Q15" i="23"/>
  <c r="AJ12" i="23"/>
  <c r="BB5" i="24"/>
  <c r="BB7" i="24"/>
  <c r="T10" i="24"/>
  <c r="AC19" i="24"/>
  <c r="AE19" i="24" s="1"/>
  <c r="Y19" i="25"/>
  <c r="AA19" i="25" s="1"/>
  <c r="AC18" i="23"/>
  <c r="AE18" i="23" s="1"/>
  <c r="AC17" i="23"/>
  <c r="AE17" i="23" s="1"/>
  <c r="AN12" i="23"/>
  <c r="AC16" i="23"/>
  <c r="AE16" i="23" s="1"/>
  <c r="Q15" i="25"/>
  <c r="Q17" i="25"/>
  <c r="S17" i="25" s="1"/>
  <c r="U16" i="26"/>
  <c r="W16" i="26" s="1"/>
  <c r="U19" i="26"/>
  <c r="W19" i="26" s="1"/>
  <c r="U17" i="26"/>
  <c r="W17" i="26" s="1"/>
  <c r="U18" i="26"/>
  <c r="W18" i="26" s="1"/>
  <c r="U15" i="26"/>
  <c r="U15" i="21"/>
  <c r="U16" i="21"/>
  <c r="W16" i="21" s="1"/>
  <c r="E16" i="23"/>
  <c r="G16" i="23" s="1"/>
  <c r="E15" i="23"/>
  <c r="AS16" i="23"/>
  <c r="AU16" i="23" s="1"/>
  <c r="AS15" i="23"/>
  <c r="AG17" i="23"/>
  <c r="AI17" i="23" s="1"/>
  <c r="AG16" i="23"/>
  <c r="AI16" i="23" s="1"/>
  <c r="AG15" i="23"/>
  <c r="AW15" i="23"/>
  <c r="Y17" i="23"/>
  <c r="AA17" i="23" s="1"/>
  <c r="AN8" i="23"/>
  <c r="AN10" i="23" s="1"/>
  <c r="AC18" i="24"/>
  <c r="AE18" i="24" s="1"/>
  <c r="U19" i="25"/>
  <c r="W19" i="25" s="1"/>
  <c r="U16" i="25"/>
  <c r="W16" i="25" s="1"/>
  <c r="U17" i="25"/>
  <c r="W17" i="25" s="1"/>
  <c r="U18" i="25"/>
  <c r="W18" i="25" s="1"/>
  <c r="U15" i="25"/>
  <c r="M20" i="26"/>
  <c r="BB6" i="28"/>
  <c r="BB10" i="28"/>
  <c r="BB5" i="28"/>
  <c r="H12" i="26"/>
  <c r="AZ12" i="26" s="1"/>
  <c r="H10" i="26"/>
  <c r="M16" i="26"/>
  <c r="O16" i="26" s="1"/>
  <c r="M18" i="26"/>
  <c r="O18" i="26" s="1"/>
  <c r="O15" i="26"/>
  <c r="AU13" i="30"/>
  <c r="D12" i="23"/>
  <c r="BD12" i="23" s="1"/>
  <c r="BD21" i="23" s="1"/>
  <c r="AR12" i="23"/>
  <c r="P12" i="24"/>
  <c r="P10" i="24"/>
  <c r="D10" i="24"/>
  <c r="D12" i="24"/>
  <c r="AZ12" i="24" s="1"/>
  <c r="AZ22" i="24" s="1"/>
  <c r="AZ7" i="26"/>
  <c r="BB9" i="27"/>
  <c r="AJ12" i="25"/>
  <c r="P12" i="26"/>
  <c r="BD12" i="26" s="1"/>
  <c r="P10" i="26"/>
  <c r="BB10" i="26" s="1"/>
  <c r="BB7" i="26"/>
  <c r="AG18" i="26"/>
  <c r="AI18" i="26" s="1"/>
  <c r="AG16" i="26"/>
  <c r="AI16" i="26" s="1"/>
  <c r="AG15" i="26"/>
  <c r="AS19" i="26"/>
  <c r="AU19" i="26" s="1"/>
  <c r="AS17" i="26"/>
  <c r="AU17" i="26" s="1"/>
  <c r="AZ7" i="23"/>
  <c r="L12" i="23"/>
  <c r="D12" i="25"/>
  <c r="AZ12" i="25" s="1"/>
  <c r="AZ22" i="25" s="1"/>
  <c r="BD6" i="26"/>
  <c r="BD5" i="26"/>
  <c r="BD7" i="26"/>
  <c r="AK18" i="26"/>
  <c r="AM18" i="26" s="1"/>
  <c r="AK19" i="26"/>
  <c r="AM19" i="26" s="1"/>
  <c r="AK16" i="26"/>
  <c r="AM16" i="26" s="1"/>
  <c r="AV10" i="26"/>
  <c r="BB5" i="27"/>
  <c r="AG19" i="27"/>
  <c r="AI19" i="27" s="1"/>
  <c r="AG18" i="27"/>
  <c r="AI18" i="27" s="1"/>
  <c r="AG15" i="27"/>
  <c r="AG16" i="27"/>
  <c r="AI16" i="27" s="1"/>
  <c r="AG17" i="27"/>
  <c r="AI17" i="27" s="1"/>
  <c r="AK15" i="25"/>
  <c r="AK19" i="25"/>
  <c r="AM19" i="25" s="1"/>
  <c r="AK16" i="25"/>
  <c r="AM16" i="25" s="1"/>
  <c r="AK18" i="25"/>
  <c r="AM18" i="25" s="1"/>
  <c r="X12" i="26"/>
  <c r="BB22" i="26" s="1"/>
  <c r="X10" i="26"/>
  <c r="AK15" i="26"/>
  <c r="D12" i="27"/>
  <c r="AZ22" i="27" s="1"/>
  <c r="D10" i="27"/>
  <c r="BB7" i="27"/>
  <c r="AZ7" i="27"/>
  <c r="AR12" i="27"/>
  <c r="AR10" i="27"/>
  <c r="Y18" i="29"/>
  <c r="AA18" i="29" s="1"/>
  <c r="Y17" i="29"/>
  <c r="AA17" i="29" s="1"/>
  <c r="Y16" i="29"/>
  <c r="AA16" i="29" s="1"/>
  <c r="Y14" i="29"/>
  <c r="Y15" i="29"/>
  <c r="AA15" i="29" s="1"/>
  <c r="AG15" i="24"/>
  <c r="AG16" i="24"/>
  <c r="AI16" i="24" s="1"/>
  <c r="AG17" i="24"/>
  <c r="AI17" i="24" s="1"/>
  <c r="AG18" i="24"/>
  <c r="AI18" i="24" s="1"/>
  <c r="AZ11" i="24"/>
  <c r="AN12" i="24"/>
  <c r="BB6" i="26"/>
  <c r="BB5" i="26"/>
  <c r="AG17" i="26"/>
  <c r="AI17" i="26" s="1"/>
  <c r="AG19" i="26"/>
  <c r="AI19" i="26" s="1"/>
  <c r="H12" i="27"/>
  <c r="BD22" i="27" s="1"/>
  <c r="H10" i="27"/>
  <c r="AW17" i="27"/>
  <c r="AY17" i="27" s="1"/>
  <c r="AW15" i="27"/>
  <c r="AW16" i="27"/>
  <c r="AY16" i="27" s="1"/>
  <c r="AW18" i="27"/>
  <c r="AY18" i="27" s="1"/>
  <c r="AW19" i="27"/>
  <c r="AY19" i="27" s="1"/>
  <c r="AU15" i="26"/>
  <c r="BB6" i="27"/>
  <c r="I16" i="28"/>
  <c r="K16" i="28" s="1"/>
  <c r="I18" i="28"/>
  <c r="K18" i="28" s="1"/>
  <c r="I15" i="28"/>
  <c r="K15" i="28" s="1"/>
  <c r="I17" i="28"/>
  <c r="K17" i="28" s="1"/>
  <c r="I14" i="28"/>
  <c r="BD6" i="24"/>
  <c r="Y20" i="24"/>
  <c r="AA15" i="24"/>
  <c r="BD5" i="25"/>
  <c r="BD9" i="25"/>
  <c r="BD6" i="25"/>
  <c r="BD12" i="25"/>
  <c r="BD22" i="25" s="1"/>
  <c r="H10" i="25"/>
  <c r="BD11" i="25"/>
  <c r="AS16" i="26"/>
  <c r="AU16" i="26" s="1"/>
  <c r="AS18" i="26"/>
  <c r="AU18" i="26" s="1"/>
  <c r="BD5" i="28"/>
  <c r="Y15" i="28"/>
  <c r="AA15" i="28" s="1"/>
  <c r="Y14" i="28"/>
  <c r="Y17" i="28"/>
  <c r="AA17" i="28" s="1"/>
  <c r="Y16" i="28"/>
  <c r="AA16" i="28" s="1"/>
  <c r="Y18" i="28"/>
  <c r="AA18" i="28" s="1"/>
  <c r="AE14" i="28"/>
  <c r="BD12" i="24"/>
  <c r="BD22" i="24" s="1"/>
  <c r="AR10" i="24"/>
  <c r="AB10" i="25"/>
  <c r="AK17" i="25"/>
  <c r="AM17" i="25" s="1"/>
  <c r="BD9" i="26"/>
  <c r="BB11" i="26"/>
  <c r="BB12" i="26"/>
  <c r="BD11" i="27"/>
  <c r="BD9" i="27"/>
  <c r="BD7" i="27"/>
  <c r="BD5" i="27"/>
  <c r="BD6" i="27"/>
  <c r="BB11" i="27"/>
  <c r="M19" i="27"/>
  <c r="O19" i="27" s="1"/>
  <c r="M17" i="27"/>
  <c r="O17" i="27" s="1"/>
  <c r="AV12" i="27"/>
  <c r="M16" i="27"/>
  <c r="O16" i="27" s="1"/>
  <c r="BD8" i="28"/>
  <c r="BD10" i="28"/>
  <c r="BD6" i="28"/>
  <c r="BD7" i="28"/>
  <c r="Y14" i="30"/>
  <c r="AA14" i="30" s="1"/>
  <c r="Y16" i="30"/>
  <c r="AA16" i="30" s="1"/>
  <c r="Y17" i="30"/>
  <c r="AA17" i="30" s="1"/>
  <c r="Y15" i="30"/>
  <c r="AA15" i="30" s="1"/>
  <c r="AZ15" i="30" s="1"/>
  <c r="BA15" i="30" s="1"/>
  <c r="M13" i="30"/>
  <c r="M15" i="30"/>
  <c r="O15" i="30" s="1"/>
  <c r="M14" i="30"/>
  <c r="O14" i="30" s="1"/>
  <c r="M17" i="30"/>
  <c r="O17" i="30" s="1"/>
  <c r="Q18" i="27"/>
  <c r="S18" i="27" s="1"/>
  <c r="Q15" i="27"/>
  <c r="Q19" i="27"/>
  <c r="S19" i="27" s="1"/>
  <c r="Q14" i="28"/>
  <c r="Q17" i="28"/>
  <c r="S17" i="28" s="1"/>
  <c r="Q16" i="28"/>
  <c r="S16" i="28" s="1"/>
  <c r="BB8" i="28"/>
  <c r="AZ8" i="28"/>
  <c r="X11" i="28"/>
  <c r="Y17" i="27"/>
  <c r="AA17" i="27" s="1"/>
  <c r="Y16" i="27"/>
  <c r="AA16" i="27" s="1"/>
  <c r="Q16" i="27"/>
  <c r="S16" i="27" s="1"/>
  <c r="T9" i="28"/>
  <c r="T11" i="28"/>
  <c r="BB21" i="28" s="1"/>
  <c r="AW14" i="28"/>
  <c r="AW17" i="28"/>
  <c r="AY17" i="28" s="1"/>
  <c r="AW15" i="28"/>
  <c r="AY15" i="28" s="1"/>
  <c r="BD8" i="29"/>
  <c r="X11" i="29"/>
  <c r="BD11" i="29" s="1"/>
  <c r="AZ8" i="30"/>
  <c r="AN8" i="25"/>
  <c r="AN10" i="25" s="1"/>
  <c r="BD22" i="26"/>
  <c r="AN8" i="27"/>
  <c r="AN10" i="27" s="1"/>
  <c r="AJ10" i="27"/>
  <c r="M15" i="27"/>
  <c r="BD6" i="29"/>
  <c r="BD5" i="29"/>
  <c r="BD7" i="29"/>
  <c r="BD10" i="29"/>
  <c r="M18" i="29"/>
  <c r="O18" i="29" s="1"/>
  <c r="M17" i="29"/>
  <c r="O17" i="29" s="1"/>
  <c r="M16" i="29"/>
  <c r="O16" i="29" s="1"/>
  <c r="M15" i="29"/>
  <c r="O15" i="29" s="1"/>
  <c r="M14" i="29"/>
  <c r="AC16" i="28"/>
  <c r="AE16" i="28" s="1"/>
  <c r="AC17" i="28"/>
  <c r="AE17" i="28" s="1"/>
  <c r="AC15" i="28"/>
  <c r="AE15" i="28" s="1"/>
  <c r="AS16" i="30"/>
  <c r="AU16" i="30" s="1"/>
  <c r="AS14" i="30"/>
  <c r="AU14" i="30" s="1"/>
  <c r="AS15" i="30"/>
  <c r="AU15" i="30" s="1"/>
  <c r="AS17" i="30"/>
  <c r="AU17" i="30" s="1"/>
  <c r="AB10" i="26"/>
  <c r="AN8" i="26"/>
  <c r="AN10" i="26" s="1"/>
  <c r="Y15" i="27"/>
  <c r="AG18" i="28"/>
  <c r="AI18" i="28" s="1"/>
  <c r="AG15" i="28"/>
  <c r="AI15" i="28" s="1"/>
  <c r="AG16" i="28"/>
  <c r="AI16" i="28" s="1"/>
  <c r="AG14" i="28"/>
  <c r="AG17" i="28"/>
  <c r="AI17" i="28" s="1"/>
  <c r="AC18" i="28"/>
  <c r="AE18" i="28" s="1"/>
  <c r="AO18" i="29"/>
  <c r="AQ18" i="29" s="1"/>
  <c r="AO17" i="29"/>
  <c r="AQ17" i="29" s="1"/>
  <c r="AO16" i="29"/>
  <c r="AQ16" i="29" s="1"/>
  <c r="AO15" i="29"/>
  <c r="AQ15" i="29" s="1"/>
  <c r="AO14" i="29"/>
  <c r="AB10" i="27"/>
  <c r="Y18" i="27"/>
  <c r="AA18" i="27" s="1"/>
  <c r="AN9" i="28"/>
  <c r="AZ6" i="30"/>
  <c r="AB12" i="26"/>
  <c r="Q17" i="27"/>
  <c r="S17" i="27" s="1"/>
  <c r="AZ7" i="28"/>
  <c r="D11" i="28"/>
  <c r="BD11" i="28" s="1"/>
  <c r="BB7" i="28"/>
  <c r="D9" i="28"/>
  <c r="BD9" i="28" s="1"/>
  <c r="AR9" i="28"/>
  <c r="AR11" i="28"/>
  <c r="AW18" i="28"/>
  <c r="AY18" i="28" s="1"/>
  <c r="Y13" i="30"/>
  <c r="AZ21" i="28"/>
  <c r="D9" i="29"/>
  <c r="BB9" i="29" s="1"/>
  <c r="T9" i="29"/>
  <c r="AG17" i="30"/>
  <c r="AI17" i="30" s="1"/>
  <c r="AG15" i="30"/>
  <c r="AI15" i="30" s="1"/>
  <c r="I13" i="30"/>
  <c r="AW14" i="30"/>
  <c r="AY14" i="30" s="1"/>
  <c r="AV8" i="31"/>
  <c r="AN4" i="32"/>
  <c r="AN7" i="32"/>
  <c r="AN6" i="32"/>
  <c r="S15" i="32"/>
  <c r="U15" i="32" s="1"/>
  <c r="O15" i="33"/>
  <c r="Q15" i="33" s="1"/>
  <c r="O14" i="33"/>
  <c r="Q14" i="33" s="1"/>
  <c r="C10" i="34"/>
  <c r="AS10" i="34" s="1"/>
  <c r="C7" i="34"/>
  <c r="X10" i="33"/>
  <c r="X8" i="33"/>
  <c r="R14" i="33"/>
  <c r="T14" i="33" s="1"/>
  <c r="R15" i="33"/>
  <c r="T15" i="33" s="1"/>
  <c r="BB11" i="29"/>
  <c r="BB7" i="29"/>
  <c r="AB9" i="29"/>
  <c r="BB6" i="30"/>
  <c r="U14" i="30"/>
  <c r="W14" i="30" s="1"/>
  <c r="AZ14" i="30" s="1"/>
  <c r="AC15" i="30"/>
  <c r="AE15" i="30" s="1"/>
  <c r="H8" i="31"/>
  <c r="AN5" i="32"/>
  <c r="AM10" i="33"/>
  <c r="T10" i="27"/>
  <c r="L9" i="28"/>
  <c r="P9" i="29"/>
  <c r="AF9" i="29"/>
  <c r="U13" i="30"/>
  <c r="AW13" i="30"/>
  <c r="I16" i="30"/>
  <c r="K16" i="30" s="1"/>
  <c r="T8" i="31"/>
  <c r="AN9" i="32"/>
  <c r="AO6" i="33"/>
  <c r="AM5" i="33"/>
  <c r="AK14" i="29"/>
  <c r="BB9" i="30"/>
  <c r="BB7" i="30"/>
  <c r="BB4" i="30"/>
  <c r="BB5" i="30"/>
  <c r="E15" i="30"/>
  <c r="G15" i="30" s="1"/>
  <c r="AW17" i="30"/>
  <c r="AY17" i="30" s="1"/>
  <c r="AC16" i="31"/>
  <c r="AE16" i="31" s="1"/>
  <c r="AC15" i="31"/>
  <c r="AE15" i="31" s="1"/>
  <c r="AC14" i="31"/>
  <c r="AE14" i="31" s="1"/>
  <c r="AC13" i="31"/>
  <c r="G8" i="32"/>
  <c r="AN8" i="32" s="1"/>
  <c r="G10" i="32"/>
  <c r="AN10" i="32" s="1"/>
  <c r="AK10" i="32"/>
  <c r="AK8" i="32"/>
  <c r="AS17" i="31"/>
  <c r="AU17" i="31" s="1"/>
  <c r="AS13" i="31"/>
  <c r="AS16" i="31"/>
  <c r="AU16" i="31" s="1"/>
  <c r="AS15" i="31"/>
  <c r="AU15" i="31" s="1"/>
  <c r="Q14" i="31"/>
  <c r="S14" i="31" s="1"/>
  <c r="Q13" i="31"/>
  <c r="Q16" i="31"/>
  <c r="S16" i="31" s="1"/>
  <c r="Q15" i="31"/>
  <c r="S15" i="31" s="1"/>
  <c r="Q17" i="31"/>
  <c r="S17" i="31" s="1"/>
  <c r="J15" i="32"/>
  <c r="L15" i="32" s="1"/>
  <c r="J14" i="32"/>
  <c r="L14" i="32" s="1"/>
  <c r="AZ8" i="29"/>
  <c r="AK16" i="29"/>
  <c r="AM16" i="29" s="1"/>
  <c r="AZ9" i="30"/>
  <c r="AZ7" i="30"/>
  <c r="AZ4" i="30"/>
  <c r="Q13" i="30"/>
  <c r="Q15" i="30"/>
  <c r="S15" i="30" s="1"/>
  <c r="E14" i="30"/>
  <c r="G14" i="30" s="1"/>
  <c r="I15" i="30"/>
  <c r="K15" i="30" s="1"/>
  <c r="AZ4" i="31"/>
  <c r="D10" i="31"/>
  <c r="AZ10" i="31" s="1"/>
  <c r="AZ9" i="31"/>
  <c r="AS14" i="31"/>
  <c r="AU14" i="31" s="1"/>
  <c r="AI13" i="35"/>
  <c r="Y18" i="35"/>
  <c r="AA13" i="35"/>
  <c r="AK14" i="28"/>
  <c r="BB8" i="29"/>
  <c r="AK17" i="29"/>
  <c r="AM17" i="29" s="1"/>
  <c r="AZ17" i="30"/>
  <c r="BA17" i="30" s="1"/>
  <c r="AJ8" i="30"/>
  <c r="BB8" i="30" s="1"/>
  <c r="AV10" i="30"/>
  <c r="E13" i="30"/>
  <c r="I14" i="30"/>
  <c r="K14" i="30" s="1"/>
  <c r="AZ16" i="30"/>
  <c r="BA16" i="30" s="1"/>
  <c r="AK13" i="31"/>
  <c r="AK17" i="31"/>
  <c r="AM17" i="31" s="1"/>
  <c r="AK16" i="31"/>
  <c r="AM16" i="31" s="1"/>
  <c r="AK15" i="31"/>
  <c r="AM15" i="31" s="1"/>
  <c r="AG17" i="31"/>
  <c r="AI17" i="31" s="1"/>
  <c r="AG16" i="31"/>
  <c r="AI16" i="31" s="1"/>
  <c r="AG15" i="31"/>
  <c r="AI15" i="31" s="1"/>
  <c r="AG14" i="31"/>
  <c r="AI14" i="31" s="1"/>
  <c r="Y18" i="31"/>
  <c r="AA13" i="31"/>
  <c r="AC17" i="31"/>
  <c r="AE17" i="31" s="1"/>
  <c r="P14" i="32"/>
  <c r="R14" i="32" s="1"/>
  <c r="P15" i="32"/>
  <c r="R15" i="32" s="1"/>
  <c r="M15" i="32"/>
  <c r="O15" i="32" s="1"/>
  <c r="M14" i="32"/>
  <c r="O14" i="32" s="1"/>
  <c r="BB6" i="29"/>
  <c r="AZ5" i="30"/>
  <c r="AN8" i="30"/>
  <c r="H10" i="30"/>
  <c r="AZ10" i="30" s="1"/>
  <c r="AG13" i="30"/>
  <c r="U15" i="30"/>
  <c r="W15" i="30" s="1"/>
  <c r="AW15" i="30"/>
  <c r="AY15" i="30" s="1"/>
  <c r="AC17" i="30"/>
  <c r="AE17" i="30" s="1"/>
  <c r="AO14" i="31"/>
  <c r="AQ14" i="31" s="1"/>
  <c r="AO15" i="31"/>
  <c r="AQ15" i="31" s="1"/>
  <c r="AO13" i="31"/>
  <c r="AO17" i="31"/>
  <c r="AQ17" i="31" s="1"/>
  <c r="AV10" i="31"/>
  <c r="AG13" i="31"/>
  <c r="AP5" i="32"/>
  <c r="AB8" i="32"/>
  <c r="AM7" i="33"/>
  <c r="C15" i="33"/>
  <c r="E15" i="33" s="1"/>
  <c r="C14" i="33"/>
  <c r="E14" i="33" s="1"/>
  <c r="BB22" i="27"/>
  <c r="AC16" i="30"/>
  <c r="AE16" i="30" s="1"/>
  <c r="AZ6" i="31"/>
  <c r="BB9" i="31"/>
  <c r="AE14" i="32"/>
  <c r="AG14" i="32" s="1"/>
  <c r="AO7" i="33"/>
  <c r="U14" i="35"/>
  <c r="W14" i="35" s="1"/>
  <c r="U16" i="35"/>
  <c r="W16" i="35" s="1"/>
  <c r="U17" i="35"/>
  <c r="W17" i="35" s="1"/>
  <c r="U13" i="35"/>
  <c r="AM3" i="37"/>
  <c r="AZ7" i="31"/>
  <c r="V15" i="32"/>
  <c r="X15" i="32" s="1"/>
  <c r="U14" i="33"/>
  <c r="W14" i="33" s="1"/>
  <c r="AC16" i="35"/>
  <c r="AE16" i="35" s="1"/>
  <c r="AC17" i="35"/>
  <c r="AE17" i="35" s="1"/>
  <c r="AC13" i="35"/>
  <c r="AC15" i="35"/>
  <c r="AE15" i="35" s="1"/>
  <c r="AC14" i="35"/>
  <c r="AE14" i="35" s="1"/>
  <c r="AB14" i="36"/>
  <c r="AD14" i="36" s="1"/>
  <c r="D8" i="31"/>
  <c r="Y14" i="31"/>
  <c r="AA14" i="31" s="1"/>
  <c r="AH14" i="32"/>
  <c r="AJ14" i="32" s="1"/>
  <c r="AM4" i="33"/>
  <c r="AS4" i="34"/>
  <c r="AD10" i="34"/>
  <c r="AD7" i="34"/>
  <c r="AG17" i="35"/>
  <c r="AI17" i="35" s="1"/>
  <c r="AG16" i="35"/>
  <c r="AI16" i="35" s="1"/>
  <c r="J8" i="36"/>
  <c r="J10" i="36"/>
  <c r="AN6" i="36"/>
  <c r="AK13" i="35"/>
  <c r="AK15" i="35"/>
  <c r="AM15" i="35" s="1"/>
  <c r="AK14" i="35"/>
  <c r="AM14" i="35" s="1"/>
  <c r="AG15" i="35"/>
  <c r="AI15" i="35" s="1"/>
  <c r="AJ10" i="31"/>
  <c r="AA14" i="33"/>
  <c r="AC14" i="33" s="1"/>
  <c r="L15" i="34"/>
  <c r="N15" i="34" s="1"/>
  <c r="G13" i="35"/>
  <c r="AN10" i="31"/>
  <c r="AP9" i="32"/>
  <c r="AP7" i="32"/>
  <c r="AP6" i="32"/>
  <c r="AO5" i="33"/>
  <c r="F14" i="33"/>
  <c r="I10" i="34"/>
  <c r="I7" i="34"/>
  <c r="X15" i="34"/>
  <c r="Z15" i="34" s="1"/>
  <c r="O7" i="34"/>
  <c r="E15" i="35"/>
  <c r="G15" i="35" s="1"/>
  <c r="E14" i="35"/>
  <c r="G14" i="35" s="1"/>
  <c r="AP14" i="34"/>
  <c r="AR14" i="34" s="1"/>
  <c r="AP15" i="34"/>
  <c r="AR15" i="34" s="1"/>
  <c r="AA14" i="34"/>
  <c r="AC14" i="34" s="1"/>
  <c r="AK17" i="35"/>
  <c r="AM17" i="35" s="1"/>
  <c r="AO9" i="33"/>
  <c r="AJ14" i="33"/>
  <c r="AL14" i="33" s="1"/>
  <c r="AS3" i="34"/>
  <c r="AS9" i="34"/>
  <c r="AS5" i="34"/>
  <c r="AG7" i="34"/>
  <c r="L8" i="35"/>
  <c r="L10" i="35"/>
  <c r="AZ6" i="35"/>
  <c r="AO14" i="35"/>
  <c r="AQ14" i="35" s="1"/>
  <c r="AO15" i="35"/>
  <c r="AQ15" i="35" s="1"/>
  <c r="AO16" i="35"/>
  <c r="AQ16" i="35" s="1"/>
  <c r="AO17" i="35"/>
  <c r="AQ17" i="35" s="1"/>
  <c r="AO13" i="35"/>
  <c r="AE14" i="36"/>
  <c r="AG14" i="36" s="1"/>
  <c r="AE13" i="36"/>
  <c r="AG13" i="36" s="1"/>
  <c r="AP12" i="38"/>
  <c r="AR12" i="38" s="1"/>
  <c r="AP13" i="38"/>
  <c r="AR13" i="38" s="1"/>
  <c r="AR9" i="29"/>
  <c r="AN10" i="30"/>
  <c r="L8" i="31"/>
  <c r="AH10" i="32"/>
  <c r="AD8" i="33"/>
  <c r="AM14" i="34"/>
  <c r="AO14" i="34" s="1"/>
  <c r="Q13" i="35"/>
  <c r="Q15" i="35"/>
  <c r="S15" i="35" s="1"/>
  <c r="Q14" i="35"/>
  <c r="S14" i="35" s="1"/>
  <c r="Q16" i="35"/>
  <c r="S16" i="35" s="1"/>
  <c r="Q17" i="35"/>
  <c r="S17" i="35" s="1"/>
  <c r="BB6" i="35"/>
  <c r="H9" i="29"/>
  <c r="AV9" i="29"/>
  <c r="BB10" i="31"/>
  <c r="BB7" i="31"/>
  <c r="BB4" i="31"/>
  <c r="BB6" i="31"/>
  <c r="L10" i="31"/>
  <c r="AP4" i="32"/>
  <c r="Y8" i="32"/>
  <c r="AM6" i="33"/>
  <c r="AM9" i="33"/>
  <c r="L10" i="33"/>
  <c r="AO10" i="33" s="1"/>
  <c r="L8" i="33"/>
  <c r="AO8" i="33" s="1"/>
  <c r="AG8" i="33"/>
  <c r="AA10" i="33"/>
  <c r="AS7" i="34"/>
  <c r="AB13" i="36"/>
  <c r="AD13" i="36" s="1"/>
  <c r="O13" i="37"/>
  <c r="Q13" i="37" s="1"/>
  <c r="O12" i="37"/>
  <c r="Q12" i="37" s="1"/>
  <c r="AM12" i="38"/>
  <c r="AO12" i="38" s="1"/>
  <c r="AM13" i="38"/>
  <c r="AO13" i="38" s="1"/>
  <c r="AA12" i="38"/>
  <c r="AC12" i="38" s="1"/>
  <c r="AA13" i="38"/>
  <c r="AC13" i="38" s="1"/>
  <c r="O13" i="38"/>
  <c r="Q13" i="38" s="1"/>
  <c r="O12" i="38"/>
  <c r="Q12" i="38" s="1"/>
  <c r="X8" i="34"/>
  <c r="X14" i="34" s="1"/>
  <c r="Z14" i="34" s="1"/>
  <c r="U8" i="34"/>
  <c r="R8" i="34"/>
  <c r="R15" i="34" s="1"/>
  <c r="T15" i="34" s="1"/>
  <c r="BB5" i="35"/>
  <c r="AP5" i="36"/>
  <c r="AP9" i="36"/>
  <c r="AP6" i="36"/>
  <c r="AD13" i="38"/>
  <c r="AF13" i="38" s="1"/>
  <c r="AD12" i="38"/>
  <c r="AF12" i="38" s="1"/>
  <c r="U7" i="34"/>
  <c r="I8" i="34"/>
  <c r="AS14" i="35"/>
  <c r="G13" i="36"/>
  <c r="G14" i="36"/>
  <c r="I14" i="36" s="1"/>
  <c r="AK13" i="36"/>
  <c r="AM13" i="36" s="1"/>
  <c r="AK14" i="36"/>
  <c r="AM14" i="36" s="1"/>
  <c r="AM6" i="37"/>
  <c r="AS7" i="38"/>
  <c r="AS12" i="38" s="1"/>
  <c r="C13" i="38"/>
  <c r="E13" i="38" s="1"/>
  <c r="AG7" i="38"/>
  <c r="I12" i="38"/>
  <c r="K12" i="38" s="1"/>
  <c r="L8" i="34"/>
  <c r="L14" i="34" s="1"/>
  <c r="N14" i="34" s="1"/>
  <c r="AZ5" i="35"/>
  <c r="AZ7" i="35"/>
  <c r="S10" i="36"/>
  <c r="S8" i="36"/>
  <c r="AN7" i="36"/>
  <c r="AA12" i="37"/>
  <c r="AC12" i="37" s="1"/>
  <c r="L12" i="38"/>
  <c r="N12" i="38" s="1"/>
  <c r="L13" i="38"/>
  <c r="N13" i="38" s="1"/>
  <c r="AS13" i="38"/>
  <c r="AJ7" i="34"/>
  <c r="O8" i="34"/>
  <c r="BB7" i="35"/>
  <c r="P10" i="35"/>
  <c r="AS16" i="35"/>
  <c r="AU16" i="35" s="1"/>
  <c r="AP7" i="36"/>
  <c r="AD13" i="37"/>
  <c r="AF13" i="37" s="1"/>
  <c r="AD12" i="37"/>
  <c r="AF12" i="37" s="1"/>
  <c r="AA8" i="34"/>
  <c r="AA15" i="34" s="1"/>
  <c r="AC15" i="34" s="1"/>
  <c r="AZ4" i="35"/>
  <c r="AZ9" i="35"/>
  <c r="AN4" i="36"/>
  <c r="P8" i="36"/>
  <c r="D14" i="36"/>
  <c r="F14" i="36" s="1"/>
  <c r="AH14" i="36"/>
  <c r="AJ14" i="36" s="1"/>
  <c r="AM4" i="37"/>
  <c r="C7" i="37"/>
  <c r="AM5" i="37"/>
  <c r="AG7" i="37"/>
  <c r="AA13" i="37"/>
  <c r="AC13" i="37" s="1"/>
  <c r="V13" i="36"/>
  <c r="X13" i="36" s="1"/>
  <c r="V14" i="36"/>
  <c r="X14" i="36" s="1"/>
  <c r="F12" i="37"/>
  <c r="F13" i="37"/>
  <c r="H13" i="37" s="1"/>
  <c r="AJ12" i="37"/>
  <c r="AL12" i="37" s="1"/>
  <c r="AJ13" i="37"/>
  <c r="AL13" i="37" s="1"/>
  <c r="Y15" i="35"/>
  <c r="AA15" i="35" s="1"/>
  <c r="Y16" i="35"/>
  <c r="AA16" i="35" s="1"/>
  <c r="Y14" i="36"/>
  <c r="AA14" i="36" s="1"/>
  <c r="Y13" i="36"/>
  <c r="AA13" i="36" s="1"/>
  <c r="I12" i="37"/>
  <c r="K12" i="37" s="1"/>
  <c r="I13" i="37"/>
  <c r="K13" i="37" s="1"/>
  <c r="R12" i="38"/>
  <c r="T12" i="38" s="1"/>
  <c r="R13" i="38"/>
  <c r="T13" i="38" s="1"/>
  <c r="AJ12" i="38"/>
  <c r="AL12" i="38" s="1"/>
  <c r="AJ13" i="38"/>
  <c r="AL13" i="38" s="1"/>
  <c r="AJ8" i="34"/>
  <c r="H8" i="35"/>
  <c r="BB8" i="35" s="1"/>
  <c r="AV8" i="35"/>
  <c r="H10" i="35"/>
  <c r="BB10" i="35" s="1"/>
  <c r="U12" i="38"/>
  <c r="W12" i="38" s="1"/>
  <c r="U13" i="38"/>
  <c r="W13" i="38" s="1"/>
  <c r="X13" i="38"/>
  <c r="Z13" i="38" s="1"/>
  <c r="AD8" i="37"/>
  <c r="AS5" i="38"/>
  <c r="U8" i="37"/>
  <c r="U12" i="37" s="1"/>
  <c r="W12" i="37" s="1"/>
  <c r="C8" i="38"/>
  <c r="C12" i="38" s="1"/>
  <c r="E12" i="38" s="1"/>
  <c r="AG8" i="38"/>
  <c r="F7" i="34"/>
  <c r="X8" i="37"/>
  <c r="X12" i="37" s="1"/>
  <c r="Z12" i="37" s="1"/>
  <c r="F8" i="38"/>
  <c r="F12" i="38" s="1"/>
  <c r="H12" i="38" s="1"/>
  <c r="AJ8" i="38"/>
  <c r="I8" i="38"/>
  <c r="I13" i="38" s="1"/>
  <c r="K13" i="38" s="1"/>
  <c r="AM8" i="38"/>
  <c r="N43" i="3"/>
  <c r="V38" i="3"/>
  <c r="AG30" i="3"/>
  <c r="U55" i="3"/>
  <c r="V45" i="3"/>
  <c r="AG31" i="3"/>
  <c r="V22" i="3"/>
  <c r="F40" i="3"/>
  <c r="AG22" i="3"/>
  <c r="AD32" i="3"/>
  <c r="F37" i="3"/>
  <c r="V24" i="3"/>
  <c r="AD39" i="3"/>
  <c r="F43" i="3"/>
  <c r="AD38" i="3"/>
  <c r="AD22" i="3"/>
  <c r="V40" i="3"/>
  <c r="V26" i="3"/>
  <c r="AD24" i="3"/>
  <c r="N37" i="3"/>
  <c r="AG48" i="3"/>
  <c r="AD26" i="3"/>
  <c r="AG36" i="3"/>
  <c r="V43" i="3"/>
  <c r="F32" i="3"/>
  <c r="N32" i="3"/>
  <c r="N45" i="3"/>
  <c r="AG33" i="3"/>
  <c r="F34" i="3"/>
  <c r="N34" i="3"/>
  <c r="N44" i="3"/>
  <c r="N38" i="3"/>
  <c r="N26" i="3"/>
  <c r="AD43" i="3"/>
  <c r="V34" i="3"/>
  <c r="F38" i="3"/>
  <c r="N22" i="3"/>
  <c r="V32" i="3"/>
  <c r="M54" i="3"/>
  <c r="AC47" i="3"/>
  <c r="F45" i="3"/>
  <c r="F44" i="3"/>
  <c r="N42" i="3"/>
  <c r="AG43" i="3"/>
  <c r="N24" i="3"/>
  <c r="AD40" i="3"/>
  <c r="V39" i="3"/>
  <c r="AD34" i="3"/>
  <c r="V44" i="3"/>
  <c r="F22" i="3"/>
  <c r="N40" i="3"/>
  <c r="AG34" i="3"/>
  <c r="V37" i="3"/>
  <c r="F26" i="3"/>
  <c r="AD45" i="3"/>
  <c r="AG21" i="3"/>
  <c r="AD44" i="3"/>
  <c r="V42" i="3"/>
  <c r="N39" i="3"/>
  <c r="F23" i="3"/>
  <c r="BK65" i="3" l="1"/>
  <c r="BK64" i="3"/>
  <c r="BK63" i="3"/>
  <c r="BG20" i="3" s="1"/>
  <c r="BH64" i="3"/>
  <c r="BH65" i="3"/>
  <c r="BI65" i="3"/>
  <c r="BI63" i="3"/>
  <c r="BE20" i="3" s="1"/>
  <c r="BL64" i="3"/>
  <c r="BL65" i="3"/>
  <c r="AH21" i="3"/>
  <c r="AH34" i="3"/>
  <c r="AH43" i="3"/>
  <c r="AH33" i="3"/>
  <c r="AH36" i="3"/>
  <c r="AH48" i="3"/>
  <c r="AH22" i="3"/>
  <c r="AH31" i="3"/>
  <c r="AH30" i="3"/>
  <c r="O21" i="6"/>
  <c r="AO18" i="23"/>
  <c r="AQ18" i="23" s="1"/>
  <c r="AO17" i="23"/>
  <c r="AQ17" i="23" s="1"/>
  <c r="AO15" i="23"/>
  <c r="AO16" i="23"/>
  <c r="AQ16" i="23" s="1"/>
  <c r="AW18" i="21"/>
  <c r="AY18" i="21" s="1"/>
  <c r="AW17" i="21"/>
  <c r="AY17" i="21" s="1"/>
  <c r="AW16" i="21"/>
  <c r="AY16" i="21" s="1"/>
  <c r="AW15" i="21"/>
  <c r="BD10" i="21"/>
  <c r="AS18" i="35"/>
  <c r="AU14" i="35"/>
  <c r="H14" i="33"/>
  <c r="H16" i="33" s="1"/>
  <c r="F16" i="33"/>
  <c r="AS17" i="28"/>
  <c r="AU17" i="28" s="1"/>
  <c r="AS15" i="28"/>
  <c r="AU15" i="28" s="1"/>
  <c r="AS18" i="28"/>
  <c r="AU18" i="28" s="1"/>
  <c r="AS16" i="28"/>
  <c r="AU16" i="28" s="1"/>
  <c r="AS14" i="28"/>
  <c r="F15" i="34"/>
  <c r="H15" i="34" s="1"/>
  <c r="F14" i="34"/>
  <c r="H14" i="34" s="1"/>
  <c r="AW16" i="35"/>
  <c r="AY16" i="35" s="1"/>
  <c r="AW17" i="35"/>
  <c r="AY17" i="35" s="1"/>
  <c r="AW13" i="35"/>
  <c r="AW15" i="35"/>
  <c r="AY15" i="35" s="1"/>
  <c r="AW14" i="35"/>
  <c r="AY14" i="35" s="1"/>
  <c r="O15" i="34"/>
  <c r="Q15" i="34" s="1"/>
  <c r="O14" i="34"/>
  <c r="Q14" i="34" s="1"/>
  <c r="AG18" i="29"/>
  <c r="AI18" i="29" s="1"/>
  <c r="AG17" i="29"/>
  <c r="AI17" i="29" s="1"/>
  <c r="AG16" i="29"/>
  <c r="AI16" i="29" s="1"/>
  <c r="AG15" i="29"/>
  <c r="AI15" i="29" s="1"/>
  <c r="AG14" i="29"/>
  <c r="X15" i="33"/>
  <c r="Z15" i="33" s="1"/>
  <c r="X14" i="33"/>
  <c r="Z14" i="33" s="1"/>
  <c r="AA15" i="27"/>
  <c r="Y20" i="27"/>
  <c r="AO15" i="25"/>
  <c r="AO16" i="25"/>
  <c r="AQ16" i="25" s="1"/>
  <c r="AO17" i="25"/>
  <c r="AQ17" i="25" s="1"/>
  <c r="AO19" i="25"/>
  <c r="AQ19" i="25" s="1"/>
  <c r="AO18" i="25"/>
  <c r="AQ18" i="25" s="1"/>
  <c r="AK20" i="25"/>
  <c r="AM15" i="25"/>
  <c r="U17" i="24"/>
  <c r="W17" i="24" s="1"/>
  <c r="U16" i="24"/>
  <c r="W16" i="24" s="1"/>
  <c r="U19" i="24"/>
  <c r="W19" i="24" s="1"/>
  <c r="U18" i="24"/>
  <c r="W18" i="24" s="1"/>
  <c r="U15" i="24"/>
  <c r="AO15" i="22"/>
  <c r="AO18" i="22"/>
  <c r="AQ18" i="22" s="1"/>
  <c r="AO16" i="22"/>
  <c r="AQ16" i="22" s="1"/>
  <c r="AO17" i="22"/>
  <c r="AQ17" i="22" s="1"/>
  <c r="AA15" i="21"/>
  <c r="Y19" i="21"/>
  <c r="Y21" i="17"/>
  <c r="AA21" i="17" s="1"/>
  <c r="Y16" i="17"/>
  <c r="Y22" i="17"/>
  <c r="AA22" i="17" s="1"/>
  <c r="Y17" i="17"/>
  <c r="AA17" i="17" s="1"/>
  <c r="Y23" i="17"/>
  <c r="AA23" i="17" s="1"/>
  <c r="Y18" i="17"/>
  <c r="AA18" i="17" s="1"/>
  <c r="Y20" i="17"/>
  <c r="AA20" i="17" s="1"/>
  <c r="Y19" i="17"/>
  <c r="AA19" i="17" s="1"/>
  <c r="AS17" i="19"/>
  <c r="AU17" i="19" s="1"/>
  <c r="AS16" i="19"/>
  <c r="AS19" i="19"/>
  <c r="AU19" i="19" s="1"/>
  <c r="AS18" i="19"/>
  <c r="AU18" i="19" s="1"/>
  <c r="I18" i="21"/>
  <c r="K18" i="21" s="1"/>
  <c r="I17" i="21"/>
  <c r="K17" i="21" s="1"/>
  <c r="I16" i="21"/>
  <c r="K16" i="21" s="1"/>
  <c r="I15" i="21"/>
  <c r="AW19" i="20"/>
  <c r="AY19" i="20" s="1"/>
  <c r="AW18" i="20"/>
  <c r="AY18" i="20" s="1"/>
  <c r="AW16" i="20"/>
  <c r="AW17" i="20"/>
  <c r="AY17" i="20" s="1"/>
  <c r="AO24" i="18"/>
  <c r="AQ16" i="18"/>
  <c r="M20" i="18"/>
  <c r="O20" i="18" s="1"/>
  <c r="M19" i="18"/>
  <c r="O19" i="18" s="1"/>
  <c r="M17" i="18"/>
  <c r="O17" i="18" s="1"/>
  <c r="M22" i="18"/>
  <c r="O22" i="18" s="1"/>
  <c r="BB22" i="18" s="1"/>
  <c r="BD22" i="18" s="1"/>
  <c r="BD32" i="18" s="1"/>
  <c r="M21" i="18"/>
  <c r="O21" i="18" s="1"/>
  <c r="M23" i="18"/>
  <c r="O23" i="18" s="1"/>
  <c r="BB23" i="18" s="1"/>
  <c r="BD23" i="18" s="1"/>
  <c r="BD33" i="18" s="1"/>
  <c r="M18" i="18"/>
  <c r="O18" i="18" s="1"/>
  <c r="M16" i="18"/>
  <c r="AI16" i="16"/>
  <c r="AG24" i="16"/>
  <c r="Y17" i="16"/>
  <c r="AA17" i="16" s="1"/>
  <c r="Y21" i="16"/>
  <c r="AA21" i="16" s="1"/>
  <c r="Y20" i="16"/>
  <c r="AA20" i="16" s="1"/>
  <c r="Y19" i="16"/>
  <c r="AA19" i="16" s="1"/>
  <c r="Y18" i="16"/>
  <c r="AA18" i="16" s="1"/>
  <c r="Y22" i="16"/>
  <c r="AA22" i="16" s="1"/>
  <c r="Y23" i="16"/>
  <c r="AA23" i="16" s="1"/>
  <c r="Y16" i="16"/>
  <c r="BB13" i="18"/>
  <c r="AZ13" i="18"/>
  <c r="AZ26" i="18" s="1"/>
  <c r="AS19" i="12"/>
  <c r="AU19" i="12" s="1"/>
  <c r="AS18" i="12"/>
  <c r="AU18" i="12" s="1"/>
  <c r="AS17" i="12"/>
  <c r="AU17" i="12" s="1"/>
  <c r="AS21" i="12"/>
  <c r="AU21" i="12" s="1"/>
  <c r="AS23" i="12"/>
  <c r="AU23" i="12" s="1"/>
  <c r="AS16" i="12"/>
  <c r="AS22" i="12"/>
  <c r="AU22" i="12" s="1"/>
  <c r="AS20" i="12"/>
  <c r="AU20" i="12" s="1"/>
  <c r="E38" i="14"/>
  <c r="S16" i="12"/>
  <c r="Q24" i="12"/>
  <c r="W16" i="11"/>
  <c r="U24" i="11"/>
  <c r="E16" i="13"/>
  <c r="E23" i="13"/>
  <c r="G23" i="13" s="1"/>
  <c r="E22" i="13"/>
  <c r="G22" i="13" s="1"/>
  <c r="E20" i="13"/>
  <c r="G20" i="13" s="1"/>
  <c r="E18" i="13"/>
  <c r="G18" i="13" s="1"/>
  <c r="AZ18" i="13" s="1"/>
  <c r="E19" i="13"/>
  <c r="G19" i="13" s="1"/>
  <c r="E21" i="13"/>
  <c r="G21" i="13" s="1"/>
  <c r="AZ21" i="13" s="1"/>
  <c r="E17" i="13"/>
  <c r="G17" i="13" s="1"/>
  <c r="AZ10" i="13"/>
  <c r="AG19" i="14"/>
  <c r="AI19" i="14" s="1"/>
  <c r="AG20" i="14"/>
  <c r="AI20" i="14" s="1"/>
  <c r="AG37" i="14"/>
  <c r="AG21" i="14"/>
  <c r="AI21" i="14" s="1"/>
  <c r="AG22" i="14"/>
  <c r="AI22" i="14" s="1"/>
  <c r="AG17" i="14"/>
  <c r="AI17" i="14" s="1"/>
  <c r="AG23" i="14"/>
  <c r="AI23" i="14" s="1"/>
  <c r="AG18" i="14"/>
  <c r="AI18" i="14" s="1"/>
  <c r="AG16" i="14"/>
  <c r="AM16" i="11"/>
  <c r="AK24" i="11"/>
  <c r="AS17" i="9"/>
  <c r="AU17" i="9" s="1"/>
  <c r="AS20" i="9"/>
  <c r="AU20" i="9" s="1"/>
  <c r="AS25" i="9"/>
  <c r="AU25" i="9" s="1"/>
  <c r="AS23" i="9"/>
  <c r="AU23" i="9" s="1"/>
  <c r="AS21" i="9"/>
  <c r="AU21" i="9" s="1"/>
  <c r="BE21" i="9" s="1"/>
  <c r="AS24" i="9"/>
  <c r="AU24" i="9" s="1"/>
  <c r="AS22" i="9"/>
  <c r="AU22" i="9" s="1"/>
  <c r="AS19" i="9"/>
  <c r="AU19" i="9" s="1"/>
  <c r="AS16" i="9"/>
  <c r="AS18" i="9"/>
  <c r="AU18" i="9" s="1"/>
  <c r="Q21" i="7"/>
  <c r="S21" i="7" s="1"/>
  <c r="Q18" i="7"/>
  <c r="S18" i="7" s="1"/>
  <c r="Q17" i="7"/>
  <c r="Q20" i="7"/>
  <c r="S20" i="7" s="1"/>
  <c r="Q22" i="7"/>
  <c r="S22" i="7" s="1"/>
  <c r="Q19" i="7"/>
  <c r="S19" i="7" s="1"/>
  <c r="Q25" i="7"/>
  <c r="S25" i="7" s="1"/>
  <c r="Q23" i="7"/>
  <c r="S23" i="7" s="1"/>
  <c r="BB10" i="7"/>
  <c r="Q24" i="7"/>
  <c r="S24" i="7" s="1"/>
  <c r="AU16" i="8"/>
  <c r="AS26" i="8"/>
  <c r="AE22" i="5"/>
  <c r="AG25" i="6"/>
  <c r="AI25" i="6" s="1"/>
  <c r="AG21" i="6"/>
  <c r="AG19" i="6"/>
  <c r="AG20" i="6"/>
  <c r="AG26" i="6"/>
  <c r="AI26" i="6" s="1"/>
  <c r="AG22" i="6"/>
  <c r="AG23" i="6"/>
  <c r="AI23" i="6" s="1"/>
  <c r="AG27" i="6"/>
  <c r="AI27" i="6" s="1"/>
  <c r="AG24" i="6"/>
  <c r="AI24" i="6" s="1"/>
  <c r="AQ20" i="5"/>
  <c r="AY19" i="5"/>
  <c r="AW31" i="5"/>
  <c r="AZ16" i="6"/>
  <c r="AZ30" i="6" s="1"/>
  <c r="BC30" i="6" s="1"/>
  <c r="M26" i="6"/>
  <c r="O26" i="6" s="1"/>
  <c r="BN52" i="4"/>
  <c r="BI52" i="4"/>
  <c r="G19" i="4"/>
  <c r="E36" i="4"/>
  <c r="AK18" i="27"/>
  <c r="AM18" i="27" s="1"/>
  <c r="AK19" i="27"/>
  <c r="AM19" i="27" s="1"/>
  <c r="AK15" i="27"/>
  <c r="AK16" i="27"/>
  <c r="AM16" i="27" s="1"/>
  <c r="AK17" i="27"/>
  <c r="AM17" i="27" s="1"/>
  <c r="S13" i="36"/>
  <c r="U13" i="36" s="1"/>
  <c r="S14" i="36"/>
  <c r="U14" i="36" s="1"/>
  <c r="AD15" i="33"/>
  <c r="AF15" i="33" s="1"/>
  <c r="AD14" i="33"/>
  <c r="AF14" i="33" s="1"/>
  <c r="AW14" i="29"/>
  <c r="AW18" i="29"/>
  <c r="AY18" i="29" s="1"/>
  <c r="AW17" i="29"/>
  <c r="AY17" i="29" s="1"/>
  <c r="AW15" i="29"/>
  <c r="AY15" i="29" s="1"/>
  <c r="AW16" i="29"/>
  <c r="AY16" i="29" s="1"/>
  <c r="AC18" i="31"/>
  <c r="AE13" i="31"/>
  <c r="Q16" i="29"/>
  <c r="S16" i="29" s="1"/>
  <c r="Q15" i="29"/>
  <c r="S15" i="29" s="1"/>
  <c r="Q14" i="29"/>
  <c r="Q17" i="29"/>
  <c r="S17" i="29" s="1"/>
  <c r="Q18" i="29"/>
  <c r="S18" i="29" s="1"/>
  <c r="AO16" i="26"/>
  <c r="AQ16" i="26" s="1"/>
  <c r="AO19" i="26"/>
  <c r="AQ19" i="26" s="1"/>
  <c r="AO17" i="26"/>
  <c r="AQ17" i="26" s="1"/>
  <c r="AO15" i="26"/>
  <c r="AO18" i="26"/>
  <c r="AQ18" i="26" s="1"/>
  <c r="Q20" i="27"/>
  <c r="S15" i="27"/>
  <c r="I18" i="27"/>
  <c r="K18" i="27" s="1"/>
  <c r="I16" i="27"/>
  <c r="K16" i="27" s="1"/>
  <c r="I17" i="27"/>
  <c r="K17" i="27" s="1"/>
  <c r="I15" i="27"/>
  <c r="I19" i="27"/>
  <c r="K19" i="27" s="1"/>
  <c r="AG20" i="26"/>
  <c r="AI15" i="26"/>
  <c r="E19" i="24"/>
  <c r="G19" i="24" s="1"/>
  <c r="AZ10" i="24"/>
  <c r="E15" i="24"/>
  <c r="E16" i="24"/>
  <c r="G16" i="24" s="1"/>
  <c r="E17" i="24"/>
  <c r="G17" i="24" s="1"/>
  <c r="E18" i="24"/>
  <c r="G18" i="24" s="1"/>
  <c r="AZ10" i="23"/>
  <c r="AA15" i="23"/>
  <c r="Y19" i="23"/>
  <c r="M20" i="25"/>
  <c r="O15" i="25"/>
  <c r="AZ10" i="21"/>
  <c r="E17" i="21"/>
  <c r="G17" i="21" s="1"/>
  <c r="E16" i="21"/>
  <c r="G16" i="21" s="1"/>
  <c r="E15" i="21"/>
  <c r="BB10" i="21"/>
  <c r="E18" i="21"/>
  <c r="G18" i="21" s="1"/>
  <c r="E18" i="20"/>
  <c r="G18" i="20" s="1"/>
  <c r="E16" i="20"/>
  <c r="E19" i="20"/>
  <c r="G19" i="20" s="1"/>
  <c r="E17" i="20"/>
  <c r="G17" i="20" s="1"/>
  <c r="AZ10" i="20"/>
  <c r="I22" i="17"/>
  <c r="K22" i="17" s="1"/>
  <c r="I21" i="17"/>
  <c r="K21" i="17" s="1"/>
  <c r="I16" i="17"/>
  <c r="I17" i="17"/>
  <c r="K17" i="17" s="1"/>
  <c r="I23" i="17"/>
  <c r="K23" i="17" s="1"/>
  <c r="I19" i="17"/>
  <c r="K19" i="17" s="1"/>
  <c r="I18" i="17"/>
  <c r="K18" i="17" s="1"/>
  <c r="I20" i="17"/>
  <c r="K20" i="17" s="1"/>
  <c r="AC20" i="19"/>
  <c r="AE16" i="19"/>
  <c r="AG24" i="18"/>
  <c r="AI16" i="18"/>
  <c r="AK18" i="17"/>
  <c r="AM18" i="17" s="1"/>
  <c r="AK22" i="17"/>
  <c r="AM22" i="17" s="1"/>
  <c r="AK23" i="17"/>
  <c r="AM23" i="17" s="1"/>
  <c r="AK16" i="17"/>
  <c r="AK20" i="17"/>
  <c r="AM20" i="17" s="1"/>
  <c r="AK17" i="17"/>
  <c r="AM17" i="17" s="1"/>
  <c r="AK19" i="17"/>
  <c r="AM19" i="17" s="1"/>
  <c r="AK21" i="17"/>
  <c r="AM21" i="17" s="1"/>
  <c r="BB10" i="17"/>
  <c r="AO16" i="15"/>
  <c r="AO22" i="15"/>
  <c r="AQ22" i="15" s="1"/>
  <c r="AO17" i="15"/>
  <c r="AQ17" i="15" s="1"/>
  <c r="AO23" i="15"/>
  <c r="AQ23" i="15" s="1"/>
  <c r="AO19" i="15"/>
  <c r="AQ19" i="15" s="1"/>
  <c r="AO18" i="15"/>
  <c r="AQ18" i="15" s="1"/>
  <c r="BE18" i="15" s="1"/>
  <c r="AO20" i="15"/>
  <c r="AQ20" i="15" s="1"/>
  <c r="AO21" i="15"/>
  <c r="AQ21" i="15" s="1"/>
  <c r="Q24" i="15"/>
  <c r="S16" i="15"/>
  <c r="U24" i="15"/>
  <c r="W16" i="15"/>
  <c r="AZ23" i="13"/>
  <c r="AZ19" i="13"/>
  <c r="AK23" i="12"/>
  <c r="AM23" i="12" s="1"/>
  <c r="AK22" i="12"/>
  <c r="AM22" i="12" s="1"/>
  <c r="AK21" i="12"/>
  <c r="AM21" i="12" s="1"/>
  <c r="AK16" i="12"/>
  <c r="AK19" i="12"/>
  <c r="AM19" i="12" s="1"/>
  <c r="AK18" i="12"/>
  <c r="AM18" i="12" s="1"/>
  <c r="AK17" i="12"/>
  <c r="AM17" i="12" s="1"/>
  <c r="AK20" i="12"/>
  <c r="AM20" i="12" s="1"/>
  <c r="AG24" i="11"/>
  <c r="AI16" i="11"/>
  <c r="AW24" i="11"/>
  <c r="AU16" i="10"/>
  <c r="AS26" i="10"/>
  <c r="AA16" i="10"/>
  <c r="Y26" i="10"/>
  <c r="E17" i="9"/>
  <c r="G17" i="9" s="1"/>
  <c r="BB17" i="9" s="1"/>
  <c r="E20" i="9"/>
  <c r="G20" i="9" s="1"/>
  <c r="BB20" i="9" s="1"/>
  <c r="E18" i="9"/>
  <c r="G18" i="9" s="1"/>
  <c r="BB18" i="9" s="1"/>
  <c r="E25" i="9"/>
  <c r="G25" i="9" s="1"/>
  <c r="BB25" i="9" s="1"/>
  <c r="BD25" i="9" s="1"/>
  <c r="E23" i="9"/>
  <c r="G23" i="9" s="1"/>
  <c r="BB23" i="9" s="1"/>
  <c r="E21" i="9"/>
  <c r="G21" i="9" s="1"/>
  <c r="AZ21" i="9" s="1"/>
  <c r="AZ10" i="9"/>
  <c r="E19" i="9"/>
  <c r="G19" i="9" s="1"/>
  <c r="BB19" i="9" s="1"/>
  <c r="E16" i="9"/>
  <c r="E24" i="9"/>
  <c r="G24" i="9" s="1"/>
  <c r="BB24" i="9" s="1"/>
  <c r="BD24" i="9" s="1"/>
  <c r="E22" i="9"/>
  <c r="G22" i="9" s="1"/>
  <c r="BB22" i="9" s="1"/>
  <c r="AA21" i="6"/>
  <c r="K16" i="8"/>
  <c r="I26" i="8"/>
  <c r="AW26" i="9"/>
  <c r="W20" i="5"/>
  <c r="U21" i="7"/>
  <c r="W21" i="7" s="1"/>
  <c r="U25" i="7"/>
  <c r="W25" i="7" s="1"/>
  <c r="U23" i="7"/>
  <c r="W23" i="7" s="1"/>
  <c r="U17" i="7"/>
  <c r="U19" i="7"/>
  <c r="W19" i="7" s="1"/>
  <c r="U24" i="7"/>
  <c r="W24" i="7" s="1"/>
  <c r="U20" i="7"/>
  <c r="W20" i="7" s="1"/>
  <c r="U22" i="7"/>
  <c r="W22" i="7" s="1"/>
  <c r="U18" i="7"/>
  <c r="W18" i="7" s="1"/>
  <c r="BN44" i="5"/>
  <c r="BN77" i="5" s="1"/>
  <c r="BE77" i="5"/>
  <c r="BI44" i="5"/>
  <c r="BI77" i="5" s="1"/>
  <c r="AI22" i="5"/>
  <c r="K21" i="6"/>
  <c r="AY20" i="5"/>
  <c r="K19" i="5"/>
  <c r="I31" i="5"/>
  <c r="M22" i="6"/>
  <c r="I18" i="29"/>
  <c r="K18" i="29" s="1"/>
  <c r="I17" i="29"/>
  <c r="K17" i="29" s="1"/>
  <c r="I16" i="29"/>
  <c r="K16" i="29" s="1"/>
  <c r="I15" i="29"/>
  <c r="K15" i="29" s="1"/>
  <c r="I14" i="29"/>
  <c r="AM14" i="29"/>
  <c r="AK19" i="29"/>
  <c r="M14" i="28"/>
  <c r="M18" i="28"/>
  <c r="O18" i="28" s="1"/>
  <c r="M17" i="28"/>
  <c r="O17" i="28" s="1"/>
  <c r="M15" i="28"/>
  <c r="O15" i="28" s="1"/>
  <c r="M16" i="28"/>
  <c r="O16" i="28" s="1"/>
  <c r="AC18" i="29"/>
  <c r="AE18" i="29" s="1"/>
  <c r="AC16" i="29"/>
  <c r="AE16" i="29" s="1"/>
  <c r="AC15" i="29"/>
  <c r="AE15" i="29" s="1"/>
  <c r="AC14" i="29"/>
  <c r="AC17" i="29"/>
  <c r="AE17" i="29" s="1"/>
  <c r="C15" i="34"/>
  <c r="E15" i="34" s="1"/>
  <c r="C14" i="34"/>
  <c r="E14" i="34" s="1"/>
  <c r="Y18" i="30"/>
  <c r="AA13" i="30"/>
  <c r="AC17" i="26"/>
  <c r="AE17" i="26" s="1"/>
  <c r="AC15" i="26"/>
  <c r="AC18" i="26"/>
  <c r="AE18" i="26" s="1"/>
  <c r="AC16" i="26"/>
  <c r="AE16" i="26" s="1"/>
  <c r="AC19" i="26"/>
  <c r="AE19" i="26" s="1"/>
  <c r="AG20" i="24"/>
  <c r="AI15" i="24"/>
  <c r="E17" i="27"/>
  <c r="G17" i="27" s="1"/>
  <c r="E15" i="27"/>
  <c r="AZ10" i="27"/>
  <c r="E19" i="27"/>
  <c r="G19" i="27" s="1"/>
  <c r="E16" i="27"/>
  <c r="G16" i="27" s="1"/>
  <c r="BB10" i="27"/>
  <c r="E18" i="27"/>
  <c r="G18" i="27" s="1"/>
  <c r="BD10" i="26"/>
  <c r="Q17" i="24"/>
  <c r="S17" i="24" s="1"/>
  <c r="Q18" i="24"/>
  <c r="S18" i="24" s="1"/>
  <c r="Q16" i="24"/>
  <c r="S16" i="24" s="1"/>
  <c r="Q15" i="24"/>
  <c r="Q19" i="24"/>
  <c r="S19" i="24" s="1"/>
  <c r="I17" i="26"/>
  <c r="K17" i="26" s="1"/>
  <c r="AZ17" i="26" s="1"/>
  <c r="I15" i="26"/>
  <c r="I18" i="26"/>
  <c r="K18" i="26" s="1"/>
  <c r="AZ18" i="26" s="1"/>
  <c r="I16" i="26"/>
  <c r="K16" i="26" s="1"/>
  <c r="AZ16" i="26" s="1"/>
  <c r="I19" i="26"/>
  <c r="K19" i="26" s="1"/>
  <c r="AZ19" i="26" s="1"/>
  <c r="G15" i="23"/>
  <c r="E19" i="23"/>
  <c r="Q20" i="25"/>
  <c r="S15" i="25"/>
  <c r="I18" i="23"/>
  <c r="K18" i="23" s="1"/>
  <c r="I17" i="23"/>
  <c r="K17" i="23" s="1"/>
  <c r="I16" i="23"/>
  <c r="K16" i="23" s="1"/>
  <c r="I15" i="23"/>
  <c r="AE15" i="24"/>
  <c r="AC20" i="24"/>
  <c r="G15" i="22"/>
  <c r="E19" i="22"/>
  <c r="BB12" i="22"/>
  <c r="BB21" i="22" s="1"/>
  <c r="AG16" i="22"/>
  <c r="AI16" i="22" s="1"/>
  <c r="AG18" i="22"/>
  <c r="AI18" i="22" s="1"/>
  <c r="AG15" i="22"/>
  <c r="AG17" i="22"/>
  <c r="AI17" i="22" s="1"/>
  <c r="I19" i="20"/>
  <c r="K19" i="20" s="1"/>
  <c r="I18" i="20"/>
  <c r="K18" i="20" s="1"/>
  <c r="AZ18" i="20" s="1"/>
  <c r="I16" i="20"/>
  <c r="I17" i="20"/>
  <c r="K17" i="20" s="1"/>
  <c r="AZ17" i="20" s="1"/>
  <c r="AW20" i="24"/>
  <c r="AY15" i="24"/>
  <c r="AC19" i="22"/>
  <c r="AE15" i="22"/>
  <c r="AS16" i="25"/>
  <c r="AU16" i="25" s="1"/>
  <c r="AS17" i="25"/>
  <c r="AU17" i="25" s="1"/>
  <c r="AS18" i="25"/>
  <c r="AU18" i="25" s="1"/>
  <c r="AS15" i="25"/>
  <c r="AS19" i="25"/>
  <c r="AU19" i="25" s="1"/>
  <c r="BD10" i="23"/>
  <c r="AK19" i="22"/>
  <c r="AM15" i="22"/>
  <c r="AS18" i="20"/>
  <c r="AU18" i="20" s="1"/>
  <c r="AS16" i="20"/>
  <c r="AS19" i="20"/>
  <c r="AU19" i="20" s="1"/>
  <c r="AS17" i="20"/>
  <c r="AU17" i="20" s="1"/>
  <c r="Q24" i="18"/>
  <c r="S16" i="18"/>
  <c r="AW24" i="18"/>
  <c r="AY16" i="18"/>
  <c r="BE13" i="18"/>
  <c r="BE26" i="18" s="1"/>
  <c r="BE10" i="17"/>
  <c r="BE38" i="17" s="1"/>
  <c r="G16" i="16"/>
  <c r="E24" i="16"/>
  <c r="M20" i="15"/>
  <c r="O20" i="15" s="1"/>
  <c r="AZ20" i="15" s="1"/>
  <c r="M16" i="15"/>
  <c r="M21" i="15"/>
  <c r="O21" i="15" s="1"/>
  <c r="AZ21" i="15" s="1"/>
  <c r="M19" i="15"/>
  <c r="O19" i="15" s="1"/>
  <c r="AZ19" i="15" s="1"/>
  <c r="M23" i="15"/>
  <c r="O23" i="15" s="1"/>
  <c r="AZ23" i="15" s="1"/>
  <c r="M18" i="15"/>
  <c r="O18" i="15" s="1"/>
  <c r="AZ18" i="15" s="1"/>
  <c r="M22" i="15"/>
  <c r="O22" i="15" s="1"/>
  <c r="AZ22" i="15" s="1"/>
  <c r="M17" i="15"/>
  <c r="O17" i="15" s="1"/>
  <c r="AZ17" i="15" s="1"/>
  <c r="AG20" i="15"/>
  <c r="AI20" i="15" s="1"/>
  <c r="AG16" i="15"/>
  <c r="AG19" i="15"/>
  <c r="AI19" i="15" s="1"/>
  <c r="BE19" i="15" s="1"/>
  <c r="AG23" i="15"/>
  <c r="AI23" i="15" s="1"/>
  <c r="BE23" i="15" s="1"/>
  <c r="AG18" i="15"/>
  <c r="AI18" i="15" s="1"/>
  <c r="AG17" i="15"/>
  <c r="AI17" i="15" s="1"/>
  <c r="AG21" i="15"/>
  <c r="AI21" i="15" s="1"/>
  <c r="AG22" i="15"/>
  <c r="AI22" i="15" s="1"/>
  <c r="AC44" i="14"/>
  <c r="AZ20" i="13"/>
  <c r="BE10" i="13"/>
  <c r="AI16" i="10"/>
  <c r="AG26" i="10"/>
  <c r="M20" i="11"/>
  <c r="O20" i="11" s="1"/>
  <c r="M21" i="11"/>
  <c r="O21" i="11" s="1"/>
  <c r="M23" i="11"/>
  <c r="O23" i="11" s="1"/>
  <c r="M18" i="11"/>
  <c r="O18" i="11" s="1"/>
  <c r="M16" i="11"/>
  <c r="M22" i="11"/>
  <c r="O22" i="11" s="1"/>
  <c r="M19" i="11"/>
  <c r="O19" i="11" s="1"/>
  <c r="M17" i="11"/>
  <c r="O17" i="11" s="1"/>
  <c r="AM16" i="13"/>
  <c r="AK24" i="13"/>
  <c r="AK18" i="8"/>
  <c r="AM18" i="8" s="1"/>
  <c r="AK17" i="8"/>
  <c r="AM17" i="8" s="1"/>
  <c r="AK22" i="8"/>
  <c r="AM22" i="8" s="1"/>
  <c r="AK23" i="8"/>
  <c r="AM23" i="8" s="1"/>
  <c r="BE23" i="8" s="1"/>
  <c r="AK16" i="8"/>
  <c r="AK25" i="8"/>
  <c r="AM25" i="8" s="1"/>
  <c r="BE25" i="8" s="1"/>
  <c r="BG25" i="8" s="1"/>
  <c r="AK24" i="8"/>
  <c r="AM24" i="8" s="1"/>
  <c r="AK20" i="8"/>
  <c r="AM20" i="8" s="1"/>
  <c r="BE20" i="8" s="1"/>
  <c r="AK21" i="8"/>
  <c r="AM21" i="8" s="1"/>
  <c r="BE21" i="8" s="1"/>
  <c r="AK19" i="8"/>
  <c r="AM19" i="8" s="1"/>
  <c r="AZ18" i="9"/>
  <c r="AS24" i="11"/>
  <c r="AU16" i="11"/>
  <c r="AC24" i="11"/>
  <c r="AE16" i="11"/>
  <c r="AE20" i="5"/>
  <c r="BM7" i="5"/>
  <c r="AI19" i="5"/>
  <c r="AG31" i="5"/>
  <c r="BN38" i="5"/>
  <c r="BN71" i="5" s="1"/>
  <c r="BI38" i="5"/>
  <c r="BI71" i="5" s="1"/>
  <c r="BE71" i="5"/>
  <c r="BM6" i="5"/>
  <c r="BN42" i="5"/>
  <c r="BN75" i="5" s="1"/>
  <c r="BI42" i="5"/>
  <c r="BI75" i="5" s="1"/>
  <c r="BE75" i="5"/>
  <c r="M23" i="6"/>
  <c r="O23" i="6" s="1"/>
  <c r="BN48" i="4"/>
  <c r="BI48" i="4"/>
  <c r="AG14" i="34"/>
  <c r="AI14" i="34" s="1"/>
  <c r="AG15" i="34"/>
  <c r="AI15" i="34" s="1"/>
  <c r="G13" i="30"/>
  <c r="E18" i="30"/>
  <c r="AK15" i="32"/>
  <c r="AM15" i="32" s="1"/>
  <c r="AK14" i="32"/>
  <c r="AM14" i="32" s="1"/>
  <c r="G14" i="32"/>
  <c r="G15" i="32"/>
  <c r="I15" i="32" s="1"/>
  <c r="AN15" i="32" s="1"/>
  <c r="AP8" i="32"/>
  <c r="AZ10" i="35"/>
  <c r="X13" i="37"/>
  <c r="Z13" i="37" s="1"/>
  <c r="H12" i="37"/>
  <c r="H14" i="37" s="1"/>
  <c r="F14" i="37"/>
  <c r="P14" i="36"/>
  <c r="R14" i="36" s="1"/>
  <c r="P13" i="36"/>
  <c r="R13" i="36" s="1"/>
  <c r="U13" i="37"/>
  <c r="W13" i="37" s="1"/>
  <c r="J14" i="36"/>
  <c r="L14" i="36" s="1"/>
  <c r="J13" i="36"/>
  <c r="L13" i="36" s="1"/>
  <c r="AP13" i="36" s="1"/>
  <c r="AP16" i="36" s="1"/>
  <c r="AB15" i="32"/>
  <c r="AD15" i="32" s="1"/>
  <c r="AB14" i="32"/>
  <c r="AD14" i="32" s="1"/>
  <c r="AK19" i="28"/>
  <c r="AM14" i="28"/>
  <c r="AW17" i="31"/>
  <c r="AY17" i="31" s="1"/>
  <c r="AW16" i="31"/>
  <c r="AY16" i="31" s="1"/>
  <c r="AW14" i="31"/>
  <c r="AY14" i="31" s="1"/>
  <c r="AW15" i="31"/>
  <c r="AY15" i="31" s="1"/>
  <c r="AW13" i="31"/>
  <c r="O14" i="29"/>
  <c r="M19" i="29"/>
  <c r="AS20" i="26"/>
  <c r="AZ12" i="27"/>
  <c r="BB12" i="27"/>
  <c r="AG20" i="27"/>
  <c r="AI15" i="27"/>
  <c r="BB12" i="24"/>
  <c r="BB22" i="24" s="1"/>
  <c r="U19" i="22"/>
  <c r="W17" i="22"/>
  <c r="E17" i="25"/>
  <c r="G17" i="25" s="1"/>
  <c r="E18" i="25"/>
  <c r="G18" i="25" s="1"/>
  <c r="E19" i="25"/>
  <c r="G19" i="25" s="1"/>
  <c r="E16" i="25"/>
  <c r="G16" i="25" s="1"/>
  <c r="AZ10" i="25"/>
  <c r="BD10" i="25"/>
  <c r="E15" i="25"/>
  <c r="AW20" i="25"/>
  <c r="AY15" i="25"/>
  <c r="BB12" i="25"/>
  <c r="BB22" i="25" s="1"/>
  <c r="Y18" i="22"/>
  <c r="AA18" i="22" s="1"/>
  <c r="Y16" i="22"/>
  <c r="AA16" i="22" s="1"/>
  <c r="Y17" i="22"/>
  <c r="AA17" i="22" s="1"/>
  <c r="Y15" i="22"/>
  <c r="AZ17" i="21"/>
  <c r="AO19" i="16"/>
  <c r="AQ19" i="16" s="1"/>
  <c r="BE19" i="16" s="1"/>
  <c r="AO22" i="16"/>
  <c r="AQ22" i="16" s="1"/>
  <c r="AO23" i="16"/>
  <c r="AQ23" i="16" s="1"/>
  <c r="AO16" i="16"/>
  <c r="AO18" i="16"/>
  <c r="AQ18" i="16" s="1"/>
  <c r="AO17" i="16"/>
  <c r="AQ17" i="16" s="1"/>
  <c r="AO20" i="16"/>
  <c r="AQ20" i="16" s="1"/>
  <c r="BE20" i="16" s="1"/>
  <c r="AO21" i="16"/>
  <c r="AQ21" i="16" s="1"/>
  <c r="O16" i="20"/>
  <c r="M20" i="20"/>
  <c r="Y20" i="20"/>
  <c r="AA16" i="20"/>
  <c r="AK20" i="20"/>
  <c r="AM16" i="20"/>
  <c r="M18" i="19"/>
  <c r="O18" i="19" s="1"/>
  <c r="AZ18" i="19" s="1"/>
  <c r="M19" i="19"/>
  <c r="O19" i="19" s="1"/>
  <c r="AZ19" i="19" s="1"/>
  <c r="M17" i="19"/>
  <c r="O17" i="19" s="1"/>
  <c r="AZ17" i="19" s="1"/>
  <c r="M16" i="19"/>
  <c r="AZ10" i="19"/>
  <c r="BE10" i="16"/>
  <c r="I20" i="16"/>
  <c r="K20" i="16" s="1"/>
  <c r="I21" i="16"/>
  <c r="K21" i="16" s="1"/>
  <c r="I23" i="16"/>
  <c r="K23" i="16" s="1"/>
  <c r="I17" i="16"/>
  <c r="K17" i="16" s="1"/>
  <c r="I16" i="16"/>
  <c r="I22" i="16"/>
  <c r="K22" i="16" s="1"/>
  <c r="I18" i="16"/>
  <c r="K18" i="16" s="1"/>
  <c r="I19" i="16"/>
  <c r="K19" i="16" s="1"/>
  <c r="AZ10" i="16"/>
  <c r="BE13" i="15"/>
  <c r="BE26" i="15" s="1"/>
  <c r="U21" i="14"/>
  <c r="W21" i="14" s="1"/>
  <c r="U22" i="14"/>
  <c r="W22" i="14" s="1"/>
  <c r="U17" i="14"/>
  <c r="W17" i="14" s="1"/>
  <c r="U18" i="14"/>
  <c r="W18" i="14" s="1"/>
  <c r="U16" i="14"/>
  <c r="U23" i="14"/>
  <c r="W23" i="14" s="1"/>
  <c r="U37" i="14"/>
  <c r="U19" i="14"/>
  <c r="W19" i="14" s="1"/>
  <c r="U20" i="14"/>
  <c r="W20" i="14" s="1"/>
  <c r="E19" i="12"/>
  <c r="G19" i="12" s="1"/>
  <c r="E18" i="12"/>
  <c r="G18" i="12" s="1"/>
  <c r="E17" i="12"/>
  <c r="G17" i="12" s="1"/>
  <c r="E23" i="12"/>
  <c r="G23" i="12" s="1"/>
  <c r="BB10" i="12"/>
  <c r="E16" i="12"/>
  <c r="AZ10" i="12"/>
  <c r="E21" i="12"/>
  <c r="G21" i="12" s="1"/>
  <c r="E20" i="12"/>
  <c r="G20" i="12" s="1"/>
  <c r="E22" i="12"/>
  <c r="G22" i="12" s="1"/>
  <c r="BE10" i="12"/>
  <c r="AO21" i="12"/>
  <c r="AQ21" i="12" s="1"/>
  <c r="AO20" i="12"/>
  <c r="AQ20" i="12" s="1"/>
  <c r="AO19" i="12"/>
  <c r="AQ19" i="12" s="1"/>
  <c r="AO22" i="12"/>
  <c r="AQ22" i="12" s="1"/>
  <c r="AO18" i="12"/>
  <c r="AQ18" i="12" s="1"/>
  <c r="AO17" i="12"/>
  <c r="AQ17" i="12" s="1"/>
  <c r="AO23" i="12"/>
  <c r="AQ23" i="12" s="1"/>
  <c r="AO16" i="12"/>
  <c r="Y19" i="14"/>
  <c r="AA19" i="14" s="1"/>
  <c r="Y22" i="14"/>
  <c r="AA22" i="14" s="1"/>
  <c r="Y17" i="14"/>
  <c r="AA17" i="14" s="1"/>
  <c r="Y18" i="14"/>
  <c r="AA18" i="14" s="1"/>
  <c r="Y16" i="14"/>
  <c r="Y23" i="14"/>
  <c r="AA23" i="14" s="1"/>
  <c r="Y20" i="14"/>
  <c r="AA20" i="14" s="1"/>
  <c r="Y21" i="14"/>
  <c r="AA21" i="14" s="1"/>
  <c r="Y37" i="14"/>
  <c r="AZ13" i="15"/>
  <c r="AZ26" i="15" s="1"/>
  <c r="Y24" i="13"/>
  <c r="AA16" i="13"/>
  <c r="AZ22" i="13"/>
  <c r="BE13" i="13"/>
  <c r="BE26" i="13" s="1"/>
  <c r="AK26" i="10"/>
  <c r="AM16" i="10"/>
  <c r="BB13" i="9"/>
  <c r="AC22" i="8"/>
  <c r="AE22" i="8" s="1"/>
  <c r="AC25" i="8"/>
  <c r="AE25" i="8" s="1"/>
  <c r="AC20" i="8"/>
  <c r="AE20" i="8" s="1"/>
  <c r="AC24" i="8"/>
  <c r="AE24" i="8" s="1"/>
  <c r="AC23" i="8"/>
  <c r="AE23" i="8" s="1"/>
  <c r="AC17" i="8"/>
  <c r="AE17" i="8" s="1"/>
  <c r="AC16" i="8"/>
  <c r="AC18" i="8"/>
  <c r="AE18" i="8" s="1"/>
  <c r="AC21" i="8"/>
  <c r="AE21" i="8" s="1"/>
  <c r="AC19" i="8"/>
  <c r="AE19" i="8" s="1"/>
  <c r="G16" i="10"/>
  <c r="E26" i="10"/>
  <c r="S22" i="6"/>
  <c r="AK21" i="5"/>
  <c r="AK30" i="5"/>
  <c r="AM30" i="5" s="1"/>
  <c r="BG30" i="5" s="1"/>
  <c r="AK28" i="5"/>
  <c r="AM28" i="5" s="1"/>
  <c r="BG28" i="5" s="1"/>
  <c r="AK20" i="5"/>
  <c r="AK19" i="5"/>
  <c r="AK26" i="5"/>
  <c r="AM26" i="5" s="1"/>
  <c r="AK25" i="5"/>
  <c r="AM25" i="5" s="1"/>
  <c r="BG25" i="5" s="1"/>
  <c r="AK24" i="5"/>
  <c r="AM24" i="5" s="1"/>
  <c r="BG24" i="5" s="1"/>
  <c r="AK23" i="5"/>
  <c r="AM23" i="5" s="1"/>
  <c r="BG23" i="5" s="1"/>
  <c r="AK27" i="5"/>
  <c r="AM27" i="5" s="1"/>
  <c r="AK22" i="5"/>
  <c r="AK29" i="5"/>
  <c r="AM29" i="5" s="1"/>
  <c r="BG29" i="5" s="1"/>
  <c r="AQ22" i="5"/>
  <c r="BM9" i="5"/>
  <c r="AY21" i="5"/>
  <c r="BE72" i="5"/>
  <c r="BN39" i="5"/>
  <c r="BN72" i="5" s="1"/>
  <c r="BI39" i="5"/>
  <c r="BI72" i="5" s="1"/>
  <c r="M24" i="6"/>
  <c r="O24" i="6" s="1"/>
  <c r="AG26" i="7"/>
  <c r="AI17" i="7"/>
  <c r="BN43" i="4"/>
  <c r="BI43" i="4"/>
  <c r="F15" i="3"/>
  <c r="B14" i="3" s="1"/>
  <c r="G21" i="4"/>
  <c r="AZ12" i="4"/>
  <c r="L36" i="4"/>
  <c r="P19" i="4"/>
  <c r="AR22" i="4"/>
  <c r="M19" i="4"/>
  <c r="AI13" i="31"/>
  <c r="AG18" i="31"/>
  <c r="AG13" i="37"/>
  <c r="AI13" i="37" s="1"/>
  <c r="AG12" i="37"/>
  <c r="AI12" i="37" s="1"/>
  <c r="AM13" i="35"/>
  <c r="AK18" i="35"/>
  <c r="AU13" i="31"/>
  <c r="AS18" i="31"/>
  <c r="AP14" i="36"/>
  <c r="AP17" i="36" s="1"/>
  <c r="AO18" i="36" s="1"/>
  <c r="M16" i="31"/>
  <c r="O16" i="31" s="1"/>
  <c r="M13" i="31"/>
  <c r="M14" i="31"/>
  <c r="O14" i="31" s="1"/>
  <c r="M17" i="31"/>
  <c r="O17" i="31" s="1"/>
  <c r="M15" i="31"/>
  <c r="O15" i="31" s="1"/>
  <c r="E18" i="35"/>
  <c r="AP10" i="36"/>
  <c r="AN10" i="36"/>
  <c r="E15" i="31"/>
  <c r="G15" i="31" s="1"/>
  <c r="E13" i="31"/>
  <c r="E17" i="31"/>
  <c r="G17" i="31" s="1"/>
  <c r="E16" i="31"/>
  <c r="G16" i="31" s="1"/>
  <c r="E14" i="31"/>
  <c r="G14" i="31" s="1"/>
  <c r="BB8" i="31"/>
  <c r="AZ8" i="31"/>
  <c r="AZ8" i="35"/>
  <c r="I14" i="34"/>
  <c r="K14" i="34" s="1"/>
  <c r="I15" i="34"/>
  <c r="K15" i="34" s="1"/>
  <c r="Y19" i="28"/>
  <c r="AA14" i="28"/>
  <c r="G15" i="36"/>
  <c r="I13" i="36"/>
  <c r="I15" i="36" s="1"/>
  <c r="Y14" i="32"/>
  <c r="AA14" i="32" s="1"/>
  <c r="Y15" i="32"/>
  <c r="AA15" i="32" s="1"/>
  <c r="AS16" i="29"/>
  <c r="AU16" i="29" s="1"/>
  <c r="AS15" i="29"/>
  <c r="AU15" i="29" s="1"/>
  <c r="AS14" i="29"/>
  <c r="AS17" i="29"/>
  <c r="AU17" i="29" s="1"/>
  <c r="AS18" i="29"/>
  <c r="AU18" i="29" s="1"/>
  <c r="U18" i="35"/>
  <c r="W13" i="35"/>
  <c r="AC18" i="30"/>
  <c r="AI13" i="30"/>
  <c r="AG18" i="30"/>
  <c r="AM13" i="31"/>
  <c r="AK18" i="31"/>
  <c r="U16" i="27"/>
  <c r="W16" i="27" s="1"/>
  <c r="BB16" i="27" s="1"/>
  <c r="U17" i="27"/>
  <c r="W17" i="27" s="1"/>
  <c r="BB17" i="27" s="1"/>
  <c r="U18" i="27"/>
  <c r="W18" i="27" s="1"/>
  <c r="BB18" i="27" s="1"/>
  <c r="U15" i="27"/>
  <c r="U19" i="27"/>
  <c r="W19" i="27" s="1"/>
  <c r="BB19" i="27" s="1"/>
  <c r="AO18" i="28"/>
  <c r="AQ18" i="28" s="1"/>
  <c r="BD18" i="28" s="1"/>
  <c r="AO17" i="28"/>
  <c r="AQ17" i="28" s="1"/>
  <c r="AO16" i="28"/>
  <c r="AQ16" i="28" s="1"/>
  <c r="AO14" i="28"/>
  <c r="AO15" i="28"/>
  <c r="AQ15" i="28" s="1"/>
  <c r="M20" i="27"/>
  <c r="O15" i="27"/>
  <c r="BD12" i="27"/>
  <c r="AC19" i="25"/>
  <c r="AE19" i="25" s="1"/>
  <c r="AC18" i="25"/>
  <c r="AE18" i="25" s="1"/>
  <c r="BD18" i="25" s="1"/>
  <c r="AC15" i="25"/>
  <c r="AC16" i="25"/>
  <c r="AE16" i="25" s="1"/>
  <c r="BD16" i="25" s="1"/>
  <c r="AC17" i="25"/>
  <c r="AE17" i="25" s="1"/>
  <c r="Y19" i="29"/>
  <c r="AA14" i="29"/>
  <c r="AM15" i="26"/>
  <c r="AK20" i="26"/>
  <c r="AZ10" i="26"/>
  <c r="AK17" i="21"/>
  <c r="AM17" i="21" s="1"/>
  <c r="AK18" i="21"/>
  <c r="AM18" i="21" s="1"/>
  <c r="AK15" i="21"/>
  <c r="AK16" i="21"/>
  <c r="AM16" i="21" s="1"/>
  <c r="O15" i="21"/>
  <c r="M19" i="21"/>
  <c r="U20" i="19"/>
  <c r="W16" i="19"/>
  <c r="S15" i="22"/>
  <c r="Q19" i="22"/>
  <c r="AZ19" i="20"/>
  <c r="S16" i="20"/>
  <c r="Q20" i="20"/>
  <c r="BD10" i="19"/>
  <c r="BD32" i="19" s="1"/>
  <c r="BD35" i="19" s="1"/>
  <c r="AS19" i="17"/>
  <c r="AU19" i="17" s="1"/>
  <c r="BE19" i="17" s="1"/>
  <c r="AS20" i="17"/>
  <c r="AU20" i="17" s="1"/>
  <c r="AS17" i="17"/>
  <c r="AU17" i="17" s="1"/>
  <c r="AS23" i="17"/>
  <c r="AU23" i="17" s="1"/>
  <c r="BE23" i="17" s="1"/>
  <c r="BG23" i="17" s="1"/>
  <c r="BG33" i="17" s="1"/>
  <c r="AS21" i="17"/>
  <c r="AU21" i="17" s="1"/>
  <c r="AS16" i="17"/>
  <c r="AS18" i="17"/>
  <c r="AU18" i="17" s="1"/>
  <c r="BE18" i="17" s="1"/>
  <c r="AS22" i="17"/>
  <c r="AU22" i="17" s="1"/>
  <c r="BB13" i="19"/>
  <c r="BB22" i="19" s="1"/>
  <c r="AK22" i="18"/>
  <c r="AM22" i="18" s="1"/>
  <c r="AK18" i="18"/>
  <c r="AM18" i="18" s="1"/>
  <c r="AK17" i="18"/>
  <c r="AM17" i="18" s="1"/>
  <c r="AK19" i="18"/>
  <c r="AM19" i="18" s="1"/>
  <c r="AK21" i="18"/>
  <c r="AM21" i="18" s="1"/>
  <c r="AK23" i="18"/>
  <c r="AM23" i="18" s="1"/>
  <c r="AK20" i="18"/>
  <c r="AM20" i="18" s="1"/>
  <c r="AK16" i="18"/>
  <c r="BE13" i="16"/>
  <c r="AZ10" i="15"/>
  <c r="AS24" i="14"/>
  <c r="AW24" i="17"/>
  <c r="AY16" i="17"/>
  <c r="AO24" i="17"/>
  <c r="AQ16" i="17"/>
  <c r="BB10" i="16"/>
  <c r="U44" i="14"/>
  <c r="O17" i="13"/>
  <c r="AZ17" i="13" s="1"/>
  <c r="M24" i="13"/>
  <c r="BC26" i="14"/>
  <c r="AZ50" i="14"/>
  <c r="AS24" i="15"/>
  <c r="E44" i="14"/>
  <c r="BF26" i="12"/>
  <c r="M18" i="10"/>
  <c r="O18" i="10" s="1"/>
  <c r="AZ18" i="10" s="1"/>
  <c r="M24" i="10"/>
  <c r="O24" i="10" s="1"/>
  <c r="AZ24" i="10" s="1"/>
  <c r="BA24" i="10" s="1"/>
  <c r="M23" i="10"/>
  <c r="O23" i="10" s="1"/>
  <c r="AZ23" i="10" s="1"/>
  <c r="M21" i="10"/>
  <c r="O21" i="10" s="1"/>
  <c r="AZ21" i="10" s="1"/>
  <c r="M22" i="10"/>
  <c r="O22" i="10" s="1"/>
  <c r="AZ22" i="10" s="1"/>
  <c r="M16" i="10"/>
  <c r="M25" i="10"/>
  <c r="O25" i="10" s="1"/>
  <c r="AZ25" i="10" s="1"/>
  <c r="BA25" i="10" s="1"/>
  <c r="M19" i="10"/>
  <c r="O19" i="10" s="1"/>
  <c r="AZ19" i="10" s="1"/>
  <c r="M17" i="10"/>
  <c r="O17" i="10" s="1"/>
  <c r="AZ17" i="10" s="1"/>
  <c r="M20" i="10"/>
  <c r="O20" i="10" s="1"/>
  <c r="AZ20" i="10" s="1"/>
  <c r="AZ22" i="9"/>
  <c r="AZ10" i="10"/>
  <c r="AU17" i="7"/>
  <c r="AS26" i="7"/>
  <c r="AY20" i="6"/>
  <c r="BJ9" i="6"/>
  <c r="AZ13" i="9"/>
  <c r="AO30" i="5"/>
  <c r="AQ30" i="5" s="1"/>
  <c r="BM30" i="5" s="1"/>
  <c r="BM11" i="5"/>
  <c r="K22" i="6"/>
  <c r="AA21" i="5"/>
  <c r="K20" i="5"/>
  <c r="AS31" i="5"/>
  <c r="AU19" i="5"/>
  <c r="M27" i="6"/>
  <c r="O27" i="6" s="1"/>
  <c r="BC12" i="4"/>
  <c r="BA39" i="4"/>
  <c r="BE39" i="4" s="1"/>
  <c r="AZ78" i="4"/>
  <c r="G15" i="26"/>
  <c r="E20" i="26"/>
  <c r="M17" i="23"/>
  <c r="O17" i="23" s="1"/>
  <c r="M16" i="23"/>
  <c r="O16" i="23" s="1"/>
  <c r="AZ16" i="23" s="1"/>
  <c r="M15" i="23"/>
  <c r="M18" i="23"/>
  <c r="O18" i="23" s="1"/>
  <c r="AZ18" i="23" s="1"/>
  <c r="AI16" i="20"/>
  <c r="AG20" i="20"/>
  <c r="M15" i="24"/>
  <c r="M19" i="24"/>
  <c r="O19" i="24" s="1"/>
  <c r="M18" i="24"/>
  <c r="O18" i="24" s="1"/>
  <c r="M17" i="24"/>
  <c r="O17" i="24" s="1"/>
  <c r="M16" i="24"/>
  <c r="O16" i="24" s="1"/>
  <c r="AO19" i="21"/>
  <c r="AQ15" i="21"/>
  <c r="U16" i="20"/>
  <c r="U18" i="20"/>
  <c r="W18" i="20" s="1"/>
  <c r="BB18" i="20" s="1"/>
  <c r="U19" i="20"/>
  <c r="W19" i="20" s="1"/>
  <c r="BB19" i="20" s="1"/>
  <c r="U17" i="20"/>
  <c r="W17" i="20" s="1"/>
  <c r="U24" i="18"/>
  <c r="W16" i="18"/>
  <c r="AE15" i="21"/>
  <c r="AC19" i="21"/>
  <c r="Q24" i="17"/>
  <c r="S16" i="17"/>
  <c r="M20" i="17"/>
  <c r="O20" i="17" s="1"/>
  <c r="AZ20" i="17" s="1"/>
  <c r="BA20" i="17" s="1"/>
  <c r="BA30" i="17" s="1"/>
  <c r="M17" i="17"/>
  <c r="O17" i="17" s="1"/>
  <c r="AZ17" i="17" s="1"/>
  <c r="M18" i="17"/>
  <c r="O18" i="17" s="1"/>
  <c r="AZ18" i="17" s="1"/>
  <c r="M23" i="17"/>
  <c r="O23" i="17" s="1"/>
  <c r="AZ23" i="17" s="1"/>
  <c r="BA23" i="17" s="1"/>
  <c r="BA33" i="17" s="1"/>
  <c r="M21" i="17"/>
  <c r="O21" i="17" s="1"/>
  <c r="AZ21" i="17" s="1"/>
  <c r="BA21" i="17" s="1"/>
  <c r="BA31" i="17" s="1"/>
  <c r="M16" i="17"/>
  <c r="M22" i="17"/>
  <c r="O22" i="17" s="1"/>
  <c r="AZ22" i="17" s="1"/>
  <c r="BA22" i="17" s="1"/>
  <c r="BA32" i="17" s="1"/>
  <c r="M19" i="17"/>
  <c r="O19" i="17" s="1"/>
  <c r="AZ19" i="17" s="1"/>
  <c r="I19" i="14"/>
  <c r="K19" i="14" s="1"/>
  <c r="I20" i="14"/>
  <c r="K20" i="14" s="1"/>
  <c r="AZ10" i="14"/>
  <c r="I17" i="14"/>
  <c r="K17" i="14" s="1"/>
  <c r="I37" i="14"/>
  <c r="I23" i="14"/>
  <c r="K23" i="14" s="1"/>
  <c r="I18" i="14"/>
  <c r="K18" i="14" s="1"/>
  <c r="I16" i="14"/>
  <c r="I21" i="14"/>
  <c r="K21" i="14" s="1"/>
  <c r="I22" i="14"/>
  <c r="K22" i="14" s="1"/>
  <c r="Y19" i="15"/>
  <c r="AA19" i="15" s="1"/>
  <c r="BB19" i="15" s="1"/>
  <c r="Y22" i="15"/>
  <c r="AA22" i="15" s="1"/>
  <c r="BB22" i="15" s="1"/>
  <c r="Y18" i="15"/>
  <c r="AA18" i="15" s="1"/>
  <c r="BB18" i="15" s="1"/>
  <c r="Y21" i="15"/>
  <c r="AA21" i="15" s="1"/>
  <c r="Y17" i="15"/>
  <c r="AA17" i="15" s="1"/>
  <c r="BB17" i="15" s="1"/>
  <c r="Y20" i="15"/>
  <c r="AA20" i="15" s="1"/>
  <c r="BB20" i="15" s="1"/>
  <c r="Y16" i="15"/>
  <c r="Y23" i="15"/>
  <c r="AA23" i="15" s="1"/>
  <c r="BB23" i="15" s="1"/>
  <c r="BB13" i="16"/>
  <c r="U18" i="13"/>
  <c r="W18" i="13" s="1"/>
  <c r="BB18" i="13" s="1"/>
  <c r="U16" i="13"/>
  <c r="U22" i="13"/>
  <c r="W22" i="13" s="1"/>
  <c r="BB22" i="13" s="1"/>
  <c r="U17" i="13"/>
  <c r="W17" i="13" s="1"/>
  <c r="BB17" i="13" s="1"/>
  <c r="U19" i="13"/>
  <c r="W19" i="13" s="1"/>
  <c r="BB19" i="13" s="1"/>
  <c r="U20" i="13"/>
  <c r="W20" i="13" s="1"/>
  <c r="BB20" i="13" s="1"/>
  <c r="U21" i="13"/>
  <c r="W21" i="13" s="1"/>
  <c r="U23" i="13"/>
  <c r="W23" i="13" s="1"/>
  <c r="BB23" i="13" s="1"/>
  <c r="K16" i="15"/>
  <c r="I24" i="15"/>
  <c r="Q20" i="13"/>
  <c r="S20" i="13" s="1"/>
  <c r="Q18" i="13"/>
  <c r="S18" i="13" s="1"/>
  <c r="Q17" i="13"/>
  <c r="S17" i="13" s="1"/>
  <c r="Q16" i="13"/>
  <c r="Q21" i="13"/>
  <c r="S21" i="13" s="1"/>
  <c r="Q19" i="13"/>
  <c r="S19" i="13" s="1"/>
  <c r="Q22" i="13"/>
  <c r="S22" i="13" s="1"/>
  <c r="Q23" i="13"/>
  <c r="S23" i="13" s="1"/>
  <c r="AW17" i="12"/>
  <c r="AY17" i="12" s="1"/>
  <c r="AW16" i="12"/>
  <c r="AW20" i="12"/>
  <c r="AY20" i="12" s="1"/>
  <c r="AW23" i="12"/>
  <c r="AY23" i="12" s="1"/>
  <c r="AW18" i="12"/>
  <c r="AY18" i="12" s="1"/>
  <c r="AW22" i="12"/>
  <c r="AY22" i="12" s="1"/>
  <c r="AW21" i="12"/>
  <c r="AY21" i="12" s="1"/>
  <c r="AW19" i="12"/>
  <c r="AY19" i="12" s="1"/>
  <c r="Q22" i="11"/>
  <c r="S22" i="11" s="1"/>
  <c r="BB22" i="11" s="1"/>
  <c r="Q17" i="11"/>
  <c r="S17" i="11" s="1"/>
  <c r="Q19" i="11"/>
  <c r="S19" i="11" s="1"/>
  <c r="BB19" i="11" s="1"/>
  <c r="Q16" i="11"/>
  <c r="Q20" i="11"/>
  <c r="S20" i="11" s="1"/>
  <c r="BB20" i="11" s="1"/>
  <c r="Q21" i="11"/>
  <c r="S21" i="11" s="1"/>
  <c r="Q23" i="11"/>
  <c r="S23" i="11" s="1"/>
  <c r="Q18" i="11"/>
  <c r="S18" i="11" s="1"/>
  <c r="BB18" i="11" s="1"/>
  <c r="AZ19" i="9"/>
  <c r="K16" i="9"/>
  <c r="I26" i="9"/>
  <c r="AG26" i="9"/>
  <c r="AI16" i="9"/>
  <c r="M23" i="7"/>
  <c r="O23" i="7" s="1"/>
  <c r="AZ23" i="7" s="1"/>
  <c r="M24" i="7"/>
  <c r="O24" i="7" s="1"/>
  <c r="AZ24" i="7" s="1"/>
  <c r="M22" i="7"/>
  <c r="O22" i="7" s="1"/>
  <c r="M20" i="7"/>
  <c r="O20" i="7" s="1"/>
  <c r="AZ20" i="7" s="1"/>
  <c r="M19" i="7"/>
  <c r="O19" i="7" s="1"/>
  <c r="AZ19" i="7" s="1"/>
  <c r="M18" i="7"/>
  <c r="O18" i="7" s="1"/>
  <c r="AZ18" i="7" s="1"/>
  <c r="M25" i="7"/>
  <c r="O25" i="7" s="1"/>
  <c r="M21" i="7"/>
  <c r="O21" i="7" s="1"/>
  <c r="M17" i="7"/>
  <c r="M26" i="9"/>
  <c r="O16" i="9"/>
  <c r="I24" i="11"/>
  <c r="AG26" i="8"/>
  <c r="AI16" i="8"/>
  <c r="AO26" i="6"/>
  <c r="AQ26" i="6" s="1"/>
  <c r="AO25" i="6"/>
  <c r="AQ25" i="6" s="1"/>
  <c r="AO21" i="6"/>
  <c r="AO27" i="6"/>
  <c r="AQ27" i="6" s="1"/>
  <c r="AO24" i="6"/>
  <c r="AQ24" i="6" s="1"/>
  <c r="BH12" i="6"/>
  <c r="AO22" i="6"/>
  <c r="AO19" i="6"/>
  <c r="AO23" i="6"/>
  <c r="AQ23" i="6" s="1"/>
  <c r="AO20" i="6"/>
  <c r="BJ14" i="7"/>
  <c r="U26" i="9"/>
  <c r="I25" i="7"/>
  <c r="K25" i="7" s="1"/>
  <c r="I21" i="7"/>
  <c r="K21" i="7" s="1"/>
  <c r="I18" i="7"/>
  <c r="K18" i="7" s="1"/>
  <c r="I17" i="7"/>
  <c r="Y22" i="7"/>
  <c r="AA22" i="7" s="1"/>
  <c r="BB22" i="7" s="1"/>
  <c r="Y24" i="7"/>
  <c r="AA24" i="7" s="1"/>
  <c r="BB24" i="7" s="1"/>
  <c r="Y25" i="7"/>
  <c r="AA25" i="7" s="1"/>
  <c r="BB25" i="7" s="1"/>
  <c r="Y23" i="7"/>
  <c r="AA23" i="7" s="1"/>
  <c r="BB23" i="7" s="1"/>
  <c r="Y17" i="7"/>
  <c r="Y21" i="7"/>
  <c r="AA21" i="7" s="1"/>
  <c r="Y19" i="7"/>
  <c r="AA19" i="7" s="1"/>
  <c r="BB19" i="7" s="1"/>
  <c r="Y18" i="7"/>
  <c r="AA18" i="7" s="1"/>
  <c r="BB18" i="7" s="1"/>
  <c r="Y20" i="7"/>
  <c r="AA20" i="7" s="1"/>
  <c r="BB20" i="7" s="1"/>
  <c r="AA22" i="6"/>
  <c r="Q30" i="5"/>
  <c r="S30" i="5" s="1"/>
  <c r="Q28" i="5"/>
  <c r="S28" i="5" s="1"/>
  <c r="Q22" i="5"/>
  <c r="Q29" i="5"/>
  <c r="S29" i="5" s="1"/>
  <c r="BC29" i="5" s="1"/>
  <c r="BF29" i="5" s="1"/>
  <c r="BF44" i="5" s="1"/>
  <c r="BF77" i="5" s="1"/>
  <c r="Q26" i="5"/>
  <c r="S26" i="5" s="1"/>
  <c r="BC26" i="5" s="1"/>
  <c r="Q25" i="5"/>
  <c r="S25" i="5" s="1"/>
  <c r="BC25" i="5" s="1"/>
  <c r="Q24" i="5"/>
  <c r="S24" i="5" s="1"/>
  <c r="BC24" i="5" s="1"/>
  <c r="Q23" i="5"/>
  <c r="S23" i="5" s="1"/>
  <c r="BC23" i="5" s="1"/>
  <c r="Q21" i="5"/>
  <c r="Q20" i="5"/>
  <c r="BC12" i="5"/>
  <c r="Q19" i="5"/>
  <c r="Q27" i="5"/>
  <c r="S27" i="5" s="1"/>
  <c r="BM16" i="5"/>
  <c r="AA22" i="5"/>
  <c r="AY22" i="5"/>
  <c r="K22" i="5"/>
  <c r="K21" i="5"/>
  <c r="AZ16" i="5"/>
  <c r="AZ34" i="5" s="1"/>
  <c r="M20" i="6"/>
  <c r="G22" i="4"/>
  <c r="Q18" i="30"/>
  <c r="S13" i="30"/>
  <c r="AS19" i="24"/>
  <c r="AU19" i="24" s="1"/>
  <c r="BD19" i="24" s="1"/>
  <c r="AS15" i="24"/>
  <c r="AS16" i="24"/>
  <c r="AU16" i="24" s="1"/>
  <c r="BD16" i="24" s="1"/>
  <c r="AS18" i="24"/>
  <c r="AU18" i="24" s="1"/>
  <c r="AS17" i="24"/>
  <c r="AU17" i="24" s="1"/>
  <c r="BD17" i="24" s="1"/>
  <c r="Y19" i="26"/>
  <c r="AA19" i="26" s="1"/>
  <c r="Y15" i="26"/>
  <c r="Y16" i="26"/>
  <c r="AA16" i="26" s="1"/>
  <c r="BB16" i="26" s="1"/>
  <c r="Y17" i="26"/>
  <c r="AA17" i="26" s="1"/>
  <c r="BB17" i="26" s="1"/>
  <c r="Y18" i="26"/>
  <c r="AA18" i="26" s="1"/>
  <c r="Q18" i="26"/>
  <c r="S18" i="26" s="1"/>
  <c r="Q17" i="26"/>
  <c r="S17" i="26" s="1"/>
  <c r="Q19" i="26"/>
  <c r="S19" i="26" s="1"/>
  <c r="Q16" i="26"/>
  <c r="S16" i="26" s="1"/>
  <c r="Q15" i="26"/>
  <c r="AZ12" i="23"/>
  <c r="AZ21" i="23" s="1"/>
  <c r="BB12" i="23"/>
  <c r="BB21" i="23" s="1"/>
  <c r="AW19" i="23"/>
  <c r="AY15" i="23"/>
  <c r="U19" i="21"/>
  <c r="W15" i="21"/>
  <c r="AG12" i="38"/>
  <c r="AI12" i="38" s="1"/>
  <c r="AG13" i="38"/>
  <c r="AI13" i="38" s="1"/>
  <c r="M17" i="35"/>
  <c r="O17" i="35" s="1"/>
  <c r="AZ17" i="35" s="1"/>
  <c r="BA17" i="35" s="1"/>
  <c r="M15" i="35"/>
  <c r="O15" i="35" s="1"/>
  <c r="AZ15" i="35" s="1"/>
  <c r="BA15" i="35" s="1"/>
  <c r="M14" i="35"/>
  <c r="O14" i="35" s="1"/>
  <c r="AZ14" i="35" s="1"/>
  <c r="M16" i="35"/>
  <c r="O16" i="35" s="1"/>
  <c r="M13" i="35"/>
  <c r="AD15" i="34"/>
  <c r="AF15" i="34" s="1"/>
  <c r="AD14" i="34"/>
  <c r="AF14" i="34" s="1"/>
  <c r="AC18" i="35"/>
  <c r="AE13" i="35"/>
  <c r="AO16" i="30"/>
  <c r="AQ16" i="30" s="1"/>
  <c r="BB16" i="30" s="1"/>
  <c r="BB23" i="30" s="1"/>
  <c r="AO15" i="30"/>
  <c r="AQ15" i="30" s="1"/>
  <c r="BB15" i="30" s="1"/>
  <c r="BB22" i="30" s="1"/>
  <c r="AO13" i="30"/>
  <c r="AO14" i="30"/>
  <c r="AQ14" i="30" s="1"/>
  <c r="BB14" i="30" s="1"/>
  <c r="AO17" i="30"/>
  <c r="AQ17" i="30" s="1"/>
  <c r="BB17" i="30" s="1"/>
  <c r="BB24" i="30" s="1"/>
  <c r="AG18" i="35"/>
  <c r="Q18" i="31"/>
  <c r="S13" i="31"/>
  <c r="U17" i="31"/>
  <c r="W17" i="31" s="1"/>
  <c r="AZ17" i="31" s="1"/>
  <c r="BA17" i="31" s="1"/>
  <c r="U14" i="31"/>
  <c r="W14" i="31" s="1"/>
  <c r="AZ14" i="31" s="1"/>
  <c r="U13" i="31"/>
  <c r="U16" i="31"/>
  <c r="W16" i="31" s="1"/>
  <c r="U15" i="31"/>
  <c r="W15" i="31" s="1"/>
  <c r="AZ9" i="28"/>
  <c r="E16" i="28"/>
  <c r="G16" i="28" s="1"/>
  <c r="E14" i="28"/>
  <c r="E17" i="28"/>
  <c r="G17" i="28" s="1"/>
  <c r="E15" i="28"/>
  <c r="G15" i="28" s="1"/>
  <c r="BB9" i="28"/>
  <c r="E18" i="28"/>
  <c r="G18" i="28" s="1"/>
  <c r="AC18" i="27"/>
  <c r="AE18" i="27" s="1"/>
  <c r="AC17" i="27"/>
  <c r="AE17" i="27" s="1"/>
  <c r="AC15" i="27"/>
  <c r="AC19" i="27"/>
  <c r="AE19" i="27" s="1"/>
  <c r="AC16" i="27"/>
  <c r="AE16" i="27" s="1"/>
  <c r="AI14" i="28"/>
  <c r="AG19" i="28"/>
  <c r="AO16" i="27"/>
  <c r="AQ16" i="27" s="1"/>
  <c r="BD16" i="27" s="1"/>
  <c r="AO18" i="27"/>
  <c r="AQ18" i="27" s="1"/>
  <c r="AO15" i="27"/>
  <c r="AO19" i="27"/>
  <c r="AQ19" i="27" s="1"/>
  <c r="AO17" i="27"/>
  <c r="AQ17" i="27" s="1"/>
  <c r="O13" i="30"/>
  <c r="M18" i="30"/>
  <c r="AZ16" i="27"/>
  <c r="BD10" i="27"/>
  <c r="BD10" i="24"/>
  <c r="BD19" i="27"/>
  <c r="AG19" i="23"/>
  <c r="AI15" i="23"/>
  <c r="W15" i="26"/>
  <c r="U20" i="26"/>
  <c r="Q19" i="23"/>
  <c r="S15" i="23"/>
  <c r="AG20" i="25"/>
  <c r="AI15" i="25"/>
  <c r="AO18" i="24"/>
  <c r="AQ18" i="24" s="1"/>
  <c r="BD18" i="24" s="1"/>
  <c r="AO19" i="24"/>
  <c r="AQ19" i="24" s="1"/>
  <c r="AO16" i="24"/>
  <c r="AQ16" i="24" s="1"/>
  <c r="AO15" i="24"/>
  <c r="AO17" i="24"/>
  <c r="AQ17" i="24" s="1"/>
  <c r="AS17" i="22"/>
  <c r="AU17" i="22" s="1"/>
  <c r="AS15" i="22"/>
  <c r="AS18" i="22"/>
  <c r="AU18" i="22" s="1"/>
  <c r="BD18" i="22" s="1"/>
  <c r="AS16" i="22"/>
  <c r="AU16" i="22" s="1"/>
  <c r="AK19" i="23"/>
  <c r="AM15" i="23"/>
  <c r="AY15" i="22"/>
  <c r="AW19" i="22"/>
  <c r="AC19" i="23"/>
  <c r="AO20" i="20"/>
  <c r="I18" i="22"/>
  <c r="K18" i="22" s="1"/>
  <c r="I17" i="22"/>
  <c r="K17" i="22" s="1"/>
  <c r="I15" i="22"/>
  <c r="I16" i="22"/>
  <c r="K16" i="22" s="1"/>
  <c r="BD10" i="20"/>
  <c r="AK16" i="19"/>
  <c r="AK17" i="19"/>
  <c r="AM17" i="19" s="1"/>
  <c r="AK18" i="19"/>
  <c r="AM18" i="19" s="1"/>
  <c r="AK19" i="19"/>
  <c r="AM19" i="19" s="1"/>
  <c r="AK21" i="16"/>
  <c r="AM21" i="16" s="1"/>
  <c r="AK22" i="16"/>
  <c r="AM22" i="16" s="1"/>
  <c r="AK19" i="16"/>
  <c r="AM19" i="16" s="1"/>
  <c r="AK16" i="16"/>
  <c r="AK23" i="16"/>
  <c r="AM23" i="16" s="1"/>
  <c r="AK18" i="16"/>
  <c r="AM18" i="16" s="1"/>
  <c r="AK17" i="16"/>
  <c r="AM17" i="16" s="1"/>
  <c r="BE17" i="16" s="1"/>
  <c r="AK20" i="16"/>
  <c r="AM20" i="16" s="1"/>
  <c r="E24" i="17"/>
  <c r="G16" i="17"/>
  <c r="BB13" i="17"/>
  <c r="BB26" i="17" s="1"/>
  <c r="BC26" i="17" s="1"/>
  <c r="Q19" i="19"/>
  <c r="S19" i="19" s="1"/>
  <c r="Q16" i="19"/>
  <c r="Q18" i="19"/>
  <c r="S18" i="19" s="1"/>
  <c r="Q17" i="19"/>
  <c r="S17" i="19" s="1"/>
  <c r="AK24" i="15"/>
  <c r="AM16" i="15"/>
  <c r="AW24" i="16"/>
  <c r="AY16" i="16"/>
  <c r="I44" i="14"/>
  <c r="AS18" i="18"/>
  <c r="AU18" i="18" s="1"/>
  <c r="AS23" i="18"/>
  <c r="AU23" i="18" s="1"/>
  <c r="BE23" i="18" s="1"/>
  <c r="BG23" i="18" s="1"/>
  <c r="BG33" i="18" s="1"/>
  <c r="AS21" i="18"/>
  <c r="AU21" i="18" s="1"/>
  <c r="BE21" i="18" s="1"/>
  <c r="BG21" i="18" s="1"/>
  <c r="BG31" i="18" s="1"/>
  <c r="AS19" i="18"/>
  <c r="AU19" i="18" s="1"/>
  <c r="AS20" i="18"/>
  <c r="AU20" i="18" s="1"/>
  <c r="AS22" i="18"/>
  <c r="AU22" i="18" s="1"/>
  <c r="BE22" i="18" s="1"/>
  <c r="BG22" i="18" s="1"/>
  <c r="BG32" i="18" s="1"/>
  <c r="AS17" i="18"/>
  <c r="AU17" i="18" s="1"/>
  <c r="AS16" i="18"/>
  <c r="U24" i="16"/>
  <c r="AO21" i="14"/>
  <c r="AQ21" i="14" s="1"/>
  <c r="AO37" i="14"/>
  <c r="AO17" i="14"/>
  <c r="AQ17" i="14" s="1"/>
  <c r="AO22" i="14"/>
  <c r="AQ22" i="14" s="1"/>
  <c r="AO16" i="14"/>
  <c r="AO18" i="14"/>
  <c r="AQ18" i="14" s="1"/>
  <c r="AO19" i="14"/>
  <c r="AQ19" i="14" s="1"/>
  <c r="AO20" i="14"/>
  <c r="AQ20" i="14" s="1"/>
  <c r="AO23" i="14"/>
  <c r="AQ23" i="14" s="1"/>
  <c r="AW24" i="15"/>
  <c r="AY16" i="15"/>
  <c r="AC24" i="15"/>
  <c r="AE16" i="15"/>
  <c r="AW17" i="14"/>
  <c r="AY17" i="14" s="1"/>
  <c r="AW37" i="14"/>
  <c r="AW23" i="14"/>
  <c r="AY23" i="14" s="1"/>
  <c r="BE23" i="14" s="1"/>
  <c r="AW18" i="14"/>
  <c r="AY18" i="14" s="1"/>
  <c r="AW19" i="14"/>
  <c r="AY19" i="14" s="1"/>
  <c r="AW22" i="14"/>
  <c r="AY22" i="14" s="1"/>
  <c r="AW16" i="14"/>
  <c r="AW21" i="14"/>
  <c r="AY21" i="14" s="1"/>
  <c r="AW20" i="14"/>
  <c r="AY20" i="14" s="1"/>
  <c r="BE13" i="14"/>
  <c r="BE26" i="14" s="1"/>
  <c r="BE50" i="14" s="1"/>
  <c r="AE16" i="12"/>
  <c r="AC24" i="12"/>
  <c r="AG23" i="12"/>
  <c r="AI23" i="12" s="1"/>
  <c r="AG22" i="12"/>
  <c r="AI22" i="12" s="1"/>
  <c r="AG17" i="12"/>
  <c r="AI17" i="12" s="1"/>
  <c r="AG20" i="12"/>
  <c r="AI20" i="12" s="1"/>
  <c r="AG19" i="12"/>
  <c r="AI19" i="12" s="1"/>
  <c r="AG18" i="12"/>
  <c r="AI18" i="12" s="1"/>
  <c r="AG21" i="12"/>
  <c r="AI21" i="12" s="1"/>
  <c r="AG16" i="12"/>
  <c r="U24" i="10"/>
  <c r="W24" i="10" s="1"/>
  <c r="BB24" i="10" s="1"/>
  <c r="BD24" i="10" s="1"/>
  <c r="U20" i="10"/>
  <c r="W20" i="10" s="1"/>
  <c r="BB20" i="10" s="1"/>
  <c r="U19" i="10"/>
  <c r="W19" i="10" s="1"/>
  <c r="BB19" i="10" s="1"/>
  <c r="U17" i="10"/>
  <c r="W17" i="10" s="1"/>
  <c r="BB17" i="10" s="1"/>
  <c r="U25" i="10"/>
  <c r="W25" i="10" s="1"/>
  <c r="BB25" i="10" s="1"/>
  <c r="BD25" i="10" s="1"/>
  <c r="U22" i="10"/>
  <c r="W22" i="10" s="1"/>
  <c r="BB22" i="10" s="1"/>
  <c r="U23" i="10"/>
  <c r="W23" i="10" s="1"/>
  <c r="BB23" i="10" s="1"/>
  <c r="U21" i="10"/>
  <c r="W21" i="10" s="1"/>
  <c r="BB21" i="10" s="1"/>
  <c r="U16" i="10"/>
  <c r="U18" i="10"/>
  <c r="W18" i="10" s="1"/>
  <c r="BE18" i="10" s="1"/>
  <c r="AZ13" i="10"/>
  <c r="M24" i="12"/>
  <c r="O16" i="12"/>
  <c r="BI28" i="7"/>
  <c r="BJ28" i="7" s="1"/>
  <c r="AZ23" i="9"/>
  <c r="U16" i="8"/>
  <c r="U23" i="8"/>
  <c r="W23" i="8" s="1"/>
  <c r="BB23" i="8" s="1"/>
  <c r="U18" i="8"/>
  <c r="W18" i="8" s="1"/>
  <c r="BB18" i="8" s="1"/>
  <c r="U25" i="8"/>
  <c r="W25" i="8" s="1"/>
  <c r="BB25" i="8" s="1"/>
  <c r="BD25" i="8" s="1"/>
  <c r="U20" i="8"/>
  <c r="W20" i="8" s="1"/>
  <c r="BB20" i="8" s="1"/>
  <c r="U19" i="8"/>
  <c r="W19" i="8" s="1"/>
  <c r="BB19" i="8" s="1"/>
  <c r="U17" i="8"/>
  <c r="W17" i="8" s="1"/>
  <c r="BE17" i="8" s="1"/>
  <c r="U24" i="8"/>
  <c r="W24" i="8" s="1"/>
  <c r="BB24" i="8" s="1"/>
  <c r="BD24" i="8" s="1"/>
  <c r="U21" i="8"/>
  <c r="W21" i="8" s="1"/>
  <c r="U22" i="8"/>
  <c r="W22" i="8" s="1"/>
  <c r="BE22" i="8" s="1"/>
  <c r="AQ16" i="10"/>
  <c r="AO26" i="10"/>
  <c r="BF30" i="6"/>
  <c r="BJ10" i="7"/>
  <c r="AK21" i="7"/>
  <c r="AM21" i="7" s="1"/>
  <c r="AK17" i="7"/>
  <c r="AK22" i="7"/>
  <c r="AM22" i="7" s="1"/>
  <c r="AK19" i="7"/>
  <c r="AM19" i="7" s="1"/>
  <c r="AK24" i="7"/>
  <c r="AM24" i="7" s="1"/>
  <c r="AK23" i="7"/>
  <c r="AM23" i="7" s="1"/>
  <c r="AK25" i="7"/>
  <c r="AM25" i="7" s="1"/>
  <c r="AK18" i="7"/>
  <c r="AM18" i="7" s="1"/>
  <c r="AK20" i="7"/>
  <c r="AM20" i="7" s="1"/>
  <c r="AY22" i="6"/>
  <c r="AY21" i="6"/>
  <c r="AU20" i="5"/>
  <c r="AG26" i="5"/>
  <c r="AI26" i="5" s="1"/>
  <c r="BC16" i="5"/>
  <c r="BC34" i="5" s="1"/>
  <c r="BC67" i="5" s="1"/>
  <c r="M20" i="5"/>
  <c r="M30" i="5"/>
  <c r="O30" i="5" s="1"/>
  <c r="M28" i="5"/>
  <c r="O28" i="5" s="1"/>
  <c r="M19" i="5"/>
  <c r="M29" i="5"/>
  <c r="O29" i="5" s="1"/>
  <c r="AZ29" i="5" s="1"/>
  <c r="BB29" i="5" s="1"/>
  <c r="BB44" i="5" s="1"/>
  <c r="M26" i="5"/>
  <c r="O26" i="5" s="1"/>
  <c r="BM26" i="5" s="1"/>
  <c r="M25" i="5"/>
  <c r="O25" i="5" s="1"/>
  <c r="M24" i="5"/>
  <c r="O24" i="5" s="1"/>
  <c r="AZ24" i="5" s="1"/>
  <c r="M23" i="5"/>
  <c r="O23" i="5" s="1"/>
  <c r="AZ23" i="5" s="1"/>
  <c r="M27" i="5"/>
  <c r="O27" i="5" s="1"/>
  <c r="M21" i="5"/>
  <c r="M22" i="5"/>
  <c r="BM8" i="5"/>
  <c r="Y28" i="6"/>
  <c r="AA19" i="6"/>
  <c r="BC28" i="5"/>
  <c r="BK23" i="5"/>
  <c r="BM23" i="5"/>
  <c r="M19" i="6"/>
  <c r="M25" i="6"/>
  <c r="O25" i="6" s="1"/>
  <c r="BM16" i="4"/>
  <c r="BC16" i="4"/>
  <c r="BC39" i="4" s="1"/>
  <c r="BC78" i="4" s="1"/>
  <c r="BL78" i="4"/>
  <c r="BM39" i="4"/>
  <c r="BM78" i="4" s="1"/>
  <c r="AS15" i="34"/>
  <c r="AS14" i="34"/>
  <c r="AW19" i="28"/>
  <c r="AY14" i="28"/>
  <c r="I19" i="28"/>
  <c r="K14" i="28"/>
  <c r="K19" i="28" s="1"/>
  <c r="AW17" i="26"/>
  <c r="AY17" i="26" s="1"/>
  <c r="BD17" i="26" s="1"/>
  <c r="AW19" i="26"/>
  <c r="AY19" i="26" s="1"/>
  <c r="BD19" i="26" s="1"/>
  <c r="AW15" i="26"/>
  <c r="AW18" i="26"/>
  <c r="AY18" i="26" s="1"/>
  <c r="BD18" i="26" s="1"/>
  <c r="AW16" i="26"/>
  <c r="AY16" i="26" s="1"/>
  <c r="BD16" i="26" s="1"/>
  <c r="AS18" i="30"/>
  <c r="U20" i="25"/>
  <c r="W15" i="25"/>
  <c r="AZ22" i="26"/>
  <c r="AA15" i="25"/>
  <c r="Y20" i="25"/>
  <c r="BB10" i="22"/>
  <c r="AK20" i="24"/>
  <c r="AM15" i="24"/>
  <c r="I20" i="19"/>
  <c r="K16" i="19"/>
  <c r="Q16" i="21"/>
  <c r="S16" i="21" s="1"/>
  <c r="BB16" i="21" s="1"/>
  <c r="BC16" i="21" s="1"/>
  <c r="BC22" i="21" s="1"/>
  <c r="Q18" i="21"/>
  <c r="S18" i="21" s="1"/>
  <c r="BB18" i="21" s="1"/>
  <c r="Q15" i="21"/>
  <c r="Q17" i="21"/>
  <c r="S17" i="21" s="1"/>
  <c r="BB17" i="21" s="1"/>
  <c r="AI18" i="17"/>
  <c r="AG24" i="17"/>
  <c r="BE18" i="18"/>
  <c r="U16" i="17"/>
  <c r="U20" i="17"/>
  <c r="W20" i="17" s="1"/>
  <c r="BE20" i="17" s="1"/>
  <c r="BG20" i="17" s="1"/>
  <c r="BG30" i="17" s="1"/>
  <c r="U21" i="17"/>
  <c r="W21" i="17" s="1"/>
  <c r="BE21" i="17" s="1"/>
  <c r="BG21" i="17" s="1"/>
  <c r="BG31" i="17" s="1"/>
  <c r="U22" i="17"/>
  <c r="W22" i="17" s="1"/>
  <c r="U17" i="17"/>
  <c r="W17" i="17" s="1"/>
  <c r="U18" i="17"/>
  <c r="W18" i="17" s="1"/>
  <c r="U19" i="17"/>
  <c r="W19" i="17" s="1"/>
  <c r="U23" i="17"/>
  <c r="W23" i="17" s="1"/>
  <c r="BE22" i="17"/>
  <c r="BG22" i="17" s="1"/>
  <c r="BG32" i="17" s="1"/>
  <c r="AE16" i="16"/>
  <c r="AC24" i="16"/>
  <c r="BE20" i="15"/>
  <c r="AK23" i="14"/>
  <c r="AM23" i="14" s="1"/>
  <c r="AK20" i="14"/>
  <c r="AM20" i="14" s="1"/>
  <c r="AK21" i="14"/>
  <c r="AM21" i="14" s="1"/>
  <c r="AK37" i="14"/>
  <c r="AK22" i="14"/>
  <c r="AM22" i="14" s="1"/>
  <c r="AK17" i="14"/>
  <c r="AM17" i="14" s="1"/>
  <c r="AK18" i="14"/>
  <c r="AM18" i="14" s="1"/>
  <c r="AK19" i="14"/>
  <c r="AM19" i="14" s="1"/>
  <c r="AK16" i="14"/>
  <c r="AI16" i="13"/>
  <c r="AG24" i="13"/>
  <c r="I24" i="13"/>
  <c r="K16" i="13"/>
  <c r="AS16" i="13"/>
  <c r="AS23" i="13"/>
  <c r="AU23" i="13" s="1"/>
  <c r="BE23" i="13" s="1"/>
  <c r="AS22" i="13"/>
  <c r="AU22" i="13" s="1"/>
  <c r="BE22" i="13" s="1"/>
  <c r="AS20" i="13"/>
  <c r="AU20" i="13" s="1"/>
  <c r="AS21" i="13"/>
  <c r="AU21" i="13" s="1"/>
  <c r="AS17" i="13"/>
  <c r="AU17" i="13" s="1"/>
  <c r="AS18" i="13"/>
  <c r="AU18" i="13" s="1"/>
  <c r="BE18" i="13" s="1"/>
  <c r="AS19" i="13"/>
  <c r="AU19" i="13" s="1"/>
  <c r="BE19" i="13" s="1"/>
  <c r="E19" i="11"/>
  <c r="G19" i="11" s="1"/>
  <c r="E17" i="11"/>
  <c r="G17" i="11" s="1"/>
  <c r="E16" i="11"/>
  <c r="E21" i="11"/>
  <c r="G21" i="11" s="1"/>
  <c r="BE10" i="11"/>
  <c r="AZ10" i="11"/>
  <c r="E23" i="11"/>
  <c r="G23" i="11" s="1"/>
  <c r="E18" i="11"/>
  <c r="G18" i="11" s="1"/>
  <c r="E20" i="11"/>
  <c r="G20" i="11" s="1"/>
  <c r="E22" i="11"/>
  <c r="G22" i="11" s="1"/>
  <c r="BE22" i="11" s="1"/>
  <c r="AW24" i="13"/>
  <c r="AY16" i="13"/>
  <c r="BE22" i="10"/>
  <c r="I26" i="10"/>
  <c r="K16" i="10"/>
  <c r="Y24" i="11"/>
  <c r="AA16" i="11"/>
  <c r="O16" i="8"/>
  <c r="M26" i="8"/>
  <c r="AO19" i="9"/>
  <c r="AQ19" i="9" s="1"/>
  <c r="AO22" i="9"/>
  <c r="AQ22" i="9" s="1"/>
  <c r="AO24" i="9"/>
  <c r="AQ24" i="9" s="1"/>
  <c r="AO17" i="9"/>
  <c r="AQ17" i="9" s="1"/>
  <c r="BE17" i="9" s="1"/>
  <c r="AO20" i="9"/>
  <c r="AQ20" i="9" s="1"/>
  <c r="AO18" i="9"/>
  <c r="AQ18" i="9" s="1"/>
  <c r="BE18" i="9" s="1"/>
  <c r="AO16" i="9"/>
  <c r="AO25" i="9"/>
  <c r="AQ25" i="9" s="1"/>
  <c r="BE25" i="9" s="1"/>
  <c r="BG25" i="9" s="1"/>
  <c r="AO21" i="9"/>
  <c r="AQ21" i="9" s="1"/>
  <c r="AO23" i="9"/>
  <c r="AQ23" i="9" s="1"/>
  <c r="BE23" i="9" s="1"/>
  <c r="AZ21" i="12"/>
  <c r="AW20" i="7"/>
  <c r="AY20" i="7" s="1"/>
  <c r="AW23" i="7"/>
  <c r="AY23" i="7" s="1"/>
  <c r="AW19" i="7"/>
  <c r="AY19" i="7" s="1"/>
  <c r="AW18" i="7"/>
  <c r="AY18" i="7" s="1"/>
  <c r="AW25" i="7"/>
  <c r="AY25" i="7" s="1"/>
  <c r="AW17" i="7"/>
  <c r="AW21" i="7"/>
  <c r="AY21" i="7" s="1"/>
  <c r="AW24" i="7"/>
  <c r="AY24" i="7" s="1"/>
  <c r="AW22" i="7"/>
  <c r="AY22" i="7" s="1"/>
  <c r="AA16" i="8"/>
  <c r="Y26" i="8"/>
  <c r="Q26" i="8"/>
  <c r="S16" i="8"/>
  <c r="W22" i="5"/>
  <c r="S19" i="6"/>
  <c r="Q28" i="6"/>
  <c r="BI45" i="5"/>
  <c r="BI78" i="5" s="1"/>
  <c r="BN45" i="5"/>
  <c r="BN78" i="5" s="1"/>
  <c r="BE78" i="5"/>
  <c r="BF28" i="7"/>
  <c r="AA20" i="6"/>
  <c r="AO19" i="5"/>
  <c r="AO21" i="5"/>
  <c r="AI20" i="5"/>
  <c r="BM13" i="5"/>
  <c r="K19" i="6"/>
  <c r="I28" i="6"/>
  <c r="AA19" i="5"/>
  <c r="Y31" i="5"/>
  <c r="BM24" i="5"/>
  <c r="AS20" i="6"/>
  <c r="AS24" i="6"/>
  <c r="AU24" i="6" s="1"/>
  <c r="BJ24" i="6" s="1"/>
  <c r="AS21" i="6"/>
  <c r="AS22" i="6"/>
  <c r="AS25" i="6"/>
  <c r="AU25" i="6" s="1"/>
  <c r="AS26" i="6"/>
  <c r="AU26" i="6" s="1"/>
  <c r="BH26" i="6" s="1"/>
  <c r="AS27" i="6"/>
  <c r="AU27" i="6" s="1"/>
  <c r="BH27" i="6" s="1"/>
  <c r="AS23" i="6"/>
  <c r="AU23" i="6" s="1"/>
  <c r="BJ23" i="6" s="1"/>
  <c r="AS19" i="6"/>
  <c r="AU21" i="5"/>
  <c r="E29" i="5"/>
  <c r="G29" i="5" s="1"/>
  <c r="E26" i="5"/>
  <c r="G26" i="5" s="1"/>
  <c r="E25" i="5"/>
  <c r="G25" i="5" s="1"/>
  <c r="E24" i="5"/>
  <c r="G24" i="5" s="1"/>
  <c r="E23" i="5"/>
  <c r="G23" i="5" s="1"/>
  <c r="E27" i="5"/>
  <c r="G27" i="5" s="1"/>
  <c r="E22" i="5"/>
  <c r="E21" i="5"/>
  <c r="E30" i="5"/>
  <c r="G30" i="5" s="1"/>
  <c r="E19" i="5"/>
  <c r="AZ12" i="5"/>
  <c r="E28" i="5"/>
  <c r="G28" i="5" s="1"/>
  <c r="E20" i="5"/>
  <c r="BG67" i="5"/>
  <c r="BN40" i="5"/>
  <c r="BN73" i="5" s="1"/>
  <c r="BI40" i="5"/>
  <c r="BI73" i="5" s="1"/>
  <c r="BE73" i="5"/>
  <c r="U31" i="5"/>
  <c r="I18" i="30"/>
  <c r="K13" i="30"/>
  <c r="AZ16" i="29"/>
  <c r="I16" i="35"/>
  <c r="K16" i="35" s="1"/>
  <c r="I17" i="35"/>
  <c r="K17" i="35" s="1"/>
  <c r="I13" i="35"/>
  <c r="I14" i="35"/>
  <c r="K14" i="35" s="1"/>
  <c r="I15" i="35"/>
  <c r="K15" i="35" s="1"/>
  <c r="U15" i="34"/>
  <c r="W15" i="34" s="1"/>
  <c r="U14" i="34"/>
  <c r="W14" i="34" s="1"/>
  <c r="AG14" i="33"/>
  <c r="AI14" i="33" s="1"/>
  <c r="AO14" i="33" s="1"/>
  <c r="C14" i="32" s="1"/>
  <c r="AG15" i="33"/>
  <c r="AI15" i="33" s="1"/>
  <c r="S13" i="35"/>
  <c r="Q18" i="35"/>
  <c r="R14" i="34"/>
  <c r="T14" i="34" s="1"/>
  <c r="AO18" i="31"/>
  <c r="AQ13" i="31"/>
  <c r="BB10" i="30"/>
  <c r="AY13" i="30"/>
  <c r="AW18" i="30"/>
  <c r="I16" i="31"/>
  <c r="K16" i="31" s="1"/>
  <c r="I15" i="31"/>
  <c r="K15" i="31" s="1"/>
  <c r="I14" i="31"/>
  <c r="K14" i="31" s="1"/>
  <c r="I13" i="31"/>
  <c r="I17" i="31"/>
  <c r="K17" i="31" s="1"/>
  <c r="U15" i="29"/>
  <c r="W15" i="29" s="1"/>
  <c r="U14" i="29"/>
  <c r="U18" i="29"/>
  <c r="W18" i="29" s="1"/>
  <c r="BB18" i="29" s="1"/>
  <c r="U16" i="29"/>
  <c r="W16" i="29" s="1"/>
  <c r="BB16" i="29" s="1"/>
  <c r="U17" i="29"/>
  <c r="W17" i="29" s="1"/>
  <c r="AZ11" i="28"/>
  <c r="BB11" i="28"/>
  <c r="AZ17" i="27"/>
  <c r="AS16" i="27"/>
  <c r="AU16" i="27" s="1"/>
  <c r="AS19" i="27"/>
  <c r="AU19" i="27" s="1"/>
  <c r="AS17" i="27"/>
  <c r="AU17" i="27" s="1"/>
  <c r="BD17" i="27" s="1"/>
  <c r="AS18" i="27"/>
  <c r="AU18" i="27" s="1"/>
  <c r="BD18" i="27" s="1"/>
  <c r="AS15" i="27"/>
  <c r="W15" i="23"/>
  <c r="U19" i="23"/>
  <c r="AZ19" i="25"/>
  <c r="BD16" i="23"/>
  <c r="BD17" i="22"/>
  <c r="M16" i="22"/>
  <c r="O16" i="22" s="1"/>
  <c r="AZ16" i="22" s="1"/>
  <c r="M15" i="22"/>
  <c r="M17" i="22"/>
  <c r="O17" i="22" s="1"/>
  <c r="AZ17" i="22" s="1"/>
  <c r="M18" i="22"/>
  <c r="O18" i="22" s="1"/>
  <c r="AZ18" i="22" s="1"/>
  <c r="AU15" i="21"/>
  <c r="AS19" i="21"/>
  <c r="BD17" i="19"/>
  <c r="Y24" i="18"/>
  <c r="AO20" i="19"/>
  <c r="AQ16" i="19"/>
  <c r="G16" i="19"/>
  <c r="E20" i="19"/>
  <c r="AC20" i="20"/>
  <c r="AE16" i="20"/>
  <c r="E24" i="15"/>
  <c r="G16" i="15"/>
  <c r="E18" i="18"/>
  <c r="G18" i="18" s="1"/>
  <c r="E23" i="18"/>
  <c r="G23" i="18" s="1"/>
  <c r="E21" i="18"/>
  <c r="G21" i="18" s="1"/>
  <c r="AZ10" i="18"/>
  <c r="E19" i="18"/>
  <c r="G19" i="18" s="1"/>
  <c r="E20" i="18"/>
  <c r="G20" i="18" s="1"/>
  <c r="E22" i="18"/>
  <c r="G22" i="18" s="1"/>
  <c r="E17" i="18"/>
  <c r="G17" i="18" s="1"/>
  <c r="E16" i="18"/>
  <c r="BB10" i="18"/>
  <c r="BE10" i="18"/>
  <c r="M23" i="16"/>
  <c r="O23" i="16" s="1"/>
  <c r="AZ23" i="16" s="1"/>
  <c r="M21" i="16"/>
  <c r="O21" i="16" s="1"/>
  <c r="AZ21" i="16" s="1"/>
  <c r="M16" i="16"/>
  <c r="M22" i="16"/>
  <c r="O22" i="16" s="1"/>
  <c r="AZ22" i="16" s="1"/>
  <c r="M19" i="16"/>
  <c r="O19" i="16" s="1"/>
  <c r="AZ19" i="16" s="1"/>
  <c r="M20" i="16"/>
  <c r="O20" i="16" s="1"/>
  <c r="AZ20" i="16" s="1"/>
  <c r="M18" i="16"/>
  <c r="O18" i="16" s="1"/>
  <c r="AZ18" i="16" s="1"/>
  <c r="M17" i="16"/>
  <c r="O17" i="16" s="1"/>
  <c r="AZ17" i="16" s="1"/>
  <c r="AC24" i="13"/>
  <c r="AE16" i="13"/>
  <c r="BE17" i="15"/>
  <c r="AT54" i="14"/>
  <c r="U21" i="12"/>
  <c r="W21" i="12" s="1"/>
  <c r="BB21" i="12" s="1"/>
  <c r="U20" i="12"/>
  <c r="W20" i="12" s="1"/>
  <c r="BB20" i="12" s="1"/>
  <c r="U19" i="12"/>
  <c r="W19" i="12" s="1"/>
  <c r="BB19" i="12" s="1"/>
  <c r="U17" i="12"/>
  <c r="W17" i="12" s="1"/>
  <c r="BB17" i="12" s="1"/>
  <c r="U23" i="12"/>
  <c r="W23" i="12" s="1"/>
  <c r="U16" i="12"/>
  <c r="U22" i="12"/>
  <c r="W22" i="12" s="1"/>
  <c r="U18" i="12"/>
  <c r="W18" i="12" s="1"/>
  <c r="BB18" i="12" s="1"/>
  <c r="BB10" i="13"/>
  <c r="AU16" i="16"/>
  <c r="AS24" i="16"/>
  <c r="I17" i="12"/>
  <c r="K17" i="12" s="1"/>
  <c r="AZ17" i="12" s="1"/>
  <c r="I16" i="12"/>
  <c r="I22" i="12"/>
  <c r="K22" i="12" s="1"/>
  <c r="AZ22" i="12" s="1"/>
  <c r="I20" i="12"/>
  <c r="K20" i="12" s="1"/>
  <c r="AZ20" i="12" s="1"/>
  <c r="I19" i="12"/>
  <c r="K19" i="12" s="1"/>
  <c r="AZ19" i="12" s="1"/>
  <c r="I23" i="12"/>
  <c r="K23" i="12" s="1"/>
  <c r="AZ23" i="12" s="1"/>
  <c r="I18" i="12"/>
  <c r="K18" i="12" s="1"/>
  <c r="AZ18" i="12" s="1"/>
  <c r="I21" i="12"/>
  <c r="K21" i="12" s="1"/>
  <c r="BE20" i="13"/>
  <c r="AW26" i="10"/>
  <c r="AY16" i="10"/>
  <c r="AZ17" i="9"/>
  <c r="AC25" i="9"/>
  <c r="AE25" i="9" s="1"/>
  <c r="AC18" i="9"/>
  <c r="AE18" i="9" s="1"/>
  <c r="AC16" i="9"/>
  <c r="AC23" i="9"/>
  <c r="AE23" i="9" s="1"/>
  <c r="AC21" i="9"/>
  <c r="AE21" i="9" s="1"/>
  <c r="AC19" i="9"/>
  <c r="AE19" i="9" s="1"/>
  <c r="AC24" i="9"/>
  <c r="AE24" i="9" s="1"/>
  <c r="AC22" i="9"/>
  <c r="AE22" i="9" s="1"/>
  <c r="AC20" i="9"/>
  <c r="AE20" i="9" s="1"/>
  <c r="AC17" i="9"/>
  <c r="AE17" i="9" s="1"/>
  <c r="AZ24" i="8"/>
  <c r="BA24" i="8" s="1"/>
  <c r="U21" i="6"/>
  <c r="U26" i="6"/>
  <c r="W26" i="6" s="1"/>
  <c r="BB26" i="6" s="1"/>
  <c r="U22" i="6"/>
  <c r="U23" i="6"/>
  <c r="W23" i="6" s="1"/>
  <c r="BB23" i="6" s="1"/>
  <c r="U19" i="6"/>
  <c r="U27" i="6"/>
  <c r="W27" i="6" s="1"/>
  <c r="BB27" i="6" s="1"/>
  <c r="U25" i="6"/>
  <c r="W25" i="6" s="1"/>
  <c r="U20" i="6"/>
  <c r="U24" i="6"/>
  <c r="W24" i="6" s="1"/>
  <c r="BB24" i="6" s="1"/>
  <c r="BB12" i="6"/>
  <c r="AK21" i="9"/>
  <c r="AM21" i="9" s="1"/>
  <c r="AK24" i="9"/>
  <c r="AM24" i="9" s="1"/>
  <c r="AK20" i="9"/>
  <c r="AM20" i="9" s="1"/>
  <c r="AK18" i="9"/>
  <c r="AM18" i="9" s="1"/>
  <c r="AK16" i="9"/>
  <c r="AK22" i="9"/>
  <c r="AM22" i="9" s="1"/>
  <c r="AK19" i="9"/>
  <c r="AM19" i="9" s="1"/>
  <c r="AK17" i="9"/>
  <c r="AM17" i="9" s="1"/>
  <c r="AK25" i="9"/>
  <c r="AM25" i="9" s="1"/>
  <c r="AK23" i="9"/>
  <c r="AM23" i="9" s="1"/>
  <c r="AC31" i="5"/>
  <c r="AE19" i="5"/>
  <c r="S20" i="6"/>
  <c r="W21" i="5"/>
  <c r="AY19" i="6"/>
  <c r="AW28" i="6"/>
  <c r="AK22" i="6"/>
  <c r="AK23" i="6"/>
  <c r="AM23" i="6" s="1"/>
  <c r="AK19" i="6"/>
  <c r="AK27" i="6"/>
  <c r="AM27" i="6" s="1"/>
  <c r="BE27" i="6" s="1"/>
  <c r="AK26" i="6"/>
  <c r="AM26" i="6" s="1"/>
  <c r="AK25" i="6"/>
  <c r="AM25" i="6" s="1"/>
  <c r="AK24" i="6"/>
  <c r="AM24" i="6" s="1"/>
  <c r="AK21" i="6"/>
  <c r="AK20" i="6"/>
  <c r="BB13" i="8"/>
  <c r="BB28" i="8" s="1"/>
  <c r="BC28" i="8" s="1"/>
  <c r="I29" i="4"/>
  <c r="K29" i="4" s="1"/>
  <c r="K41" i="4" s="1"/>
  <c r="K42" i="4" s="1"/>
  <c r="I34" i="4"/>
  <c r="K34" i="4" s="1"/>
  <c r="I33" i="4"/>
  <c r="K33" i="4" s="1"/>
  <c r="I32" i="4"/>
  <c r="K32" i="4" s="1"/>
  <c r="I31" i="4"/>
  <c r="K31" i="4" s="1"/>
  <c r="I35" i="4"/>
  <c r="K35" i="4" s="1"/>
  <c r="I24" i="4"/>
  <c r="K24" i="4" s="1"/>
  <c r="I19" i="4"/>
  <c r="I26" i="4"/>
  <c r="K26" i="4" s="1"/>
  <c r="I20" i="4"/>
  <c r="I30" i="4"/>
  <c r="K30" i="4" s="1"/>
  <c r="I21" i="4"/>
  <c r="I27" i="4"/>
  <c r="K27" i="4" s="1"/>
  <c r="I25" i="4"/>
  <c r="K25" i="4" s="1"/>
  <c r="I23" i="4"/>
  <c r="K23" i="4" s="1"/>
  <c r="I28" i="4"/>
  <c r="K28" i="4" s="1"/>
  <c r="I22" i="4"/>
  <c r="AI21" i="5"/>
  <c r="BJ15" i="6"/>
  <c r="BM15" i="5"/>
  <c r="K20" i="6"/>
  <c r="BC27" i="5"/>
  <c r="BK25" i="5"/>
  <c r="BM25" i="5"/>
  <c r="BB25" i="6"/>
  <c r="BK16" i="5"/>
  <c r="BK34" i="5" s="1"/>
  <c r="BM11" i="4"/>
  <c r="G20" i="4"/>
  <c r="AV20" i="4"/>
  <c r="AP8" i="36"/>
  <c r="C13" i="37"/>
  <c r="E13" i="37" s="1"/>
  <c r="C12" i="37"/>
  <c r="AM7" i="37"/>
  <c r="AJ15" i="34"/>
  <c r="AL15" i="34" s="1"/>
  <c r="AJ14" i="34"/>
  <c r="AL14" i="34" s="1"/>
  <c r="AN8" i="36"/>
  <c r="F13" i="38"/>
  <c r="H13" i="38" s="1"/>
  <c r="L14" i="33"/>
  <c r="N14" i="33" s="1"/>
  <c r="AM14" i="33" s="1"/>
  <c r="AN14" i="33" s="1"/>
  <c r="L15" i="33"/>
  <c r="N15" i="33" s="1"/>
  <c r="AM15" i="33" s="1"/>
  <c r="AO18" i="35"/>
  <c r="AQ13" i="35"/>
  <c r="AM8" i="33"/>
  <c r="AK13" i="30"/>
  <c r="AK17" i="30"/>
  <c r="AM17" i="30" s="1"/>
  <c r="AK14" i="30"/>
  <c r="AM14" i="30" s="1"/>
  <c r="AK15" i="30"/>
  <c r="AM15" i="30" s="1"/>
  <c r="AK16" i="30"/>
  <c r="AM16" i="30" s="1"/>
  <c r="AP10" i="32"/>
  <c r="U18" i="30"/>
  <c r="W13" i="30"/>
  <c r="E18" i="29"/>
  <c r="G18" i="29" s="1"/>
  <c r="AZ18" i="29" s="1"/>
  <c r="BD9" i="29"/>
  <c r="E17" i="29"/>
  <c r="G17" i="29" s="1"/>
  <c r="AZ17" i="29" s="1"/>
  <c r="AZ9" i="29"/>
  <c r="E15" i="29"/>
  <c r="G15" i="29" s="1"/>
  <c r="AZ15" i="29" s="1"/>
  <c r="E14" i="29"/>
  <c r="E16" i="29"/>
  <c r="G16" i="29" s="1"/>
  <c r="AQ14" i="29"/>
  <c r="AO19" i="29"/>
  <c r="U18" i="28"/>
  <c r="W18" i="28" s="1"/>
  <c r="BB18" i="28" s="1"/>
  <c r="U17" i="28"/>
  <c r="W17" i="28" s="1"/>
  <c r="BB17" i="28" s="1"/>
  <c r="U15" i="28"/>
  <c r="W15" i="28" s="1"/>
  <c r="BB15" i="28" s="1"/>
  <c r="U14" i="28"/>
  <c r="U16" i="28"/>
  <c r="W16" i="28" s="1"/>
  <c r="BB16" i="28" s="1"/>
  <c r="Q19" i="28"/>
  <c r="S14" i="28"/>
  <c r="AZ19" i="27"/>
  <c r="AC19" i="28"/>
  <c r="I19" i="25"/>
  <c r="K19" i="25" s="1"/>
  <c r="BD19" i="25" s="1"/>
  <c r="I18" i="25"/>
  <c r="K18" i="25" s="1"/>
  <c r="AZ18" i="25" s="1"/>
  <c r="I15" i="25"/>
  <c r="I17" i="25"/>
  <c r="K17" i="25" s="1"/>
  <c r="BD17" i="25" s="1"/>
  <c r="I16" i="25"/>
  <c r="K16" i="25" s="1"/>
  <c r="AZ16" i="25" s="1"/>
  <c r="AW20" i="27"/>
  <c r="AY15" i="27"/>
  <c r="AU15" i="23"/>
  <c r="AS19" i="23"/>
  <c r="BB10" i="24"/>
  <c r="I17" i="24"/>
  <c r="K17" i="24" s="1"/>
  <c r="I16" i="24"/>
  <c r="K16" i="24" s="1"/>
  <c r="I19" i="24"/>
  <c r="K19" i="24" s="1"/>
  <c r="I15" i="24"/>
  <c r="I18" i="24"/>
  <c r="K18" i="24" s="1"/>
  <c r="BD17" i="23"/>
  <c r="Y17" i="19"/>
  <c r="AA17" i="19" s="1"/>
  <c r="BB17" i="19" s="1"/>
  <c r="Y18" i="19"/>
  <c r="AA18" i="19" s="1"/>
  <c r="BB18" i="19" s="1"/>
  <c r="Y19" i="19"/>
  <c r="AA19" i="19" s="1"/>
  <c r="BB19" i="19" s="1"/>
  <c r="Y16" i="19"/>
  <c r="BD12" i="22"/>
  <c r="BD21" i="22" s="1"/>
  <c r="AW20" i="19"/>
  <c r="AY16" i="19"/>
  <c r="AG20" i="19"/>
  <c r="AI16" i="19"/>
  <c r="I16" i="18"/>
  <c r="I22" i="18"/>
  <c r="K22" i="18" s="1"/>
  <c r="I21" i="18"/>
  <c r="K21" i="18" s="1"/>
  <c r="I19" i="18"/>
  <c r="K19" i="18" s="1"/>
  <c r="BE19" i="18" s="1"/>
  <c r="I20" i="18"/>
  <c r="K20" i="18" s="1"/>
  <c r="BE20" i="18" s="1"/>
  <c r="BG20" i="18" s="1"/>
  <c r="BG30" i="18" s="1"/>
  <c r="I18" i="18"/>
  <c r="K18" i="18" s="1"/>
  <c r="I17" i="18"/>
  <c r="K17" i="18" s="1"/>
  <c r="I23" i="18"/>
  <c r="K23" i="18" s="1"/>
  <c r="Q21" i="16"/>
  <c r="S21" i="16" s="1"/>
  <c r="BE21" i="16" s="1"/>
  <c r="Q17" i="16"/>
  <c r="S17" i="16" s="1"/>
  <c r="Q23" i="16"/>
  <c r="S23" i="16" s="1"/>
  <c r="BE23" i="16" s="1"/>
  <c r="Q20" i="16"/>
  <c r="S20" i="16" s="1"/>
  <c r="Q19" i="16"/>
  <c r="S19" i="16" s="1"/>
  <c r="Q18" i="16"/>
  <c r="S18" i="16" s="1"/>
  <c r="BE18" i="16" s="1"/>
  <c r="Q22" i="16"/>
  <c r="S22" i="16" s="1"/>
  <c r="Q16" i="16"/>
  <c r="BB10" i="15"/>
  <c r="AC24" i="17"/>
  <c r="AE16" i="18"/>
  <c r="AC24" i="18"/>
  <c r="BE21" i="15"/>
  <c r="AA16" i="12"/>
  <c r="Y24" i="12"/>
  <c r="BB10" i="14"/>
  <c r="AO24" i="13"/>
  <c r="AQ16" i="13"/>
  <c r="BE10" i="15"/>
  <c r="BE10" i="10"/>
  <c r="BE13" i="8"/>
  <c r="BE28" i="8" s="1"/>
  <c r="AZ13" i="13"/>
  <c r="AZ26" i="13" s="1"/>
  <c r="M20" i="14"/>
  <c r="O20" i="14" s="1"/>
  <c r="AZ20" i="14" s="1"/>
  <c r="M21" i="14"/>
  <c r="O21" i="14" s="1"/>
  <c r="AZ21" i="14" s="1"/>
  <c r="M17" i="14"/>
  <c r="O17" i="14" s="1"/>
  <c r="AZ17" i="14" s="1"/>
  <c r="M37" i="14"/>
  <c r="M38" i="14" s="1"/>
  <c r="M19" i="14"/>
  <c r="O19" i="14" s="1"/>
  <c r="AZ19" i="14" s="1"/>
  <c r="M23" i="14"/>
  <c r="O23" i="14" s="1"/>
  <c r="AZ23" i="14" s="1"/>
  <c r="M18" i="14"/>
  <c r="O18" i="14" s="1"/>
  <c r="AZ18" i="14" s="1"/>
  <c r="M16" i="14"/>
  <c r="M22" i="14"/>
  <c r="O22" i="14" s="1"/>
  <c r="AZ22" i="14" s="1"/>
  <c r="AC24" i="14"/>
  <c r="AE16" i="14"/>
  <c r="AZ13" i="11"/>
  <c r="AZ26" i="11" s="1"/>
  <c r="BE13" i="11"/>
  <c r="BE26" i="11" s="1"/>
  <c r="AK38" i="14"/>
  <c r="BE21" i="13"/>
  <c r="BE21" i="10"/>
  <c r="AC24" i="7"/>
  <c r="AE24" i="7" s="1"/>
  <c r="AC18" i="7"/>
  <c r="AE18" i="7" s="1"/>
  <c r="AC17" i="7"/>
  <c r="AC21" i="7"/>
  <c r="AE21" i="7" s="1"/>
  <c r="AC19" i="7"/>
  <c r="AE19" i="7" s="1"/>
  <c r="AC20" i="7"/>
  <c r="AE20" i="7" s="1"/>
  <c r="BE10" i="7"/>
  <c r="AC23" i="7"/>
  <c r="AE23" i="7" s="1"/>
  <c r="AC25" i="7"/>
  <c r="AE25" i="7" s="1"/>
  <c r="AC22" i="7"/>
  <c r="AE22" i="7" s="1"/>
  <c r="BE19" i="9"/>
  <c r="AO24" i="11"/>
  <c r="AQ16" i="11"/>
  <c r="AA16" i="9"/>
  <c r="Y26" i="9"/>
  <c r="I22" i="7"/>
  <c r="K22" i="7" s="1"/>
  <c r="E24" i="8"/>
  <c r="G24" i="8" s="1"/>
  <c r="E25" i="8"/>
  <c r="G25" i="8" s="1"/>
  <c r="AZ25" i="8" s="1"/>
  <c r="BA25" i="8" s="1"/>
  <c r="E20" i="8"/>
  <c r="G20" i="8" s="1"/>
  <c r="AZ20" i="8" s="1"/>
  <c r="E21" i="8"/>
  <c r="G21" i="8" s="1"/>
  <c r="AZ21" i="8" s="1"/>
  <c r="E16" i="8"/>
  <c r="BE10" i="8"/>
  <c r="BB10" i="8"/>
  <c r="AZ10" i="8"/>
  <c r="E17" i="8"/>
  <c r="G17" i="8" s="1"/>
  <c r="AZ17" i="8" s="1"/>
  <c r="E22" i="8"/>
  <c r="G22" i="8" s="1"/>
  <c r="AZ22" i="8" s="1"/>
  <c r="E19" i="8"/>
  <c r="G19" i="8" s="1"/>
  <c r="BE19" i="8" s="1"/>
  <c r="E23" i="8"/>
  <c r="G23" i="8" s="1"/>
  <c r="AZ23" i="8" s="1"/>
  <c r="E18" i="8"/>
  <c r="G18" i="8" s="1"/>
  <c r="AZ18" i="8" s="1"/>
  <c r="AC26" i="10"/>
  <c r="AE16" i="10"/>
  <c r="AO20" i="7"/>
  <c r="AQ20" i="7" s="1"/>
  <c r="AO17" i="7"/>
  <c r="AO23" i="7"/>
  <c r="AQ23" i="7" s="1"/>
  <c r="AO18" i="7"/>
  <c r="AQ18" i="7" s="1"/>
  <c r="AO24" i="7"/>
  <c r="AQ24" i="7" s="1"/>
  <c r="Q26" i="10"/>
  <c r="S16" i="10"/>
  <c r="AO26" i="8"/>
  <c r="AQ16" i="8"/>
  <c r="Q26" i="9"/>
  <c r="S16" i="9"/>
  <c r="AW26" i="8"/>
  <c r="AY16" i="8"/>
  <c r="AO27" i="5"/>
  <c r="AQ27" i="5" s="1"/>
  <c r="BK27" i="5" s="1"/>
  <c r="AC27" i="6"/>
  <c r="AE27" i="6" s="1"/>
  <c r="AC20" i="6"/>
  <c r="AC21" i="6"/>
  <c r="BE12" i="6"/>
  <c r="AC26" i="6"/>
  <c r="AE26" i="6" s="1"/>
  <c r="BJ26" i="6" s="1"/>
  <c r="AC19" i="6"/>
  <c r="AC25" i="6"/>
  <c r="AE25" i="6" s="1"/>
  <c r="AC24" i="6"/>
  <c r="AE24" i="6" s="1"/>
  <c r="AC23" i="6"/>
  <c r="AE23" i="6" s="1"/>
  <c r="AC22" i="6"/>
  <c r="AO24" i="5"/>
  <c r="AQ24" i="5" s="1"/>
  <c r="BK24" i="5" s="1"/>
  <c r="AO29" i="5"/>
  <c r="AQ29" i="5" s="1"/>
  <c r="BK29" i="5" s="1"/>
  <c r="BH16" i="6"/>
  <c r="BH30" i="6" s="1"/>
  <c r="BI30" i="6" s="1"/>
  <c r="BJ30" i="6" s="1"/>
  <c r="BJ39" i="6" s="1"/>
  <c r="BJ6" i="6"/>
  <c r="E26" i="7"/>
  <c r="AG27" i="5"/>
  <c r="AI27" i="5" s="1"/>
  <c r="BM5" i="5"/>
  <c r="BC30" i="5"/>
  <c r="AA20" i="5"/>
  <c r="BK26" i="5"/>
  <c r="E20" i="6"/>
  <c r="E24" i="6"/>
  <c r="G24" i="6" s="1"/>
  <c r="E21" i="6"/>
  <c r="E22" i="6"/>
  <c r="E27" i="6"/>
  <c r="G27" i="6" s="1"/>
  <c r="E26" i="6"/>
  <c r="G26" i="6" s="1"/>
  <c r="E25" i="6"/>
  <c r="G25" i="6" s="1"/>
  <c r="AZ12" i="6"/>
  <c r="E19" i="6"/>
  <c r="E23" i="6"/>
  <c r="G23" i="6" s="1"/>
  <c r="AU22" i="5"/>
  <c r="BI49" i="4"/>
  <c r="BN49" i="4"/>
  <c r="BH63" i="3"/>
  <c r="BC20" i="3" s="1"/>
  <c r="AD41" i="3"/>
  <c r="V36" i="3"/>
  <c r="N31" i="3"/>
  <c r="F21" i="3"/>
  <c r="N21" i="3"/>
  <c r="N33" i="3"/>
  <c r="AD25" i="3"/>
  <c r="F29" i="3"/>
  <c r="AD46" i="3"/>
  <c r="AD21" i="3"/>
  <c r="V30" i="3"/>
  <c r="V35" i="3"/>
  <c r="F35" i="3"/>
  <c r="N25" i="3"/>
  <c r="F28" i="3"/>
  <c r="AC48" i="3"/>
  <c r="AD36" i="3"/>
  <c r="V23" i="3"/>
  <c r="N35" i="3"/>
  <c r="N46" i="3"/>
  <c r="AD27" i="3"/>
  <c r="V25" i="3"/>
  <c r="N29" i="3"/>
  <c r="N27" i="3"/>
  <c r="AD28" i="3"/>
  <c r="M55" i="3"/>
  <c r="N36" i="3"/>
  <c r="V28" i="3"/>
  <c r="AD47" i="3"/>
  <c r="F30" i="3"/>
  <c r="AD35" i="3"/>
  <c r="F33" i="3"/>
  <c r="V29" i="3"/>
  <c r="U56" i="3"/>
  <c r="AD31" i="3"/>
  <c r="V46" i="3"/>
  <c r="AD33" i="3" a="1"/>
  <c r="N28" i="3"/>
  <c r="F41" i="3"/>
  <c r="N41" i="3"/>
  <c r="AD29" i="3"/>
  <c r="AD42" i="3"/>
  <c r="V31" i="3"/>
  <c r="F46" i="3"/>
  <c r="N30" i="3"/>
  <c r="F42" i="3"/>
  <c r="V27" i="3"/>
  <c r="V21" i="3"/>
  <c r="F27" i="3"/>
  <c r="N23" i="3"/>
  <c r="V41" i="3"/>
  <c r="AD30" i="3"/>
  <c r="F36" i="3"/>
  <c r="AD23" i="3"/>
  <c r="F31" i="3"/>
  <c r="V33" i="3"/>
  <c r="F25" i="3"/>
  <c r="S49" i="3" a="1"/>
  <c r="S50" i="3" a="1"/>
  <c r="S53" i="3" a="1"/>
  <c r="S55" i="3" a="1"/>
  <c r="S51" i="3" a="1"/>
  <c r="S46" i="3" a="1"/>
  <c r="S47" i="3" a="1"/>
  <c r="S41" i="3" a="1"/>
  <c r="S42" i="3" a="1"/>
  <c r="S43" i="3" a="1"/>
  <c r="S36" i="3" a="1"/>
  <c r="S48" i="3" a="1"/>
  <c r="S37" i="3" a="1"/>
  <c r="S38" i="3" a="1"/>
  <c r="S33" i="3" a="1"/>
  <c r="S56" i="3" a="1"/>
  <c r="S34" i="3" a="1"/>
  <c r="S39" i="3" a="1"/>
  <c r="S44" i="3" a="1"/>
  <c r="S52" i="3" a="1"/>
  <c r="S35" i="3" a="1"/>
  <c r="S40" i="3" a="1"/>
  <c r="S45" i="3" a="1"/>
  <c r="S54" i="3" a="1"/>
  <c r="K39" i="3" a="1"/>
  <c r="K50" i="3" a="1"/>
  <c r="K38" i="3" a="1"/>
  <c r="K40" i="3" a="1"/>
  <c r="K53" i="3" a="1"/>
  <c r="K43" i="3" a="1"/>
  <c r="K41" i="3" a="1"/>
  <c r="K55" i="3" a="1"/>
  <c r="K48" i="3" a="1"/>
  <c r="K42" i="3" a="1"/>
  <c r="K37" i="3" a="1"/>
  <c r="K34" i="3" a="1"/>
  <c r="K51" i="3" a="1"/>
  <c r="K35" i="3" a="1"/>
  <c r="K44" i="3" a="1"/>
  <c r="K36" i="3" a="1"/>
  <c r="K45" i="3" a="1"/>
  <c r="K52" i="3" a="1"/>
  <c r="K46" i="3" a="1"/>
  <c r="K54" i="3" a="1"/>
  <c r="K33" i="3" a="1"/>
  <c r="K47" i="3" a="1"/>
  <c r="K49" i="3" a="1"/>
  <c r="K56" i="3" a="1"/>
  <c r="AA42" i="3" a="1"/>
  <c r="AA43" i="3" a="1"/>
  <c r="AA44" i="3" a="1"/>
  <c r="AA45" i="3" a="1"/>
  <c r="AA48" i="3" a="1"/>
  <c r="AA38" i="3" a="1"/>
  <c r="AA40" i="3" a="1"/>
  <c r="AA33" i="3" a="1"/>
  <c r="AA35" i="3" a="1"/>
  <c r="AA39" i="3" a="1"/>
  <c r="AA52" i="3" a="1"/>
  <c r="AA37" i="3" a="1"/>
  <c r="AA34" i="3" a="1"/>
  <c r="AA47" i="3" a="1"/>
  <c r="AA56" i="3" a="1"/>
  <c r="AA54" i="3" a="1"/>
  <c r="AA49" i="3" a="1"/>
  <c r="AA50" i="3" a="1"/>
  <c r="AA36" i="3" a="1"/>
  <c r="AA41" i="3" a="1"/>
  <c r="AA46" i="3" a="1"/>
  <c r="AA51" i="3" a="1"/>
  <c r="AA53" i="3" a="1"/>
  <c r="AA55" i="3" a="1"/>
  <c r="AA55" i="3" l="1"/>
  <c r="AA53" i="3"/>
  <c r="AA51" i="3"/>
  <c r="AA46" i="3"/>
  <c r="AA41" i="3"/>
  <c r="AA36" i="3"/>
  <c r="AA50" i="3"/>
  <c r="AA49" i="3"/>
  <c r="AA54" i="3"/>
  <c r="AA56" i="3"/>
  <c r="AA47" i="3"/>
  <c r="AA34" i="3"/>
  <c r="AA37" i="3"/>
  <c r="AA52" i="3"/>
  <c r="AA39" i="3"/>
  <c r="AA35" i="3"/>
  <c r="AA33" i="3"/>
  <c r="AA40" i="3"/>
  <c r="AA38" i="3"/>
  <c r="AA48" i="3"/>
  <c r="AA45" i="3"/>
  <c r="AA44" i="3"/>
  <c r="AA43" i="3"/>
  <c r="AA42" i="3"/>
  <c r="K56" i="3"/>
  <c r="K49" i="3"/>
  <c r="K47" i="3"/>
  <c r="K33" i="3"/>
  <c r="K54" i="3"/>
  <c r="K46" i="3"/>
  <c r="K52" i="3"/>
  <c r="K45" i="3"/>
  <c r="K36" i="3"/>
  <c r="K44" i="3"/>
  <c r="K35" i="3"/>
  <c r="K51" i="3"/>
  <c r="K34" i="3"/>
  <c r="K37" i="3"/>
  <c r="K42" i="3"/>
  <c r="K48" i="3"/>
  <c r="K55" i="3"/>
  <c r="K41" i="3"/>
  <c r="K43" i="3"/>
  <c r="K53" i="3"/>
  <c r="K40" i="3"/>
  <c r="K38" i="3"/>
  <c r="K50" i="3"/>
  <c r="K39" i="3"/>
  <c r="S54" i="3"/>
  <c r="S45" i="3"/>
  <c r="S40" i="3"/>
  <c r="S35" i="3"/>
  <c r="S52" i="3"/>
  <c r="S44" i="3"/>
  <c r="S39" i="3"/>
  <c r="S34" i="3"/>
  <c r="S56" i="3"/>
  <c r="S33" i="3"/>
  <c r="S38" i="3"/>
  <c r="S37" i="3"/>
  <c r="S48" i="3"/>
  <c r="S36" i="3"/>
  <c r="S43" i="3"/>
  <c r="S42" i="3"/>
  <c r="S41" i="3"/>
  <c r="S47" i="3"/>
  <c r="S46" i="3"/>
  <c r="S51" i="3"/>
  <c r="S55" i="3"/>
  <c r="S53" i="3"/>
  <c r="S50" i="3"/>
  <c r="S49" i="3"/>
  <c r="Z21" i="3"/>
  <c r="AD33" i="3"/>
  <c r="AI21" i="3"/>
  <c r="R21" i="3"/>
  <c r="J21" i="3"/>
  <c r="BE19" i="24"/>
  <c r="BE26" i="24" s="1"/>
  <c r="C23" i="16"/>
  <c r="C23" i="14"/>
  <c r="C23" i="15"/>
  <c r="BG23" i="15" s="1"/>
  <c r="BG33" i="15" s="1"/>
  <c r="BD37" i="8"/>
  <c r="BD36" i="8"/>
  <c r="C19" i="27"/>
  <c r="C18" i="28"/>
  <c r="C19" i="25"/>
  <c r="C19" i="24"/>
  <c r="C19" i="26"/>
  <c r="BG23" i="16"/>
  <c r="BG33" i="16" s="1"/>
  <c r="BC16" i="28"/>
  <c r="BC23" i="28" s="1"/>
  <c r="BA18" i="26"/>
  <c r="BA25" i="26" s="1"/>
  <c r="BE19" i="25"/>
  <c r="BE26" i="25" s="1"/>
  <c r="BE17" i="24"/>
  <c r="BE24" i="24" s="1"/>
  <c r="C17" i="27"/>
  <c r="BA17" i="27" s="1"/>
  <c r="BA24" i="27" s="1"/>
  <c r="C16" i="28"/>
  <c r="C17" i="24"/>
  <c r="C17" i="26"/>
  <c r="C17" i="25"/>
  <c r="BE17" i="25" s="1"/>
  <c r="BE24" i="25" s="1"/>
  <c r="BD25" i="28"/>
  <c r="BG21" i="16"/>
  <c r="BG31" i="16" s="1"/>
  <c r="BC18" i="28"/>
  <c r="BC25" i="28" s="1"/>
  <c r="C21" i="16"/>
  <c r="C21" i="15"/>
  <c r="C21" i="14"/>
  <c r="C18" i="26"/>
  <c r="C17" i="28"/>
  <c r="BC17" i="28" s="1"/>
  <c r="BC24" i="28" s="1"/>
  <c r="C18" i="27"/>
  <c r="BC18" i="27" s="1"/>
  <c r="BC25" i="27" s="1"/>
  <c r="C18" i="24"/>
  <c r="BE18" i="24" s="1"/>
  <c r="BE25" i="24" s="1"/>
  <c r="C18" i="25"/>
  <c r="BA18" i="25" s="1"/>
  <c r="BA25" i="25" s="1"/>
  <c r="BE18" i="25"/>
  <c r="BE25" i="25" s="1"/>
  <c r="C20" i="14"/>
  <c r="C20" i="16"/>
  <c r="C20" i="15"/>
  <c r="BG20" i="16"/>
  <c r="BG30" i="16" s="1"/>
  <c r="U19" i="28"/>
  <c r="W14" i="28"/>
  <c r="AK18" i="30"/>
  <c r="AM13" i="30"/>
  <c r="AM12" i="37"/>
  <c r="AM13" i="37"/>
  <c r="AM15" i="37" s="1"/>
  <c r="AM16" i="37" s="1"/>
  <c r="AK3" i="37" s="1"/>
  <c r="BR25" i="5"/>
  <c r="W21" i="6"/>
  <c r="AC26" i="9"/>
  <c r="AE16" i="9"/>
  <c r="BB22" i="12"/>
  <c r="I18" i="31"/>
  <c r="K13" i="31"/>
  <c r="G20" i="5"/>
  <c r="AU21" i="6"/>
  <c r="BE18" i="8"/>
  <c r="BJ25" i="7"/>
  <c r="BH25" i="7"/>
  <c r="AO26" i="9"/>
  <c r="AQ16" i="9"/>
  <c r="C22" i="14"/>
  <c r="C22" i="15"/>
  <c r="C22" i="16"/>
  <c r="U24" i="17"/>
  <c r="W16" i="17"/>
  <c r="BD19" i="19"/>
  <c r="O19" i="6"/>
  <c r="M28" i="6"/>
  <c r="BE22" i="7"/>
  <c r="BE18" i="14"/>
  <c r="BE17" i="18"/>
  <c r="AM16" i="19"/>
  <c r="AK20" i="19"/>
  <c r="BE19" i="27"/>
  <c r="BE26" i="27" s="1"/>
  <c r="AS20" i="24"/>
  <c r="AU15" i="24"/>
  <c r="S21" i="5"/>
  <c r="AQ19" i="6"/>
  <c r="AO28" i="6"/>
  <c r="AP67" i="7"/>
  <c r="BA24" i="7"/>
  <c r="BA35" i="7" s="1"/>
  <c r="AW36" i="7" s="1"/>
  <c r="BE21" i="12"/>
  <c r="BB21" i="15"/>
  <c r="BD21" i="15" s="1"/>
  <c r="BD31" i="15" s="1"/>
  <c r="BB17" i="20"/>
  <c r="M20" i="24"/>
  <c r="O15" i="24"/>
  <c r="BC50" i="14"/>
  <c r="BF26" i="14"/>
  <c r="AO19" i="28"/>
  <c r="AQ14" i="28"/>
  <c r="AM20" i="5"/>
  <c r="BG20" i="5" s="1"/>
  <c r="BB22" i="14"/>
  <c r="BD22" i="14" s="1"/>
  <c r="BD32" i="14" s="1"/>
  <c r="BD56" i="14" s="1"/>
  <c r="AW18" i="31"/>
  <c r="AY13" i="31"/>
  <c r="AZ23" i="6"/>
  <c r="AM16" i="8"/>
  <c r="AK26" i="8"/>
  <c r="AS17" i="34"/>
  <c r="AS23" i="34" s="1"/>
  <c r="AZ18" i="28"/>
  <c r="BA18" i="28" s="1"/>
  <c r="BA25" i="28" s="1"/>
  <c r="AZ18" i="27"/>
  <c r="S14" i="29"/>
  <c r="Q19" i="29"/>
  <c r="AI16" i="14"/>
  <c r="AG24" i="14"/>
  <c r="BB19" i="16"/>
  <c r="AZ21" i="18"/>
  <c r="BA21" i="18" s="1"/>
  <c r="BA31" i="18" s="1"/>
  <c r="BD18" i="20"/>
  <c r="BB19" i="17"/>
  <c r="BB16" i="24"/>
  <c r="AO20" i="25"/>
  <c r="AQ15" i="25"/>
  <c r="BD16" i="28"/>
  <c r="BD23" i="28" s="1"/>
  <c r="BE20" i="11"/>
  <c r="BB18" i="23"/>
  <c r="BB18" i="25"/>
  <c r="BC18" i="25" s="1"/>
  <c r="BC25" i="25" s="1"/>
  <c r="BB17" i="25"/>
  <c r="BA19" i="25"/>
  <c r="BA26" i="25" s="1"/>
  <c r="BJ27" i="6"/>
  <c r="AK26" i="7"/>
  <c r="AM17" i="7"/>
  <c r="AK19" i="21"/>
  <c r="AM15" i="21"/>
  <c r="G13" i="3"/>
  <c r="G14" i="3"/>
  <c r="AE16" i="8"/>
  <c r="AC26" i="8"/>
  <c r="BB19" i="14"/>
  <c r="BE22" i="16"/>
  <c r="BB15" i="31"/>
  <c r="BB22" i="31" s="1"/>
  <c r="C16" i="29" s="1"/>
  <c r="BC16" i="29" s="1"/>
  <c r="I14" i="32"/>
  <c r="AP14" i="32" s="1"/>
  <c r="AP17" i="32" s="1"/>
  <c r="G16" i="32"/>
  <c r="BM27" i="5"/>
  <c r="BA21" i="15"/>
  <c r="BA31" i="15" s="1"/>
  <c r="AS18" i="34"/>
  <c r="AS24" i="34" s="1"/>
  <c r="O14" i="28"/>
  <c r="M19" i="28"/>
  <c r="O22" i="6"/>
  <c r="BD37" i="9"/>
  <c r="BD36" i="9"/>
  <c r="AZ24" i="9"/>
  <c r="BA24" i="9" s="1"/>
  <c r="E20" i="24"/>
  <c r="G15" i="24"/>
  <c r="Q26" i="7"/>
  <c r="S17" i="7"/>
  <c r="BB20" i="16"/>
  <c r="AZ22" i="18"/>
  <c r="BA22" i="18" s="1"/>
  <c r="BA32" i="18" s="1"/>
  <c r="BD19" i="20"/>
  <c r="BB20" i="17"/>
  <c r="BD20" i="17" s="1"/>
  <c r="BD30" i="17" s="1"/>
  <c r="BD18" i="23"/>
  <c r="BB17" i="24"/>
  <c r="BC17" i="24" s="1"/>
  <c r="BC24" i="24" s="1"/>
  <c r="BB17" i="8"/>
  <c r="BB19" i="25"/>
  <c r="BC19" i="25" s="1"/>
  <c r="BC26" i="25" s="1"/>
  <c r="AZ19" i="8"/>
  <c r="AE21" i="6"/>
  <c r="G20" i="6"/>
  <c r="AE20" i="6"/>
  <c r="M45" i="14"/>
  <c r="M44" i="14"/>
  <c r="BA16" i="29"/>
  <c r="AQ21" i="5"/>
  <c r="BJ18" i="7"/>
  <c r="BH18" i="7"/>
  <c r="BR23" i="5"/>
  <c r="BG23" i="14"/>
  <c r="BG33" i="14" s="1"/>
  <c r="BG57" i="14" s="1"/>
  <c r="BK22" i="5"/>
  <c r="K17" i="7"/>
  <c r="I26" i="7"/>
  <c r="AQ22" i="6"/>
  <c r="AP66" i="7"/>
  <c r="BE22" i="12"/>
  <c r="S16" i="13"/>
  <c r="Q24" i="13"/>
  <c r="BN39" i="4"/>
  <c r="BI39" i="4"/>
  <c r="AZ27" i="6"/>
  <c r="I20" i="25"/>
  <c r="K15" i="25"/>
  <c r="K21" i="4"/>
  <c r="BE23" i="6"/>
  <c r="BB23" i="12"/>
  <c r="AO15" i="33"/>
  <c r="AU20" i="6"/>
  <c r="AQ19" i="5"/>
  <c r="AO31" i="5"/>
  <c r="BH19" i="7"/>
  <c r="BJ19" i="7"/>
  <c r="AZ25" i="5"/>
  <c r="BH21" i="6"/>
  <c r="BE21" i="7"/>
  <c r="AT55" i="14"/>
  <c r="AW38" i="14"/>
  <c r="AQ16" i="14"/>
  <c r="AO24" i="14"/>
  <c r="BB18" i="26"/>
  <c r="BC18" i="26" s="1"/>
  <c r="BC25" i="26" s="1"/>
  <c r="BB23" i="11"/>
  <c r="BE18" i="12"/>
  <c r="BD22" i="15"/>
  <c r="BD32" i="15" s="1"/>
  <c r="BD39" i="4"/>
  <c r="BA36" i="10"/>
  <c r="AW37" i="10" s="1"/>
  <c r="BA37" i="10"/>
  <c r="AW38" i="10" s="1"/>
  <c r="AC20" i="25"/>
  <c r="AE15" i="25"/>
  <c r="G11" i="3"/>
  <c r="BJ29" i="5"/>
  <c r="BJ44" i="5" s="1"/>
  <c r="BJ77" i="5" s="1"/>
  <c r="BE22" i="15"/>
  <c r="BG22" i="15" s="1"/>
  <c r="BG32" i="15" s="1"/>
  <c r="G15" i="25"/>
  <c r="E20" i="25"/>
  <c r="BB14" i="31"/>
  <c r="AZ17" i="11"/>
  <c r="M24" i="15"/>
  <c r="O16" i="15"/>
  <c r="AZ16" i="15" s="1"/>
  <c r="I20" i="20"/>
  <c r="K16" i="20"/>
  <c r="AZ17" i="25"/>
  <c r="BA17" i="25" s="1"/>
  <c r="BA24" i="25" s="1"/>
  <c r="G16" i="9"/>
  <c r="AZ16" i="9" s="1"/>
  <c r="E26" i="9"/>
  <c r="AZ15" i="25"/>
  <c r="AN14" i="36"/>
  <c r="BE20" i="9"/>
  <c r="BB21" i="16"/>
  <c r="BD21" i="16" s="1"/>
  <c r="BD31" i="16" s="1"/>
  <c r="AZ17" i="18"/>
  <c r="BB17" i="18"/>
  <c r="K15" i="21"/>
  <c r="I19" i="21"/>
  <c r="BB18" i="17"/>
  <c r="BB14" i="35"/>
  <c r="BB21" i="9"/>
  <c r="AQ15" i="23"/>
  <c r="AO19" i="23"/>
  <c r="BB18" i="10"/>
  <c r="BE23" i="11"/>
  <c r="C14" i="37"/>
  <c r="E12" i="37"/>
  <c r="E14" i="37" s="1"/>
  <c r="AM19" i="6"/>
  <c r="AK28" i="6"/>
  <c r="BA36" i="8"/>
  <c r="AW37" i="8" s="1"/>
  <c r="BA37" i="8"/>
  <c r="AW38" i="8" s="1"/>
  <c r="BJ23" i="7"/>
  <c r="BH23" i="7"/>
  <c r="E24" i="11"/>
  <c r="G16" i="11"/>
  <c r="AS24" i="13"/>
  <c r="AU16" i="13"/>
  <c r="AK44" i="14"/>
  <c r="AK45" i="14"/>
  <c r="BE18" i="26"/>
  <c r="BE25" i="26" s="1"/>
  <c r="C17" i="23" s="1"/>
  <c r="BE17" i="23" s="1"/>
  <c r="BE23" i="23" s="1"/>
  <c r="AZ26" i="5"/>
  <c r="BE17" i="13"/>
  <c r="BD36" i="10"/>
  <c r="BD37" i="10"/>
  <c r="BE17" i="14"/>
  <c r="AM16" i="16"/>
  <c r="AK24" i="16"/>
  <c r="K15" i="22"/>
  <c r="I19" i="22"/>
  <c r="BC17" i="26"/>
  <c r="BC24" i="26" s="1"/>
  <c r="M26" i="7"/>
  <c r="O17" i="7"/>
  <c r="BB21" i="11"/>
  <c r="BE23" i="12"/>
  <c r="U24" i="13"/>
  <c r="W16" i="13"/>
  <c r="BB16" i="13" s="1"/>
  <c r="U20" i="20"/>
  <c r="W16" i="20"/>
  <c r="BA18" i="23"/>
  <c r="BA24" i="23" s="1"/>
  <c r="BE25" i="10"/>
  <c r="BG25" i="10" s="1"/>
  <c r="AM16" i="18"/>
  <c r="AK24" i="18"/>
  <c r="AM22" i="5"/>
  <c r="BG22" i="5" s="1"/>
  <c r="AM21" i="5"/>
  <c r="BG21" i="5" s="1"/>
  <c r="Y45" i="14"/>
  <c r="Y38" i="14"/>
  <c r="Y44" i="14"/>
  <c r="AQ16" i="12"/>
  <c r="AO24" i="12"/>
  <c r="BB16" i="31"/>
  <c r="BB23" i="31" s="1"/>
  <c r="C17" i="29" s="1"/>
  <c r="BA17" i="29" s="1"/>
  <c r="AP15" i="32"/>
  <c r="AP18" i="32" s="1"/>
  <c r="AZ19" i="11"/>
  <c r="BA20" i="15"/>
  <c r="BA30" i="15" s="1"/>
  <c r="AU15" i="25"/>
  <c r="BD15" i="25" s="1"/>
  <c r="AS20" i="25"/>
  <c r="BA19" i="26"/>
  <c r="BA26" i="26" s="1"/>
  <c r="AC19" i="29"/>
  <c r="AE14" i="29"/>
  <c r="BB16" i="10"/>
  <c r="E20" i="20"/>
  <c r="G16" i="20"/>
  <c r="AZ16" i="20" s="1"/>
  <c r="BA16" i="20" s="1"/>
  <c r="BA22" i="20" s="1"/>
  <c r="AN13" i="36"/>
  <c r="AO13" i="36" s="1"/>
  <c r="AZ26" i="6"/>
  <c r="AI22" i="6"/>
  <c r="BC26" i="18"/>
  <c r="BF26" i="18" s="1"/>
  <c r="BB17" i="16"/>
  <c r="AZ19" i="18"/>
  <c r="BB19" i="18"/>
  <c r="AZ16" i="21"/>
  <c r="BA16" i="21" s="1"/>
  <c r="BA22" i="21" s="1"/>
  <c r="BB23" i="17"/>
  <c r="BD23" i="17" s="1"/>
  <c r="BD33" i="17" s="1"/>
  <c r="BB15" i="35"/>
  <c r="BB22" i="35" s="1"/>
  <c r="BE18" i="11"/>
  <c r="Q24" i="16"/>
  <c r="S16" i="16"/>
  <c r="I20" i="24"/>
  <c r="K15" i="24"/>
  <c r="G19" i="5"/>
  <c r="E31" i="5"/>
  <c r="BA20" i="14"/>
  <c r="BA30" i="14" s="1"/>
  <c r="BA54" i="14" s="1"/>
  <c r="BG21" i="15"/>
  <c r="BG31" i="15" s="1"/>
  <c r="BD15" i="28"/>
  <c r="K20" i="4"/>
  <c r="BF28" i="8"/>
  <c r="K16" i="12"/>
  <c r="AZ16" i="12" s="1"/>
  <c r="I24" i="12"/>
  <c r="BB17" i="29"/>
  <c r="AS28" i="6"/>
  <c r="AU19" i="6"/>
  <c r="BJ19" i="6" s="1"/>
  <c r="BH20" i="7"/>
  <c r="BJ20" i="7"/>
  <c r="AZ16" i="13"/>
  <c r="BD16" i="22"/>
  <c r="AY15" i="26"/>
  <c r="AW20" i="26"/>
  <c r="BB77" i="5"/>
  <c r="AW44" i="5"/>
  <c r="BE20" i="7"/>
  <c r="AG24" i="12"/>
  <c r="AI16" i="12"/>
  <c r="Q20" i="19"/>
  <c r="S16" i="19"/>
  <c r="AS19" i="22"/>
  <c r="AU15" i="22"/>
  <c r="E19" i="28"/>
  <c r="G14" i="28"/>
  <c r="G19" i="28" s="1"/>
  <c r="M18" i="35"/>
  <c r="O13" i="35"/>
  <c r="BK30" i="5"/>
  <c r="BR30" i="5" s="1"/>
  <c r="AZ21" i="7"/>
  <c r="BE20" i="12"/>
  <c r="M19" i="23"/>
  <c r="O15" i="23"/>
  <c r="AZ15" i="23" s="1"/>
  <c r="AS24" i="17"/>
  <c r="AU16" i="17"/>
  <c r="O13" i="31"/>
  <c r="M18" i="31"/>
  <c r="BG27" i="5"/>
  <c r="BB21" i="14"/>
  <c r="BD21" i="14" s="1"/>
  <c r="BD31" i="14" s="1"/>
  <c r="BD55" i="14" s="1"/>
  <c r="BB17" i="31"/>
  <c r="BB24" i="31" s="1"/>
  <c r="C18" i="29" s="1"/>
  <c r="BA18" i="29" s="1"/>
  <c r="AZ22" i="11"/>
  <c r="AI16" i="15"/>
  <c r="AG24" i="15"/>
  <c r="BK20" i="5"/>
  <c r="BH24" i="6"/>
  <c r="BN24" i="6" s="1"/>
  <c r="AM16" i="17"/>
  <c r="AK24" i="17"/>
  <c r="AQ15" i="26"/>
  <c r="AO20" i="26"/>
  <c r="BB26" i="18"/>
  <c r="AZ20" i="18"/>
  <c r="BA20" i="18" s="1"/>
  <c r="BA30" i="18" s="1"/>
  <c r="BB17" i="17"/>
  <c r="AW18" i="35"/>
  <c r="AY13" i="35"/>
  <c r="BB13" i="35" s="1"/>
  <c r="BB22" i="8"/>
  <c r="BE26" i="17"/>
  <c r="BF26" i="17" s="1"/>
  <c r="BE40" i="17" s="1"/>
  <c r="BB16" i="25"/>
  <c r="U24" i="12"/>
  <c r="W16" i="12"/>
  <c r="BB16" i="12" s="1"/>
  <c r="E24" i="18"/>
  <c r="G16" i="18"/>
  <c r="BA21" i="14"/>
  <c r="BA31" i="14" s="1"/>
  <c r="BA55" i="14" s="1"/>
  <c r="AA16" i="19"/>
  <c r="BB16" i="19" s="1"/>
  <c r="BC16" i="19" s="1"/>
  <c r="BC22" i="19" s="1"/>
  <c r="Y20" i="19"/>
  <c r="BR24" i="5"/>
  <c r="AO26" i="7"/>
  <c r="AQ17" i="7"/>
  <c r="BB16" i="9"/>
  <c r="BC26" i="13"/>
  <c r="BF26" i="13" s="1"/>
  <c r="AM20" i="6"/>
  <c r="BE20" i="6" s="1"/>
  <c r="BA22" i="16"/>
  <c r="BA32" i="16" s="1"/>
  <c r="AS20" i="27"/>
  <c r="AU15" i="27"/>
  <c r="BB13" i="30"/>
  <c r="G21" i="5"/>
  <c r="Q19" i="21"/>
  <c r="S15" i="21"/>
  <c r="BE19" i="26"/>
  <c r="BE26" i="26" s="1"/>
  <c r="C18" i="23" s="1"/>
  <c r="O19" i="5"/>
  <c r="AZ19" i="5" s="1"/>
  <c r="M31" i="5"/>
  <c r="BE18" i="7"/>
  <c r="W16" i="10"/>
  <c r="BE16" i="10" s="1"/>
  <c r="U26" i="10"/>
  <c r="BE20" i="14"/>
  <c r="BG20" i="14" s="1"/>
  <c r="BG30" i="14" s="1"/>
  <c r="BG54" i="14" s="1"/>
  <c r="AO38" i="14"/>
  <c r="AO45" i="14"/>
  <c r="AO44" i="14"/>
  <c r="AZ16" i="35"/>
  <c r="BA16" i="35" s="1"/>
  <c r="AA15" i="26"/>
  <c r="BB15" i="26" s="1"/>
  <c r="Y20" i="26"/>
  <c r="BB21" i="7"/>
  <c r="AQ21" i="6"/>
  <c r="BJ21" i="6" s="1"/>
  <c r="AZ25" i="7"/>
  <c r="S16" i="11"/>
  <c r="BE16" i="11" s="1"/>
  <c r="Q24" i="11"/>
  <c r="AY16" i="12"/>
  <c r="AW24" i="12"/>
  <c r="BM29" i="5"/>
  <c r="BE19" i="11"/>
  <c r="BC19" i="27"/>
  <c r="BC26" i="27" s="1"/>
  <c r="O19" i="4"/>
  <c r="BE24" i="8"/>
  <c r="BG24" i="8" s="1"/>
  <c r="BE23" i="10"/>
  <c r="BB20" i="14"/>
  <c r="BD20" i="14" s="1"/>
  <c r="BD30" i="14" s="1"/>
  <c r="BD54" i="14" s="1"/>
  <c r="U38" i="14"/>
  <c r="U45" i="14"/>
  <c r="M20" i="19"/>
  <c r="O16" i="19"/>
  <c r="AZ16" i="19" s="1"/>
  <c r="BA16" i="19" s="1"/>
  <c r="BA22" i="19" s="1"/>
  <c r="Y19" i="22"/>
  <c r="AA15" i="22"/>
  <c r="BB15" i="22" s="1"/>
  <c r="BH23" i="6"/>
  <c r="M24" i="11"/>
  <c r="O16" i="11"/>
  <c r="AZ16" i="11" s="1"/>
  <c r="I19" i="23"/>
  <c r="K15" i="23"/>
  <c r="K14" i="29"/>
  <c r="I19" i="29"/>
  <c r="BD16" i="29"/>
  <c r="BD23" i="29" s="1"/>
  <c r="AI20" i="6"/>
  <c r="AU16" i="9"/>
  <c r="AS26" i="9"/>
  <c r="AZ25" i="9"/>
  <c r="BA25" i="9" s="1"/>
  <c r="AZ18" i="21"/>
  <c r="BB22" i="17"/>
  <c r="BD22" i="17" s="1"/>
  <c r="BD32" i="17" s="1"/>
  <c r="AO19" i="22"/>
  <c r="AQ15" i="22"/>
  <c r="BD15" i="22" s="1"/>
  <c r="AI14" i="29"/>
  <c r="AG19" i="29"/>
  <c r="BB17" i="35"/>
  <c r="BB24" i="35" s="1"/>
  <c r="AC26" i="7"/>
  <c r="AE17" i="7"/>
  <c r="M19" i="22"/>
  <c r="O15" i="22"/>
  <c r="BH22" i="7"/>
  <c r="BJ22" i="7"/>
  <c r="BE21" i="14"/>
  <c r="BG21" i="14" s="1"/>
  <c r="BG31" i="14" s="1"/>
  <c r="BG55" i="14" s="1"/>
  <c r="BE16" i="15"/>
  <c r="BD17" i="28"/>
  <c r="BD24" i="28" s="1"/>
  <c r="BB19" i="26"/>
  <c r="BC19" i="26" s="1"/>
  <c r="BC26" i="26" s="1"/>
  <c r="G12" i="3"/>
  <c r="S22" i="5"/>
  <c r="BC22" i="5" s="1"/>
  <c r="AA17" i="7"/>
  <c r="BB17" i="7" s="1"/>
  <c r="Y26" i="7"/>
  <c r="AP61" i="7"/>
  <c r="BE17" i="12"/>
  <c r="BD23" i="15"/>
  <c r="BD33" i="15" s="1"/>
  <c r="I24" i="14"/>
  <c r="K16" i="14"/>
  <c r="AZ16" i="24"/>
  <c r="AZ17" i="23"/>
  <c r="BB17" i="23"/>
  <c r="BC17" i="23" s="1"/>
  <c r="BC23" i="23" s="1"/>
  <c r="W15" i="27"/>
  <c r="BB15" i="27" s="1"/>
  <c r="U20" i="27"/>
  <c r="G13" i="31"/>
  <c r="E18" i="31"/>
  <c r="AV22" i="4"/>
  <c r="BB23" i="14"/>
  <c r="BD23" i="14" s="1"/>
  <c r="BD33" i="14" s="1"/>
  <c r="BD57" i="14" s="1"/>
  <c r="G16" i="12"/>
  <c r="E24" i="12"/>
  <c r="BB17" i="22"/>
  <c r="AZ18" i="11"/>
  <c r="AS20" i="20"/>
  <c r="AU16" i="20"/>
  <c r="AG19" i="22"/>
  <c r="AI15" i="22"/>
  <c r="I20" i="26"/>
  <c r="K15" i="26"/>
  <c r="AZ15" i="26" s="1"/>
  <c r="AE15" i="26"/>
  <c r="AC20" i="26"/>
  <c r="AO24" i="15"/>
  <c r="AQ16" i="15"/>
  <c r="BD15" i="29"/>
  <c r="AM15" i="27"/>
  <c r="AK20" i="27"/>
  <c r="BK19" i="5"/>
  <c r="AI19" i="6"/>
  <c r="AG28" i="6"/>
  <c r="BE17" i="10"/>
  <c r="AG44" i="14"/>
  <c r="AG38" i="14"/>
  <c r="AG45" i="14"/>
  <c r="AA16" i="16"/>
  <c r="Y24" i="16"/>
  <c r="BD18" i="19"/>
  <c r="Y24" i="17"/>
  <c r="AA16" i="17"/>
  <c r="BB16" i="35"/>
  <c r="BB23" i="35" s="1"/>
  <c r="BB26" i="13"/>
  <c r="AY15" i="21"/>
  <c r="BD15" i="21" s="1"/>
  <c r="AW19" i="21"/>
  <c r="BB21" i="18"/>
  <c r="BD21" i="18" s="1"/>
  <c r="BD31" i="18" s="1"/>
  <c r="AE22" i="6"/>
  <c r="AM22" i="6"/>
  <c r="W20" i="6"/>
  <c r="BB20" i="6" s="1"/>
  <c r="BA22" i="14"/>
  <c r="BA32" i="14" s="1"/>
  <c r="BA56" i="14" s="1"/>
  <c r="AK26" i="9"/>
  <c r="AM16" i="9"/>
  <c r="BB15" i="25"/>
  <c r="BE17" i="26"/>
  <c r="BE24" i="26" s="1"/>
  <c r="AZ28" i="5"/>
  <c r="BB28" i="5" s="1"/>
  <c r="BB43" i="5" s="1"/>
  <c r="BE25" i="7"/>
  <c r="AE19" i="6"/>
  <c r="AC28" i="6"/>
  <c r="O16" i="14"/>
  <c r="AZ16" i="14" s="1"/>
  <c r="M24" i="14"/>
  <c r="K16" i="18"/>
  <c r="I24" i="18"/>
  <c r="E19" i="29"/>
  <c r="G14" i="29"/>
  <c r="K22" i="4"/>
  <c r="BE24" i="6"/>
  <c r="BB26" i="11"/>
  <c r="BC26" i="11" s="1"/>
  <c r="BF26" i="11" s="1"/>
  <c r="AW51" i="14"/>
  <c r="BA21" i="16"/>
  <c r="BA31" i="16" s="1"/>
  <c r="W14" i="29"/>
  <c r="U19" i="29"/>
  <c r="BJ24" i="7"/>
  <c r="BH24" i="7"/>
  <c r="BG20" i="15"/>
  <c r="BG30" i="15" s="1"/>
  <c r="O22" i="5"/>
  <c r="AZ30" i="5"/>
  <c r="BB30" i="5" s="1"/>
  <c r="BB45" i="5" s="1"/>
  <c r="BE23" i="7"/>
  <c r="U26" i="8"/>
  <c r="W16" i="8"/>
  <c r="BE16" i="8" s="1"/>
  <c r="AW24" i="14"/>
  <c r="AY16" i="14"/>
  <c r="BE37" i="14"/>
  <c r="AE15" i="27"/>
  <c r="AC20" i="27"/>
  <c r="AZ15" i="31"/>
  <c r="BA15" i="31" s="1"/>
  <c r="AO18" i="30"/>
  <c r="AQ13" i="30"/>
  <c r="S15" i="26"/>
  <c r="Q20" i="26"/>
  <c r="O20" i="6"/>
  <c r="AZ20" i="6" s="1"/>
  <c r="Q31" i="5"/>
  <c r="S19" i="5"/>
  <c r="BC19" i="5" s="1"/>
  <c r="AP62" i="7"/>
  <c r="BB17" i="11"/>
  <c r="BE17" i="11"/>
  <c r="Y24" i="15"/>
  <c r="AA16" i="15"/>
  <c r="BB16" i="15" s="1"/>
  <c r="M24" i="17"/>
  <c r="O16" i="17"/>
  <c r="BB16" i="18"/>
  <c r="AZ17" i="24"/>
  <c r="BA17" i="24" s="1"/>
  <c r="BA24" i="24" s="1"/>
  <c r="BE16" i="17"/>
  <c r="BE17" i="17"/>
  <c r="P36" i="4"/>
  <c r="T19" i="4"/>
  <c r="AZ24" i="6"/>
  <c r="BE21" i="11"/>
  <c r="AA16" i="14"/>
  <c r="BB16" i="14" s="1"/>
  <c r="Y24" i="14"/>
  <c r="W16" i="14"/>
  <c r="U24" i="14"/>
  <c r="K16" i="16"/>
  <c r="I24" i="16"/>
  <c r="BB16" i="22"/>
  <c r="AZ23" i="11"/>
  <c r="BA22" i="15"/>
  <c r="BA32" i="15" s="1"/>
  <c r="BA17" i="26"/>
  <c r="BA24" i="26" s="1"/>
  <c r="AZ16" i="28"/>
  <c r="BA16" i="28" s="1"/>
  <c r="BA23" i="28" s="1"/>
  <c r="AM16" i="12"/>
  <c r="AK24" i="12"/>
  <c r="I24" i="17"/>
  <c r="K16" i="17"/>
  <c r="G15" i="21"/>
  <c r="E19" i="21"/>
  <c r="I20" i="27"/>
  <c r="K15" i="27"/>
  <c r="BD17" i="29"/>
  <c r="AI21" i="6"/>
  <c r="BE22" i="9"/>
  <c r="E24" i="13"/>
  <c r="G16" i="13"/>
  <c r="AU16" i="12"/>
  <c r="AS24" i="12"/>
  <c r="BB23" i="16"/>
  <c r="BD23" i="16" s="1"/>
  <c r="BD33" i="16" s="1"/>
  <c r="M24" i="18"/>
  <c r="O16" i="18"/>
  <c r="BB21" i="17"/>
  <c r="BD21" i="17" s="1"/>
  <c r="BD31" i="17" s="1"/>
  <c r="U20" i="24"/>
  <c r="W15" i="24"/>
  <c r="BB26" i="15"/>
  <c r="BC26" i="15" s="1"/>
  <c r="BF26" i="15" s="1"/>
  <c r="BD16" i="21"/>
  <c r="BE16" i="21" s="1"/>
  <c r="BE22" i="21" s="1"/>
  <c r="BA19" i="27"/>
  <c r="BA26" i="27" s="1"/>
  <c r="BK67" i="5"/>
  <c r="BL34" i="5"/>
  <c r="BE25" i="6"/>
  <c r="W22" i="6"/>
  <c r="BA23" i="16"/>
  <c r="BA33" i="16" s="1"/>
  <c r="BB15" i="29"/>
  <c r="K13" i="35"/>
  <c r="AZ13" i="35" s="1"/>
  <c r="I18" i="35"/>
  <c r="BJ25" i="6"/>
  <c r="BH25" i="6"/>
  <c r="BH21" i="7"/>
  <c r="BJ21" i="7"/>
  <c r="AM16" i="14"/>
  <c r="AK24" i="14"/>
  <c r="O21" i="5"/>
  <c r="AZ21" i="5" s="1"/>
  <c r="O20" i="5"/>
  <c r="AZ20" i="5" s="1"/>
  <c r="BE24" i="7"/>
  <c r="BE22" i="14"/>
  <c r="BG22" i="14" s="1"/>
  <c r="BG32" i="14" s="1"/>
  <c r="BG56" i="14" s="1"/>
  <c r="AO20" i="24"/>
  <c r="AQ15" i="24"/>
  <c r="AZ16" i="31"/>
  <c r="BA16" i="31" s="1"/>
  <c r="BD34" i="5"/>
  <c r="AZ67" i="5"/>
  <c r="BA34" i="5"/>
  <c r="AQ20" i="6"/>
  <c r="BJ20" i="6" s="1"/>
  <c r="AP63" i="7"/>
  <c r="BE20" i="10"/>
  <c r="BB21" i="13"/>
  <c r="BD20" i="15"/>
  <c r="BD30" i="15" s="1"/>
  <c r="AZ18" i="24"/>
  <c r="BA18" i="24" s="1"/>
  <c r="BA25" i="24" s="1"/>
  <c r="BC21" i="5"/>
  <c r="O16" i="10"/>
  <c r="AZ16" i="10" s="1"/>
  <c r="M26" i="10"/>
  <c r="BB14" i="29"/>
  <c r="BC17" i="27"/>
  <c r="BC24" i="27" s="1"/>
  <c r="M21" i="4"/>
  <c r="M26" i="4"/>
  <c r="O26" i="4" s="1"/>
  <c r="AZ26" i="4" s="1"/>
  <c r="M31" i="4"/>
  <c r="O31" i="4" s="1"/>
  <c r="AZ31" i="4" s="1"/>
  <c r="BB31" i="4" s="1"/>
  <c r="BB51" i="4" s="1"/>
  <c r="M23" i="4"/>
  <c r="O23" i="4" s="1"/>
  <c r="AZ23" i="4" s="1"/>
  <c r="M27" i="4"/>
  <c r="O27" i="4" s="1"/>
  <c r="AZ27" i="4" s="1"/>
  <c r="M24" i="4"/>
  <c r="O24" i="4" s="1"/>
  <c r="AZ24" i="4" s="1"/>
  <c r="M32" i="4"/>
  <c r="O32" i="4" s="1"/>
  <c r="AZ32" i="4" s="1"/>
  <c r="BB32" i="4" s="1"/>
  <c r="BB52" i="4" s="1"/>
  <c r="M33" i="4"/>
  <c r="O33" i="4" s="1"/>
  <c r="AZ33" i="4" s="1"/>
  <c r="BB33" i="4" s="1"/>
  <c r="BB53" i="4" s="1"/>
  <c r="M29" i="4"/>
  <c r="O29" i="4" s="1"/>
  <c r="M25" i="4"/>
  <c r="O25" i="4" s="1"/>
  <c r="AZ25" i="4" s="1"/>
  <c r="M35" i="4"/>
  <c r="O35" i="4" s="1"/>
  <c r="AZ35" i="4" s="1"/>
  <c r="BB35" i="4" s="1"/>
  <c r="BB55" i="4" s="1"/>
  <c r="M22" i="4"/>
  <c r="M20" i="4"/>
  <c r="M30" i="4"/>
  <c r="O30" i="4" s="1"/>
  <c r="AZ30" i="4" s="1"/>
  <c r="M28" i="4"/>
  <c r="O28" i="4" s="1"/>
  <c r="AZ28" i="4" s="1"/>
  <c r="M34" i="4"/>
  <c r="O34" i="4" s="1"/>
  <c r="AZ34" i="4" s="1"/>
  <c r="BB34" i="4" s="1"/>
  <c r="BB54" i="4" s="1"/>
  <c r="BK21" i="5"/>
  <c r="BG26" i="5"/>
  <c r="AZ20" i="9"/>
  <c r="BB18" i="14"/>
  <c r="BB18" i="22"/>
  <c r="AZ14" i="29"/>
  <c r="AZ21" i="11"/>
  <c r="AZ13" i="30"/>
  <c r="AZ15" i="28"/>
  <c r="W17" i="7"/>
  <c r="U26" i="7"/>
  <c r="BD18" i="29"/>
  <c r="BD25" i="29" s="1"/>
  <c r="BE24" i="9"/>
  <c r="BG24" i="9" s="1"/>
  <c r="BB22" i="16"/>
  <c r="BD22" i="16" s="1"/>
  <c r="BD32" i="16" s="1"/>
  <c r="AZ18" i="18"/>
  <c r="BB18" i="18"/>
  <c r="BD17" i="20"/>
  <c r="AU16" i="19"/>
  <c r="BD16" i="19" s="1"/>
  <c r="BE16" i="19" s="1"/>
  <c r="BE22" i="19" s="1"/>
  <c r="AS20" i="19"/>
  <c r="BB18" i="24"/>
  <c r="BC18" i="24" s="1"/>
  <c r="BC25" i="24" s="1"/>
  <c r="BD17" i="21"/>
  <c r="BB16" i="23"/>
  <c r="E28" i="6"/>
  <c r="G19" i="6"/>
  <c r="BA20" i="16"/>
  <c r="BA30" i="16" s="1"/>
  <c r="I36" i="4"/>
  <c r="K19" i="4"/>
  <c r="AM21" i="6"/>
  <c r="U28" i="6"/>
  <c r="W19" i="6"/>
  <c r="BB19" i="6" s="1"/>
  <c r="O16" i="16"/>
  <c r="AZ16" i="16" s="1"/>
  <c r="M24" i="16"/>
  <c r="G22" i="5"/>
  <c r="G22" i="6"/>
  <c r="E26" i="8"/>
  <c r="G16" i="8"/>
  <c r="AZ16" i="8" s="1"/>
  <c r="G21" i="6"/>
  <c r="AZ21" i="6" s="1"/>
  <c r="BA23" i="14"/>
  <c r="BA33" i="14" s="1"/>
  <c r="BA57" i="14" s="1"/>
  <c r="BE26" i="6"/>
  <c r="AU22" i="6"/>
  <c r="BJ22" i="6" s="1"/>
  <c r="AY17" i="7"/>
  <c r="AW26" i="7"/>
  <c r="BB16" i="11"/>
  <c r="AZ25" i="6"/>
  <c r="AZ27" i="5"/>
  <c r="BE19" i="7"/>
  <c r="BB21" i="8"/>
  <c r="BE19" i="14"/>
  <c r="AS24" i="18"/>
  <c r="AU16" i="18"/>
  <c r="AQ15" i="27"/>
  <c r="BD15" i="27" s="1"/>
  <c r="AO20" i="27"/>
  <c r="W13" i="31"/>
  <c r="AZ13" i="31" s="1"/>
  <c r="U18" i="31"/>
  <c r="S20" i="5"/>
  <c r="BC20" i="5" s="1"/>
  <c r="BB22" i="6"/>
  <c r="BD24" i="7"/>
  <c r="BD35" i="7" s="1"/>
  <c r="AZ22" i="7"/>
  <c r="BE19" i="12"/>
  <c r="I38" i="14"/>
  <c r="I45" i="14"/>
  <c r="AZ19" i="24"/>
  <c r="BA19" i="24" s="1"/>
  <c r="BA26" i="24" s="1"/>
  <c r="BE37" i="17"/>
  <c r="AZ15" i="21"/>
  <c r="AU14" i="29"/>
  <c r="AS19" i="29"/>
  <c r="AM19" i="5"/>
  <c r="BG19" i="5" s="1"/>
  <c r="AK31" i="5"/>
  <c r="BB17" i="14"/>
  <c r="AO24" i="16"/>
  <c r="AQ16" i="16"/>
  <c r="BE16" i="16" s="1"/>
  <c r="BE24" i="10"/>
  <c r="BG24" i="10" s="1"/>
  <c r="AZ20" i="11"/>
  <c r="BA23" i="15"/>
  <c r="BA33" i="15" s="1"/>
  <c r="BE16" i="18"/>
  <c r="Q20" i="24"/>
  <c r="S15" i="24"/>
  <c r="BD15" i="24" s="1"/>
  <c r="E20" i="27"/>
  <c r="G15" i="27"/>
  <c r="AZ15" i="27" s="1"/>
  <c r="AZ17" i="28"/>
  <c r="BA17" i="28" s="1"/>
  <c r="BA24" i="28" s="1"/>
  <c r="BB21" i="6"/>
  <c r="BE19" i="10"/>
  <c r="AW19" i="29"/>
  <c r="AY14" i="29"/>
  <c r="BD14" i="29" s="1"/>
  <c r="BB18" i="16"/>
  <c r="AZ23" i="18"/>
  <c r="BA23" i="18" s="1"/>
  <c r="BA33" i="18" s="1"/>
  <c r="AW20" i="20"/>
  <c r="AY16" i="20"/>
  <c r="BD16" i="20" s="1"/>
  <c r="BE16" i="20" s="1"/>
  <c r="BE22" i="20" s="1"/>
  <c r="BB15" i="21"/>
  <c r="BB19" i="24"/>
  <c r="BC19" i="24" s="1"/>
  <c r="BC26" i="24" s="1"/>
  <c r="AS19" i="28"/>
  <c r="AU14" i="28"/>
  <c r="BD14" i="28" s="1"/>
  <c r="BD18" i="21"/>
  <c r="BM28" i="5"/>
  <c r="BB20" i="18"/>
  <c r="BD20" i="18" s="1"/>
  <c r="BD30" i="18" s="1"/>
  <c r="F47" i="3"/>
  <c r="N47" i="3"/>
  <c r="V47" i="3"/>
  <c r="AJ52" i="3" a="1"/>
  <c r="AJ49" i="3" a="1"/>
  <c r="AJ50" i="3" a="1"/>
  <c r="AJ53" i="3" a="1"/>
  <c r="AJ51" i="3" a="1"/>
  <c r="AJ43" i="3" a="1"/>
  <c r="AJ44" i="3" a="1"/>
  <c r="AJ45" i="3" a="1"/>
  <c r="AJ46" i="3" a="1"/>
  <c r="AJ48" i="3" a="1"/>
  <c r="AJ38" i="3" a="1"/>
  <c r="AJ39" i="3" a="1"/>
  <c r="AJ40" i="3" a="1"/>
  <c r="AJ41" i="3" a="1"/>
  <c r="AJ33" i="3" a="1"/>
  <c r="AJ34" i="3" a="1"/>
  <c r="AJ35" i="3" a="1"/>
  <c r="AJ36" i="3" a="1"/>
  <c r="AJ54" i="3" a="1"/>
  <c r="AJ55" i="3" a="1"/>
  <c r="AJ37" i="3" a="1"/>
  <c r="AJ42" i="3" a="1"/>
  <c r="AJ47" i="3" a="1"/>
  <c r="AJ56" i="3" a="1"/>
  <c r="AC49" i="3"/>
  <c r="M56" i="3"/>
  <c r="AJ56" i="3" l="1"/>
  <c r="AJ47" i="3"/>
  <c r="AJ42" i="3"/>
  <c r="AJ37" i="3"/>
  <c r="AJ55" i="3"/>
  <c r="AJ54" i="3"/>
  <c r="AJ36" i="3"/>
  <c r="AJ35" i="3"/>
  <c r="AJ34" i="3"/>
  <c r="AJ33" i="3"/>
  <c r="AJ41" i="3"/>
  <c r="AJ40" i="3"/>
  <c r="AJ39" i="3"/>
  <c r="AJ38" i="3"/>
  <c r="AJ48" i="3"/>
  <c r="AJ46" i="3"/>
  <c r="AJ45" i="3"/>
  <c r="AJ44" i="3"/>
  <c r="AJ43" i="3"/>
  <c r="AJ51" i="3"/>
  <c r="AJ53" i="3"/>
  <c r="AJ50" i="3"/>
  <c r="AJ49" i="3"/>
  <c r="AJ52" i="3"/>
  <c r="C18" i="19"/>
  <c r="C18" i="20"/>
  <c r="C13" i="35"/>
  <c r="C13" i="31"/>
  <c r="C13" i="30"/>
  <c r="BA13" i="35"/>
  <c r="C16" i="18"/>
  <c r="C16" i="17"/>
  <c r="BE41" i="17" s="1"/>
  <c r="BC35" i="5"/>
  <c r="BC68" i="5" s="1"/>
  <c r="BN21" i="6"/>
  <c r="C23" i="13"/>
  <c r="C23" i="12"/>
  <c r="BA23" i="12" s="1"/>
  <c r="BA33" i="12" s="1"/>
  <c r="C23" i="11"/>
  <c r="BG16" i="18"/>
  <c r="BG26" i="18" s="1"/>
  <c r="AW43" i="5"/>
  <c r="BJ47" i="5"/>
  <c r="BB76" i="5"/>
  <c r="G15" i="3"/>
  <c r="J11" i="3"/>
  <c r="H11" i="3"/>
  <c r="BD23" i="11"/>
  <c r="BD33" i="11" s="1"/>
  <c r="AZ22" i="6"/>
  <c r="BB16" i="20"/>
  <c r="BC16" i="20" s="1"/>
  <c r="BC22" i="20" s="1"/>
  <c r="BE17" i="7"/>
  <c r="BB13" i="31"/>
  <c r="BB20" i="31" s="1"/>
  <c r="C14" i="29" s="1"/>
  <c r="BC18" i="29"/>
  <c r="BD16" i="18"/>
  <c r="BD26" i="18" s="1"/>
  <c r="BJ17" i="7"/>
  <c r="BH17" i="7"/>
  <c r="BE21" i="6"/>
  <c r="BB16" i="16"/>
  <c r="BE16" i="13"/>
  <c r="BD20" i="16"/>
  <c r="BD30" i="16" s="1"/>
  <c r="AZ15" i="24"/>
  <c r="BE18" i="27"/>
  <c r="BE25" i="27" s="1"/>
  <c r="AZ29" i="4"/>
  <c r="O41" i="4"/>
  <c r="O42" i="4" s="1"/>
  <c r="BC14" i="29"/>
  <c r="BN25" i="6"/>
  <c r="BD24" i="29"/>
  <c r="AZ16" i="17"/>
  <c r="BA16" i="17" s="1"/>
  <c r="BA26" i="17" s="1"/>
  <c r="BN24" i="7"/>
  <c r="BA17" i="23"/>
  <c r="BA23" i="23" s="1"/>
  <c r="BM21" i="5"/>
  <c r="BG24" i="7"/>
  <c r="BG35" i="7" s="1"/>
  <c r="AZ16" i="18"/>
  <c r="BA16" i="18" s="1"/>
  <c r="BA26" i="18" s="1"/>
  <c r="BE16" i="14"/>
  <c r="J12" i="3"/>
  <c r="H12" i="3"/>
  <c r="AZ15" i="22"/>
  <c r="BN20" i="7"/>
  <c r="AZ17" i="7"/>
  <c r="O19" i="28"/>
  <c r="AZ14" i="28"/>
  <c r="BA18" i="27"/>
  <c r="BA25" i="27" s="1"/>
  <c r="BE17" i="21"/>
  <c r="BE23" i="21" s="1"/>
  <c r="AP68" i="7"/>
  <c r="BA25" i="7"/>
  <c r="BB20" i="30"/>
  <c r="BG36" i="10"/>
  <c r="BG37" i="10"/>
  <c r="AP65" i="7"/>
  <c r="BA13" i="30"/>
  <c r="BE34" i="5"/>
  <c r="BA67" i="5"/>
  <c r="BA23" i="11"/>
  <c r="BA33" i="11" s="1"/>
  <c r="BR29" i="5"/>
  <c r="BH20" i="6"/>
  <c r="BE19" i="6"/>
  <c r="BN18" i="7"/>
  <c r="C17" i="22"/>
  <c r="C17" i="21"/>
  <c r="BR26" i="5"/>
  <c r="BO29" i="5"/>
  <c r="BO44" i="5" s="1"/>
  <c r="J22" i="3"/>
  <c r="BB21" i="3"/>
  <c r="BC36" i="5"/>
  <c r="BC69" i="5" s="1"/>
  <c r="AZ36" i="5"/>
  <c r="BF30" i="5"/>
  <c r="BN27" i="6"/>
  <c r="BE17" i="27"/>
  <c r="BE24" i="27" s="1"/>
  <c r="C19" i="19"/>
  <c r="C19" i="20"/>
  <c r="BD21" i="3"/>
  <c r="R22" i="3"/>
  <c r="BD67" i="5"/>
  <c r="BH34" i="5"/>
  <c r="BH67" i="5" s="1"/>
  <c r="X19" i="4"/>
  <c r="T36" i="4"/>
  <c r="U19" i="4" s="1"/>
  <c r="BC17" i="22"/>
  <c r="BC23" i="22" s="1"/>
  <c r="BB14" i="28"/>
  <c r="BG37" i="8"/>
  <c r="C25" i="7" s="1"/>
  <c r="BG36" i="8"/>
  <c r="C23" i="7" s="1"/>
  <c r="BA23" i="7" s="1"/>
  <c r="BN19" i="7"/>
  <c r="BR27" i="5"/>
  <c r="J14" i="3"/>
  <c r="H14" i="3"/>
  <c r="BE18" i="20"/>
  <c r="BE24" i="20" s="1"/>
  <c r="BG35" i="5"/>
  <c r="AZ19" i="6"/>
  <c r="AI22" i="3"/>
  <c r="AL21" i="3"/>
  <c r="BI21" i="3"/>
  <c r="BA14" i="29"/>
  <c r="Q33" i="4"/>
  <c r="S33" i="4" s="1"/>
  <c r="Q32" i="4"/>
  <c r="S32" i="4" s="1"/>
  <c r="Q29" i="4"/>
  <c r="S29" i="4" s="1"/>
  <c r="S41" i="4" s="1"/>
  <c r="S42" i="4" s="1"/>
  <c r="Q27" i="4"/>
  <c r="S27" i="4" s="1"/>
  <c r="Q25" i="4"/>
  <c r="S25" i="4" s="1"/>
  <c r="Q22" i="4"/>
  <c r="Q31" i="4"/>
  <c r="S31" i="4" s="1"/>
  <c r="Q35" i="4"/>
  <c r="S35" i="4" s="1"/>
  <c r="Q24" i="4"/>
  <c r="S24" i="4" s="1"/>
  <c r="Q28" i="4"/>
  <c r="S28" i="4" s="1"/>
  <c r="Q21" i="4"/>
  <c r="Q34" i="4"/>
  <c r="S34" i="4" s="1"/>
  <c r="Q30" i="4"/>
  <c r="S30" i="4" s="1"/>
  <c r="Q26" i="4"/>
  <c r="S26" i="4" s="1"/>
  <c r="Q23" i="4"/>
  <c r="S23" i="4" s="1"/>
  <c r="Q20" i="4"/>
  <c r="Q19" i="4"/>
  <c r="BE16" i="9"/>
  <c r="AT57" i="14"/>
  <c r="AW52" i="14" s="1"/>
  <c r="BH19" i="6"/>
  <c r="BN19" i="6" s="1"/>
  <c r="BC17" i="29"/>
  <c r="C21" i="13"/>
  <c r="C21" i="12"/>
  <c r="C21" i="11"/>
  <c r="BA21" i="11" s="1"/>
  <c r="BA31" i="11" s="1"/>
  <c r="BD15" i="23"/>
  <c r="BH22" i="6"/>
  <c r="BG23" i="11"/>
  <c r="BG33" i="11" s="1"/>
  <c r="C23" i="8" s="1"/>
  <c r="C22" i="11"/>
  <c r="BA22" i="11" s="1"/>
  <c r="BA32" i="11" s="1"/>
  <c r="C22" i="13"/>
  <c r="C22" i="12"/>
  <c r="BA22" i="12" s="1"/>
  <c r="BA32" i="12" s="1"/>
  <c r="BD78" i="4"/>
  <c r="BH39" i="4"/>
  <c r="BH78" i="4" s="1"/>
  <c r="AT56" i="14"/>
  <c r="BM22" i="5"/>
  <c r="H13" i="3"/>
  <c r="J13" i="3"/>
  <c r="BC17" i="25"/>
  <c r="BC24" i="25" s="1"/>
  <c r="BN25" i="7"/>
  <c r="O20" i="4"/>
  <c r="AZ20" i="4" s="1"/>
  <c r="BD21" i="13"/>
  <c r="BD31" i="13" s="1"/>
  <c r="AW45" i="5"/>
  <c r="BB78" i="5"/>
  <c r="BB16" i="17"/>
  <c r="BD16" i="17" s="1"/>
  <c r="BD26" i="17" s="1"/>
  <c r="AZ19" i="4"/>
  <c r="BE16" i="12"/>
  <c r="AT58" i="14"/>
  <c r="BG20" i="12"/>
  <c r="BG30" i="12" s="1"/>
  <c r="BD15" i="26"/>
  <c r="BG36" i="5"/>
  <c r="BE18" i="23"/>
  <c r="BE24" i="23" s="1"/>
  <c r="BA36" i="9"/>
  <c r="AW37" i="9" s="1"/>
  <c r="BA37" i="9"/>
  <c r="AW38" i="9" s="1"/>
  <c r="I16" i="32"/>
  <c r="AN14" i="32"/>
  <c r="AO14" i="32" s="1"/>
  <c r="BE19" i="19"/>
  <c r="BE25" i="19" s="1"/>
  <c r="C18" i="21"/>
  <c r="BC18" i="21" s="1"/>
  <c r="BC24" i="21" s="1"/>
  <c r="C18" i="22"/>
  <c r="BF21" i="3"/>
  <c r="Z22" i="3"/>
  <c r="BA13" i="31"/>
  <c r="BG37" i="9"/>
  <c r="BG36" i="9"/>
  <c r="O22" i="4"/>
  <c r="AZ22" i="4" s="1"/>
  <c r="AZ22" i="5"/>
  <c r="M36" i="4"/>
  <c r="BB16" i="8"/>
  <c r="BB20" i="35"/>
  <c r="BK35" i="5"/>
  <c r="AP64" i="7"/>
  <c r="BC18" i="23"/>
  <c r="BC24" i="23" s="1"/>
  <c r="BF50" i="14"/>
  <c r="BE40" i="14"/>
  <c r="BN26" i="6"/>
  <c r="BN23" i="6"/>
  <c r="BN21" i="7"/>
  <c r="BG16" i="17"/>
  <c r="BG26" i="17" s="1"/>
  <c r="BR28" i="5"/>
  <c r="BD21" i="29"/>
  <c r="O21" i="4"/>
  <c r="AZ21" i="4" s="1"/>
  <c r="BM34" i="5"/>
  <c r="BL67" i="5"/>
  <c r="BB15" i="24"/>
  <c r="C20" i="12"/>
  <c r="C20" i="11"/>
  <c r="BD20" i="11" s="1"/>
  <c r="BD30" i="11" s="1"/>
  <c r="C20" i="13"/>
  <c r="BE22" i="6"/>
  <c r="BE18" i="19"/>
  <c r="BE24" i="19" s="1"/>
  <c r="BM19" i="5"/>
  <c r="BN22" i="7"/>
  <c r="BB15" i="23"/>
  <c r="BM20" i="5"/>
  <c r="C14" i="35"/>
  <c r="BA14" i="35" s="1"/>
  <c r="C14" i="30"/>
  <c r="C14" i="31"/>
  <c r="BA14" i="31" s="1"/>
  <c r="BF28" i="5"/>
  <c r="BN23" i="7"/>
  <c r="BE19" i="20"/>
  <c r="BE25" i="20" s="1"/>
  <c r="BG22" i="16"/>
  <c r="BG32" i="16" s="1"/>
  <c r="BG20" i="11"/>
  <c r="BG30" i="11" s="1"/>
  <c r="C20" i="8" s="1"/>
  <c r="F48" i="3"/>
  <c r="N48" i="3"/>
  <c r="V48" i="3"/>
  <c r="AC50" i="3"/>
  <c r="AD48" i="3"/>
  <c r="AD49" i="3"/>
  <c r="W19" i="4" l="1"/>
  <c r="BG69" i="5"/>
  <c r="BL36" i="5"/>
  <c r="BG68" i="5"/>
  <c r="R23" i="3"/>
  <c r="BD22" i="3"/>
  <c r="BF45" i="5"/>
  <c r="BF78" i="5" s="1"/>
  <c r="BJ30" i="5"/>
  <c r="BD21" i="11"/>
  <c r="BD31" i="11" s="1"/>
  <c r="BG23" i="12"/>
  <c r="BG33" i="12" s="1"/>
  <c r="BK24" i="7"/>
  <c r="BA18" i="20"/>
  <c r="BA24" i="20" s="1"/>
  <c r="BC18" i="20"/>
  <c r="BC24" i="20" s="1"/>
  <c r="BK68" i="5"/>
  <c r="BL35" i="5"/>
  <c r="BA21" i="12"/>
  <c r="BA31" i="12" s="1"/>
  <c r="BD21" i="12"/>
  <c r="BD31" i="12" s="1"/>
  <c r="U26" i="4"/>
  <c r="W26" i="4" s="1"/>
  <c r="U29" i="4"/>
  <c r="W29" i="4" s="1"/>
  <c r="U33" i="4"/>
  <c r="W33" i="4" s="1"/>
  <c r="U20" i="4"/>
  <c r="U22" i="4"/>
  <c r="U32" i="4"/>
  <c r="W32" i="4" s="1"/>
  <c r="U24" i="4"/>
  <c r="W24" i="4" s="1"/>
  <c r="U31" i="4"/>
  <c r="W31" i="4" s="1"/>
  <c r="U21" i="4"/>
  <c r="U30" i="4"/>
  <c r="W30" i="4" s="1"/>
  <c r="U35" i="4"/>
  <c r="W35" i="4" s="1"/>
  <c r="U25" i="4"/>
  <c r="W25" i="4" s="1"/>
  <c r="U34" i="4"/>
  <c r="W34" i="4" s="1"/>
  <c r="U27" i="4"/>
  <c r="W27" i="4" s="1"/>
  <c r="U28" i="4"/>
  <c r="W28" i="4" s="1"/>
  <c r="U23" i="4"/>
  <c r="W23" i="4" s="1"/>
  <c r="BS29" i="5"/>
  <c r="C15" i="27"/>
  <c r="C15" i="26"/>
  <c r="C14" i="28"/>
  <c r="BD21" i="28" s="1"/>
  <c r="C15" i="25"/>
  <c r="C15" i="24"/>
  <c r="BE15" i="24" s="1"/>
  <c r="BE22" i="24" s="1"/>
  <c r="BG16" i="14"/>
  <c r="BG26" i="14" s="1"/>
  <c r="H15" i="3"/>
  <c r="BN20" i="6"/>
  <c r="BC18" i="19"/>
  <c r="BC24" i="19" s="1"/>
  <c r="BA18" i="19"/>
  <c r="BA24" i="19" s="1"/>
  <c r="BG21" i="13"/>
  <c r="BG31" i="13" s="1"/>
  <c r="BA21" i="13"/>
  <c r="BA31" i="13" s="1"/>
  <c r="Q36" i="4"/>
  <c r="S19" i="4"/>
  <c r="C18" i="18"/>
  <c r="C18" i="17"/>
  <c r="X36" i="4"/>
  <c r="AB19" i="4"/>
  <c r="BA19" i="20"/>
  <c r="BA25" i="20" s="1"/>
  <c r="BC19" i="20"/>
  <c r="BC25" i="20" s="1"/>
  <c r="BK21" i="3"/>
  <c r="BE21" i="3" s="1"/>
  <c r="BA36" i="7"/>
  <c r="AW37" i="7" s="1"/>
  <c r="BD25" i="7"/>
  <c r="BG21" i="11"/>
  <c r="BG31" i="11" s="1"/>
  <c r="C21" i="8" s="1"/>
  <c r="BE18" i="21"/>
  <c r="BE24" i="21" s="1"/>
  <c r="BF43" i="5"/>
  <c r="BF76" i="5" s="1"/>
  <c r="BJ28" i="5"/>
  <c r="BE15" i="26"/>
  <c r="BE22" i="26" s="1"/>
  <c r="C15" i="23" s="1"/>
  <c r="BA15" i="23" s="1"/>
  <c r="BA21" i="23" s="1"/>
  <c r="BG21" i="12"/>
  <c r="BG31" i="12" s="1"/>
  <c r="BD22" i="13"/>
  <c r="BD32" i="13" s="1"/>
  <c r="BG22" i="13"/>
  <c r="BG32" i="13" s="1"/>
  <c r="BA22" i="13"/>
  <c r="BA32" i="13" s="1"/>
  <c r="S20" i="4"/>
  <c r="S22" i="4"/>
  <c r="BA34" i="7"/>
  <c r="AW35" i="7" s="1"/>
  <c r="BD23" i="7"/>
  <c r="BC19" i="19"/>
  <c r="BC25" i="19" s="1"/>
  <c r="BA19" i="19"/>
  <c r="BA25" i="19" s="1"/>
  <c r="J23" i="3"/>
  <c r="BB22" i="3"/>
  <c r="BA18" i="21"/>
  <c r="BA24" i="21" s="1"/>
  <c r="BD23" i="12"/>
  <c r="BD33" i="12" s="1"/>
  <c r="C20" i="10"/>
  <c r="C20" i="9"/>
  <c r="BG22" i="11"/>
  <c r="BG32" i="11" s="1"/>
  <c r="C22" i="8" s="1"/>
  <c r="BD22" i="11"/>
  <c r="BD32" i="11" s="1"/>
  <c r="BO77" i="5"/>
  <c r="BQ77" i="5" s="1"/>
  <c r="C29" i="4"/>
  <c r="BA15" i="24"/>
  <c r="BA22" i="24" s="1"/>
  <c r="BG20" i="8"/>
  <c r="BG32" i="8" s="1"/>
  <c r="C21" i="7" s="1"/>
  <c r="BA20" i="8"/>
  <c r="BA32" i="8" s="1"/>
  <c r="AW33" i="8" s="1"/>
  <c r="BD20" i="8"/>
  <c r="BD32" i="8" s="1"/>
  <c r="BF22" i="3"/>
  <c r="Z23" i="3"/>
  <c r="BJ21" i="3"/>
  <c r="BB21" i="31"/>
  <c r="C15" i="29" s="1"/>
  <c r="BR21" i="5"/>
  <c r="BD16" i="16"/>
  <c r="BD26" i="16" s="1"/>
  <c r="BA14" i="30"/>
  <c r="BB21" i="30"/>
  <c r="BG20" i="13"/>
  <c r="BG30" i="13" s="1"/>
  <c r="BA20" i="13"/>
  <c r="BA30" i="13" s="1"/>
  <c r="BD20" i="13"/>
  <c r="BD30" i="13" s="1"/>
  <c r="BG21" i="3"/>
  <c r="BG23" i="8"/>
  <c r="BG35" i="8" s="1"/>
  <c r="C22" i="7" s="1"/>
  <c r="BA23" i="8"/>
  <c r="BA35" i="8" s="1"/>
  <c r="AW36" i="8" s="1"/>
  <c r="BD23" i="8"/>
  <c r="BD35" i="8" s="1"/>
  <c r="AZ69" i="5"/>
  <c r="BQ69" i="5" s="1"/>
  <c r="BD36" i="5"/>
  <c r="BD69" i="5" s="1"/>
  <c r="BA36" i="5"/>
  <c r="BC17" i="21"/>
  <c r="BC23" i="21" s="1"/>
  <c r="BA17" i="21"/>
  <c r="BA23" i="21" s="1"/>
  <c r="AP60" i="7"/>
  <c r="BD23" i="13"/>
  <c r="BD33" i="13" s="1"/>
  <c r="BG23" i="13"/>
  <c r="BG33" i="13" s="1"/>
  <c r="BA23" i="13"/>
  <c r="BA33" i="13" s="1"/>
  <c r="BC15" i="24"/>
  <c r="BC22" i="24" s="1"/>
  <c r="C19" i="18"/>
  <c r="C19" i="17"/>
  <c r="BR20" i="5"/>
  <c r="BA17" i="22"/>
  <c r="BA23" i="22" s="1"/>
  <c r="BE17" i="22"/>
  <c r="BE23" i="22" s="1"/>
  <c r="BA18" i="22"/>
  <c r="BA24" i="22" s="1"/>
  <c r="BE18" i="22"/>
  <c r="BE24" i="22" s="1"/>
  <c r="BR22" i="5"/>
  <c r="BC15" i="23"/>
  <c r="BC21" i="23" s="1"/>
  <c r="BD20" i="12"/>
  <c r="BD30" i="12" s="1"/>
  <c r="BA20" i="12"/>
  <c r="BA30" i="12" s="1"/>
  <c r="BD22" i="12"/>
  <c r="BD32" i="12" s="1"/>
  <c r="BA20" i="11"/>
  <c r="BA30" i="11" s="1"/>
  <c r="BN17" i="7"/>
  <c r="BG22" i="12"/>
  <c r="BG32" i="12" s="1"/>
  <c r="BN22" i="6"/>
  <c r="BR19" i="5"/>
  <c r="BM67" i="5"/>
  <c r="C16" i="16"/>
  <c r="C16" i="15"/>
  <c r="C16" i="14"/>
  <c r="BI22" i="3"/>
  <c r="AI23" i="3"/>
  <c r="AL22" i="3"/>
  <c r="BE15" i="23"/>
  <c r="BE21" i="23" s="1"/>
  <c r="S21" i="4"/>
  <c r="BC18" i="22"/>
  <c r="BC24" i="22" s="1"/>
  <c r="BE67" i="5"/>
  <c r="BN34" i="5"/>
  <c r="BN67" i="5" s="1"/>
  <c r="BI34" i="5"/>
  <c r="BI67" i="5" s="1"/>
  <c r="BB29" i="4"/>
  <c r="BB49" i="4" s="1"/>
  <c r="BB88" i="4" s="1"/>
  <c r="BB21" i="35"/>
  <c r="F49" i="3"/>
  <c r="V49" i="3"/>
  <c r="N49" i="3"/>
  <c r="AC51" i="3"/>
  <c r="BC21" i="3" l="1"/>
  <c r="AF19" i="4"/>
  <c r="AB36" i="4"/>
  <c r="AC19" i="4"/>
  <c r="AI24" i="3"/>
  <c r="AL23" i="3"/>
  <c r="BI23" i="3"/>
  <c r="Y25" i="4"/>
  <c r="AA25" i="4" s="1"/>
  <c r="BC25" i="4" s="1"/>
  <c r="Y30" i="4"/>
  <c r="AA30" i="4" s="1"/>
  <c r="BC30" i="4" s="1"/>
  <c r="Y29" i="4"/>
  <c r="AA29" i="4" s="1"/>
  <c r="BC29" i="4" s="1"/>
  <c r="BF29" i="4" s="1"/>
  <c r="BF49" i="4" s="1"/>
  <c r="Y24" i="4"/>
  <c r="AA24" i="4" s="1"/>
  <c r="BC24" i="4" s="1"/>
  <c r="Y35" i="4"/>
  <c r="AA35" i="4" s="1"/>
  <c r="BC35" i="4" s="1"/>
  <c r="BF35" i="4" s="1"/>
  <c r="BF55" i="4" s="1"/>
  <c r="BQ55" i="4" s="1"/>
  <c r="BR55" i="4" s="1"/>
  <c r="Y27" i="4"/>
  <c r="AA27" i="4" s="1"/>
  <c r="BC27" i="4" s="1"/>
  <c r="Y22" i="4"/>
  <c r="Y28" i="4"/>
  <c r="AA28" i="4" s="1"/>
  <c r="BC28" i="4" s="1"/>
  <c r="Y21" i="4"/>
  <c r="Y26" i="4"/>
  <c r="AA26" i="4" s="1"/>
  <c r="BC26" i="4" s="1"/>
  <c r="Y23" i="4"/>
  <c r="AA23" i="4" s="1"/>
  <c r="BC23" i="4" s="1"/>
  <c r="Y20" i="4"/>
  <c r="Y34" i="4"/>
  <c r="AA34" i="4" s="1"/>
  <c r="BC34" i="4" s="1"/>
  <c r="BF34" i="4" s="1"/>
  <c r="BF54" i="4" s="1"/>
  <c r="BQ54" i="4" s="1"/>
  <c r="BR54" i="4" s="1"/>
  <c r="Y33" i="4"/>
  <c r="AA33" i="4" s="1"/>
  <c r="BC33" i="4" s="1"/>
  <c r="BF33" i="4" s="1"/>
  <c r="BF53" i="4" s="1"/>
  <c r="BQ53" i="4" s="1"/>
  <c r="BR53" i="4" s="1"/>
  <c r="Y32" i="4"/>
  <c r="AA32" i="4" s="1"/>
  <c r="BC32" i="4" s="1"/>
  <c r="BF32" i="4" s="1"/>
  <c r="BF52" i="4" s="1"/>
  <c r="BQ52" i="4" s="1"/>
  <c r="BR52" i="4" s="1"/>
  <c r="Y31" i="4"/>
  <c r="AA31" i="4" s="1"/>
  <c r="BC31" i="4" s="1"/>
  <c r="BF31" i="4" s="1"/>
  <c r="BF51" i="4" s="1"/>
  <c r="BQ51" i="4" s="1"/>
  <c r="BR51" i="4" s="1"/>
  <c r="W22" i="4"/>
  <c r="R24" i="3"/>
  <c r="BD23" i="3"/>
  <c r="BA21" i="8"/>
  <c r="BA33" i="8" s="1"/>
  <c r="AW34" i="8" s="1"/>
  <c r="BG21" i="8"/>
  <c r="BG33" i="8" s="1"/>
  <c r="BD21" i="8"/>
  <c r="BD33" i="8" s="1"/>
  <c r="BG50" i="14"/>
  <c r="C16" i="13"/>
  <c r="C16" i="11"/>
  <c r="C16" i="12"/>
  <c r="W20" i="4"/>
  <c r="BG18" i="18"/>
  <c r="BG28" i="18" s="1"/>
  <c r="BD18" i="18"/>
  <c r="BD28" i="18" s="1"/>
  <c r="BA18" i="18"/>
  <c r="BA28" i="18" s="1"/>
  <c r="B16" i="19"/>
  <c r="B16" i="20"/>
  <c r="BK35" i="7"/>
  <c r="C26" i="6" s="1"/>
  <c r="BO24" i="7"/>
  <c r="BD20" i="10"/>
  <c r="BD32" i="10" s="1"/>
  <c r="BA20" i="10"/>
  <c r="BA32" i="10" s="1"/>
  <c r="AW33" i="10" s="1"/>
  <c r="BG20" i="10"/>
  <c r="BG32" i="10" s="1"/>
  <c r="C22" i="10"/>
  <c r="C22" i="9"/>
  <c r="BA15" i="29"/>
  <c r="BD22" i="29"/>
  <c r="BC15" i="29"/>
  <c r="BD36" i="7"/>
  <c r="BG25" i="7"/>
  <c r="BG19" i="17"/>
  <c r="BG29" i="17" s="1"/>
  <c r="BA19" i="17"/>
  <c r="BA29" i="17" s="1"/>
  <c r="BD19" i="17"/>
  <c r="BD29" i="17" s="1"/>
  <c r="BK22" i="3"/>
  <c r="BE22" i="3" s="1"/>
  <c r="BC22" i="3"/>
  <c r="BA15" i="25"/>
  <c r="BA22" i="25" s="1"/>
  <c r="BE15" i="25"/>
  <c r="BE22" i="25" s="1"/>
  <c r="BC15" i="25"/>
  <c r="BC22" i="25" s="1"/>
  <c r="C23" i="10"/>
  <c r="C23" i="9"/>
  <c r="BA21" i="7"/>
  <c r="BG19" i="18"/>
  <c r="BG29" i="18" s="1"/>
  <c r="BA19" i="18"/>
  <c r="BA29" i="18" s="1"/>
  <c r="BD19" i="18"/>
  <c r="BD29" i="18" s="1"/>
  <c r="AW53" i="14"/>
  <c r="J24" i="3"/>
  <c r="BB23" i="3"/>
  <c r="C21" i="9"/>
  <c r="C21" i="10"/>
  <c r="BL69" i="5"/>
  <c r="BM36" i="5"/>
  <c r="BM69" i="5" s="1"/>
  <c r="BA16" i="15"/>
  <c r="BA26" i="15" s="1"/>
  <c r="BD16" i="15"/>
  <c r="BD26" i="15" s="1"/>
  <c r="BG16" i="15"/>
  <c r="BG26" i="15" s="1"/>
  <c r="BE36" i="5"/>
  <c r="BA69" i="5"/>
  <c r="Z24" i="3"/>
  <c r="BF23" i="3"/>
  <c r="BA15" i="26"/>
  <c r="BA22" i="26" s="1"/>
  <c r="BC15" i="26"/>
  <c r="BC22" i="26" s="1"/>
  <c r="BA14" i="28"/>
  <c r="BA21" i="28" s="1"/>
  <c r="BA16" i="14"/>
  <c r="BA26" i="14" s="1"/>
  <c r="BA50" i="14" s="1"/>
  <c r="BD16" i="14"/>
  <c r="BD26" i="14" s="1"/>
  <c r="BD50" i="14" s="1"/>
  <c r="BG16" i="16"/>
  <c r="BG26" i="16" s="1"/>
  <c r="BA16" i="16"/>
  <c r="BA26" i="16" s="1"/>
  <c r="C15" i="28"/>
  <c r="C16" i="27"/>
  <c r="C16" i="26"/>
  <c r="C16" i="25"/>
  <c r="C16" i="24"/>
  <c r="BG22" i="8"/>
  <c r="BG34" i="8" s="1"/>
  <c r="BA22" i="8"/>
  <c r="BA34" i="8" s="1"/>
  <c r="AW35" i="8" s="1"/>
  <c r="BD22" i="8"/>
  <c r="BD34" i="8" s="1"/>
  <c r="BE15" i="27"/>
  <c r="BE22" i="27" s="1"/>
  <c r="BA15" i="27"/>
  <c r="BA22" i="27" s="1"/>
  <c r="BC15" i="27"/>
  <c r="BC22" i="27" s="1"/>
  <c r="W21" i="4"/>
  <c r="BH36" i="5"/>
  <c r="BH69" i="5" s="1"/>
  <c r="BA22" i="7"/>
  <c r="BA18" i="17"/>
  <c r="BA28" i="17" s="1"/>
  <c r="BG18" i="17"/>
  <c r="BG28" i="17" s="1"/>
  <c r="BD18" i="17"/>
  <c r="BD28" i="17" s="1"/>
  <c r="BD34" i="7"/>
  <c r="BG23" i="7"/>
  <c r="BJ43" i="5"/>
  <c r="BJ76" i="5" s="1"/>
  <c r="BO28" i="5"/>
  <c r="BL68" i="5"/>
  <c r="BJ45" i="5"/>
  <c r="BJ78" i="5" s="1"/>
  <c r="BO30" i="5"/>
  <c r="U36" i="4"/>
  <c r="BC14" i="28"/>
  <c r="BC21" i="28" s="1"/>
  <c r="BD20" i="9"/>
  <c r="BD32" i="9" s="1"/>
  <c r="BA20" i="9"/>
  <c r="BA32" i="9" s="1"/>
  <c r="AW33" i="9" s="1"/>
  <c r="BG20" i="9"/>
  <c r="BG32" i="9" s="1"/>
  <c r="Y19" i="4"/>
  <c r="AC52" i="3"/>
  <c r="AD51" i="3"/>
  <c r="N50" i="3"/>
  <c r="F50" i="3"/>
  <c r="V50" i="3"/>
  <c r="AD50" i="3"/>
  <c r="BJ22" i="3" l="1"/>
  <c r="C18" i="16"/>
  <c r="C18" i="14"/>
  <c r="C18" i="15"/>
  <c r="Y36" i="4"/>
  <c r="AA19" i="4"/>
  <c r="BC19" i="4" s="1"/>
  <c r="BO43" i="5"/>
  <c r="BS28" i="5"/>
  <c r="BA16" i="26"/>
  <c r="BA23" i="26" s="1"/>
  <c r="BE16" i="26"/>
  <c r="BE23" i="26" s="1"/>
  <c r="C16" i="23" s="1"/>
  <c r="BC16" i="26"/>
  <c r="BC23" i="26" s="1"/>
  <c r="BA21" i="9"/>
  <c r="BA33" i="9" s="1"/>
  <c r="AW34" i="9" s="1"/>
  <c r="BG21" i="9"/>
  <c r="BG33" i="9" s="1"/>
  <c r="BD21" i="9"/>
  <c r="BD33" i="9" s="1"/>
  <c r="BA16" i="27"/>
  <c r="BA23" i="27" s="1"/>
  <c r="BC16" i="27"/>
  <c r="BC23" i="27" s="1"/>
  <c r="BE16" i="27"/>
  <c r="BE23" i="27" s="1"/>
  <c r="Z25" i="3"/>
  <c r="BF24" i="3"/>
  <c r="BK23" i="3"/>
  <c r="BG23" i="3" s="1"/>
  <c r="BF88" i="4"/>
  <c r="BQ49" i="4"/>
  <c r="BR49" i="4" s="1"/>
  <c r="BG34" i="7"/>
  <c r="BK23" i="7"/>
  <c r="BC15" i="28"/>
  <c r="BC22" i="28" s="1"/>
  <c r="BD22" i="28"/>
  <c r="BA15" i="28"/>
  <c r="BA22" i="28" s="1"/>
  <c r="BB24" i="3"/>
  <c r="J25" i="3"/>
  <c r="C15" i="22"/>
  <c r="C15" i="21"/>
  <c r="AA20" i="4"/>
  <c r="BC20" i="4" s="1"/>
  <c r="BD22" i="9"/>
  <c r="BD34" i="9" s="1"/>
  <c r="BA22" i="9"/>
  <c r="BA34" i="9" s="1"/>
  <c r="AW35" i="9" s="1"/>
  <c r="BG22" i="9"/>
  <c r="BG34" i="9" s="1"/>
  <c r="BN36" i="5"/>
  <c r="BN69" i="5" s="1"/>
  <c r="BI36" i="5"/>
  <c r="BI69" i="5" s="1"/>
  <c r="BE69" i="5"/>
  <c r="BG22" i="10"/>
  <c r="BG34" i="10" s="1"/>
  <c r="BA22" i="10"/>
  <c r="BA34" i="10" s="1"/>
  <c r="AW35" i="10" s="1"/>
  <c r="BD22" i="10"/>
  <c r="BD34" i="10" s="1"/>
  <c r="AA21" i="4"/>
  <c r="BC21" i="4" s="1"/>
  <c r="BD24" i="3"/>
  <c r="R25" i="3"/>
  <c r="AI25" i="3"/>
  <c r="BI24" i="3"/>
  <c r="AL24" i="3"/>
  <c r="BO45" i="5"/>
  <c r="BS30" i="5"/>
  <c r="BA33" i="7"/>
  <c r="AW34" i="7" s="1"/>
  <c r="BD22" i="7"/>
  <c r="BG22" i="3"/>
  <c r="AA22" i="4"/>
  <c r="BC22" i="4" s="1"/>
  <c r="BE16" i="24"/>
  <c r="BE23" i="24" s="1"/>
  <c r="BA16" i="24"/>
  <c r="BA23" i="24" s="1"/>
  <c r="BC16" i="24"/>
  <c r="BC23" i="24" s="1"/>
  <c r="BA32" i="7"/>
  <c r="AW33" i="7" s="1"/>
  <c r="BD21" i="7"/>
  <c r="AE19" i="4"/>
  <c r="C19" i="15"/>
  <c r="C19" i="16"/>
  <c r="C19" i="14"/>
  <c r="BD16" i="12"/>
  <c r="BD26" i="12" s="1"/>
  <c r="BA16" i="12"/>
  <c r="BA26" i="12" s="1"/>
  <c r="BG16" i="12"/>
  <c r="BG26" i="12" s="1"/>
  <c r="BE16" i="25"/>
  <c r="BE23" i="25" s="1"/>
  <c r="C16" i="22" s="1"/>
  <c r="BA16" i="25"/>
  <c r="BA23" i="25" s="1"/>
  <c r="BC16" i="25"/>
  <c r="BC23" i="25" s="1"/>
  <c r="BG21" i="10"/>
  <c r="BG33" i="10" s="1"/>
  <c r="BD21" i="10"/>
  <c r="BD33" i="10" s="1"/>
  <c r="BA21" i="10"/>
  <c r="BA33" i="10" s="1"/>
  <c r="AW34" i="10" s="1"/>
  <c r="BA23" i="9"/>
  <c r="BA35" i="9" s="1"/>
  <c r="AW36" i="9" s="1"/>
  <c r="BD23" i="9"/>
  <c r="BD35" i="9" s="1"/>
  <c r="BG23" i="9"/>
  <c r="BG35" i="9" s="1"/>
  <c r="BG36" i="7"/>
  <c r="BK25" i="7"/>
  <c r="BD16" i="11"/>
  <c r="BD26" i="11" s="1"/>
  <c r="BA16" i="11"/>
  <c r="BA26" i="11" s="1"/>
  <c r="BG16" i="11"/>
  <c r="BG26" i="11" s="1"/>
  <c r="C16" i="8" s="1"/>
  <c r="AC26" i="4"/>
  <c r="AE26" i="4" s="1"/>
  <c r="AC23" i="4"/>
  <c r="AE23" i="4" s="1"/>
  <c r="AC31" i="4"/>
  <c r="AE31" i="4" s="1"/>
  <c r="AC34" i="4"/>
  <c r="AE34" i="4" s="1"/>
  <c r="AC29" i="4"/>
  <c r="AE29" i="4" s="1"/>
  <c r="AC32" i="4"/>
  <c r="AE32" i="4" s="1"/>
  <c r="AC25" i="4"/>
  <c r="AE25" i="4" s="1"/>
  <c r="AC22" i="4"/>
  <c r="AC33" i="4"/>
  <c r="AE33" i="4" s="1"/>
  <c r="AC27" i="4"/>
  <c r="AE27" i="4" s="1"/>
  <c r="AC28" i="4"/>
  <c r="AE28" i="4" s="1"/>
  <c r="AC24" i="4"/>
  <c r="AE24" i="4" s="1"/>
  <c r="AC35" i="4"/>
  <c r="AE35" i="4" s="1"/>
  <c r="AC21" i="4"/>
  <c r="AC20" i="4"/>
  <c r="AC30" i="4"/>
  <c r="AE30" i="4" s="1"/>
  <c r="BD23" i="10"/>
  <c r="BD35" i="10" s="1"/>
  <c r="BA23" i="10"/>
  <c r="BA35" i="10" s="1"/>
  <c r="AW36" i="10" s="1"/>
  <c r="BG23" i="10"/>
  <c r="BG35" i="10" s="1"/>
  <c r="BA26" i="6"/>
  <c r="BD16" i="13"/>
  <c r="BD26" i="13" s="1"/>
  <c r="BA16" i="13"/>
  <c r="BA26" i="13" s="1"/>
  <c r="BG16" i="13"/>
  <c r="BG26" i="13" s="1"/>
  <c r="AF36" i="4"/>
  <c r="AJ19" i="4"/>
  <c r="AG19" i="4"/>
  <c r="F51" i="3"/>
  <c r="V51" i="3"/>
  <c r="AC53" i="3"/>
  <c r="N51" i="3"/>
  <c r="AD52" i="3"/>
  <c r="BC23" i="3" l="1"/>
  <c r="BJ23" i="3"/>
  <c r="BE23" i="3"/>
  <c r="AC36" i="4"/>
  <c r="BD33" i="7"/>
  <c r="BG22" i="7"/>
  <c r="BF25" i="3"/>
  <c r="Z26" i="3"/>
  <c r="BA16" i="23"/>
  <c r="BA22" i="23" s="1"/>
  <c r="BE16" i="23"/>
  <c r="BE22" i="23" s="1"/>
  <c r="BC16" i="23"/>
  <c r="BC22" i="23" s="1"/>
  <c r="C16" i="10"/>
  <c r="C16" i="9"/>
  <c r="C30" i="4"/>
  <c r="BB30" i="4" s="1"/>
  <c r="BO78" i="5"/>
  <c r="BQ78" i="5" s="1"/>
  <c r="BK34" i="7"/>
  <c r="C25" i="6" s="1"/>
  <c r="BO23" i="7"/>
  <c r="BO76" i="5"/>
  <c r="BQ76" i="5" s="1"/>
  <c r="C28" i="4"/>
  <c r="BB28" i="4" s="1"/>
  <c r="AI19" i="4"/>
  <c r="AE22" i="4"/>
  <c r="AJ36" i="4"/>
  <c r="AN19" i="4"/>
  <c r="AK19" i="4"/>
  <c r="BA19" i="14"/>
  <c r="BA29" i="14" s="1"/>
  <c r="BA53" i="14" s="1"/>
  <c r="BD19" i="14"/>
  <c r="BD29" i="14" s="1"/>
  <c r="BD53" i="14" s="1"/>
  <c r="BG19" i="14"/>
  <c r="BG29" i="14" s="1"/>
  <c r="BG53" i="14" s="1"/>
  <c r="C17" i="19"/>
  <c r="C17" i="20"/>
  <c r="BI25" i="3"/>
  <c r="AL25" i="3"/>
  <c r="AI26" i="3"/>
  <c r="BC15" i="21"/>
  <c r="BC21" i="21" s="1"/>
  <c r="BA15" i="21"/>
  <c r="BA21" i="21" s="1"/>
  <c r="BE15" i="21"/>
  <c r="BE21" i="21" s="1"/>
  <c r="BD18" i="15"/>
  <c r="BD28" i="15" s="1"/>
  <c r="BA18" i="15"/>
  <c r="BA28" i="15" s="1"/>
  <c r="BG18" i="15"/>
  <c r="BG28" i="15" s="1"/>
  <c r="BA16" i="22"/>
  <c r="BA22" i="22" s="1"/>
  <c r="BE16" i="22"/>
  <c r="BE22" i="22" s="1"/>
  <c r="BC16" i="22"/>
  <c r="BC22" i="22" s="1"/>
  <c r="AG23" i="4"/>
  <c r="AI23" i="4" s="1"/>
  <c r="AG35" i="4"/>
  <c r="AI35" i="4" s="1"/>
  <c r="AG28" i="4"/>
  <c r="AI28" i="4" s="1"/>
  <c r="AG27" i="4"/>
  <c r="AI27" i="4" s="1"/>
  <c r="AG20" i="4"/>
  <c r="AG36" i="4" s="1"/>
  <c r="AG26" i="4"/>
  <c r="AI26" i="4" s="1"/>
  <c r="AG24" i="4"/>
  <c r="AI24" i="4" s="1"/>
  <c r="AG32" i="4"/>
  <c r="AI32" i="4" s="1"/>
  <c r="AG21" i="4"/>
  <c r="AG29" i="4"/>
  <c r="AI29" i="4" s="1"/>
  <c r="AG31" i="4"/>
  <c r="AI31" i="4" s="1"/>
  <c r="AG25" i="4"/>
  <c r="AI25" i="4" s="1"/>
  <c r="AG34" i="4"/>
  <c r="AI34" i="4" s="1"/>
  <c r="AG22" i="4"/>
  <c r="AG30" i="4"/>
  <c r="AI30" i="4" s="1"/>
  <c r="AG33" i="4"/>
  <c r="AI33" i="4" s="1"/>
  <c r="AE20" i="4"/>
  <c r="AE21" i="4"/>
  <c r="BG19" i="16"/>
  <c r="BG29" i="16" s="1"/>
  <c r="BA19" i="16"/>
  <c r="BA29" i="16" s="1"/>
  <c r="BD19" i="16"/>
  <c r="BD29" i="16" s="1"/>
  <c r="BE15" i="22"/>
  <c r="BE21" i="22" s="1"/>
  <c r="BC15" i="22"/>
  <c r="BC21" i="22" s="1"/>
  <c r="BA15" i="22"/>
  <c r="BA21" i="22" s="1"/>
  <c r="BA18" i="14"/>
  <c r="BA28" i="14" s="1"/>
  <c r="BA52" i="14" s="1"/>
  <c r="BD18" i="14"/>
  <c r="BD28" i="14" s="1"/>
  <c r="BD52" i="14" s="1"/>
  <c r="BG18" i="14"/>
  <c r="BG28" i="14" s="1"/>
  <c r="BG52" i="14" s="1"/>
  <c r="BK36" i="7"/>
  <c r="C27" i="6" s="1"/>
  <c r="BO25" i="7"/>
  <c r="BD32" i="7"/>
  <c r="BG21" i="7"/>
  <c r="BA37" i="6"/>
  <c r="AW38" i="6" s="1"/>
  <c r="BD26" i="6"/>
  <c r="BG19" i="15"/>
  <c r="BG29" i="15" s="1"/>
  <c r="BD19" i="15"/>
  <c r="BD29" i="15" s="1"/>
  <c r="BA19" i="15"/>
  <c r="BA29" i="15" s="1"/>
  <c r="BD25" i="3"/>
  <c r="R26" i="3"/>
  <c r="J26" i="3"/>
  <c r="BB25" i="3"/>
  <c r="BG18" i="16"/>
  <c r="BG28" i="16" s="1"/>
  <c r="BA18" i="16"/>
  <c r="BA28" i="16" s="1"/>
  <c r="BD18" i="16"/>
  <c r="BD28" i="16" s="1"/>
  <c r="BA16" i="8"/>
  <c r="BA28" i="8" s="1"/>
  <c r="AW29" i="8" s="1"/>
  <c r="BG16" i="8"/>
  <c r="BG28" i="8" s="1"/>
  <c r="BD16" i="8"/>
  <c r="BD28" i="8" s="1"/>
  <c r="BK24" i="3"/>
  <c r="BE24" i="3" s="1"/>
  <c r="BG24" i="3"/>
  <c r="F52" i="3"/>
  <c r="V52" i="3"/>
  <c r="AC54" i="3"/>
  <c r="AD53" i="3"/>
  <c r="N52" i="3"/>
  <c r="BG16" i="10" l="1"/>
  <c r="BG28" i="10" s="1"/>
  <c r="BD16" i="10"/>
  <c r="BD28" i="10" s="1"/>
  <c r="BA16" i="10"/>
  <c r="BA28" i="10" s="1"/>
  <c r="AW29" i="10" s="1"/>
  <c r="C19" i="12"/>
  <c r="C19" i="11"/>
  <c r="C19" i="13"/>
  <c r="AI22" i="4"/>
  <c r="BB48" i="4"/>
  <c r="BF28" i="4"/>
  <c r="BF48" i="4" s="1"/>
  <c r="AM19" i="4"/>
  <c r="BG19" i="4" s="1"/>
  <c r="BF26" i="3"/>
  <c r="Z27" i="3"/>
  <c r="AR19" i="4"/>
  <c r="AN36" i="4"/>
  <c r="BE17" i="19"/>
  <c r="BE23" i="19" s="1"/>
  <c r="BA17" i="19"/>
  <c r="BA23" i="19" s="1"/>
  <c r="BC17" i="19"/>
  <c r="BC23" i="19" s="1"/>
  <c r="BK25" i="3"/>
  <c r="BC25" i="3" s="1"/>
  <c r="BG32" i="7"/>
  <c r="BK21" i="7"/>
  <c r="BI26" i="3"/>
  <c r="AI27" i="3"/>
  <c r="AL26" i="3"/>
  <c r="AK29" i="4"/>
  <c r="AM29" i="4" s="1"/>
  <c r="BG29" i="4" s="1"/>
  <c r="BJ29" i="4" s="1"/>
  <c r="BJ49" i="4" s="1"/>
  <c r="BJ88" i="4" s="1"/>
  <c r="AK21" i="4"/>
  <c r="AK20" i="4"/>
  <c r="AK25" i="4"/>
  <c r="AM25" i="4" s="1"/>
  <c r="BG25" i="4" s="1"/>
  <c r="AK26" i="4"/>
  <c r="AM26" i="4" s="1"/>
  <c r="BG26" i="4" s="1"/>
  <c r="AK22" i="4"/>
  <c r="AK32" i="4"/>
  <c r="AM32" i="4" s="1"/>
  <c r="BG32" i="4" s="1"/>
  <c r="BJ32" i="4" s="1"/>
  <c r="BJ52" i="4" s="1"/>
  <c r="AK28" i="4"/>
  <c r="AM28" i="4" s="1"/>
  <c r="BG28" i="4" s="1"/>
  <c r="AK33" i="4"/>
  <c r="AM33" i="4" s="1"/>
  <c r="BG33" i="4" s="1"/>
  <c r="BJ33" i="4" s="1"/>
  <c r="BJ53" i="4" s="1"/>
  <c r="AK27" i="4"/>
  <c r="AM27" i="4" s="1"/>
  <c r="BG27" i="4" s="1"/>
  <c r="AK34" i="4"/>
  <c r="AM34" i="4" s="1"/>
  <c r="BG34" i="4" s="1"/>
  <c r="BJ34" i="4" s="1"/>
  <c r="BJ54" i="4" s="1"/>
  <c r="AK30" i="4"/>
  <c r="AM30" i="4" s="1"/>
  <c r="BG30" i="4" s="1"/>
  <c r="BJ30" i="4" s="1"/>
  <c r="BJ50" i="4" s="1"/>
  <c r="BJ89" i="4" s="1"/>
  <c r="AK35" i="4"/>
  <c r="AM35" i="4" s="1"/>
  <c r="BG35" i="4" s="1"/>
  <c r="BJ35" i="4" s="1"/>
  <c r="BJ55" i="4" s="1"/>
  <c r="AK31" i="4"/>
  <c r="AM31" i="4" s="1"/>
  <c r="BG31" i="4" s="1"/>
  <c r="BJ31" i="4" s="1"/>
  <c r="BJ51" i="4" s="1"/>
  <c r="AK24" i="4"/>
  <c r="AM24" i="4" s="1"/>
  <c r="BG24" i="4" s="1"/>
  <c r="AK23" i="4"/>
  <c r="AM23" i="4" s="1"/>
  <c r="BG23" i="4" s="1"/>
  <c r="BA25" i="6"/>
  <c r="BD37" i="6"/>
  <c r="BG26" i="6"/>
  <c r="J27" i="3"/>
  <c r="BB26" i="3"/>
  <c r="BG33" i="7"/>
  <c r="BK22" i="7"/>
  <c r="C17" i="7"/>
  <c r="BC24" i="3"/>
  <c r="BD26" i="3"/>
  <c r="R27" i="3"/>
  <c r="C18" i="12"/>
  <c r="C18" i="11"/>
  <c r="C18" i="13"/>
  <c r="AI20" i="4"/>
  <c r="AI21" i="4"/>
  <c r="BJ24" i="3"/>
  <c r="BB50" i="4"/>
  <c r="BB89" i="4" s="1"/>
  <c r="BF30" i="4"/>
  <c r="BF50" i="4" s="1"/>
  <c r="BA27" i="6"/>
  <c r="BA17" i="20"/>
  <c r="BA23" i="20" s="1"/>
  <c r="BC17" i="20"/>
  <c r="BC23" i="20" s="1"/>
  <c r="BE17" i="20"/>
  <c r="BE23" i="20" s="1"/>
  <c r="BA16" i="9"/>
  <c r="BA28" i="9" s="1"/>
  <c r="AW29" i="9" s="1"/>
  <c r="BD16" i="9"/>
  <c r="BD28" i="9" s="1"/>
  <c r="BG16" i="9"/>
  <c r="BG28" i="9" s="1"/>
  <c r="N53" i="3"/>
  <c r="AC55" i="3"/>
  <c r="F53" i="3"/>
  <c r="V53" i="3"/>
  <c r="BJ25" i="3" l="1"/>
  <c r="BA17" i="7"/>
  <c r="BF87" i="4"/>
  <c r="BQ48" i="4"/>
  <c r="BR48" i="4" s="1"/>
  <c r="BD18" i="11"/>
  <c r="BD28" i="11" s="1"/>
  <c r="BG18" i="11"/>
  <c r="BG28" i="11" s="1"/>
  <c r="C18" i="8" s="1"/>
  <c r="BA18" i="11"/>
  <c r="BA28" i="11" s="1"/>
  <c r="J28" i="3"/>
  <c r="BB27" i="3"/>
  <c r="BB87" i="4"/>
  <c r="BJ58" i="4"/>
  <c r="C17" i="18"/>
  <c r="C17" i="17"/>
  <c r="AM20" i="4"/>
  <c r="BG20" i="4" s="1"/>
  <c r="AK36" i="4"/>
  <c r="BG18" i="13"/>
  <c r="BG28" i="13" s="1"/>
  <c r="BD18" i="13"/>
  <c r="BD28" i="13" s="1"/>
  <c r="BA18" i="13"/>
  <c r="BA28" i="13" s="1"/>
  <c r="BK26" i="3"/>
  <c r="BC26" i="3" s="1"/>
  <c r="AM21" i="4"/>
  <c r="BG21" i="4" s="1"/>
  <c r="BA38" i="6"/>
  <c r="AW39" i="6" s="1"/>
  <c r="BD27" i="6"/>
  <c r="BD18" i="12"/>
  <c r="BD28" i="12" s="1"/>
  <c r="BA18" i="12"/>
  <c r="BA28" i="12" s="1"/>
  <c r="BG18" i="12"/>
  <c r="BG28" i="12" s="1"/>
  <c r="BG37" i="6"/>
  <c r="BK26" i="6"/>
  <c r="BG25" i="3"/>
  <c r="BE25" i="3"/>
  <c r="BD27" i="3"/>
  <c r="R28" i="3"/>
  <c r="AI28" i="3"/>
  <c r="AL27" i="3"/>
  <c r="BI27" i="3"/>
  <c r="AO26" i="4"/>
  <c r="AQ26" i="4" s="1"/>
  <c r="AO23" i="4"/>
  <c r="AQ23" i="4" s="1"/>
  <c r="AO29" i="4"/>
  <c r="AQ29" i="4" s="1"/>
  <c r="AO34" i="4"/>
  <c r="AQ34" i="4" s="1"/>
  <c r="AO30" i="4"/>
  <c r="AQ30" i="4" s="1"/>
  <c r="AO20" i="4"/>
  <c r="AQ20" i="4" s="1"/>
  <c r="AO33" i="4"/>
  <c r="AQ33" i="4" s="1"/>
  <c r="AO31" i="4"/>
  <c r="AQ31" i="4" s="1"/>
  <c r="AO28" i="4"/>
  <c r="AQ28" i="4" s="1"/>
  <c r="AO24" i="4"/>
  <c r="AQ24" i="4" s="1"/>
  <c r="AO32" i="4"/>
  <c r="AQ32" i="4" s="1"/>
  <c r="AO27" i="4"/>
  <c r="AQ27" i="4" s="1"/>
  <c r="AO22" i="4"/>
  <c r="AQ22" i="4" s="1"/>
  <c r="AO35" i="4"/>
  <c r="AQ35" i="4" s="1"/>
  <c r="AO21" i="4"/>
  <c r="AQ21" i="4" s="1"/>
  <c r="AO25" i="4"/>
  <c r="AQ25" i="4" s="1"/>
  <c r="BG19" i="13"/>
  <c r="BG29" i="13" s="1"/>
  <c r="BA19" i="13"/>
  <c r="BA29" i="13" s="1"/>
  <c r="BD19" i="13"/>
  <c r="BD29" i="13" s="1"/>
  <c r="BQ50" i="4"/>
  <c r="BR50" i="4" s="1"/>
  <c r="BF89" i="4"/>
  <c r="BA36" i="6"/>
  <c r="AW37" i="6" s="1"/>
  <c r="BD25" i="6"/>
  <c r="BJ28" i="4"/>
  <c r="BJ48" i="4" s="1"/>
  <c r="BJ87" i="4" s="1"/>
  <c r="BJ26" i="3"/>
  <c r="AO19" i="4"/>
  <c r="BD19" i="11"/>
  <c r="BD29" i="11" s="1"/>
  <c r="BA19" i="11"/>
  <c r="BA29" i="11" s="1"/>
  <c r="BG19" i="11"/>
  <c r="BG29" i="11" s="1"/>
  <c r="C19" i="8" s="1"/>
  <c r="BK32" i="7"/>
  <c r="C23" i="6" s="1"/>
  <c r="BO21" i="7"/>
  <c r="AV19" i="4"/>
  <c r="AR36" i="4"/>
  <c r="AS19" i="4" s="1"/>
  <c r="BD19" i="12"/>
  <c r="BD29" i="12" s="1"/>
  <c r="BA19" i="12"/>
  <c r="BA29" i="12" s="1"/>
  <c r="BG19" i="12"/>
  <c r="BG29" i="12" s="1"/>
  <c r="AM22" i="4"/>
  <c r="BG22" i="4" s="1"/>
  <c r="BF27" i="3"/>
  <c r="Z28" i="3"/>
  <c r="BK33" i="7"/>
  <c r="C24" i="6" s="1"/>
  <c r="BO22" i="7"/>
  <c r="AC56" i="3"/>
  <c r="BE26" i="3" l="1"/>
  <c r="BG26" i="3"/>
  <c r="AU19" i="4"/>
  <c r="BK27" i="3"/>
  <c r="BG27" i="3" s="1"/>
  <c r="BC27" i="3"/>
  <c r="BD19" i="8"/>
  <c r="BD31" i="8" s="1"/>
  <c r="BG19" i="8"/>
  <c r="BG31" i="8" s="1"/>
  <c r="C20" i="7" s="1"/>
  <c r="BA19" i="8"/>
  <c r="BA31" i="8" s="1"/>
  <c r="AW32" i="8" s="1"/>
  <c r="BJ27" i="3"/>
  <c r="C18" i="9"/>
  <c r="C18" i="10"/>
  <c r="J29" i="3"/>
  <c r="BB28" i="3"/>
  <c r="BD18" i="8"/>
  <c r="BD30" i="8" s="1"/>
  <c r="BA18" i="8"/>
  <c r="BA30" i="8" s="1"/>
  <c r="AW31" i="8" s="1"/>
  <c r="BG18" i="8"/>
  <c r="BG30" i="8" s="1"/>
  <c r="C19" i="7" s="1"/>
  <c r="AI29" i="3"/>
  <c r="AL28" i="3"/>
  <c r="BI28" i="3"/>
  <c r="BD28" i="3"/>
  <c r="R29" i="3"/>
  <c r="Z29" i="3"/>
  <c r="BF28" i="3"/>
  <c r="AO36" i="4"/>
  <c r="AQ19" i="4"/>
  <c r="BD38" i="6"/>
  <c r="BG27" i="6"/>
  <c r="BE27" i="3"/>
  <c r="BA17" i="17"/>
  <c r="BA27" i="17" s="1"/>
  <c r="BG17" i="17"/>
  <c r="BG27" i="17" s="1"/>
  <c r="BD17" i="17"/>
  <c r="BD27" i="17" s="1"/>
  <c r="BA17" i="18"/>
  <c r="BA27" i="18" s="1"/>
  <c r="BG17" i="18"/>
  <c r="BG27" i="18" s="1"/>
  <c r="BD17" i="18"/>
  <c r="BD27" i="18" s="1"/>
  <c r="AS25" i="4"/>
  <c r="AU25" i="4" s="1"/>
  <c r="AS35" i="4"/>
  <c r="AU35" i="4" s="1"/>
  <c r="AS31" i="4"/>
  <c r="AU31" i="4" s="1"/>
  <c r="AS27" i="4"/>
  <c r="AU27" i="4" s="1"/>
  <c r="AS29" i="4"/>
  <c r="AU29" i="4" s="1"/>
  <c r="AS24" i="4"/>
  <c r="AU24" i="4" s="1"/>
  <c r="AS32" i="4"/>
  <c r="AU32" i="4" s="1"/>
  <c r="AS21" i="4"/>
  <c r="AU21" i="4" s="1"/>
  <c r="AS28" i="4"/>
  <c r="AU28" i="4" s="1"/>
  <c r="AS33" i="4"/>
  <c r="AU33" i="4" s="1"/>
  <c r="AS34" i="4"/>
  <c r="AU34" i="4" s="1"/>
  <c r="AS26" i="4"/>
  <c r="AU26" i="4" s="1"/>
  <c r="AS30" i="4"/>
  <c r="AU30" i="4" s="1"/>
  <c r="AS23" i="4"/>
  <c r="AU23" i="4" s="1"/>
  <c r="AS20" i="4"/>
  <c r="AU20" i="4" s="1"/>
  <c r="AS22" i="4"/>
  <c r="AU22" i="4" s="1"/>
  <c r="BA23" i="6"/>
  <c r="C19" i="10"/>
  <c r="C19" i="9"/>
  <c r="BD36" i="6"/>
  <c r="BG25" i="6"/>
  <c r="BA24" i="6"/>
  <c r="AV36" i="4"/>
  <c r="AW19" i="4"/>
  <c r="BA28" i="7"/>
  <c r="AW29" i="7" s="1"/>
  <c r="BD17" i="7"/>
  <c r="BK37" i="6"/>
  <c r="BO26" i="6"/>
  <c r="BA18" i="9" l="1"/>
  <c r="BA30" i="9" s="1"/>
  <c r="AW31" i="9" s="1"/>
  <c r="BD18" i="9"/>
  <c r="BD30" i="9" s="1"/>
  <c r="BG18" i="9"/>
  <c r="BG30" i="9" s="1"/>
  <c r="AI30" i="3"/>
  <c r="AL29" i="3"/>
  <c r="BI29" i="3"/>
  <c r="BA20" i="7"/>
  <c r="BA19" i="7"/>
  <c r="BD28" i="7"/>
  <c r="BG17" i="7"/>
  <c r="BD19" i="10"/>
  <c r="BD31" i="10" s="1"/>
  <c r="BA19" i="10"/>
  <c r="BA31" i="10" s="1"/>
  <c r="AW32" i="10" s="1"/>
  <c r="BG19" i="10"/>
  <c r="BG31" i="10" s="1"/>
  <c r="BG36" i="6"/>
  <c r="BK25" i="6"/>
  <c r="BG38" i="6"/>
  <c r="BK27" i="6"/>
  <c r="BM37" i="6"/>
  <c r="C26" i="5"/>
  <c r="BA19" i="9"/>
  <c r="BA31" i="9" s="1"/>
  <c r="AW32" i="9" s="1"/>
  <c r="BD19" i="9"/>
  <c r="BD31" i="9" s="1"/>
  <c r="BG19" i="9"/>
  <c r="BG31" i="9" s="1"/>
  <c r="BA34" i="6"/>
  <c r="AW35" i="6" s="1"/>
  <c r="BD23" i="6"/>
  <c r="AY19" i="4"/>
  <c r="Z30" i="3"/>
  <c r="BF29" i="3"/>
  <c r="BK28" i="3"/>
  <c r="BG28" i="3" s="1"/>
  <c r="AW33" i="4"/>
  <c r="AY33" i="4" s="1"/>
  <c r="AW23" i="4"/>
  <c r="AY23" i="4" s="1"/>
  <c r="AW32" i="4"/>
  <c r="AY32" i="4" s="1"/>
  <c r="AW31" i="4"/>
  <c r="AY31" i="4" s="1"/>
  <c r="AW26" i="4"/>
  <c r="AY26" i="4" s="1"/>
  <c r="AW30" i="4"/>
  <c r="AY30" i="4" s="1"/>
  <c r="AW20" i="4"/>
  <c r="AY20" i="4" s="1"/>
  <c r="AW34" i="4"/>
  <c r="AY34" i="4" s="1"/>
  <c r="AW27" i="4"/>
  <c r="AY27" i="4" s="1"/>
  <c r="AW35" i="4"/>
  <c r="AY35" i="4" s="1"/>
  <c r="AW21" i="4"/>
  <c r="AY21" i="4" s="1"/>
  <c r="AW24" i="4"/>
  <c r="AY24" i="4" s="1"/>
  <c r="AW25" i="4"/>
  <c r="AY25" i="4" s="1"/>
  <c r="AW29" i="4"/>
  <c r="AY29" i="4" s="1"/>
  <c r="AW28" i="4"/>
  <c r="AY28" i="4" s="1"/>
  <c r="AW22" i="4"/>
  <c r="AY22" i="4" s="1"/>
  <c r="C17" i="16"/>
  <c r="C17" i="15"/>
  <c r="C17" i="14"/>
  <c r="BD29" i="3"/>
  <c r="R30" i="3"/>
  <c r="BB29" i="3"/>
  <c r="J30" i="3"/>
  <c r="AS36" i="4"/>
  <c r="BA35" i="6"/>
  <c r="AW36" i="6" s="1"/>
  <c r="BD24" i="6"/>
  <c r="BG18" i="10"/>
  <c r="BG30" i="10" s="1"/>
  <c r="BA18" i="10"/>
  <c r="BA30" i="10" s="1"/>
  <c r="AW31" i="10" s="1"/>
  <c r="BD18" i="10"/>
  <c r="BD30" i="10" s="1"/>
  <c r="BJ28" i="3" l="1"/>
  <c r="BD35" i="6"/>
  <c r="BG24" i="6"/>
  <c r="BM22" i="4"/>
  <c r="BK22" i="4"/>
  <c r="BM30" i="4"/>
  <c r="BK30" i="4"/>
  <c r="BO30" i="4" s="1"/>
  <c r="BO50" i="4" s="1"/>
  <c r="BO89" i="4" s="1"/>
  <c r="BM19" i="4"/>
  <c r="BK19" i="4"/>
  <c r="BK28" i="4"/>
  <c r="BO28" i="4" s="1"/>
  <c r="BO48" i="4" s="1"/>
  <c r="BO87" i="4" s="1"/>
  <c r="BM28" i="4"/>
  <c r="BM26" i="4"/>
  <c r="BK26" i="4"/>
  <c r="AW36" i="4"/>
  <c r="BK38" i="6"/>
  <c r="BO27" i="6"/>
  <c r="BA30" i="7"/>
  <c r="AW31" i="7" s="1"/>
  <c r="BD19" i="7"/>
  <c r="BK29" i="4"/>
  <c r="BO29" i="4" s="1"/>
  <c r="BO49" i="4" s="1"/>
  <c r="BO88" i="4" s="1"/>
  <c r="BM29" i="4"/>
  <c r="BM31" i="4"/>
  <c r="BK31" i="4"/>
  <c r="BO31" i="4" s="1"/>
  <c r="BO51" i="4" s="1"/>
  <c r="BD34" i="6"/>
  <c r="BG23" i="6"/>
  <c r="BB30" i="3"/>
  <c r="J31" i="3"/>
  <c r="BM25" i="4"/>
  <c r="BK25" i="4"/>
  <c r="BM32" i="4"/>
  <c r="BK32" i="4"/>
  <c r="BO32" i="4" s="1"/>
  <c r="BO52" i="4" s="1"/>
  <c r="BK36" i="6"/>
  <c r="BO25" i="6"/>
  <c r="BA31" i="7"/>
  <c r="AW32" i="7" s="1"/>
  <c r="BD20" i="7"/>
  <c r="BK29" i="3"/>
  <c r="BC29" i="3" s="1"/>
  <c r="BM24" i="4"/>
  <c r="BK24" i="4"/>
  <c r="BK23" i="4"/>
  <c r="BM23" i="4"/>
  <c r="BJ29" i="3"/>
  <c r="BD30" i="3"/>
  <c r="R31" i="3"/>
  <c r="BM21" i="4"/>
  <c r="BK21" i="4"/>
  <c r="BM33" i="4"/>
  <c r="BK33" i="4"/>
  <c r="BO33" i="4" s="1"/>
  <c r="BO53" i="4" s="1"/>
  <c r="BE29" i="3"/>
  <c r="BK35" i="4"/>
  <c r="BO35" i="4" s="1"/>
  <c r="BO55" i="4" s="1"/>
  <c r="BM35" i="4"/>
  <c r="BI30" i="3"/>
  <c r="AI31" i="3"/>
  <c r="AL30" i="3"/>
  <c r="BA17" i="14"/>
  <c r="BA27" i="14" s="1"/>
  <c r="BA51" i="14" s="1"/>
  <c r="BG17" i="14"/>
  <c r="BG27" i="14" s="1"/>
  <c r="BG51" i="14" s="1"/>
  <c r="BD17" i="14"/>
  <c r="BD27" i="14" s="1"/>
  <c r="BD51" i="14" s="1"/>
  <c r="BM27" i="4"/>
  <c r="BK27" i="4"/>
  <c r="BC28" i="3"/>
  <c r="BB26" i="5"/>
  <c r="BG17" i="15"/>
  <c r="BG27" i="15" s="1"/>
  <c r="BA17" i="15"/>
  <c r="BA27" i="15" s="1"/>
  <c r="BD17" i="15"/>
  <c r="BD27" i="15" s="1"/>
  <c r="BM34" i="4"/>
  <c r="BK34" i="4"/>
  <c r="BO34" i="4" s="1"/>
  <c r="BO54" i="4" s="1"/>
  <c r="BG29" i="3"/>
  <c r="BG28" i="7"/>
  <c r="BK17" i="7"/>
  <c r="BE28" i="3"/>
  <c r="BG17" i="16"/>
  <c r="BG27" i="16" s="1"/>
  <c r="BA17" i="16"/>
  <c r="BA27" i="16" s="1"/>
  <c r="BD17" i="16"/>
  <c r="BD27" i="16" s="1"/>
  <c r="BM20" i="4"/>
  <c r="BK20" i="4"/>
  <c r="Z31" i="3"/>
  <c r="BF30" i="3"/>
  <c r="BB41" i="5" l="1"/>
  <c r="BF26" i="5"/>
  <c r="BM36" i="6"/>
  <c r="C25" i="5"/>
  <c r="BR31" i="4"/>
  <c r="BS31" i="4"/>
  <c r="BR28" i="4"/>
  <c r="BS28" i="4"/>
  <c r="BR34" i="4"/>
  <c r="BS34" i="4"/>
  <c r="BR29" i="4"/>
  <c r="BS29" i="4"/>
  <c r="BD30" i="7"/>
  <c r="BG19" i="7"/>
  <c r="BR19" i="4"/>
  <c r="BR20" i="4"/>
  <c r="BR21" i="4"/>
  <c r="BD31" i="7"/>
  <c r="BG20" i="7"/>
  <c r="BS35" i="4"/>
  <c r="BR35" i="4"/>
  <c r="BR23" i="4"/>
  <c r="BK28" i="7"/>
  <c r="C19" i="6" s="1"/>
  <c r="BO17" i="7"/>
  <c r="BR32" i="4"/>
  <c r="BS32" i="4"/>
  <c r="BR27" i="4"/>
  <c r="BR24" i="4"/>
  <c r="BR25" i="4"/>
  <c r="Z32" i="3"/>
  <c r="BF31" i="3"/>
  <c r="BS33" i="4"/>
  <c r="BR33" i="4"/>
  <c r="BB31" i="3"/>
  <c r="J32" i="3"/>
  <c r="BS30" i="4"/>
  <c r="BR30" i="4"/>
  <c r="BK30" i="3"/>
  <c r="BJ30" i="3" s="1"/>
  <c r="BM38" i="6"/>
  <c r="C27" i="5"/>
  <c r="BG34" i="6"/>
  <c r="BK23" i="6"/>
  <c r="BR22" i="4"/>
  <c r="BG35" i="6"/>
  <c r="BK24" i="6"/>
  <c r="BD31" i="3"/>
  <c r="R32" i="3"/>
  <c r="C17" i="13"/>
  <c r="C17" i="12"/>
  <c r="C17" i="11"/>
  <c r="AI32" i="3"/>
  <c r="AL31" i="3"/>
  <c r="BI31" i="3"/>
  <c r="BR26" i="4"/>
  <c r="BK34" i="6" l="1"/>
  <c r="BO23" i="6"/>
  <c r="BB32" i="3"/>
  <c r="J33" i="3"/>
  <c r="BG17" i="11"/>
  <c r="BG27" i="11" s="1"/>
  <c r="C17" i="8" s="1"/>
  <c r="BA17" i="11"/>
  <c r="BA27" i="11" s="1"/>
  <c r="BD17" i="11"/>
  <c r="BD27" i="11" s="1"/>
  <c r="BD17" i="12"/>
  <c r="BD27" i="12" s="1"/>
  <c r="BA17" i="12"/>
  <c r="BA27" i="12" s="1"/>
  <c r="BG17" i="12"/>
  <c r="BG27" i="12" s="1"/>
  <c r="BK31" i="3"/>
  <c r="BC31" i="3" s="1"/>
  <c r="BD17" i="13"/>
  <c r="BD27" i="13" s="1"/>
  <c r="BA17" i="13"/>
  <c r="BA27" i="13" s="1"/>
  <c r="BG17" i="13"/>
  <c r="BG27" i="13" s="1"/>
  <c r="BG30" i="7"/>
  <c r="BK19" i="7"/>
  <c r="R33" i="3"/>
  <c r="BD32" i="3"/>
  <c r="BB27" i="5"/>
  <c r="BG31" i="7"/>
  <c r="BK20" i="7"/>
  <c r="BK35" i="6"/>
  <c r="BO24" i="6"/>
  <c r="Z33" i="3"/>
  <c r="BF32" i="3"/>
  <c r="BE30" i="3"/>
  <c r="BC30" i="3"/>
  <c r="BG30" i="3"/>
  <c r="BB25" i="5"/>
  <c r="BA19" i="6"/>
  <c r="BF41" i="5"/>
  <c r="BF74" i="5" s="1"/>
  <c r="BJ26" i="5"/>
  <c r="AI33" i="3"/>
  <c r="AL32" i="3"/>
  <c r="BI32" i="3"/>
  <c r="AW41" i="5"/>
  <c r="BB74" i="5"/>
  <c r="BG31" i="3" l="1"/>
  <c r="BJ31" i="3"/>
  <c r="BE31" i="3"/>
  <c r="C17" i="10"/>
  <c r="C17" i="9"/>
  <c r="BJ41" i="5"/>
  <c r="BJ74" i="5" s="1"/>
  <c r="BO26" i="5"/>
  <c r="BF33" i="3"/>
  <c r="Z34" i="3"/>
  <c r="R34" i="3"/>
  <c r="BD33" i="3"/>
  <c r="BK30" i="7"/>
  <c r="BO19" i="7"/>
  <c r="BA17" i="8"/>
  <c r="BA29" i="8" s="1"/>
  <c r="AW30" i="8" s="1"/>
  <c r="BG17" i="8"/>
  <c r="BG29" i="8" s="1"/>
  <c r="BD17" i="8"/>
  <c r="BD29" i="8" s="1"/>
  <c r="AI34" i="3"/>
  <c r="BI33" i="3"/>
  <c r="AL33" i="3"/>
  <c r="BA30" i="6"/>
  <c r="AW31" i="6" s="1"/>
  <c r="BD19" i="6"/>
  <c r="BM35" i="6"/>
  <c r="C24" i="5"/>
  <c r="BB40" i="5"/>
  <c r="BF25" i="5"/>
  <c r="J34" i="3"/>
  <c r="BB33" i="3"/>
  <c r="BK31" i="7"/>
  <c r="BO20" i="7"/>
  <c r="BK32" i="3"/>
  <c r="BG32" i="3" s="1"/>
  <c r="BC32" i="3"/>
  <c r="BJ32" i="3"/>
  <c r="BB42" i="5"/>
  <c r="BF27" i="5"/>
  <c r="BM34" i="6"/>
  <c r="C23" i="5"/>
  <c r="BD30" i="6" l="1"/>
  <c r="BG19" i="6"/>
  <c r="BE33" i="3"/>
  <c r="BD34" i="3"/>
  <c r="R35" i="3"/>
  <c r="BF34" i="3"/>
  <c r="Z35" i="3"/>
  <c r="BK33" i="3"/>
  <c r="BC33" i="3"/>
  <c r="BJ33" i="3"/>
  <c r="BG33" i="3"/>
  <c r="BB23" i="5"/>
  <c r="BB34" i="3"/>
  <c r="J35" i="3"/>
  <c r="AI35" i="3"/>
  <c r="BI34" i="3"/>
  <c r="AL34" i="3"/>
  <c r="BE32" i="3"/>
  <c r="BM31" i="7"/>
  <c r="C22" i="6"/>
  <c r="BF40" i="5"/>
  <c r="BF73" i="5" s="1"/>
  <c r="BJ25" i="5"/>
  <c r="BO41" i="5"/>
  <c r="BS26" i="5"/>
  <c r="BB24" i="5"/>
  <c r="BF42" i="5"/>
  <c r="BF75" i="5" s="1"/>
  <c r="BJ27" i="5"/>
  <c r="BB73" i="5"/>
  <c r="AW40" i="5"/>
  <c r="C18" i="7"/>
  <c r="BG38" i="8"/>
  <c r="BB75" i="5"/>
  <c r="AW42" i="5"/>
  <c r="BA17" i="9"/>
  <c r="BA29" i="9" s="1"/>
  <c r="AW30" i="9" s="1"/>
  <c r="BD17" i="9"/>
  <c r="BD29" i="9" s="1"/>
  <c r="BG17" i="9"/>
  <c r="BG29" i="9" s="1"/>
  <c r="BM30" i="7"/>
  <c r="C21" i="6"/>
  <c r="BA17" i="10"/>
  <c r="BA29" i="10" s="1"/>
  <c r="AW30" i="10" s="1"/>
  <c r="BD17" i="10"/>
  <c r="BD29" i="10" s="1"/>
  <c r="BG17" i="10"/>
  <c r="BG29" i="10" s="1"/>
  <c r="BO74" i="5" l="1"/>
  <c r="BQ74" i="5" s="1"/>
  <c r="C26" i="4"/>
  <c r="BK34" i="3"/>
  <c r="BE34" i="3" s="1"/>
  <c r="BJ40" i="5"/>
  <c r="BJ73" i="5" s="1"/>
  <c r="BO25" i="5"/>
  <c r="BA18" i="7"/>
  <c r="BB38" i="5"/>
  <c r="BF23" i="5"/>
  <c r="BG30" i="6"/>
  <c r="BK19" i="6"/>
  <c r="BA22" i="6"/>
  <c r="BA21" i="6"/>
  <c r="BJ42" i="5"/>
  <c r="BJ75" i="5" s="1"/>
  <c r="BO27" i="5"/>
  <c r="BB39" i="5"/>
  <c r="BF24" i="5"/>
  <c r="BF35" i="3"/>
  <c r="Z36" i="3"/>
  <c r="BI35" i="3"/>
  <c r="AI36" i="3"/>
  <c r="AL35" i="3"/>
  <c r="BB35" i="3"/>
  <c r="J36" i="3"/>
  <c r="R36" i="3"/>
  <c r="BD35" i="3"/>
  <c r="BC34" i="3" l="1"/>
  <c r="BJ34" i="3"/>
  <c r="BG34" i="3"/>
  <c r="R37" i="3"/>
  <c r="BD36" i="3"/>
  <c r="AW39" i="5"/>
  <c r="BB72" i="5"/>
  <c r="BO42" i="5"/>
  <c r="BS27" i="5"/>
  <c r="AW38" i="5"/>
  <c r="BB71" i="5"/>
  <c r="BA29" i="7"/>
  <c r="AW30" i="7" s="1"/>
  <c r="BD18" i="7"/>
  <c r="AL36" i="3"/>
  <c r="AI37" i="3"/>
  <c r="BI36" i="3"/>
  <c r="BA32" i="6"/>
  <c r="AW33" i="6" s="1"/>
  <c r="BD21" i="6"/>
  <c r="BO40" i="5"/>
  <c r="BS25" i="5"/>
  <c r="Z37" i="3"/>
  <c r="BF36" i="3"/>
  <c r="BA33" i="6"/>
  <c r="AW34" i="6" s="1"/>
  <c r="BD22" i="6"/>
  <c r="BF39" i="5"/>
  <c r="BF72" i="5" s="1"/>
  <c r="BJ24" i="5"/>
  <c r="J37" i="3"/>
  <c r="BB36" i="3"/>
  <c r="BF38" i="5"/>
  <c r="BF71" i="5" s="1"/>
  <c r="BJ23" i="5"/>
  <c r="BK35" i="3"/>
  <c r="BJ35" i="3" s="1"/>
  <c r="BE35" i="3"/>
  <c r="BK30" i="6"/>
  <c r="BO19" i="6"/>
  <c r="BB26" i="4"/>
  <c r="BG35" i="3" l="1"/>
  <c r="C19" i="5"/>
  <c r="BD33" i="6"/>
  <c r="BG22" i="6"/>
  <c r="AL37" i="3"/>
  <c r="AI38" i="3"/>
  <c r="BI37" i="3"/>
  <c r="R38" i="3"/>
  <c r="BD37" i="3"/>
  <c r="BC35" i="3"/>
  <c r="BD29" i="7"/>
  <c r="BG18" i="7"/>
  <c r="BJ38" i="5"/>
  <c r="BJ71" i="5" s="1"/>
  <c r="BO23" i="5"/>
  <c r="BF37" i="3"/>
  <c r="Z38" i="3"/>
  <c r="BK36" i="3"/>
  <c r="BE36" i="3" s="1"/>
  <c r="BC36" i="3"/>
  <c r="J38" i="3"/>
  <c r="BB37" i="3"/>
  <c r="BO73" i="5"/>
  <c r="BQ73" i="5" s="1"/>
  <c r="C25" i="4"/>
  <c r="BB46" i="4"/>
  <c r="BB85" i="4" s="1"/>
  <c r="BF26" i="4"/>
  <c r="BJ39" i="5"/>
  <c r="BJ72" i="5" s="1"/>
  <c r="BO24" i="5"/>
  <c r="BD32" i="6"/>
  <c r="BG21" i="6"/>
  <c r="BO75" i="5"/>
  <c r="BQ75" i="5" s="1"/>
  <c r="C27" i="4"/>
  <c r="BJ36" i="3" l="1"/>
  <c r="BG36" i="3"/>
  <c r="J39" i="3"/>
  <c r="BB38" i="3"/>
  <c r="BG32" i="6"/>
  <c r="BM32" i="6" s="1"/>
  <c r="BK21" i="6"/>
  <c r="BB19" i="5"/>
  <c r="BO39" i="5"/>
  <c r="BS24" i="5"/>
  <c r="R39" i="3"/>
  <c r="BD38" i="3"/>
  <c r="BF38" i="3"/>
  <c r="Z39" i="3"/>
  <c r="BF46" i="4"/>
  <c r="BJ26" i="4"/>
  <c r="BO38" i="5"/>
  <c r="BS23" i="5"/>
  <c r="AL38" i="3"/>
  <c r="BI38" i="3"/>
  <c r="AI39" i="3"/>
  <c r="BB25" i="4"/>
  <c r="BG29" i="7"/>
  <c r="BK18" i="7"/>
  <c r="BG33" i="6"/>
  <c r="BM33" i="6" s="1"/>
  <c r="BK22" i="6"/>
  <c r="BB27" i="4"/>
  <c r="BK37" i="3"/>
  <c r="BE37" i="3" s="1"/>
  <c r="BC37" i="3"/>
  <c r="BJ37" i="3" l="1"/>
  <c r="BG37" i="3"/>
  <c r="BO71" i="5"/>
  <c r="BQ71" i="5" s="1"/>
  <c r="C23" i="4"/>
  <c r="BD39" i="3"/>
  <c r="R40" i="3"/>
  <c r="BB47" i="4"/>
  <c r="BB86" i="4" s="1"/>
  <c r="BF27" i="4"/>
  <c r="BO72" i="5"/>
  <c r="BQ72" i="5" s="1"/>
  <c r="C24" i="4"/>
  <c r="BB34" i="5"/>
  <c r="BF19" i="5"/>
  <c r="BJ46" i="4"/>
  <c r="BJ85" i="4" s="1"/>
  <c r="BO26" i="4"/>
  <c r="BQ46" i="4"/>
  <c r="BR46" i="4" s="1"/>
  <c r="BF85" i="4"/>
  <c r="BK32" i="6"/>
  <c r="C21" i="5" s="1"/>
  <c r="BO21" i="6"/>
  <c r="BK29" i="7"/>
  <c r="BO18" i="7"/>
  <c r="BB45" i="4"/>
  <c r="BB84" i="4" s="1"/>
  <c r="BF25" i="4"/>
  <c r="BK33" i="6"/>
  <c r="C22" i="5" s="1"/>
  <c r="BO22" i="6"/>
  <c r="BF39" i="3"/>
  <c r="Z40" i="3"/>
  <c r="AL39" i="3"/>
  <c r="AI40" i="3"/>
  <c r="BI39" i="3"/>
  <c r="BK38" i="3"/>
  <c r="BJ38" i="3" s="1"/>
  <c r="J40" i="3"/>
  <c r="BB39" i="3"/>
  <c r="BC38" i="3" l="1"/>
  <c r="BF45" i="4"/>
  <c r="BJ25" i="4"/>
  <c r="BF34" i="5"/>
  <c r="BF67" i="5" s="1"/>
  <c r="BJ19" i="5"/>
  <c r="BB21" i="5"/>
  <c r="BB67" i="5"/>
  <c r="AW34" i="5"/>
  <c r="BG38" i="3"/>
  <c r="BB40" i="3"/>
  <c r="J41" i="3"/>
  <c r="BE38" i="3"/>
  <c r="BO46" i="4"/>
  <c r="BO85" i="4" s="1"/>
  <c r="BS26" i="4"/>
  <c r="BB23" i="4"/>
  <c r="BB24" i="4"/>
  <c r="BJ39" i="3"/>
  <c r="C20" i="6"/>
  <c r="BM29" i="7"/>
  <c r="AL40" i="3"/>
  <c r="AI41" i="3"/>
  <c r="BI40" i="3"/>
  <c r="BF47" i="4"/>
  <c r="BF86" i="4" s="1"/>
  <c r="BJ27" i="4"/>
  <c r="BK39" i="3"/>
  <c r="BE39" i="3" s="1"/>
  <c r="BF40" i="3"/>
  <c r="Z41" i="3"/>
  <c r="R41" i="3"/>
  <c r="BD40" i="3"/>
  <c r="BG39" i="3"/>
  <c r="BB22" i="5"/>
  <c r="BB43" i="4" l="1"/>
  <c r="BB82" i="4" s="1"/>
  <c r="BF23" i="4"/>
  <c r="BB37" i="5"/>
  <c r="BF22" i="5"/>
  <c r="BB36" i="5"/>
  <c r="BF21" i="5"/>
  <c r="AL41" i="3"/>
  <c r="AI42" i="3"/>
  <c r="BI41" i="3"/>
  <c r="BJ34" i="5"/>
  <c r="BJ67" i="5" s="1"/>
  <c r="BO19" i="5"/>
  <c r="R42" i="3"/>
  <c r="BD41" i="3"/>
  <c r="BB41" i="3"/>
  <c r="J42" i="3"/>
  <c r="BJ45" i="4"/>
  <c r="BJ84" i="4" s="1"/>
  <c r="BO25" i="4"/>
  <c r="Z42" i="3"/>
  <c r="BF41" i="3"/>
  <c r="BA20" i="6"/>
  <c r="BK40" i="3"/>
  <c r="BE40" i="3" s="1"/>
  <c r="BQ45" i="4"/>
  <c r="BR45" i="4" s="1"/>
  <c r="BF84" i="4"/>
  <c r="BC39" i="3"/>
  <c r="BB44" i="4"/>
  <c r="BB83" i="4" s="1"/>
  <c r="BF24" i="4"/>
  <c r="BJ47" i="4"/>
  <c r="BJ86" i="4" s="1"/>
  <c r="BO27" i="4"/>
  <c r="BG40" i="3" l="1"/>
  <c r="Z43" i="3"/>
  <c r="BF42" i="3"/>
  <c r="BO45" i="4"/>
  <c r="BO84" i="4" s="1"/>
  <c r="BS25" i="4"/>
  <c r="AL42" i="3"/>
  <c r="AI43" i="3"/>
  <c r="BI42" i="3"/>
  <c r="BB42" i="3"/>
  <c r="J43" i="3"/>
  <c r="BF36" i="5"/>
  <c r="BF69" i="5" s="1"/>
  <c r="BJ21" i="5"/>
  <c r="BK41" i="3"/>
  <c r="BJ41" i="3" s="1"/>
  <c r="BC41" i="3"/>
  <c r="AW36" i="5"/>
  <c r="BB69" i="5"/>
  <c r="BJ40" i="3"/>
  <c r="BO47" i="4"/>
  <c r="BO86" i="4" s="1"/>
  <c r="BS27" i="4"/>
  <c r="BC40" i="3"/>
  <c r="R43" i="3"/>
  <c r="BD42" i="3"/>
  <c r="BF37" i="5"/>
  <c r="BF70" i="5" s="1"/>
  <c r="BJ22" i="5"/>
  <c r="AW37" i="5"/>
  <c r="BB70" i="5"/>
  <c r="BA31" i="6"/>
  <c r="AW32" i="6" s="1"/>
  <c r="BD20" i="6"/>
  <c r="BO34" i="5"/>
  <c r="BS19" i="5"/>
  <c r="BF43" i="4"/>
  <c r="BJ23" i="4"/>
  <c r="BF44" i="4"/>
  <c r="BJ24" i="4"/>
  <c r="BG41" i="3"/>
  <c r="BF43" i="3" l="1"/>
  <c r="Z44" i="3"/>
  <c r="BO67" i="5"/>
  <c r="BQ67" i="5" s="1"/>
  <c r="C19" i="4"/>
  <c r="J44" i="3"/>
  <c r="BB43" i="3"/>
  <c r="BD31" i="6"/>
  <c r="BG20" i="6"/>
  <c r="BK42" i="3"/>
  <c r="BG42" i="3" s="1"/>
  <c r="BC42" i="3"/>
  <c r="BE41" i="3"/>
  <c r="AL43" i="3"/>
  <c r="AI44" i="3"/>
  <c r="BI43" i="3"/>
  <c r="BF82" i="4"/>
  <c r="BQ43" i="4"/>
  <c r="R44" i="3"/>
  <c r="BD43" i="3"/>
  <c r="BJ44" i="4"/>
  <c r="BJ83" i="4" s="1"/>
  <c r="BO24" i="4"/>
  <c r="BJ37" i="5"/>
  <c r="BJ70" i="5" s="1"/>
  <c r="BO22" i="5"/>
  <c r="BJ43" i="4"/>
  <c r="BJ82" i="4" s="1"/>
  <c r="BO23" i="4"/>
  <c r="BJ36" i="5"/>
  <c r="BJ69" i="5" s="1"/>
  <c r="BO21" i="5"/>
  <c r="BF83" i="4"/>
  <c r="BQ44" i="4"/>
  <c r="BR44" i="4" s="1"/>
  <c r="BE42" i="3" l="1"/>
  <c r="BJ42" i="3"/>
  <c r="BG31" i="6"/>
  <c r="BM31" i="6" s="1"/>
  <c r="BM40" i="6" s="1"/>
  <c r="BK20" i="6"/>
  <c r="BO43" i="4"/>
  <c r="BO82" i="4" s="1"/>
  <c r="BS23" i="4"/>
  <c r="BE66" i="3"/>
  <c r="AL44" i="3"/>
  <c r="BI44" i="3"/>
  <c r="AI45" i="3"/>
  <c r="BB44" i="3"/>
  <c r="J45" i="3"/>
  <c r="BK43" i="3"/>
  <c r="BJ43" i="3" s="1"/>
  <c r="BO37" i="5"/>
  <c r="BS22" i="5"/>
  <c r="BB19" i="4"/>
  <c r="BO44" i="4"/>
  <c r="BO83" i="4" s="1"/>
  <c r="BS24" i="4"/>
  <c r="BQ58" i="4"/>
  <c r="BR43" i="4"/>
  <c r="Z45" i="3"/>
  <c r="BF44" i="3"/>
  <c r="BO36" i="5"/>
  <c r="BS21" i="5"/>
  <c r="BD44" i="3"/>
  <c r="R45" i="3"/>
  <c r="BG43" i="3" l="1"/>
  <c r="BE43" i="3"/>
  <c r="BC43" i="3"/>
  <c r="BB49" i="3"/>
  <c r="BB56" i="3"/>
  <c r="BK44" i="3"/>
  <c r="BC44" i="3" s="1"/>
  <c r="BC55" i="3" s="1"/>
  <c r="BB55" i="3"/>
  <c r="AL45" i="3"/>
  <c r="AI46" i="3"/>
  <c r="BI45" i="3"/>
  <c r="BI56" i="3"/>
  <c r="BI55" i="3"/>
  <c r="BI49" i="3"/>
  <c r="BD49" i="3"/>
  <c r="BD56" i="3"/>
  <c r="BD55" i="3"/>
  <c r="BB45" i="3"/>
  <c r="J46" i="3"/>
  <c r="BO69" i="5"/>
  <c r="C21" i="4"/>
  <c r="BB39" i="4"/>
  <c r="BB78" i="4" s="1"/>
  <c r="BF19" i="4"/>
  <c r="BF56" i="3"/>
  <c r="BF49" i="3"/>
  <c r="BF55" i="3"/>
  <c r="BO70" i="5"/>
  <c r="BQ70" i="5" s="1"/>
  <c r="C22" i="4"/>
  <c r="Z46" i="3"/>
  <c r="BF45" i="3"/>
  <c r="BE64" i="3"/>
  <c r="BK31" i="6"/>
  <c r="BO20" i="6"/>
  <c r="R46" i="3"/>
  <c r="BD45" i="3"/>
  <c r="BE63" i="3"/>
  <c r="BG56" i="3" l="1"/>
  <c r="BE56" i="3"/>
  <c r="BE44" i="3"/>
  <c r="BE55" i="3" s="1"/>
  <c r="AL46" i="3"/>
  <c r="AI47" i="3"/>
  <c r="BI46" i="3"/>
  <c r="Z47" i="3"/>
  <c r="Z48" i="3" s="1"/>
  <c r="Z49" i="3" s="1"/>
  <c r="Z50" i="3" s="1"/>
  <c r="Z51" i="3" s="1"/>
  <c r="Z52" i="3" s="1"/>
  <c r="Z53" i="3" s="1"/>
  <c r="Z54" i="3" s="1"/>
  <c r="Z55" i="3" s="1"/>
  <c r="Z56" i="3" s="1"/>
  <c r="BF46" i="3"/>
  <c r="BK49" i="3"/>
  <c r="BK45" i="3"/>
  <c r="BJ45" i="3" s="1"/>
  <c r="BJ56" i="3"/>
  <c r="BC56" i="3"/>
  <c r="C20" i="5"/>
  <c r="BK39" i="6"/>
  <c r="BF39" i="4"/>
  <c r="BF78" i="4" s="1"/>
  <c r="BJ19" i="4"/>
  <c r="BB22" i="4"/>
  <c r="BG44" i="3"/>
  <c r="BG55" i="3" s="1"/>
  <c r="BJ44" i="3"/>
  <c r="BJ55" i="3" s="1"/>
  <c r="BD46" i="3"/>
  <c r="R47" i="3"/>
  <c r="R48" i="3" s="1"/>
  <c r="R49" i="3" s="1"/>
  <c r="R50" i="3" s="1"/>
  <c r="R51" i="3" s="1"/>
  <c r="R52" i="3" s="1"/>
  <c r="R53" i="3" s="1"/>
  <c r="R54" i="3" s="1"/>
  <c r="R55" i="3" s="1"/>
  <c r="R56" i="3" s="1"/>
  <c r="BB21" i="4"/>
  <c r="BK55" i="3"/>
  <c r="BK56" i="3"/>
  <c r="J47" i="3"/>
  <c r="J48" i="3" s="1"/>
  <c r="J49" i="3" s="1"/>
  <c r="J50" i="3" s="1"/>
  <c r="J51" i="3" s="1"/>
  <c r="J52" i="3" s="1"/>
  <c r="J53" i="3" s="1"/>
  <c r="J54" i="3" s="1"/>
  <c r="J55" i="3" s="1"/>
  <c r="J56" i="3" s="1"/>
  <c r="BB46" i="3"/>
  <c r="BC45" i="3" l="1"/>
  <c r="BK46" i="3"/>
  <c r="BE46" i="3" s="1"/>
  <c r="BB50" i="3"/>
  <c r="BC46" i="3"/>
  <c r="BB42" i="4"/>
  <c r="BB81" i="4" s="1"/>
  <c r="BF22" i="4"/>
  <c r="BG46" i="3"/>
  <c r="BF50" i="3"/>
  <c r="BF52" i="3" s="1"/>
  <c r="BJ46" i="3"/>
  <c r="BI50" i="3"/>
  <c r="BI52" i="3" s="1"/>
  <c r="BB20" i="5"/>
  <c r="AL47" i="3"/>
  <c r="AI48" i="3"/>
  <c r="BE45" i="3"/>
  <c r="BG45" i="3"/>
  <c r="BB41" i="4"/>
  <c r="BB80" i="4" s="1"/>
  <c r="BF21" i="4"/>
  <c r="BJ39" i="4"/>
  <c r="BJ78" i="4" s="1"/>
  <c r="BO19" i="4"/>
  <c r="BD50" i="3"/>
  <c r="BD52" i="3" s="1"/>
  <c r="BO39" i="4" l="1"/>
  <c r="BO78" i="4" s="1"/>
  <c r="BS19" i="4"/>
  <c r="BF42" i="4"/>
  <c r="BF81" i="4" s="1"/>
  <c r="BJ22" i="4"/>
  <c r="BF41" i="4"/>
  <c r="BF80" i="4" s="1"/>
  <c r="BJ21" i="4"/>
  <c r="AL48" i="3"/>
  <c r="AI49" i="3"/>
  <c r="BK50" i="3"/>
  <c r="BB52" i="3"/>
  <c r="AZ35" i="5"/>
  <c r="BB35" i="5"/>
  <c r="BF20" i="5"/>
  <c r="BK52" i="3" l="1"/>
  <c r="BC52" i="3" s="1"/>
  <c r="BJ42" i="4"/>
  <c r="BJ81" i="4" s="1"/>
  <c r="BO22" i="4"/>
  <c r="AL49" i="3"/>
  <c r="AI50" i="3"/>
  <c r="BJ20" i="5"/>
  <c r="AW35" i="5"/>
  <c r="BB68" i="5"/>
  <c r="BJ41" i="4"/>
  <c r="BJ80" i="4" s="1"/>
  <c r="BO21" i="4"/>
  <c r="BD35" i="5"/>
  <c r="BF35" i="5" s="1"/>
  <c r="BF68" i="5" s="1"/>
  <c r="BA35" i="5"/>
  <c r="AZ68" i="5"/>
  <c r="BQ68" i="5" s="1"/>
  <c r="BM35" i="5"/>
  <c r="BC53" i="3" l="1"/>
  <c r="BJ35" i="5"/>
  <c r="BJ68" i="5" s="1"/>
  <c r="BO20" i="5"/>
  <c r="BM68" i="5"/>
  <c r="BM46" i="5"/>
  <c r="AL50" i="3"/>
  <c r="AI51" i="3"/>
  <c r="BO42" i="4"/>
  <c r="BO81" i="4" s="1"/>
  <c r="BS22" i="4"/>
  <c r="BD68" i="5"/>
  <c r="BH35" i="5"/>
  <c r="BH68" i="5" s="1"/>
  <c r="BO41" i="4"/>
  <c r="BO80" i="4" s="1"/>
  <c r="BS21" i="4"/>
  <c r="BJ53" i="3"/>
  <c r="BE53" i="3"/>
  <c r="BJ52" i="3"/>
  <c r="BE52" i="3"/>
  <c r="BG52" i="3"/>
  <c r="BG53" i="3"/>
  <c r="BA68" i="5"/>
  <c r="BE35" i="5"/>
  <c r="BO35" i="5" l="1"/>
  <c r="BS20" i="5"/>
  <c r="BN35" i="5"/>
  <c r="BN68" i="5" s="1"/>
  <c r="BI35" i="5"/>
  <c r="BI68" i="5" s="1"/>
  <c r="BE68" i="5"/>
  <c r="AL51" i="3"/>
  <c r="AI52" i="3"/>
  <c r="AI53" i="3" l="1"/>
  <c r="AL52" i="3"/>
  <c r="BO68" i="5"/>
  <c r="C20" i="4"/>
  <c r="BO46" i="5"/>
  <c r="BE65" i="3"/>
  <c r="BB20" i="4" l="1"/>
  <c r="AL53" i="3"/>
  <c r="AI54" i="3"/>
  <c r="AI55" i="3" l="1"/>
  <c r="AL54" i="3"/>
  <c r="BB40" i="4"/>
  <c r="BB79" i="4" s="1"/>
  <c r="BF20" i="4"/>
  <c r="BF40" i="4" l="1"/>
  <c r="BF79" i="4" s="1"/>
  <c r="BJ20" i="4"/>
  <c r="AL55" i="3"/>
  <c r="AI56" i="3"/>
  <c r="AL56" i="3" s="1"/>
  <c r="BJ40" i="4" l="1"/>
  <c r="BJ79" i="4" s="1"/>
  <c r="BO20" i="4"/>
  <c r="BO40" i="4" l="1"/>
  <c r="BO79" i="4" s="1"/>
  <c r="BS2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C17" authorId="0" shapeId="0" xr:uid="{00000000-0006-0000-1700-000001000000}">
      <text>
        <r>
          <rPr>
            <sz val="10"/>
            <color rgb="FF000000"/>
            <rFont val="Arial"/>
          </rPr>
          <t xml:space="preserve">$800 laptop sale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C17" authorId="0" shapeId="0" xr:uid="{00000000-0006-0000-1800-000001000000}">
      <text>
        <r>
          <rPr>
            <sz val="10"/>
            <color rgb="FF000000"/>
            <rFont val="Arial"/>
          </rPr>
          <t xml:space="preserve">$800 laptop sale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C17" authorId="0" shapeId="0" xr:uid="{00000000-0006-0000-1900-000001000000}">
      <text>
        <r>
          <rPr>
            <sz val="10"/>
            <color rgb="FF000000"/>
            <rFont val="Arial"/>
          </rPr>
          <t xml:space="preserve">$800 laptop sale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C17" authorId="0" shapeId="0" xr:uid="{00000000-0006-0000-1A00-000001000000}">
      <text>
        <r>
          <rPr>
            <sz val="10"/>
            <color rgb="FF000000"/>
            <rFont val="Arial"/>
          </rPr>
          <t xml:space="preserve">$800 laptop sale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C16" authorId="0" shapeId="0" xr:uid="{00000000-0006-0000-1B00-000001000000}">
      <text>
        <r>
          <rPr>
            <sz val="10"/>
            <color rgb="FF000000"/>
            <rFont val="Arial"/>
          </rPr>
          <t xml:space="preserve">$800 laptop sale
</t>
        </r>
      </text>
    </comment>
  </commentList>
</comments>
</file>

<file path=xl/sharedStrings.xml><?xml version="1.0" encoding="utf-8"?>
<sst xmlns="http://schemas.openxmlformats.org/spreadsheetml/2006/main" count="4003" uniqueCount="352">
  <si>
    <t>M Fronczyk</t>
  </si>
  <si>
    <t>M Syzdek</t>
  </si>
  <si>
    <t>M Pawlus</t>
  </si>
  <si>
    <t xml:space="preserve">F Korski </t>
  </si>
  <si>
    <t>M Krzynówek</t>
  </si>
  <si>
    <t xml:space="preserve">P Janisz </t>
  </si>
  <si>
    <t>J Mordarski</t>
  </si>
  <si>
    <t>Prospect</t>
  </si>
  <si>
    <t>Project</t>
  </si>
  <si>
    <t>Contact</t>
  </si>
  <si>
    <t>Last action</t>
  </si>
  <si>
    <t>Last action on</t>
  </si>
  <si>
    <t>Next step</t>
  </si>
  <si>
    <t>Next step on</t>
  </si>
  <si>
    <t>Notes</t>
  </si>
  <si>
    <t>CoreLogic</t>
  </si>
  <si>
    <t>NextGen</t>
  </si>
  <si>
    <t>Mchael Saccento</t>
  </si>
  <si>
    <t>Mentioned on status call</t>
  </si>
  <si>
    <t>Waiting for CL to release 4.7 and focus on NextGen</t>
  </si>
  <si>
    <t>Do we still recommend Scala?</t>
  </si>
  <si>
    <t>Hyperion Homes</t>
  </si>
  <si>
    <t>Lending Club</t>
  </si>
  <si>
    <t>Ted Dowd</t>
  </si>
  <si>
    <t>Sent estimate, mentioned on status call</t>
  </si>
  <si>
    <t>Waiting for HH managing partner to focus. Probably no action until they have investment</t>
  </si>
  <si>
    <t>Julian Grey? Ben Graboske?</t>
  </si>
  <si>
    <t>Heard news from Evan</t>
  </si>
  <si>
    <t>Follow up on Evan's news that Julian has a new boss between her and Ben; that BAP and Bond Tracker (Diane's thing) have been canceled</t>
  </si>
  <si>
    <t>Kripalu</t>
  </si>
  <si>
    <t>Michael T, John (VP Operations)</t>
  </si>
  <si>
    <t>Contacted Michael</t>
  </si>
  <si>
    <t>Waiting for John to contact</t>
  </si>
  <si>
    <t>Lead from Uri Feiner</t>
  </si>
  <si>
    <t>Evan Firestone</t>
  </si>
  <si>
    <t>Big Data in a Box</t>
  </si>
  <si>
    <t>Met at LA</t>
  </si>
  <si>
    <t>Investigate DB alternatives</t>
  </si>
  <si>
    <t>Wants to partner for new company to market a column-oriented database appliance</t>
  </si>
  <si>
    <t>IIN</t>
  </si>
  <si>
    <t>Android maintenance</t>
  </si>
  <si>
    <t>Rob Traghetto</t>
  </si>
  <si>
    <t>Sent estimates for specific issues to Rob</t>
  </si>
  <si>
    <t>Follow up on 11/5 email re: drafting new SOW and including iOS</t>
  </si>
  <si>
    <t>Ocwen</t>
  </si>
  <si>
    <t>MSM maintenance</t>
  </si>
  <si>
    <t>Rich Cooperstein</t>
  </si>
  <si>
    <t>Set up AWS instance for MSM</t>
  </si>
  <si>
    <t>Find out if he wants dev work, reassign AWS billing</t>
  </si>
  <si>
    <t>iSP</t>
  </si>
  <si>
    <t>Gerry?</t>
  </si>
  <si>
    <t>Figure out what the growth opportunity is</t>
  </si>
  <si>
    <t>Plus</t>
  </si>
  <si>
    <t>Site for a municipal financial guaranty industry company</t>
  </si>
  <si>
    <t>Jeremy Hollister</t>
  </si>
  <si>
    <t>auto column indexer</t>
  </si>
  <si>
    <t>Column</t>
  </si>
  <si>
    <t>Accrued Eligible column</t>
  </si>
  <si>
    <t>Eligible PS for period</t>
  </si>
  <si>
    <t>Total paid</t>
  </si>
  <si>
    <t>As of row</t>
  </si>
  <si>
    <t>Mirek</t>
  </si>
  <si>
    <t xml:space="preserve">jump </t>
  </si>
  <si>
    <t>First Column</t>
  </si>
  <si>
    <t>Total in all accounts</t>
  </si>
  <si>
    <t>Marek</t>
  </si>
  <si>
    <t>Name</t>
  </si>
  <si>
    <t>Mirek Row</t>
  </si>
  <si>
    <t>Marek Row</t>
  </si>
  <si>
    <t>Michal Row</t>
  </si>
  <si>
    <t>Colin Row</t>
  </si>
  <si>
    <t>Colin overdraw row</t>
  </si>
  <si>
    <t>Date</t>
  </si>
  <si>
    <t>Ps</t>
  </si>
  <si>
    <t xml:space="preserve">Eligible PS </t>
  </si>
  <si>
    <t xml:space="preserve">Personal </t>
  </si>
  <si>
    <t xml:space="preserve">Colin's overdraw </t>
  </si>
  <si>
    <t xml:space="preserve">Carry over from 2022 taken from PS model version as of March 8, 2023 as a sum of PS paid out at that time and outstanding to be paid. Off by ~$1.3k Feb 3, 2023 numbers, difference is caused by 2022 income updateds insertet on March 2023 (from QBO)  </t>
  </si>
  <si>
    <t>to be left</t>
  </si>
  <si>
    <t>Michal</t>
  </si>
  <si>
    <t>PS Model 2023</t>
  </si>
  <si>
    <t>filter range</t>
  </si>
  <si>
    <t>A21:BG</t>
  </si>
  <si>
    <t>Colin</t>
  </si>
  <si>
    <t>PS Model 2024</t>
  </si>
  <si>
    <t>PS Model 2025</t>
  </si>
  <si>
    <t>As of</t>
  </si>
  <si>
    <t xml:space="preserve">Accrued Eligible </t>
  </si>
  <si>
    <t>Paid to be equal</t>
  </si>
  <si>
    <t>To be paid</t>
  </si>
  <si>
    <t>Left accrued</t>
  </si>
  <si>
    <t>note</t>
  </si>
  <si>
    <t>-</t>
  </si>
  <si>
    <t>To distribute</t>
  </si>
  <si>
    <t>Per partner after equalization</t>
  </si>
  <si>
    <t>Constant</t>
  </si>
  <si>
    <t>Total Accrued</t>
  </si>
  <si>
    <t>Accounts</t>
  </si>
  <si>
    <t>Threshold</t>
  </si>
  <si>
    <t xml:space="preserve">Mirek </t>
  </si>
  <si>
    <t>%</t>
  </si>
  <si>
    <t>Total</t>
  </si>
  <si>
    <t>Period in year</t>
  </si>
  <si>
    <t>Month</t>
  </si>
  <si>
    <t>is period calculated</t>
  </si>
  <si>
    <t>#PS</t>
  </si>
  <si>
    <t>Paid Personal</t>
  </si>
  <si>
    <t>Paid PS transfers</t>
  </si>
  <si>
    <t>outstanding to be paid from period</t>
  </si>
  <si>
    <t xml:space="preserve">Paid Personal </t>
  </si>
  <si>
    <t>PS above "equalization", for reference</t>
  </si>
  <si>
    <t>check when</t>
  </si>
  <si>
    <t>HSBC</t>
  </si>
  <si>
    <t>1 pln to $</t>
  </si>
  <si>
    <t>Alior</t>
  </si>
  <si>
    <t>chase</t>
  </si>
  <si>
    <t>Revolut main account</t>
  </si>
  <si>
    <t>Amount of people</t>
  </si>
  <si>
    <t>Threshold per person</t>
  </si>
  <si>
    <t>Carry over from 2022</t>
  </si>
  <si>
    <t>End of 2022</t>
  </si>
  <si>
    <t>Full 2023 PS payout</t>
  </si>
  <si>
    <t>as of dec</t>
  </si>
  <si>
    <t>as of Feb</t>
  </si>
  <si>
    <t>After payouts</t>
  </si>
  <si>
    <t>PS total</t>
  </si>
  <si>
    <t>Mirek check</t>
  </si>
  <si>
    <t>Marek check</t>
  </si>
  <si>
    <t>Michal check</t>
  </si>
  <si>
    <t>Colin check</t>
  </si>
  <si>
    <t>Year</t>
  </si>
  <si>
    <t>Carryover from last year</t>
  </si>
  <si>
    <t>1Q</t>
  </si>
  <si>
    <t>2Q</t>
  </si>
  <si>
    <t>3Q</t>
  </si>
  <si>
    <t>4Q</t>
  </si>
  <si>
    <t>Montrose NI</t>
  </si>
  <si>
    <t>Tax Optimization "Return"</t>
  </si>
  <si>
    <t>Uncollectible</t>
  </si>
  <si>
    <t>PPMD</t>
  </si>
  <si>
    <t>Vuabl, 1 World Proj</t>
  </si>
  <si>
    <t>Vuabl</t>
  </si>
  <si>
    <t>Bad Debt</t>
  </si>
  <si>
    <t>Colin "salary"</t>
  </si>
  <si>
    <t>PS payouts</t>
  </si>
  <si>
    <t>Total personal partner expenses</t>
  </si>
  <si>
    <t>Adjusted Montrose NI</t>
  </si>
  <si>
    <t>Colin "draw" (Owner's Equity QB account)</t>
  </si>
  <si>
    <t xml:space="preserve"> </t>
  </si>
  <si>
    <t>Colin pension contribution</t>
  </si>
  <si>
    <t>Colin W-2 tax payments</t>
  </si>
  <si>
    <t>Colin overdraw ("prepaid PS")</t>
  </si>
  <si>
    <t>Shares</t>
  </si>
  <si>
    <t>Gross</t>
  </si>
  <si>
    <t>Personal</t>
  </si>
  <si>
    <t>Adjusted</t>
  </si>
  <si>
    <t>Adjusted to be paid 1Q</t>
  </si>
  <si>
    <t>Personal 1Q</t>
  </si>
  <si>
    <t>1Q +  carryover</t>
  </si>
  <si>
    <t>To be paid 2Q</t>
  </si>
  <si>
    <t>Personal 2Q</t>
  </si>
  <si>
    <t>1Q, 2Q + carryover</t>
  </si>
  <si>
    <t>To be paid 3Q</t>
  </si>
  <si>
    <t>Personal 3Q</t>
  </si>
  <si>
    <t>1Q, 2Q, 3Q + carryover</t>
  </si>
  <si>
    <t>To be paid 4Q</t>
  </si>
  <si>
    <t>Personal 4Q</t>
  </si>
  <si>
    <t>Healt Check</t>
  </si>
  <si>
    <t>Colin Strasser</t>
  </si>
  <si>
    <t>Michal Fronczyk</t>
  </si>
  <si>
    <t>Miroslaw Syzdek</t>
  </si>
  <si>
    <t>Marek Krzynowek</t>
  </si>
  <si>
    <t>Filip Korski</t>
  </si>
  <si>
    <t>Maria Gacek</t>
  </si>
  <si>
    <t>Piotr Pilip</t>
  </si>
  <si>
    <t xml:space="preserve">Olha Hnatiuk </t>
  </si>
  <si>
    <t>Krzysztof Biedron</t>
  </si>
  <si>
    <t>Dominika Szczygiel</t>
  </si>
  <si>
    <t>Karol Kucharczyk</t>
  </si>
  <si>
    <t>Adrian Szyndler</t>
  </si>
  <si>
    <t>Michał  Grudziński</t>
  </si>
  <si>
    <t>Dawid Tan</t>
  </si>
  <si>
    <t>Alicja Brajner</t>
  </si>
  <si>
    <t>Maciej Zarych</t>
  </si>
  <si>
    <t>Radosław Gasiorek</t>
  </si>
  <si>
    <t>Ballance Tax Optimization Carry over</t>
  </si>
  <si>
    <t xml:space="preserve">was </t>
  </si>
  <si>
    <t>should be</t>
  </si>
  <si>
    <t>Adj. Paid for 
1Q &amp; 2Q</t>
  </si>
  <si>
    <t>Total Paid for 
1Q &amp; 2Q</t>
  </si>
  <si>
    <t>Still owed for 
Q1 &amp; Q2</t>
  </si>
  <si>
    <t>Adj. Paid for 
1Q &amp; 2Q &amp; 3Q</t>
  </si>
  <si>
    <t>Total Paid for 
1Q &amp; 2Q &amp; 3Q</t>
  </si>
  <si>
    <t>Still owed for 1Q &amp; 2Q &amp; 3Q</t>
  </si>
  <si>
    <t>Adj. Paid 3Q &amp; 4Q</t>
  </si>
  <si>
    <t>Adj. Paid so far this year</t>
  </si>
  <si>
    <t>Total Paid so far this year</t>
  </si>
  <si>
    <t xml:space="preserve">Still owed  </t>
  </si>
  <si>
    <t>Remaining Tax Optimization</t>
  </si>
  <si>
    <t>Maruszyna Colin &lt;-&gt; Mirek (Adrian's win)</t>
  </si>
  <si>
    <t>Do not touch greyed out cells</t>
  </si>
  <si>
    <t>Questions:</t>
  </si>
  <si>
    <t>this month we included Jan, Feb and Mar AIG 10% discount</t>
  </si>
  <si>
    <t>Was 153794.23 but Databrary got moved to 2025</t>
  </si>
  <si>
    <t>Was 66984.94 but Databrary got moved to 2025</t>
  </si>
  <si>
    <t>EQUA</t>
  </si>
  <si>
    <t>Petzey</t>
  </si>
  <si>
    <t>Check</t>
  </si>
  <si>
    <t>MBS Source</t>
  </si>
  <si>
    <t>Fronczyk</t>
  </si>
  <si>
    <t>Filip</t>
  </si>
  <si>
    <t>Maria</t>
  </si>
  <si>
    <t>Piotr P.</t>
  </si>
  <si>
    <t>Olha</t>
  </si>
  <si>
    <t>Krzysztof B.</t>
  </si>
  <si>
    <t>Dominika</t>
  </si>
  <si>
    <t>Karol Kuch</t>
  </si>
  <si>
    <t>Adrian</t>
  </si>
  <si>
    <t>Paid earlier in 2023</t>
  </si>
  <si>
    <t>Balance</t>
  </si>
  <si>
    <t xml:space="preserve">2024 structure change, amounts owned Colin </t>
  </si>
  <si>
    <t xml:space="preserve">$ Owned to Colin </t>
  </si>
  <si>
    <t>PLN to $ as of Feb 8</t>
  </si>
  <si>
    <t>Fiona's accommodation - paid by Mirek</t>
  </si>
  <si>
    <t>PPMD paid</t>
  </si>
  <si>
    <t xml:space="preserve">PPMD paid </t>
  </si>
  <si>
    <t>WordStruction</t>
  </si>
  <si>
    <t>2023 + carryover</t>
  </si>
  <si>
    <t>Still owed for Q1</t>
  </si>
  <si>
    <t>Paid for Q2</t>
  </si>
  <si>
    <t>Paid for 1Q &amp; 2Q</t>
  </si>
  <si>
    <t>Still owed for Q1 &amp; Q2</t>
  </si>
  <si>
    <t>Paid for 1Q &amp; 2Q &amp; 3Q</t>
  </si>
  <si>
    <t>Paid 3Q &amp; 4Q</t>
  </si>
  <si>
    <t>Paid so far  this year</t>
  </si>
  <si>
    <t>new</t>
  </si>
  <si>
    <t>starting 2024</t>
  </si>
  <si>
    <t>Pilip</t>
  </si>
  <si>
    <t>Biedron</t>
  </si>
  <si>
    <t>Below net inc from QBO</t>
  </si>
  <si>
    <t>In advance payment to avoid taxes in us. Moved to Q1 2023</t>
  </si>
  <si>
    <t>#1959 was voided and replaced by #1987 a month later.  $90k is manually moved from Jul to Jun</t>
  </si>
  <si>
    <t>#1959 was voided and replaced by #1987 a month later. $90k is manually moved from Jul to Jun</t>
  </si>
  <si>
    <t>2022 + carryover</t>
  </si>
  <si>
    <t>Paid earlier in 2022</t>
  </si>
  <si>
    <t>Paid in Dec and Jan</t>
  </si>
  <si>
    <t>1q</t>
  </si>
  <si>
    <t>1H</t>
  </si>
  <si>
    <t>(-5k for missing lunches and Christmas party)</t>
  </si>
  <si>
    <t>Inv. 1751 Peili</t>
  </si>
  <si>
    <t>PPMD - paid</t>
  </si>
  <si>
    <t>Montrose NI before change on Dec 7 below</t>
  </si>
  <si>
    <t>Difference because of Am Ex expenses</t>
  </si>
  <si>
    <t>Colin's Personal ex</t>
  </si>
  <si>
    <t>Maciek</t>
  </si>
  <si>
    <t>Michał Ś</t>
  </si>
  <si>
    <t>Still owed...</t>
  </si>
  <si>
    <t>Paid YTD</t>
  </si>
  <si>
    <t>Paid earlier in 2021</t>
  </si>
  <si>
    <t>Amex Sep</t>
  </si>
  <si>
    <t>United Chase</t>
  </si>
  <si>
    <t>HSBC 903</t>
  </si>
  <si>
    <t>Difference</t>
  </si>
  <si>
    <t>sum</t>
  </si>
  <si>
    <t>balance end of Nov</t>
  </si>
  <si>
    <t>bal as of Dec 23</t>
  </si>
  <si>
    <t>outstanding as of Dec 27 (not incl James)</t>
  </si>
  <si>
    <t>RBC outstanding</t>
  </si>
  <si>
    <t>expected</t>
  </si>
  <si>
    <t>WIP till the end of Dec, same for Colin's personal expenses</t>
  </si>
  <si>
    <t>Paid so far</t>
  </si>
  <si>
    <t>$100 Lufthansa that wasn't visible in QB on United Chase Account</t>
  </si>
  <si>
    <t>March 15,2021 PS Model showed 52,862.99, QB showed 52,237.91. The difference $625.08. Colin's Personal expenses increased by this amount $625.08.</t>
  </si>
  <si>
    <t>35655.38 was on May 10, 2021. Marek added Credit Mamo for the BondLab invoice #1581 $210, and NI has changed to 35445.38. Updated by Maria on May 10, 2021.</t>
  </si>
  <si>
    <t>Invoice RBC</t>
  </si>
  <si>
    <t>Expenses for $302.05 - Audit Logs for Maria from Dec 13 and Expenses for September 44,99 + 9,71+ 84,22 + 163,13</t>
  </si>
  <si>
    <t>49,033.29 was on May 10, 2021. Marek added Credit Mamo for the BondLab invoice #1640 $140, and NI has changed to 48,893.29. Updated by Maria on May 10, 2021.</t>
  </si>
  <si>
    <t>Expenses for $1804.36- Audit Logs for Maria from Dec 13 Expenses from October</t>
  </si>
  <si>
    <t>IDK yet exactly, might be a payment of Bond Lab invoice and some expenses from November.</t>
  </si>
  <si>
    <t>2,065.66 was on May 10, 2021. Marek added Credit Mamo for the BondLab invoice #1668 $2,738.75, and NI has changed to ($673.09). Updated by Maria on May 10, 2021.</t>
  </si>
  <si>
    <t>Paid earlier in 2020</t>
  </si>
  <si>
    <t>This month is still going on so the numbers from Deceber will be changing. The numbers in blue are actual for December 17, 2020</t>
  </si>
  <si>
    <t>AChasen #1580</t>
  </si>
  <si>
    <t>AChasen #1596</t>
  </si>
  <si>
    <t>AChasen #1597</t>
  </si>
  <si>
    <t>AChasen #1617</t>
  </si>
  <si>
    <t>AChasen #1623</t>
  </si>
  <si>
    <t>was 63,099.20</t>
  </si>
  <si>
    <t>then was 57959.78</t>
  </si>
  <si>
    <t>Uncollectible Union</t>
  </si>
  <si>
    <t>Bury and associates paid in April 2020 for October 2019</t>
  </si>
  <si>
    <t>for this q</t>
  </si>
  <si>
    <t>before adj. net inc</t>
  </si>
  <si>
    <t>for this month</t>
  </si>
  <si>
    <t>net income</t>
  </si>
  <si>
    <t xml:space="preserve">Colin's personal </t>
  </si>
  <si>
    <t>Adjusted Net Inc</t>
  </si>
  <si>
    <t>Colin's gross months</t>
  </si>
  <si>
    <t>check</t>
  </si>
  <si>
    <t>Colin's gross from ps</t>
  </si>
  <si>
    <t>Colin's personal</t>
  </si>
  <si>
    <t xml:space="preserve">Check paid </t>
  </si>
  <si>
    <t>total ps</t>
  </si>
  <si>
    <t>Colin's %</t>
  </si>
  <si>
    <t>MF's %</t>
  </si>
  <si>
    <t>Colin's adj. inc diff</t>
  </si>
  <si>
    <t>MF's adj. inc diff</t>
  </si>
  <si>
    <t>Total 12m</t>
  </si>
  <si>
    <t>net income diff</t>
  </si>
  <si>
    <t>drop due to additional costs</t>
  </si>
  <si>
    <t>9Over</t>
  </si>
  <si>
    <t>Union</t>
  </si>
  <si>
    <t>Connector co</t>
  </si>
  <si>
    <t>Check outstanding</t>
  </si>
  <si>
    <t>due to PS changes</t>
  </si>
  <si>
    <t>Perfect match</t>
  </si>
  <si>
    <t>Colin's gross</t>
  </si>
  <si>
    <t>Quadravision</t>
  </si>
  <si>
    <t>Added $800 as laptop sale</t>
  </si>
  <si>
    <t>Janusz</t>
  </si>
  <si>
    <t>Estimate</t>
  </si>
  <si>
    <t>Updated 12/30</t>
  </si>
  <si>
    <t>PilePro</t>
  </si>
  <si>
    <t>N/A</t>
  </si>
  <si>
    <t>Colin "draw"</t>
  </si>
  <si>
    <t>Paid for 1H:</t>
  </si>
  <si>
    <t>Colin overdraw</t>
  </si>
  <si>
    <t>PS Payout</t>
  </si>
  <si>
    <t>this year's unpaid PS to carry over</t>
  </si>
  <si>
    <t xml:space="preserve">27 109,08 </t>
  </si>
  <si>
    <t>total unpaid PS to carry over</t>
  </si>
  <si>
    <t>Did I pay myself out last year in full?</t>
  </si>
  <si>
    <t>If not, does the $80k for the pension count toward that?</t>
  </si>
  <si>
    <t>If so, how do I account for it?</t>
  </si>
  <si>
    <t>total personal partner expenses</t>
  </si>
  <si>
    <t>adjusted Montrose NI</t>
  </si>
  <si>
    <t>Paid:</t>
  </si>
  <si>
    <t>These don't matter</t>
  </si>
  <si>
    <t>CORRECT:</t>
  </si>
  <si>
    <t>PAID:</t>
  </si>
  <si>
    <t>Carryover to 2013:</t>
  </si>
  <si>
    <t>ESTIMATED!</t>
  </si>
  <si>
    <t>Paid for 1H13:</t>
  </si>
  <si>
    <t>Bal for 2H13:</t>
  </si>
  <si>
    <t>Still owed to MF:</t>
  </si>
  <si>
    <t>Contract type</t>
  </si>
  <si>
    <t>2013 Days off available</t>
  </si>
  <si>
    <t>2013 Days off used</t>
  </si>
  <si>
    <t>Freelancer paid vaction</t>
  </si>
  <si>
    <t>Freelancer paid vacation</t>
  </si>
  <si>
    <t>Employee</t>
  </si>
  <si>
    <t>C Strasser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</si>
</sst>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164" formatCode="mmm&quot; , &quot;yyyy"/>
    <numFmt numFmtId="165" formatCode="mmm\ d\,\ yyyy"/>
    <numFmt numFmtId="166" formatCode="&quot;$&quot;#,##0.00"/>
    <numFmt numFmtId="167" formatCode="0.0000%"/>
    <numFmt numFmtId="168" formatCode="mmmm\ d\,\ yyyy"/>
    <numFmt numFmtId="169" formatCode="d\-mmm\-yyyy"/>
    <numFmt numFmtId="170" formatCode="m/d/yyyy\ h:mm:ss"/>
    <numFmt numFmtId="171" formatCode="mmm\ d"/>
    <numFmt numFmtId="172" formatCode="#,##0.00;\(#,##0.00\)"/>
    <numFmt numFmtId="173" formatCode="&quot;$&quot;#,##0"/>
    <numFmt numFmtId="174" formatCode="\$#,##0.00"/>
    <numFmt numFmtId="175" formatCode="#,##0.0000000000000;\(#,##0.0000000000000\)"/>
    <numFmt numFmtId="176" formatCode="#,##0.00[$ zł]"/>
    <numFmt numFmtId="177" formatCode="mmm\ yyyy"/>
    <numFmt numFmtId="178" formatCode="#,##0.00000000000;\(#,##0.00000000000\)"/>
    <numFmt numFmtId="179" formatCode="\$#,##0.00;\-\$#,##0.00"/>
    <numFmt numFmtId="180" formatCode="&quot;$&quot;#,##0.0000"/>
  </numFmts>
  <fonts count="33">
    <font>
      <sz val="10"/>
      <color rgb="FF00000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color rgb="FFBF9000"/>
      <name val="Arial"/>
      <family val="2"/>
    </font>
    <font>
      <b/>
      <sz val="10"/>
      <color rgb="FFBF9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sz val="10"/>
      <color rgb="FF404040"/>
      <name val="Arial"/>
      <family val="2"/>
    </font>
    <font>
      <sz val="10"/>
      <color rgb="FF404040"/>
      <name val="&quot;Avenir Next forINTUIT&quot;"/>
    </font>
    <font>
      <sz val="11"/>
      <color rgb="FF1155CC"/>
      <name val="Inconsolata"/>
    </font>
    <font>
      <sz val="11"/>
      <color rgb="FF000000"/>
      <name val="Inconsolata"/>
    </font>
    <font>
      <b/>
      <sz val="10"/>
      <name val="Arial"/>
      <family val="2"/>
    </font>
    <font>
      <b/>
      <sz val="10"/>
      <color rgb="FF0000FF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14" fontId="1" fillId="0" borderId="0" xfId="0" applyNumberFormat="1" applyFont="1" applyAlignment="1">
      <alignment wrapText="1"/>
    </xf>
    <xf numFmtId="14" fontId="5" fillId="0" borderId="0" xfId="0" applyNumberFormat="1" applyFont="1" applyAlignment="1">
      <alignment wrapText="1"/>
    </xf>
    <xf numFmtId="0" fontId="7" fillId="6" borderId="0" xfId="0" applyFont="1" applyFill="1" applyAlignment="1">
      <alignment wrapText="1"/>
    </xf>
    <xf numFmtId="0" fontId="1" fillId="0" borderId="0" xfId="0" applyFont="1"/>
    <xf numFmtId="0" fontId="1" fillId="7" borderId="0" xfId="0" applyFont="1" applyFill="1" applyAlignment="1">
      <alignment wrapText="1"/>
    </xf>
    <xf numFmtId="164" fontId="1" fillId="7" borderId="0" xfId="0" applyNumberFormat="1" applyFont="1" applyFill="1" applyAlignment="1">
      <alignment wrapText="1"/>
    </xf>
    <xf numFmtId="0" fontId="1" fillId="8" borderId="0" xfId="0" applyFont="1" applyFill="1" applyAlignment="1">
      <alignment wrapText="1"/>
    </xf>
    <xf numFmtId="165" fontId="1" fillId="0" borderId="0" xfId="0" applyNumberFormat="1" applyFont="1" applyAlignment="1">
      <alignment wrapText="1"/>
    </xf>
    <xf numFmtId="166" fontId="1" fillId="7" borderId="0" xfId="0" applyNumberFormat="1" applyFont="1" applyFill="1" applyAlignment="1">
      <alignment wrapText="1"/>
    </xf>
    <xf numFmtId="166" fontId="1" fillId="8" borderId="0" xfId="0" applyNumberFormat="1" applyFont="1" applyFill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horizontal="right" wrapText="1"/>
    </xf>
    <xf numFmtId="166" fontId="8" fillId="0" borderId="0" xfId="0" applyNumberFormat="1" applyFont="1" applyAlignment="1">
      <alignment wrapText="1"/>
    </xf>
    <xf numFmtId="0" fontId="1" fillId="9" borderId="1" xfId="0" applyFont="1" applyFill="1" applyBorder="1" applyAlignment="1">
      <alignment wrapText="1"/>
    </xf>
    <xf numFmtId="0" fontId="8" fillId="9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1" fillId="10" borderId="0" xfId="0" applyFont="1" applyFill="1" applyAlignment="1">
      <alignment wrapText="1"/>
    </xf>
    <xf numFmtId="0" fontId="9" fillId="10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166" fontId="9" fillId="2" borderId="0" xfId="0" applyNumberFormat="1" applyFont="1" applyFill="1" applyAlignment="1">
      <alignment wrapText="1"/>
    </xf>
    <xf numFmtId="3" fontId="1" fillId="7" borderId="0" xfId="0" applyNumberFormat="1" applyFont="1" applyFill="1" applyAlignment="1">
      <alignment wrapText="1"/>
    </xf>
    <xf numFmtId="167" fontId="1" fillId="7" borderId="0" xfId="0" applyNumberFormat="1" applyFont="1" applyFill="1" applyAlignment="1">
      <alignment wrapText="1"/>
    </xf>
    <xf numFmtId="10" fontId="1" fillId="7" borderId="0" xfId="0" applyNumberFormat="1" applyFont="1" applyFill="1" applyAlignment="1">
      <alignment wrapText="1"/>
    </xf>
    <xf numFmtId="0" fontId="1" fillId="11" borderId="0" xfId="0" applyFont="1" applyFill="1" applyAlignment="1">
      <alignment wrapText="1"/>
    </xf>
    <xf numFmtId="164" fontId="1" fillId="11" borderId="0" xfId="0" applyNumberFormat="1" applyFont="1" applyFill="1" applyAlignment="1">
      <alignment wrapText="1"/>
    </xf>
    <xf numFmtId="0" fontId="9" fillId="11" borderId="0" xfId="0" applyFont="1" applyFill="1" applyAlignment="1">
      <alignment wrapText="1"/>
    </xf>
    <xf numFmtId="2" fontId="1" fillId="11" borderId="0" xfId="0" applyNumberFormat="1" applyFont="1" applyFill="1" applyAlignment="1">
      <alignment wrapText="1"/>
    </xf>
    <xf numFmtId="166" fontId="1" fillId="11" borderId="0" xfId="0" applyNumberFormat="1" applyFont="1" applyFill="1" applyAlignment="1">
      <alignment wrapText="1"/>
    </xf>
    <xf numFmtId="166" fontId="9" fillId="11" borderId="0" xfId="0" applyNumberFormat="1" applyFont="1" applyFill="1" applyAlignment="1">
      <alignment wrapText="1"/>
    </xf>
    <xf numFmtId="3" fontId="1" fillId="11" borderId="0" xfId="0" applyNumberFormat="1" applyFont="1" applyFill="1" applyAlignment="1">
      <alignment wrapText="1"/>
    </xf>
    <xf numFmtId="167" fontId="1" fillId="11" borderId="0" xfId="0" applyNumberFormat="1" applyFont="1" applyFill="1" applyAlignment="1">
      <alignment wrapText="1"/>
    </xf>
    <xf numFmtId="10" fontId="1" fillId="11" borderId="0" xfId="0" applyNumberFormat="1" applyFont="1" applyFill="1" applyAlignment="1">
      <alignment wrapText="1"/>
    </xf>
    <xf numFmtId="164" fontId="1" fillId="10" borderId="0" xfId="0" applyNumberFormat="1" applyFont="1" applyFill="1" applyAlignment="1">
      <alignment wrapText="1"/>
    </xf>
    <xf numFmtId="2" fontId="1" fillId="7" borderId="0" xfId="0" applyNumberFormat="1" applyFont="1" applyFill="1" applyAlignment="1">
      <alignment wrapText="1"/>
    </xf>
    <xf numFmtId="0" fontId="1" fillId="12" borderId="0" xfId="0" applyFont="1" applyFill="1" applyAlignment="1">
      <alignment wrapText="1"/>
    </xf>
    <xf numFmtId="164" fontId="1" fillId="12" borderId="0" xfId="0" applyNumberFormat="1" applyFont="1" applyFill="1" applyAlignment="1">
      <alignment wrapText="1"/>
    </xf>
    <xf numFmtId="0" fontId="9" fillId="12" borderId="0" xfId="0" applyFont="1" applyFill="1" applyAlignment="1">
      <alignment wrapText="1"/>
    </xf>
    <xf numFmtId="2" fontId="1" fillId="12" borderId="0" xfId="0" applyNumberFormat="1" applyFont="1" applyFill="1" applyAlignment="1">
      <alignment wrapText="1"/>
    </xf>
    <xf numFmtId="166" fontId="1" fillId="12" borderId="0" xfId="0" applyNumberFormat="1" applyFont="1" applyFill="1" applyAlignment="1">
      <alignment wrapText="1"/>
    </xf>
    <xf numFmtId="166" fontId="9" fillId="12" borderId="0" xfId="0" applyNumberFormat="1" applyFont="1" applyFill="1" applyAlignment="1">
      <alignment wrapText="1"/>
    </xf>
    <xf numFmtId="3" fontId="1" fillId="12" borderId="0" xfId="0" applyNumberFormat="1" applyFont="1" applyFill="1" applyAlignment="1">
      <alignment wrapText="1"/>
    </xf>
    <xf numFmtId="167" fontId="1" fillId="12" borderId="0" xfId="0" applyNumberFormat="1" applyFont="1" applyFill="1" applyAlignment="1">
      <alignment wrapText="1"/>
    </xf>
    <xf numFmtId="10" fontId="1" fillId="12" borderId="0" xfId="0" applyNumberFormat="1" applyFont="1" applyFill="1" applyAlignment="1">
      <alignment wrapText="1"/>
    </xf>
    <xf numFmtId="165" fontId="1" fillId="7" borderId="0" xfId="0" applyNumberFormat="1" applyFont="1" applyFill="1" applyAlignment="1">
      <alignment wrapText="1"/>
    </xf>
    <xf numFmtId="168" fontId="1" fillId="7" borderId="0" xfId="0" applyNumberFormat="1" applyFont="1" applyFill="1" applyAlignment="1">
      <alignment wrapText="1"/>
    </xf>
    <xf numFmtId="0" fontId="9" fillId="0" borderId="0" xfId="0" applyFont="1" applyAlignment="1">
      <alignment wrapText="1"/>
    </xf>
    <xf numFmtId="166" fontId="9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169" fontId="5" fillId="0" borderId="5" xfId="0" applyNumberFormat="1" applyFont="1" applyBorder="1" applyAlignment="1">
      <alignment wrapText="1"/>
    </xf>
    <xf numFmtId="170" fontId="1" fillId="0" borderId="0" xfId="0" applyNumberFormat="1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0" fillId="13" borderId="0" xfId="0" applyFont="1" applyFill="1" applyAlignment="1">
      <alignment horizontal="right" wrapText="1"/>
    </xf>
    <xf numFmtId="0" fontId="10" fillId="13" borderId="5" xfId="0" applyFont="1" applyFill="1" applyBorder="1" applyAlignment="1">
      <alignment horizontal="right" wrapText="1"/>
    </xf>
    <xf numFmtId="0" fontId="11" fillId="0" borderId="0" xfId="0" applyFont="1" applyAlignment="1">
      <alignment horizontal="right" wrapText="1"/>
    </xf>
    <xf numFmtId="0" fontId="8" fillId="1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8" fillId="13" borderId="6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2" fillId="0" borderId="0" xfId="0" applyFont="1" applyAlignment="1">
      <alignment horizontal="right" wrapText="1"/>
    </xf>
    <xf numFmtId="0" fontId="12" fillId="0" borderId="5" xfId="0" applyFont="1" applyBorder="1" applyAlignment="1">
      <alignment horizontal="right" wrapText="1"/>
    </xf>
    <xf numFmtId="0" fontId="11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171" fontId="1" fillId="0" borderId="0" xfId="0" applyNumberFormat="1" applyFont="1" applyAlignment="1">
      <alignment wrapText="1"/>
    </xf>
    <xf numFmtId="0" fontId="13" fillId="11" borderId="0" xfId="0" applyFont="1" applyFill="1"/>
    <xf numFmtId="0" fontId="1" fillId="11" borderId="4" xfId="0" applyFont="1" applyFill="1" applyBorder="1" applyAlignment="1">
      <alignment wrapText="1"/>
    </xf>
    <xf numFmtId="172" fontId="14" fillId="11" borderId="5" xfId="0" applyNumberFormat="1" applyFont="1" applyFill="1" applyBorder="1" applyAlignment="1">
      <alignment wrapText="1"/>
    </xf>
    <xf numFmtId="172" fontId="14" fillId="11" borderId="0" xfId="0" applyNumberFormat="1" applyFont="1" applyFill="1" applyAlignment="1">
      <alignment wrapText="1"/>
    </xf>
    <xf numFmtId="172" fontId="1" fillId="11" borderId="4" xfId="0" applyNumberFormat="1" applyFont="1" applyFill="1" applyBorder="1" applyAlignment="1">
      <alignment wrapText="1"/>
    </xf>
    <xf numFmtId="172" fontId="1" fillId="11" borderId="0" xfId="0" applyNumberFormat="1" applyFont="1" applyFill="1" applyAlignment="1">
      <alignment wrapText="1"/>
    </xf>
    <xf numFmtId="172" fontId="14" fillId="11" borderId="5" xfId="0" applyNumberFormat="1" applyFont="1" applyFill="1" applyBorder="1"/>
    <xf numFmtId="172" fontId="15" fillId="11" borderId="5" xfId="0" applyNumberFormat="1" applyFont="1" applyFill="1" applyBorder="1" applyAlignment="1">
      <alignment wrapText="1"/>
    </xf>
    <xf numFmtId="173" fontId="1" fillId="11" borderId="0" xfId="0" applyNumberFormat="1" applyFont="1" applyFill="1" applyAlignment="1">
      <alignment wrapText="1"/>
    </xf>
    <xf numFmtId="173" fontId="15" fillId="11" borderId="0" xfId="0" applyNumberFormat="1" applyFont="1" applyFill="1" applyAlignment="1">
      <alignment wrapText="1"/>
    </xf>
    <xf numFmtId="172" fontId="11" fillId="11" borderId="5" xfId="0" applyNumberFormat="1" applyFont="1" applyFill="1" applyBorder="1" applyAlignment="1">
      <alignment wrapText="1"/>
    </xf>
    <xf numFmtId="172" fontId="11" fillId="11" borderId="0" xfId="0" applyNumberFormat="1" applyFont="1" applyFill="1" applyAlignment="1">
      <alignment wrapText="1"/>
    </xf>
    <xf numFmtId="166" fontId="11" fillId="11" borderId="0" xfId="0" applyNumberFormat="1" applyFont="1" applyFill="1" applyAlignment="1">
      <alignment wrapText="1"/>
    </xf>
    <xf numFmtId="166" fontId="11" fillId="11" borderId="4" xfId="0" applyNumberFormat="1" applyFont="1" applyFill="1" applyBorder="1" applyAlignment="1">
      <alignment wrapText="1"/>
    </xf>
    <xf numFmtId="0" fontId="13" fillId="0" borderId="0" xfId="0" applyFont="1"/>
    <xf numFmtId="172" fontId="14" fillId="0" borderId="5" xfId="0" applyNumberFormat="1" applyFont="1" applyBorder="1" applyAlignment="1">
      <alignment wrapText="1"/>
    </xf>
    <xf numFmtId="172" fontId="1" fillId="0" borderId="0" xfId="0" applyNumberFormat="1" applyFont="1" applyAlignment="1">
      <alignment wrapText="1"/>
    </xf>
    <xf numFmtId="172" fontId="1" fillId="0" borderId="4" xfId="0" applyNumberFormat="1" applyFont="1" applyBorder="1" applyAlignment="1">
      <alignment wrapText="1"/>
    </xf>
    <xf numFmtId="172" fontId="11" fillId="0" borderId="5" xfId="0" applyNumberFormat="1" applyFont="1" applyBorder="1" applyAlignment="1">
      <alignment wrapText="1"/>
    </xf>
    <xf numFmtId="172" fontId="11" fillId="0" borderId="0" xfId="0" applyNumberFormat="1" applyFont="1" applyAlignment="1">
      <alignment wrapText="1"/>
    </xf>
    <xf numFmtId="166" fontId="11" fillId="0" borderId="0" xfId="0" applyNumberFormat="1" applyFont="1" applyAlignment="1">
      <alignment wrapText="1"/>
    </xf>
    <xf numFmtId="166" fontId="11" fillId="0" borderId="4" xfId="0" applyNumberFormat="1" applyFont="1" applyBorder="1" applyAlignment="1">
      <alignment wrapText="1"/>
    </xf>
    <xf numFmtId="172" fontId="1" fillId="0" borderId="0" xfId="0" applyNumberFormat="1" applyFont="1"/>
    <xf numFmtId="172" fontId="9" fillId="0" borderId="5" xfId="0" applyNumberFormat="1" applyFont="1" applyBorder="1" applyAlignment="1">
      <alignment wrapText="1"/>
    </xf>
    <xf numFmtId="174" fontId="14" fillId="0" borderId="0" xfId="0" applyNumberFormat="1" applyFont="1" applyAlignment="1">
      <alignment wrapText="1"/>
    </xf>
    <xf numFmtId="172" fontId="1" fillId="0" borderId="5" xfId="0" applyNumberFormat="1" applyFont="1" applyBorder="1" applyAlignment="1">
      <alignment wrapText="1"/>
    </xf>
    <xf numFmtId="0" fontId="16" fillId="0" borderId="0" xfId="0" applyFont="1"/>
    <xf numFmtId="0" fontId="16" fillId="0" borderId="4" xfId="0" applyFont="1" applyBorder="1"/>
    <xf numFmtId="172" fontId="14" fillId="0" borderId="5" xfId="0" applyNumberFormat="1" applyFont="1" applyBorder="1"/>
    <xf numFmtId="172" fontId="16" fillId="0" borderId="5" xfId="0" applyNumberFormat="1" applyFont="1" applyBorder="1"/>
    <xf numFmtId="175" fontId="11" fillId="0" borderId="0" xfId="0" applyNumberFormat="1" applyFont="1" applyAlignment="1">
      <alignment wrapText="1"/>
    </xf>
    <xf numFmtId="0" fontId="13" fillId="8" borderId="0" xfId="0" applyFont="1" applyFill="1"/>
    <xf numFmtId="0" fontId="1" fillId="8" borderId="4" xfId="0" applyFont="1" applyFill="1" applyBorder="1" applyAlignment="1">
      <alignment wrapText="1"/>
    </xf>
    <xf numFmtId="172" fontId="16" fillId="8" borderId="5" xfId="0" applyNumberFormat="1" applyFont="1" applyFill="1" applyBorder="1"/>
    <xf numFmtId="172" fontId="1" fillId="8" borderId="0" xfId="0" applyNumberFormat="1" applyFont="1" applyFill="1" applyAlignment="1">
      <alignment wrapText="1"/>
    </xf>
    <xf numFmtId="172" fontId="1" fillId="8" borderId="4" xfId="0" applyNumberFormat="1" applyFont="1" applyFill="1" applyBorder="1" applyAlignment="1">
      <alignment wrapText="1"/>
    </xf>
    <xf numFmtId="172" fontId="17" fillId="8" borderId="0" xfId="0" applyNumberFormat="1" applyFont="1" applyFill="1" applyAlignment="1">
      <alignment horizontal="left" wrapText="1"/>
    </xf>
    <xf numFmtId="172" fontId="11" fillId="8" borderId="5" xfId="0" applyNumberFormat="1" applyFont="1" applyFill="1" applyBorder="1" applyAlignment="1">
      <alignment wrapText="1"/>
    </xf>
    <xf numFmtId="172" fontId="11" fillId="8" borderId="0" xfId="0" applyNumberFormat="1" applyFont="1" applyFill="1" applyAlignment="1">
      <alignment wrapText="1"/>
    </xf>
    <xf numFmtId="166" fontId="11" fillId="8" borderId="0" xfId="0" applyNumberFormat="1" applyFont="1" applyFill="1" applyAlignment="1">
      <alignment wrapText="1"/>
    </xf>
    <xf numFmtId="166" fontId="11" fillId="8" borderId="4" xfId="0" applyNumberFormat="1" applyFont="1" applyFill="1" applyBorder="1" applyAlignment="1">
      <alignment wrapText="1"/>
    </xf>
    <xf numFmtId="166" fontId="1" fillId="0" borderId="4" xfId="0" applyNumberFormat="1" applyFont="1" applyBorder="1" applyAlignment="1">
      <alignment wrapText="1"/>
    </xf>
    <xf numFmtId="0" fontId="8" fillId="0" borderId="5" xfId="0" applyFont="1" applyBorder="1" applyAlignment="1">
      <alignment horizontal="right" wrapText="1"/>
    </xf>
    <xf numFmtId="172" fontId="5" fillId="0" borderId="0" xfId="0" applyNumberFormat="1" applyFont="1" applyAlignment="1">
      <alignment horizontal="right" wrapText="1"/>
    </xf>
    <xf numFmtId="0" fontId="10" fillId="13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172" fontId="5" fillId="0" borderId="4" xfId="0" applyNumberFormat="1" applyFont="1" applyBorder="1" applyAlignment="1">
      <alignment wrapText="1"/>
    </xf>
    <xf numFmtId="2" fontId="9" fillId="0" borderId="5" xfId="0" applyNumberFormat="1" applyFont="1" applyBorder="1" applyAlignment="1">
      <alignment wrapText="1"/>
    </xf>
    <xf numFmtId="172" fontId="16" fillId="0" borderId="0" xfId="0" applyNumberFormat="1" applyFont="1"/>
    <xf numFmtId="172" fontId="14" fillId="0" borderId="0" xfId="0" applyNumberFormat="1" applyFont="1" applyAlignment="1">
      <alignment wrapText="1"/>
    </xf>
    <xf numFmtId="172" fontId="14" fillId="3" borderId="0" xfId="0" applyNumberFormat="1" applyFont="1" applyFill="1" applyAlignment="1">
      <alignment wrapText="1"/>
    </xf>
    <xf numFmtId="172" fontId="16" fillId="0" borderId="4" xfId="0" applyNumberFormat="1" applyFont="1" applyBorder="1"/>
    <xf numFmtId="172" fontId="10" fillId="0" borderId="0" xfId="0" applyNumberFormat="1" applyFont="1" applyAlignment="1">
      <alignment wrapText="1"/>
    </xf>
    <xf numFmtId="172" fontId="11" fillId="0" borderId="4" xfId="0" applyNumberFormat="1" applyFont="1" applyBorder="1" applyAlignment="1">
      <alignment wrapText="1"/>
    </xf>
    <xf numFmtId="166" fontId="10" fillId="0" borderId="0" xfId="0" applyNumberFormat="1" applyFont="1" applyAlignment="1">
      <alignment wrapText="1"/>
    </xf>
    <xf numFmtId="166" fontId="10" fillId="0" borderId="4" xfId="0" applyNumberFormat="1" applyFont="1" applyBorder="1" applyAlignment="1">
      <alignment wrapText="1"/>
    </xf>
    <xf numFmtId="2" fontId="9" fillId="0" borderId="0" xfId="0" applyNumberFormat="1" applyFont="1" applyAlignment="1">
      <alignment wrapText="1"/>
    </xf>
    <xf numFmtId="0" fontId="18" fillId="0" borderId="0" xfId="0" applyFont="1"/>
    <xf numFmtId="2" fontId="19" fillId="0" borderId="0" xfId="0" applyNumberFormat="1" applyFont="1" applyAlignment="1">
      <alignment horizontal="right" wrapText="1"/>
    </xf>
    <xf numFmtId="172" fontId="17" fillId="0" borderId="0" xfId="0" applyNumberFormat="1" applyFont="1" applyAlignment="1">
      <alignment horizontal="right"/>
    </xf>
    <xf numFmtId="172" fontId="20" fillId="0" borderId="0" xfId="0" applyNumberFormat="1" applyFont="1" applyAlignment="1">
      <alignment wrapText="1"/>
    </xf>
    <xf numFmtId="172" fontId="17" fillId="0" borderId="4" xfId="0" applyNumberFormat="1" applyFont="1" applyBorder="1" applyAlignment="1">
      <alignment horizontal="right"/>
    </xf>
    <xf numFmtId="172" fontId="21" fillId="0" borderId="4" xfId="0" applyNumberFormat="1" applyFont="1" applyBorder="1" applyAlignment="1">
      <alignment horizontal="right" wrapText="1"/>
    </xf>
    <xf numFmtId="172" fontId="22" fillId="0" borderId="0" xfId="0" applyNumberFormat="1" applyFont="1" applyAlignment="1">
      <alignment horizontal="right" wrapText="1"/>
    </xf>
    <xf numFmtId="166" fontId="22" fillId="0" borderId="0" xfId="0" applyNumberFormat="1" applyFont="1" applyAlignment="1">
      <alignment horizontal="right" wrapText="1"/>
    </xf>
    <xf numFmtId="172" fontId="20" fillId="0" borderId="0" xfId="0" applyNumberFormat="1" applyFont="1" applyAlignment="1">
      <alignment horizontal="right" wrapText="1"/>
    </xf>
    <xf numFmtId="0" fontId="18" fillId="12" borderId="0" xfId="0" applyFont="1" applyFill="1"/>
    <xf numFmtId="172" fontId="5" fillId="12" borderId="4" xfId="0" applyNumberFormat="1" applyFont="1" applyFill="1" applyBorder="1" applyAlignment="1">
      <alignment wrapText="1"/>
    </xf>
    <xf numFmtId="2" fontId="19" fillId="12" borderId="0" xfId="0" applyNumberFormat="1" applyFont="1" applyFill="1" applyAlignment="1">
      <alignment horizontal="right" wrapText="1"/>
    </xf>
    <xf numFmtId="172" fontId="17" fillId="12" borderId="0" xfId="0" applyNumberFormat="1" applyFont="1" applyFill="1" applyAlignment="1">
      <alignment horizontal="right"/>
    </xf>
    <xf numFmtId="172" fontId="20" fillId="12" borderId="0" xfId="0" applyNumberFormat="1" applyFont="1" applyFill="1" applyAlignment="1">
      <alignment wrapText="1"/>
    </xf>
    <xf numFmtId="172" fontId="17" fillId="12" borderId="4" xfId="0" applyNumberFormat="1" applyFont="1" applyFill="1" applyBorder="1" applyAlignment="1">
      <alignment horizontal="right"/>
    </xf>
    <xf numFmtId="2" fontId="9" fillId="12" borderId="5" xfId="0" applyNumberFormat="1" applyFont="1" applyFill="1" applyBorder="1" applyAlignment="1">
      <alignment wrapText="1"/>
    </xf>
    <xf numFmtId="172" fontId="8" fillId="0" borderId="5" xfId="0" applyNumberFormat="1" applyFont="1" applyBorder="1" applyAlignment="1">
      <alignment wrapText="1"/>
    </xf>
    <xf numFmtId="172" fontId="8" fillId="0" borderId="0" xfId="0" applyNumberFormat="1" applyFont="1" applyAlignment="1">
      <alignment wrapText="1"/>
    </xf>
    <xf numFmtId="172" fontId="14" fillId="0" borderId="4" xfId="0" applyNumberFormat="1" applyFont="1" applyBorder="1" applyAlignment="1">
      <alignment wrapText="1"/>
    </xf>
    <xf numFmtId="172" fontId="5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172" fontId="19" fillId="0" borderId="0" xfId="0" applyNumberFormat="1" applyFont="1" applyAlignment="1">
      <alignment wrapText="1"/>
    </xf>
    <xf numFmtId="172" fontId="13" fillId="14" borderId="2" xfId="0" applyNumberFormat="1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 wrapText="1"/>
    </xf>
    <xf numFmtId="172" fontId="13" fillId="14" borderId="7" xfId="0" applyNumberFormat="1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horizontal="center" vertical="center" wrapText="1"/>
    </xf>
    <xf numFmtId="172" fontId="1" fillId="3" borderId="0" xfId="0" applyNumberFormat="1" applyFont="1" applyFill="1" applyAlignment="1">
      <alignment wrapText="1"/>
    </xf>
    <xf numFmtId="0" fontId="13" fillId="14" borderId="7" xfId="0" applyFont="1" applyFill="1" applyBorder="1"/>
    <xf numFmtId="166" fontId="15" fillId="7" borderId="7" xfId="0" applyNumberFormat="1" applyFont="1" applyFill="1" applyBorder="1" applyAlignment="1">
      <alignment wrapText="1"/>
    </xf>
    <xf numFmtId="166" fontId="23" fillId="7" borderId="7" xfId="0" applyNumberFormat="1" applyFont="1" applyFill="1" applyBorder="1" applyAlignment="1">
      <alignment horizontal="right" wrapText="1"/>
    </xf>
    <xf numFmtId="166" fontId="1" fillId="7" borderId="7" xfId="0" applyNumberFormat="1" applyFont="1" applyFill="1" applyBorder="1" applyAlignment="1">
      <alignment wrapText="1"/>
    </xf>
    <xf numFmtId="166" fontId="8" fillId="7" borderId="7" xfId="0" applyNumberFormat="1" applyFont="1" applyFill="1" applyBorder="1" applyAlignment="1">
      <alignment wrapText="1"/>
    </xf>
    <xf numFmtId="166" fontId="14" fillId="0" borderId="7" xfId="0" applyNumberFormat="1" applyFont="1" applyBorder="1" applyAlignment="1">
      <alignment wrapText="1"/>
    </xf>
    <xf numFmtId="166" fontId="24" fillId="7" borderId="7" xfId="0" applyNumberFormat="1" applyFont="1" applyFill="1" applyBorder="1" applyAlignment="1">
      <alignment horizontal="right" wrapText="1"/>
    </xf>
    <xf numFmtId="166" fontId="20" fillId="7" borderId="7" xfId="0" applyNumberFormat="1" applyFont="1" applyFill="1" applyBorder="1" applyAlignment="1">
      <alignment horizontal="right" wrapText="1"/>
    </xf>
    <xf numFmtId="166" fontId="16" fillId="7" borderId="7" xfId="0" applyNumberFormat="1" applyFont="1" applyFill="1" applyBorder="1" applyAlignment="1">
      <alignment wrapText="1"/>
    </xf>
    <xf numFmtId="166" fontId="19" fillId="0" borderId="7" xfId="0" applyNumberFormat="1" applyFont="1" applyBorder="1" applyAlignment="1">
      <alignment horizontal="right" wrapText="1"/>
    </xf>
    <xf numFmtId="172" fontId="19" fillId="2" borderId="0" xfId="0" applyNumberFormat="1" applyFont="1" applyFill="1" applyAlignment="1">
      <alignment horizontal="right" wrapText="1"/>
    </xf>
    <xf numFmtId="0" fontId="25" fillId="0" borderId="0" xfId="0" applyFont="1" applyAlignment="1">
      <alignment wrapText="1"/>
    </xf>
    <xf numFmtId="173" fontId="1" fillId="0" borderId="0" xfId="0" applyNumberFormat="1" applyFont="1" applyAlignment="1">
      <alignment wrapText="1"/>
    </xf>
    <xf numFmtId="176" fontId="1" fillId="0" borderId="0" xfId="0" applyNumberFormat="1" applyFont="1" applyAlignment="1">
      <alignment wrapText="1"/>
    </xf>
    <xf numFmtId="166" fontId="19" fillId="0" borderId="0" xfId="0" applyNumberFormat="1" applyFont="1" applyAlignment="1">
      <alignment horizontal="right" wrapText="1"/>
    </xf>
    <xf numFmtId="166" fontId="15" fillId="11" borderId="0" xfId="0" applyNumberFormat="1" applyFont="1" applyFill="1" applyAlignment="1">
      <alignment wrapText="1"/>
    </xf>
    <xf numFmtId="172" fontId="26" fillId="15" borderId="5" xfId="0" applyNumberFormat="1" applyFont="1" applyFill="1" applyBorder="1" applyAlignment="1">
      <alignment wrapText="1"/>
    </xf>
    <xf numFmtId="172" fontId="1" fillId="16" borderId="0" xfId="0" applyNumberFormat="1" applyFont="1" applyFill="1" applyAlignment="1">
      <alignment wrapText="1"/>
    </xf>
    <xf numFmtId="0" fontId="19" fillId="0" borderId="0" xfId="0" applyFont="1" applyAlignment="1">
      <alignment horizontal="right" wrapText="1"/>
    </xf>
    <xf numFmtId="0" fontId="8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172" fontId="14" fillId="17" borderId="5" xfId="0" applyNumberFormat="1" applyFont="1" applyFill="1" applyBorder="1" applyAlignment="1">
      <alignment wrapText="1"/>
    </xf>
    <xf numFmtId="172" fontId="14" fillId="12" borderId="5" xfId="0" applyNumberFormat="1" applyFont="1" applyFill="1" applyBorder="1" applyAlignment="1">
      <alignment wrapText="1"/>
    </xf>
    <xf numFmtId="172" fontId="1" fillId="12" borderId="0" xfId="0" applyNumberFormat="1" applyFont="1" applyFill="1" applyAlignment="1">
      <alignment wrapText="1"/>
    </xf>
    <xf numFmtId="172" fontId="14" fillId="5" borderId="5" xfId="0" applyNumberFormat="1" applyFont="1" applyFill="1" applyBorder="1" applyAlignment="1">
      <alignment wrapText="1"/>
    </xf>
    <xf numFmtId="172" fontId="1" fillId="5" borderId="0" xfId="0" applyNumberFormat="1" applyFont="1" applyFill="1" applyAlignment="1">
      <alignment wrapText="1"/>
    </xf>
    <xf numFmtId="0" fontId="8" fillId="13" borderId="4" xfId="0" applyFont="1" applyFill="1" applyBorder="1" applyAlignment="1">
      <alignment wrapText="1"/>
    </xf>
    <xf numFmtId="172" fontId="13" fillId="14" borderId="2" xfId="0" applyNumberFormat="1" applyFont="1" applyFill="1" applyBorder="1" applyAlignment="1">
      <alignment horizontal="right" wrapText="1"/>
    </xf>
    <xf numFmtId="0" fontId="8" fillId="14" borderId="3" xfId="0" applyFont="1" applyFill="1" applyBorder="1" applyAlignment="1">
      <alignment horizontal="right" wrapText="1"/>
    </xf>
    <xf numFmtId="172" fontId="13" fillId="14" borderId="7" xfId="0" applyNumberFormat="1" applyFont="1" applyFill="1" applyBorder="1" applyAlignment="1">
      <alignment horizontal="right" wrapText="1"/>
    </xf>
    <xf numFmtId="0" fontId="8" fillId="14" borderId="7" xfId="0" applyFont="1" applyFill="1" applyBorder="1" applyAlignment="1">
      <alignment horizontal="right" wrapText="1"/>
    </xf>
    <xf numFmtId="173" fontId="1" fillId="0" borderId="4" xfId="0" applyNumberFormat="1" applyFont="1" applyBorder="1" applyAlignment="1">
      <alignment wrapText="1"/>
    </xf>
    <xf numFmtId="166" fontId="15" fillId="7" borderId="7" xfId="0" applyNumberFormat="1" applyFont="1" applyFill="1" applyBorder="1" applyAlignment="1">
      <alignment horizontal="right" wrapText="1"/>
    </xf>
    <xf numFmtId="0" fontId="18" fillId="14" borderId="7" xfId="0" applyFont="1" applyFill="1" applyBorder="1"/>
    <xf numFmtId="166" fontId="16" fillId="9" borderId="7" xfId="0" applyNumberFormat="1" applyFont="1" applyFill="1" applyBorder="1" applyAlignment="1">
      <alignment wrapText="1"/>
    </xf>
    <xf numFmtId="169" fontId="1" fillId="0" borderId="4" xfId="0" applyNumberFormat="1" applyFont="1" applyBorder="1" applyAlignment="1">
      <alignment wrapText="1"/>
    </xf>
    <xf numFmtId="172" fontId="15" fillId="0" borderId="5" xfId="0" applyNumberFormat="1" applyFont="1" applyBorder="1" applyAlignment="1">
      <alignment wrapText="1"/>
    </xf>
    <xf numFmtId="173" fontId="15" fillId="0" borderId="0" xfId="0" applyNumberFormat="1" applyFont="1" applyAlignment="1">
      <alignment wrapText="1"/>
    </xf>
    <xf numFmtId="166" fontId="27" fillId="0" borderId="0" xfId="0" applyNumberFormat="1" applyFont="1" applyAlignment="1">
      <alignment horizontal="right"/>
    </xf>
    <xf numFmtId="166" fontId="28" fillId="2" borderId="0" xfId="0" applyNumberFormat="1" applyFont="1" applyFill="1" applyAlignment="1">
      <alignment horizontal="left" wrapText="1"/>
    </xf>
    <xf numFmtId="172" fontId="16" fillId="11" borderId="5" xfId="0" applyNumberFormat="1" applyFont="1" applyFill="1" applyBorder="1"/>
    <xf numFmtId="172" fontId="17" fillId="11" borderId="0" xfId="0" applyNumberFormat="1" applyFont="1" applyFill="1" applyAlignment="1">
      <alignment horizontal="left" wrapText="1"/>
    </xf>
    <xf numFmtId="166" fontId="19" fillId="7" borderId="7" xfId="0" applyNumberFormat="1" applyFont="1" applyFill="1" applyBorder="1" applyAlignment="1">
      <alignment horizontal="right" wrapText="1"/>
    </xf>
    <xf numFmtId="0" fontId="1" fillId="18" borderId="0" xfId="0" applyFont="1" applyFill="1" applyAlignment="1">
      <alignment wrapText="1"/>
    </xf>
    <xf numFmtId="169" fontId="5" fillId="3" borderId="5" xfId="0" applyNumberFormat="1" applyFont="1" applyFill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29" fillId="2" borderId="0" xfId="0" applyFont="1" applyFill="1" applyAlignment="1">
      <alignment wrapText="1"/>
    </xf>
    <xf numFmtId="172" fontId="14" fillId="19" borderId="5" xfId="0" applyNumberFormat="1" applyFont="1" applyFill="1" applyBorder="1" applyAlignment="1">
      <alignment wrapText="1"/>
    </xf>
    <xf numFmtId="172" fontId="1" fillId="19" borderId="0" xfId="0" applyNumberFormat="1" applyFont="1" applyFill="1" applyAlignment="1">
      <alignment wrapText="1"/>
    </xf>
    <xf numFmtId="172" fontId="14" fillId="16" borderId="5" xfId="0" applyNumberFormat="1" applyFont="1" applyFill="1" applyBorder="1" applyAlignment="1">
      <alignment wrapText="1"/>
    </xf>
    <xf numFmtId="0" fontId="9" fillId="0" borderId="5" xfId="0" applyFont="1" applyBorder="1" applyAlignment="1">
      <alignment wrapText="1"/>
    </xf>
    <xf numFmtId="172" fontId="14" fillId="4" borderId="0" xfId="0" applyNumberFormat="1" applyFont="1" applyFill="1" applyAlignment="1">
      <alignment wrapText="1"/>
    </xf>
    <xf numFmtId="172" fontId="16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172" fontId="5" fillId="0" borderId="10" xfId="0" applyNumberFormat="1" applyFont="1" applyBorder="1" applyAlignment="1">
      <alignment horizontal="right" wrapText="1"/>
    </xf>
    <xf numFmtId="0" fontId="13" fillId="0" borderId="7" xfId="0" applyFont="1" applyBorder="1"/>
    <xf numFmtId="166" fontId="15" fillId="16" borderId="7" xfId="0" applyNumberFormat="1" applyFont="1" applyFill="1" applyBorder="1" applyAlignment="1">
      <alignment wrapText="1"/>
    </xf>
    <xf numFmtId="166" fontId="15" fillId="0" borderId="7" xfId="0" applyNumberFormat="1" applyFont="1" applyBorder="1" applyAlignment="1">
      <alignment horizontal="right" wrapText="1"/>
    </xf>
    <xf numFmtId="166" fontId="15" fillId="0" borderId="7" xfId="0" applyNumberFormat="1" applyFont="1" applyBorder="1" applyAlignment="1">
      <alignment wrapText="1"/>
    </xf>
    <xf numFmtId="166" fontId="8" fillId="0" borderId="7" xfId="0" applyNumberFormat="1" applyFont="1" applyBorder="1" applyAlignment="1">
      <alignment wrapText="1"/>
    </xf>
    <xf numFmtId="166" fontId="8" fillId="8" borderId="7" xfId="0" applyNumberFormat="1" applyFont="1" applyFill="1" applyBorder="1" applyAlignment="1">
      <alignment wrapText="1"/>
    </xf>
    <xf numFmtId="0" fontId="18" fillId="0" borderId="7" xfId="0" applyFont="1" applyBorder="1"/>
    <xf numFmtId="166" fontId="20" fillId="0" borderId="7" xfId="0" applyNumberFormat="1" applyFont="1" applyBorder="1" applyAlignment="1">
      <alignment horizontal="right" wrapText="1"/>
    </xf>
    <xf numFmtId="172" fontId="1" fillId="0" borderId="12" xfId="0" applyNumberFormat="1" applyFont="1" applyBorder="1" applyAlignment="1">
      <alignment wrapText="1"/>
    </xf>
    <xf numFmtId="172" fontId="5" fillId="0" borderId="13" xfId="0" applyNumberFormat="1" applyFont="1" applyBorder="1" applyAlignment="1">
      <alignment wrapText="1"/>
    </xf>
    <xf numFmtId="0" fontId="5" fillId="0" borderId="0" xfId="0" applyFont="1" applyAlignment="1">
      <alignment horizontal="right" wrapText="1"/>
    </xf>
    <xf numFmtId="4" fontId="1" fillId="0" borderId="0" xfId="0" applyNumberFormat="1" applyFont="1" applyAlignment="1">
      <alignment wrapText="1"/>
    </xf>
    <xf numFmtId="172" fontId="14" fillId="3" borderId="5" xfId="0" applyNumberFormat="1" applyFont="1" applyFill="1" applyBorder="1" applyAlignment="1">
      <alignment wrapText="1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72" fontId="14" fillId="0" borderId="5" xfId="0" applyNumberFormat="1" applyFont="1" applyBorder="1" applyAlignment="1">
      <alignment vertical="top" wrapText="1"/>
    </xf>
    <xf numFmtId="172" fontId="1" fillId="0" borderId="0" xfId="0" applyNumberFormat="1" applyFont="1" applyAlignment="1">
      <alignment vertical="top" wrapText="1"/>
    </xf>
    <xf numFmtId="172" fontId="1" fillId="0" borderId="4" xfId="0" applyNumberFormat="1" applyFont="1" applyBorder="1" applyAlignment="1">
      <alignment vertical="top" wrapText="1"/>
    </xf>
    <xf numFmtId="172" fontId="5" fillId="0" borderId="0" xfId="0" applyNumberFormat="1" applyFont="1" applyAlignment="1">
      <alignment vertical="top" wrapText="1"/>
    </xf>
    <xf numFmtId="172" fontId="11" fillId="0" borderId="5" xfId="0" applyNumberFormat="1" applyFont="1" applyBorder="1" applyAlignment="1">
      <alignment vertical="top" wrapText="1"/>
    </xf>
    <xf numFmtId="172" fontId="11" fillId="0" borderId="0" xfId="0" applyNumberFormat="1" applyFont="1" applyAlignment="1">
      <alignment vertical="top" wrapText="1"/>
    </xf>
    <xf numFmtId="172" fontId="14" fillId="0" borderId="5" xfId="0" applyNumberFormat="1" applyFont="1" applyBorder="1" applyAlignment="1">
      <alignment vertical="center" wrapText="1"/>
    </xf>
    <xf numFmtId="172" fontId="1" fillId="0" borderId="0" xfId="0" applyNumberFormat="1" applyFont="1" applyAlignment="1">
      <alignment vertical="center" wrapText="1"/>
    </xf>
    <xf numFmtId="172" fontId="9" fillId="0" borderId="4" xfId="0" applyNumberFormat="1" applyFont="1" applyBorder="1" applyAlignment="1">
      <alignment wrapText="1"/>
    </xf>
    <xf numFmtId="0" fontId="13" fillId="0" borderId="8" xfId="0" applyFont="1" applyBorder="1"/>
    <xf numFmtId="166" fontId="15" fillId="0" borderId="5" xfId="0" applyNumberFormat="1" applyFont="1" applyBorder="1" applyAlignment="1">
      <alignment wrapText="1"/>
    </xf>
    <xf numFmtId="166" fontId="15" fillId="0" borderId="4" xfId="0" applyNumberFormat="1" applyFont="1" applyBorder="1" applyAlignment="1">
      <alignment horizontal="right" wrapText="1"/>
    </xf>
    <xf numFmtId="166" fontId="15" fillId="0" borderId="0" xfId="0" applyNumberFormat="1" applyFont="1" applyAlignment="1">
      <alignment wrapText="1"/>
    </xf>
    <xf numFmtId="166" fontId="8" fillId="0" borderId="4" xfId="0" applyNumberFormat="1" applyFont="1" applyBorder="1" applyAlignment="1">
      <alignment wrapText="1"/>
    </xf>
    <xf numFmtId="0" fontId="13" fillId="0" borderId="5" xfId="0" applyFont="1" applyBorder="1"/>
    <xf numFmtId="166" fontId="14" fillId="0" borderId="5" xfId="0" applyNumberFormat="1" applyFont="1" applyBorder="1" applyAlignment="1">
      <alignment wrapText="1"/>
    </xf>
    <xf numFmtId="166" fontId="15" fillId="0" borderId="0" xfId="0" applyNumberFormat="1" applyFont="1" applyAlignment="1">
      <alignment horizontal="right" wrapText="1"/>
    </xf>
    <xf numFmtId="0" fontId="18" fillId="0" borderId="5" xfId="0" applyFont="1" applyBorder="1"/>
    <xf numFmtId="166" fontId="20" fillId="0" borderId="0" xfId="0" applyNumberFormat="1" applyFont="1" applyAlignment="1">
      <alignment horizontal="right" wrapText="1"/>
    </xf>
    <xf numFmtId="0" fontId="13" fillId="0" borderId="11" xfId="0" applyFont="1" applyBorder="1"/>
    <xf numFmtId="166" fontId="14" fillId="0" borderId="11" xfId="0" applyNumberFormat="1" applyFont="1" applyBorder="1" applyAlignment="1">
      <alignment wrapText="1"/>
    </xf>
    <xf numFmtId="166" fontId="20" fillId="0" borderId="12" xfId="0" applyNumberFormat="1" applyFont="1" applyBorder="1" applyAlignment="1">
      <alignment horizontal="right" wrapText="1"/>
    </xf>
    <xf numFmtId="166" fontId="15" fillId="0" borderId="12" xfId="0" applyNumberFormat="1" applyFont="1" applyBorder="1" applyAlignment="1">
      <alignment wrapText="1"/>
    </xf>
    <xf numFmtId="166" fontId="8" fillId="0" borderId="13" xfId="0" applyNumberFormat="1" applyFont="1" applyBorder="1" applyAlignment="1">
      <alignment wrapText="1"/>
    </xf>
    <xf numFmtId="177" fontId="1" fillId="0" borderId="0" xfId="0" applyNumberFormat="1" applyFont="1" applyAlignment="1">
      <alignment wrapText="1"/>
    </xf>
    <xf numFmtId="0" fontId="30" fillId="2" borderId="0" xfId="0" applyFont="1" applyFill="1" applyAlignment="1">
      <alignment wrapText="1"/>
    </xf>
    <xf numFmtId="172" fontId="1" fillId="12" borderId="4" xfId="0" applyNumberFormat="1" applyFont="1" applyFill="1" applyBorder="1" applyAlignment="1">
      <alignment wrapText="1"/>
    </xf>
    <xf numFmtId="172" fontId="15" fillId="0" borderId="0" xfId="0" applyNumberFormat="1" applyFont="1" applyAlignment="1">
      <alignment wrapText="1"/>
    </xf>
    <xf numFmtId="172" fontId="28" fillId="2" borderId="0" xfId="0" applyNumberFormat="1" applyFont="1" applyFill="1" applyAlignment="1">
      <alignment horizontal="right"/>
    </xf>
    <xf numFmtId="0" fontId="14" fillId="0" borderId="0" xfId="0" applyFont="1"/>
    <xf numFmtId="172" fontId="14" fillId="12" borderId="0" xfId="0" applyNumberFormat="1" applyFont="1" applyFill="1" applyAlignment="1">
      <alignment wrapText="1"/>
    </xf>
    <xf numFmtId="0" fontId="2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72" fontId="5" fillId="5" borderId="0" xfId="0" applyNumberFormat="1" applyFont="1" applyFill="1" applyAlignment="1">
      <alignment wrapText="1"/>
    </xf>
    <xf numFmtId="172" fontId="31" fillId="0" borderId="4" xfId="0" applyNumberFormat="1" applyFont="1" applyBorder="1" applyAlignment="1">
      <alignment horizontal="right" wrapText="1"/>
    </xf>
    <xf numFmtId="172" fontId="15" fillId="0" borderId="4" xfId="0" applyNumberFormat="1" applyFont="1" applyBorder="1" applyAlignment="1">
      <alignment horizontal="right" wrapText="1"/>
    </xf>
    <xf numFmtId="172" fontId="8" fillId="0" borderId="4" xfId="0" applyNumberFormat="1" applyFont="1" applyBorder="1" applyAlignment="1">
      <alignment wrapText="1"/>
    </xf>
    <xf numFmtId="172" fontId="15" fillId="0" borderId="0" xfId="0" applyNumberFormat="1" applyFont="1" applyAlignment="1">
      <alignment horizontal="right" wrapText="1"/>
    </xf>
    <xf numFmtId="172" fontId="14" fillId="0" borderId="11" xfId="0" applyNumberFormat="1" applyFont="1" applyBorder="1" applyAlignment="1">
      <alignment wrapText="1"/>
    </xf>
    <xf numFmtId="172" fontId="20" fillId="0" borderId="12" xfId="0" applyNumberFormat="1" applyFont="1" applyBorder="1" applyAlignment="1">
      <alignment horizontal="right" wrapText="1"/>
    </xf>
    <xf numFmtId="172" fontId="15" fillId="0" borderId="12" xfId="0" applyNumberFormat="1" applyFont="1" applyBorder="1" applyAlignment="1">
      <alignment wrapText="1"/>
    </xf>
    <xf numFmtId="172" fontId="8" fillId="0" borderId="13" xfId="0" applyNumberFormat="1" applyFont="1" applyBorder="1" applyAlignment="1">
      <alignment wrapText="1"/>
    </xf>
    <xf numFmtId="172" fontId="15" fillId="19" borderId="0" xfId="0" applyNumberFormat="1" applyFont="1" applyFill="1" applyAlignment="1">
      <alignment wrapText="1"/>
    </xf>
    <xf numFmtId="172" fontId="15" fillId="0" borderId="12" xfId="0" applyNumberFormat="1" applyFont="1" applyBorder="1" applyAlignment="1">
      <alignment horizontal="right" wrapText="1"/>
    </xf>
    <xf numFmtId="178" fontId="1" fillId="0" borderId="0" xfId="0" applyNumberFormat="1" applyFont="1" applyAlignment="1">
      <alignment wrapText="1"/>
    </xf>
    <xf numFmtId="172" fontId="1" fillId="19" borderId="4" xfId="0" applyNumberFormat="1" applyFont="1" applyFill="1" applyBorder="1" applyAlignment="1">
      <alignment wrapText="1"/>
    </xf>
    <xf numFmtId="0" fontId="5" fillId="8" borderId="0" xfId="0" applyFont="1" applyFill="1" applyAlignment="1">
      <alignment wrapText="1"/>
    </xf>
    <xf numFmtId="172" fontId="9" fillId="8" borderId="5" xfId="0" applyNumberFormat="1" applyFont="1" applyFill="1" applyBorder="1" applyAlignment="1">
      <alignment wrapText="1"/>
    </xf>
    <xf numFmtId="172" fontId="1" fillId="0" borderId="13" xfId="0" applyNumberFormat="1" applyFont="1" applyBorder="1" applyAlignment="1">
      <alignment wrapText="1"/>
    </xf>
    <xf numFmtId="172" fontId="16" fillId="0" borderId="12" xfId="0" applyNumberFormat="1" applyFont="1" applyBorder="1" applyAlignment="1">
      <alignment wrapText="1"/>
    </xf>
    <xf numFmtId="0" fontId="11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horizontal="right" wrapText="1"/>
    </xf>
    <xf numFmtId="0" fontId="11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172" fontId="5" fillId="0" borderId="5" xfId="0" applyNumberFormat="1" applyFont="1" applyBorder="1" applyAlignment="1">
      <alignment horizontal="right" wrapText="1"/>
    </xf>
    <xf numFmtId="172" fontId="5" fillId="0" borderId="4" xfId="0" applyNumberFormat="1" applyFont="1" applyBorder="1" applyAlignment="1">
      <alignment horizontal="right" wrapText="1"/>
    </xf>
    <xf numFmtId="0" fontId="14" fillId="0" borderId="4" xfId="0" applyFont="1" applyBorder="1"/>
    <xf numFmtId="172" fontId="5" fillId="0" borderId="5" xfId="0" applyNumberFormat="1" applyFont="1" applyBorder="1" applyAlignment="1">
      <alignment wrapText="1"/>
    </xf>
    <xf numFmtId="172" fontId="16" fillId="0" borderId="6" xfId="0" applyNumberFormat="1" applyFont="1" applyBorder="1"/>
    <xf numFmtId="172" fontId="1" fillId="0" borderId="6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169" fontId="5" fillId="0" borderId="0" xfId="0" applyNumberFormat="1" applyFont="1" applyAlignment="1">
      <alignment wrapText="1"/>
    </xf>
    <xf numFmtId="174" fontId="14" fillId="0" borderId="5" xfId="0" applyNumberFormat="1" applyFont="1" applyBorder="1" applyAlignment="1">
      <alignment wrapText="1"/>
    </xf>
    <xf numFmtId="174" fontId="1" fillId="0" borderId="0" xfId="0" applyNumberFormat="1" applyFont="1" applyAlignment="1">
      <alignment wrapText="1"/>
    </xf>
    <xf numFmtId="174" fontId="1" fillId="0" borderId="4" xfId="0" applyNumberFormat="1" applyFont="1" applyBorder="1" applyAlignment="1">
      <alignment wrapText="1"/>
    </xf>
    <xf numFmtId="174" fontId="14" fillId="0" borderId="4" xfId="0" applyNumberFormat="1" applyFont="1" applyBorder="1" applyAlignment="1">
      <alignment wrapText="1"/>
    </xf>
    <xf numFmtId="179" fontId="16" fillId="0" borderId="0" xfId="0" applyNumberFormat="1" applyFont="1"/>
    <xf numFmtId="179" fontId="16" fillId="0" borderId="5" xfId="0" applyNumberFormat="1" applyFont="1" applyBorder="1"/>
    <xf numFmtId="174" fontId="11" fillId="0" borderId="0" xfId="0" applyNumberFormat="1" applyFont="1" applyAlignment="1">
      <alignment wrapText="1"/>
    </xf>
    <xf numFmtId="174" fontId="1" fillId="0" borderId="5" xfId="0" applyNumberFormat="1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179" fontId="16" fillId="0" borderId="4" xfId="0" applyNumberFormat="1" applyFont="1" applyBorder="1"/>
    <xf numFmtId="179" fontId="8" fillId="0" borderId="0" xfId="0" applyNumberFormat="1" applyFont="1" applyAlignment="1">
      <alignment wrapText="1"/>
    </xf>
    <xf numFmtId="172" fontId="32" fillId="0" borderId="5" xfId="0" applyNumberFormat="1" applyFont="1" applyBorder="1" applyAlignment="1">
      <alignment wrapText="1"/>
    </xf>
    <xf numFmtId="180" fontId="1" fillId="0" borderId="0" xfId="0" applyNumberFormat="1" applyFont="1" applyAlignment="1">
      <alignment wrapText="1"/>
    </xf>
    <xf numFmtId="174" fontId="11" fillId="0" borderId="5" xfId="0" applyNumberFormat="1" applyFont="1" applyBorder="1" applyAlignment="1">
      <alignment wrapText="1"/>
    </xf>
    <xf numFmtId="179" fontId="1" fillId="0" borderId="0" xfId="0" applyNumberFormat="1" applyFont="1" applyAlignment="1">
      <alignment wrapText="1"/>
    </xf>
    <xf numFmtId="174" fontId="5" fillId="0" borderId="5" xfId="0" applyNumberFormat="1" applyFont="1" applyBorder="1" applyAlignment="1">
      <alignment wrapText="1"/>
    </xf>
    <xf numFmtId="172" fontId="14" fillId="11" borderId="5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72" fontId="15" fillId="11" borderId="5" xfId="0" applyNumberFormat="1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58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9">
    <tableStyle name="PS Model 2024-style" pivot="0" count="3" xr9:uid="{00000000-0011-0000-FFFF-FFFF00000000}">
      <tableStyleElement type="headerRow" dxfId="57"/>
      <tableStyleElement type="firstRowStripe" dxfId="56"/>
      <tableStyleElement type="secondRowStripe" dxfId="55"/>
    </tableStyle>
    <tableStyle name="PS Model 2023-style" pivot="0" count="3" xr9:uid="{00000000-0011-0000-FFFF-FFFF01000000}">
      <tableStyleElement type="headerRow" dxfId="54"/>
      <tableStyleElement type="firstRowStripe" dxfId="53"/>
      <tableStyleElement type="secondRowStripe" dxfId="52"/>
    </tableStyle>
    <tableStyle name="PS Model 2022-style" pivot="0" count="3" xr9:uid="{00000000-0011-0000-FFFF-FFFF02000000}">
      <tableStyleElement type="headerRow" dxfId="51"/>
      <tableStyleElement type="firstRowStripe" dxfId="50"/>
      <tableStyleElement type="secondRowStripe" dxfId="49"/>
    </tableStyle>
    <tableStyle name="Mirek Revised PS Model 2021-style" pivot="0" count="3" xr9:uid="{00000000-0011-0000-FFFF-FFFF03000000}">
      <tableStyleElement type="headerRow" dxfId="48"/>
      <tableStyleElement type="firstRowStripe" dxfId="47"/>
      <tableStyleElement type="secondRowStripe" dxfId="46"/>
    </tableStyle>
    <tableStyle name="Revised PS Model 2021-style" pivot="0" count="3" xr9:uid="{00000000-0011-0000-FFFF-FFFF04000000}">
      <tableStyleElement type="headerRow" dxfId="45"/>
      <tableStyleElement type="firstRowStripe" dxfId="44"/>
      <tableStyleElement type="secondRowStripe" dxfId="43"/>
    </tableStyle>
    <tableStyle name="PS Model 2021-style" pivot="0" count="3" xr9:uid="{00000000-0011-0000-FFFF-FFFF05000000}">
      <tableStyleElement type="headerRow" dxfId="42"/>
      <tableStyleElement type="firstRowStripe" dxfId="41"/>
      <tableStyleElement type="secondRowStripe" dxfId="40"/>
    </tableStyle>
    <tableStyle name="Mirek Revised PS Model 2020-style" pivot="0" count="3" xr9:uid="{00000000-0011-0000-FFFF-FFFF06000000}">
      <tableStyleElement type="headerRow" dxfId="39"/>
      <tableStyleElement type="firstRowStripe" dxfId="38"/>
      <tableStyleElement type="secondRowStripe" dxfId="37"/>
    </tableStyle>
    <tableStyle name="Revised PS Model 2020-style" pivot="0" count="3" xr9:uid="{00000000-0011-0000-FFFF-FFFF07000000}">
      <tableStyleElement type="headerRow" dxfId="36"/>
      <tableStyleElement type="firstRowStripe" dxfId="35"/>
      <tableStyleElement type="secondRowStripe" dxfId="34"/>
    </tableStyle>
    <tableStyle name="PS Model 2020-style" pivot="0" count="3" xr9:uid="{00000000-0011-0000-FFFF-FFFF08000000}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U33:AW45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PS Model 2024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U30:AW39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PS Model 2023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U28:AW37" headerRowCount="0">
  <tableColumns count="3">
    <tableColumn id="1" xr3:uid="{00000000-0010-0000-0200-000001000000}" name="Column1"/>
    <tableColumn id="2" xr3:uid="{00000000-0010-0000-0200-000002000000}" name="Column2"/>
    <tableColumn id="3" xr3:uid="{00000000-0010-0000-0200-000003000000}" name="Column3"/>
  </tableColumns>
  <tableStyleInfo name="PS Model 202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U28:AW38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Mirek Revised PS Model 202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U28:AW38" headerRowCount="0">
  <tableColumns count="3">
    <tableColumn id="1" xr3:uid="{00000000-0010-0000-0400-000001000000}" name="Column1"/>
    <tableColumn id="2" xr3:uid="{00000000-0010-0000-0400-000002000000}" name="Column2"/>
    <tableColumn id="3" xr3:uid="{00000000-0010-0000-0400-000003000000}" name="Column3"/>
  </tableColumns>
  <tableStyleInfo name="Revised PS Model 202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U28:AW38" headerRowCount="0">
  <tableColumns count="3">
    <tableColumn id="1" xr3:uid="{00000000-0010-0000-0500-000001000000}" name="Column1"/>
    <tableColumn id="2" xr3:uid="{00000000-0010-0000-0500-000002000000}" name="Column2"/>
    <tableColumn id="3" xr3:uid="{00000000-0010-0000-0500-000003000000}" name="Column3"/>
  </tableColumns>
  <tableStyleInfo name="PS Model 202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U26:AW34" headerRowCount="0">
  <tableColumns count="3">
    <tableColumn id="1" xr3:uid="{00000000-0010-0000-0600-000001000000}" name="Column1"/>
    <tableColumn id="2" xr3:uid="{00000000-0010-0000-0600-000002000000}" name="Column2"/>
    <tableColumn id="3" xr3:uid="{00000000-0010-0000-0600-000003000000}" name="Column3"/>
  </tableColumns>
  <tableStyleInfo name="Mirek Revised PS Model 2020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U26:AW34" headerRowCount="0">
  <tableColumns count="3">
    <tableColumn id="1" xr3:uid="{00000000-0010-0000-0700-000001000000}" name="Column1"/>
    <tableColumn id="2" xr3:uid="{00000000-0010-0000-0700-000002000000}" name="Column2"/>
    <tableColumn id="3" xr3:uid="{00000000-0010-0000-0700-000003000000}" name="Column3"/>
  </tableColumns>
  <tableStyleInfo name="Revised PS Model 2020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U26:AW34" headerRowCount="0">
  <tableColumns count="3">
    <tableColumn id="1" xr3:uid="{00000000-0010-0000-0800-000001000000}" name="Column1"/>
    <tableColumn id="2" xr3:uid="{00000000-0010-0000-0800-000002000000}" name="Column2"/>
    <tableColumn id="3" xr3:uid="{00000000-0010-0000-0800-000003000000}" name="Column3"/>
  </tableColumns>
  <tableStyleInfo name="PS Model 2020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0"/>
  <sheetViews>
    <sheetView workbookViewId="0"/>
  </sheetViews>
  <sheetFormatPr baseColWidth="10" defaultColWidth="12.6640625" defaultRowHeight="12.75" customHeight="1"/>
  <cols>
    <col min="1" max="20" width="15.1640625" customWidth="1"/>
  </cols>
  <sheetData>
    <row r="1" spans="1:8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2.75" customHeight="1">
      <c r="A2" s="1" t="s">
        <v>15</v>
      </c>
      <c r="B2" s="1" t="s">
        <v>16</v>
      </c>
      <c r="C2" s="1" t="s">
        <v>17</v>
      </c>
      <c r="D2" s="1" t="s">
        <v>18</v>
      </c>
      <c r="E2" s="7">
        <v>41578</v>
      </c>
      <c r="F2" s="5" t="s">
        <v>19</v>
      </c>
      <c r="G2" s="5"/>
      <c r="H2" s="1" t="s">
        <v>20</v>
      </c>
    </row>
    <row r="3" spans="1:8" ht="12.75" customHeight="1">
      <c r="A3" s="1" t="s">
        <v>21</v>
      </c>
      <c r="B3" s="1" t="s">
        <v>22</v>
      </c>
      <c r="C3" s="1" t="s">
        <v>23</v>
      </c>
      <c r="D3" s="1" t="s">
        <v>24</v>
      </c>
      <c r="E3" s="7">
        <v>41584</v>
      </c>
      <c r="F3" s="5" t="s">
        <v>25</v>
      </c>
      <c r="G3" s="5"/>
    </row>
    <row r="4" spans="1:8" ht="12.75" customHeight="1">
      <c r="A4" s="1" t="s">
        <v>15</v>
      </c>
      <c r="C4" s="1" t="s">
        <v>26</v>
      </c>
      <c r="D4" s="1" t="s">
        <v>27</v>
      </c>
      <c r="E4" s="7">
        <v>41570</v>
      </c>
      <c r="F4" s="5" t="s">
        <v>28</v>
      </c>
      <c r="G4" s="8">
        <v>41585</v>
      </c>
    </row>
    <row r="5" spans="1:8" ht="12.75" customHeight="1">
      <c r="A5" s="1" t="s">
        <v>29</v>
      </c>
      <c r="C5" s="1" t="s">
        <v>30</v>
      </c>
      <c r="D5" s="1" t="s">
        <v>31</v>
      </c>
      <c r="E5" s="7">
        <v>41583</v>
      </c>
      <c r="F5" s="5" t="s">
        <v>32</v>
      </c>
      <c r="G5" s="8">
        <v>41585</v>
      </c>
      <c r="H5" s="1" t="s">
        <v>33</v>
      </c>
    </row>
    <row r="6" spans="1:8" ht="12.75" customHeight="1">
      <c r="A6" s="1" t="s">
        <v>34</v>
      </c>
      <c r="B6" s="1" t="s">
        <v>35</v>
      </c>
      <c r="C6" s="1" t="s">
        <v>34</v>
      </c>
      <c r="D6" s="1" t="s">
        <v>36</v>
      </c>
      <c r="E6" s="7">
        <v>41570</v>
      </c>
      <c r="F6" s="5" t="s">
        <v>37</v>
      </c>
      <c r="G6" s="8">
        <v>41586</v>
      </c>
      <c r="H6" s="1" t="s">
        <v>38</v>
      </c>
    </row>
    <row r="7" spans="1:8" ht="12.75" customHeight="1">
      <c r="A7" s="1" t="s">
        <v>39</v>
      </c>
      <c r="B7" s="1" t="s">
        <v>40</v>
      </c>
      <c r="C7" s="1" t="s">
        <v>41</v>
      </c>
      <c r="D7" s="1" t="s">
        <v>42</v>
      </c>
      <c r="E7" s="7">
        <v>41583</v>
      </c>
      <c r="F7" s="5" t="s">
        <v>43</v>
      </c>
      <c r="G7" s="8">
        <v>41586</v>
      </c>
    </row>
    <row r="8" spans="1:8" ht="12.75" customHeight="1">
      <c r="A8" s="1" t="s">
        <v>44</v>
      </c>
      <c r="B8" s="1" t="s">
        <v>45</v>
      </c>
      <c r="C8" s="1" t="s">
        <v>46</v>
      </c>
      <c r="D8" s="1" t="s">
        <v>47</v>
      </c>
      <c r="E8" s="7">
        <v>41544</v>
      </c>
      <c r="F8" s="5" t="s">
        <v>48</v>
      </c>
      <c r="G8" s="8">
        <v>41586</v>
      </c>
    </row>
    <row r="9" spans="1:8" ht="12.75" customHeight="1">
      <c r="A9" s="1" t="s">
        <v>49</v>
      </c>
      <c r="C9" s="1" t="s">
        <v>50</v>
      </c>
      <c r="F9" s="5" t="s">
        <v>51</v>
      </c>
      <c r="G9" s="5"/>
    </row>
    <row r="10" spans="1:8" ht="12.75" customHeight="1">
      <c r="A10" s="1" t="s">
        <v>52</v>
      </c>
      <c r="B10" s="1" t="s">
        <v>53</v>
      </c>
      <c r="C10" s="1" t="s">
        <v>54</v>
      </c>
      <c r="F10" s="5"/>
      <c r="G10" s="5"/>
    </row>
    <row r="11" spans="1:8" ht="12.75" customHeight="1">
      <c r="F11" s="5"/>
      <c r="G11" s="5"/>
    </row>
    <row r="12" spans="1:8" ht="12.75" customHeight="1">
      <c r="F12" s="5"/>
      <c r="G12" s="5"/>
    </row>
    <row r="13" spans="1:8" ht="12.75" customHeight="1">
      <c r="F13" s="5"/>
      <c r="G13" s="5"/>
    </row>
    <row r="14" spans="1:8" ht="12.75" customHeight="1">
      <c r="F14" s="5"/>
      <c r="G14" s="5"/>
    </row>
    <row r="15" spans="1:8" ht="12.75" customHeight="1">
      <c r="F15" s="5"/>
      <c r="G15" s="5"/>
    </row>
    <row r="16" spans="1:8" ht="12.75" customHeight="1">
      <c r="F16" s="5"/>
      <c r="G16" s="5"/>
    </row>
    <row r="17" spans="6:7" ht="12.75" customHeight="1">
      <c r="F17" s="5"/>
      <c r="G17" s="5"/>
    </row>
    <row r="18" spans="6:7" ht="12.75" customHeight="1">
      <c r="F18" s="5"/>
      <c r="G18" s="5"/>
    </row>
    <row r="19" spans="6:7" ht="12.75" customHeight="1">
      <c r="F19" s="5"/>
      <c r="G19" s="5"/>
    </row>
    <row r="20" spans="6:7" ht="12.75" customHeight="1">
      <c r="F20" s="5"/>
      <c r="G20" s="5"/>
    </row>
  </sheetData>
  <conditionalFormatting sqref="G2:G20">
    <cfRule type="timePeriod" dxfId="30" priority="1" timePeriod="today">
      <formula>FLOOR(G2,1)=TODAY()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S122"/>
  <sheetViews>
    <sheetView tabSelected="1" workbookViewId="0">
      <pane xSplit="2" ySplit="19" topLeftCell="C20" activePane="bottomRight" state="frozen"/>
      <selection pane="topRight" activeCell="C1" sqref="C1"/>
      <selection pane="bottomLeft" activeCell="A20" sqref="A20"/>
      <selection pane="bottomRight" activeCell="E11" sqref="E11"/>
    </sheetView>
  </sheetViews>
  <sheetFormatPr baseColWidth="10" defaultColWidth="12.6640625" defaultRowHeight="12.75" customHeight="1"/>
  <cols>
    <col min="1" max="1" width="14.6640625" customWidth="1"/>
    <col min="5" max="5" width="12.6640625" bestFit="1" customWidth="1"/>
    <col min="10" max="10" width="15.33203125" customWidth="1"/>
    <col min="18" max="18" width="15.33203125" customWidth="1"/>
    <col min="69" max="69" width="10" customWidth="1"/>
    <col min="70" max="70" width="97.1640625" customWidth="1"/>
    <col min="71" max="71" width="30.33203125" customWidth="1"/>
  </cols>
  <sheetData>
    <row r="1" spans="1:71" ht="36.75" hidden="1" customHeight="1">
      <c r="A1" s="9" t="s">
        <v>55</v>
      </c>
      <c r="B1" s="9">
        <f t="shared" ref="B1:BS1" si="0">COLUMN()</f>
        <v>2</v>
      </c>
      <c r="C1" s="9">
        <f t="shared" si="0"/>
        <v>3</v>
      </c>
      <c r="D1" s="9">
        <f t="shared" si="0"/>
        <v>4</v>
      </c>
      <c r="E1" s="9">
        <f t="shared" si="0"/>
        <v>5</v>
      </c>
      <c r="F1" s="9">
        <f t="shared" si="0"/>
        <v>6</v>
      </c>
      <c r="G1" s="9">
        <f t="shared" si="0"/>
        <v>7</v>
      </c>
      <c r="H1" s="9">
        <f t="shared" si="0"/>
        <v>8</v>
      </c>
      <c r="I1" s="9">
        <f t="shared" si="0"/>
        <v>9</v>
      </c>
      <c r="J1" s="9">
        <f t="shared" si="0"/>
        <v>10</v>
      </c>
      <c r="K1" s="9">
        <f t="shared" si="0"/>
        <v>11</v>
      </c>
      <c r="L1" s="9">
        <f t="shared" si="0"/>
        <v>12</v>
      </c>
      <c r="M1" s="9">
        <f t="shared" si="0"/>
        <v>13</v>
      </c>
      <c r="N1" s="9">
        <f t="shared" si="0"/>
        <v>14</v>
      </c>
      <c r="O1" s="9">
        <f t="shared" si="0"/>
        <v>15</v>
      </c>
      <c r="P1" s="9">
        <f t="shared" si="0"/>
        <v>16</v>
      </c>
      <c r="Q1" s="9">
        <f t="shared" si="0"/>
        <v>17</v>
      </c>
      <c r="R1" s="9">
        <f t="shared" si="0"/>
        <v>18</v>
      </c>
      <c r="S1" s="9">
        <f t="shared" si="0"/>
        <v>19</v>
      </c>
      <c r="T1" s="9">
        <f t="shared" si="0"/>
        <v>20</v>
      </c>
      <c r="U1" s="9">
        <f t="shared" si="0"/>
        <v>21</v>
      </c>
      <c r="V1" s="9">
        <f t="shared" si="0"/>
        <v>22</v>
      </c>
      <c r="W1" s="9">
        <f t="shared" si="0"/>
        <v>23</v>
      </c>
      <c r="X1" s="9">
        <f t="shared" si="0"/>
        <v>24</v>
      </c>
      <c r="Y1" s="9">
        <f t="shared" si="0"/>
        <v>25</v>
      </c>
      <c r="Z1" s="9">
        <f t="shared" si="0"/>
        <v>26</v>
      </c>
      <c r="AA1" s="9">
        <f t="shared" si="0"/>
        <v>27</v>
      </c>
      <c r="AB1" s="9">
        <f t="shared" si="0"/>
        <v>28</v>
      </c>
      <c r="AC1" s="9">
        <f t="shared" si="0"/>
        <v>29</v>
      </c>
      <c r="AD1" s="9">
        <f t="shared" si="0"/>
        <v>30</v>
      </c>
      <c r="AE1" s="9">
        <f t="shared" si="0"/>
        <v>31</v>
      </c>
      <c r="AF1" s="9">
        <f t="shared" si="0"/>
        <v>32</v>
      </c>
      <c r="AG1" s="9">
        <f t="shared" si="0"/>
        <v>33</v>
      </c>
      <c r="AH1" s="9">
        <f t="shared" si="0"/>
        <v>34</v>
      </c>
      <c r="AI1" s="9">
        <f t="shared" si="0"/>
        <v>35</v>
      </c>
      <c r="AJ1" s="9">
        <f t="shared" si="0"/>
        <v>36</v>
      </c>
      <c r="AK1" s="9">
        <f t="shared" si="0"/>
        <v>37</v>
      </c>
      <c r="AL1" s="9">
        <f t="shared" si="0"/>
        <v>38</v>
      </c>
      <c r="AM1" s="9">
        <f t="shared" si="0"/>
        <v>39</v>
      </c>
      <c r="AN1" s="9">
        <f t="shared" si="0"/>
        <v>40</v>
      </c>
      <c r="AO1" s="9">
        <f t="shared" si="0"/>
        <v>41</v>
      </c>
      <c r="AP1" s="9">
        <f t="shared" si="0"/>
        <v>42</v>
      </c>
      <c r="AQ1" s="9">
        <f t="shared" si="0"/>
        <v>43</v>
      </c>
      <c r="AR1" s="9">
        <f t="shared" si="0"/>
        <v>44</v>
      </c>
      <c r="AS1" s="9">
        <f t="shared" si="0"/>
        <v>45</v>
      </c>
      <c r="AT1" s="9">
        <f t="shared" si="0"/>
        <v>46</v>
      </c>
      <c r="AU1" s="9">
        <f t="shared" si="0"/>
        <v>47</v>
      </c>
      <c r="AV1" s="9">
        <f t="shared" si="0"/>
        <v>48</v>
      </c>
      <c r="AW1" s="9">
        <f t="shared" si="0"/>
        <v>49</v>
      </c>
      <c r="AX1" s="9">
        <f t="shared" si="0"/>
        <v>50</v>
      </c>
      <c r="AY1" s="9">
        <f t="shared" si="0"/>
        <v>51</v>
      </c>
      <c r="AZ1" s="9">
        <f t="shared" si="0"/>
        <v>52</v>
      </c>
      <c r="BA1" s="9">
        <f t="shared" si="0"/>
        <v>53</v>
      </c>
      <c r="BB1" s="9">
        <f t="shared" si="0"/>
        <v>54</v>
      </c>
      <c r="BC1" s="9">
        <f t="shared" si="0"/>
        <v>55</v>
      </c>
      <c r="BD1" s="9">
        <f t="shared" si="0"/>
        <v>56</v>
      </c>
      <c r="BE1" s="9">
        <f t="shared" si="0"/>
        <v>57</v>
      </c>
      <c r="BF1" s="9">
        <f t="shared" si="0"/>
        <v>58</v>
      </c>
      <c r="BG1" s="9">
        <f t="shared" si="0"/>
        <v>59</v>
      </c>
      <c r="BH1" s="9">
        <f t="shared" si="0"/>
        <v>60</v>
      </c>
      <c r="BI1" s="9">
        <f t="shared" si="0"/>
        <v>61</v>
      </c>
      <c r="BJ1" s="9">
        <f t="shared" si="0"/>
        <v>62</v>
      </c>
      <c r="BK1" s="9">
        <f t="shared" si="0"/>
        <v>63</v>
      </c>
      <c r="BL1" s="9">
        <f t="shared" si="0"/>
        <v>64</v>
      </c>
      <c r="BM1" s="9">
        <f t="shared" si="0"/>
        <v>65</v>
      </c>
      <c r="BN1" s="9">
        <f t="shared" si="0"/>
        <v>66</v>
      </c>
      <c r="BO1" s="9">
        <f t="shared" si="0"/>
        <v>67</v>
      </c>
      <c r="BP1" s="9">
        <f t="shared" si="0"/>
        <v>68</v>
      </c>
      <c r="BQ1" s="9">
        <f t="shared" si="0"/>
        <v>69</v>
      </c>
      <c r="BR1" s="9">
        <f t="shared" si="0"/>
        <v>70</v>
      </c>
      <c r="BS1" s="9">
        <f t="shared" si="0"/>
        <v>71</v>
      </c>
    </row>
    <row r="2" spans="1:71" ht="36.75" hidden="1" customHeight="1">
      <c r="A2" s="1"/>
      <c r="B2" s="1" t="s">
        <v>56</v>
      </c>
      <c r="E2" s="1" t="s">
        <v>57</v>
      </c>
      <c r="F2" s="1" t="s">
        <v>58</v>
      </c>
      <c r="G2" s="1" t="s">
        <v>59</v>
      </c>
      <c r="AB2" s="1"/>
      <c r="AC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14" hidden="1">
      <c r="A3" s="1" t="s">
        <v>60</v>
      </c>
      <c r="B3" s="1">
        <f>B1</f>
        <v>2</v>
      </c>
      <c r="D3" s="1" t="s">
        <v>61</v>
      </c>
      <c r="E3" s="1">
        <f>J1</f>
        <v>10</v>
      </c>
      <c r="F3">
        <f>F1</f>
        <v>6</v>
      </c>
      <c r="G3">
        <f>I1</f>
        <v>9</v>
      </c>
      <c r="T3" s="10"/>
      <c r="U3" s="10"/>
      <c r="V3" s="10"/>
      <c r="AB3" s="1"/>
      <c r="AC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t="s">
        <v>62</v>
      </c>
      <c r="BB3">
        <v>4</v>
      </c>
      <c r="BC3" s="1"/>
      <c r="BJ3" s="1" t="s">
        <v>63</v>
      </c>
      <c r="BL3" s="1"/>
      <c r="BM3" s="1"/>
    </row>
    <row r="4" spans="1:71" ht="42" hidden="1">
      <c r="A4" s="1" t="s">
        <v>64</v>
      </c>
      <c r="B4" s="1">
        <f>AT1</f>
        <v>46</v>
      </c>
      <c r="D4" s="1" t="s">
        <v>65</v>
      </c>
      <c r="E4" s="1">
        <f>R1</f>
        <v>18</v>
      </c>
      <c r="F4" s="1">
        <v>14</v>
      </c>
      <c r="G4" s="1">
        <v>17</v>
      </c>
      <c r="AB4" s="1"/>
      <c r="AC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66</v>
      </c>
      <c r="BC4" s="1" t="s">
        <v>67</v>
      </c>
      <c r="BD4" s="1" t="s">
        <v>68</v>
      </c>
      <c r="BE4" s="1" t="s">
        <v>69</v>
      </c>
      <c r="BF4" s="1" t="s">
        <v>70</v>
      </c>
      <c r="BG4" s="1" t="s">
        <v>71</v>
      </c>
      <c r="BJ4" s="1" t="s">
        <v>72</v>
      </c>
      <c r="BK4" s="1" t="s">
        <v>73</v>
      </c>
      <c r="BL4" s="1" t="s">
        <v>74</v>
      </c>
      <c r="BM4" s="1" t="s">
        <v>75</v>
      </c>
      <c r="BN4" s="1" t="s">
        <v>76</v>
      </c>
      <c r="BR4" s="1" t="s">
        <v>77</v>
      </c>
      <c r="BS4" s="1"/>
    </row>
    <row r="5" spans="1:71" ht="28" hidden="1">
      <c r="A5" s="1" t="s">
        <v>78</v>
      </c>
      <c r="B5" s="1">
        <f>AX1</f>
        <v>50</v>
      </c>
      <c r="D5" s="1" t="s">
        <v>79</v>
      </c>
      <c r="E5" s="1">
        <f>Z1</f>
        <v>26</v>
      </c>
      <c r="F5" s="1">
        <v>22</v>
      </c>
      <c r="G5" s="1">
        <v>25</v>
      </c>
      <c r="AB5" s="1"/>
      <c r="AC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>
        <v>2023</v>
      </c>
      <c r="BB5" s="1" t="s">
        <v>80</v>
      </c>
      <c r="BC5" s="1">
        <v>21</v>
      </c>
      <c r="BD5" s="1">
        <v>22</v>
      </c>
      <c r="BE5" s="1">
        <v>20</v>
      </c>
      <c r="BF5" s="1">
        <v>19</v>
      </c>
      <c r="BG5" s="1">
        <v>16</v>
      </c>
      <c r="BJ5" s="1">
        <v>4</v>
      </c>
      <c r="BK5" s="1">
        <v>4</v>
      </c>
      <c r="BL5" s="1">
        <v>5</v>
      </c>
      <c r="BM5" s="1">
        <v>6</v>
      </c>
      <c r="BN5" s="1">
        <v>4</v>
      </c>
    </row>
    <row r="6" spans="1:71" ht="28" hidden="1">
      <c r="A6" s="1" t="s">
        <v>81</v>
      </c>
      <c r="B6" s="1" t="s">
        <v>82</v>
      </c>
      <c r="D6" s="1" t="s">
        <v>83</v>
      </c>
      <c r="E6" s="1">
        <f>AI1</f>
        <v>35</v>
      </c>
      <c r="F6" s="1">
        <v>30</v>
      </c>
      <c r="G6" s="1">
        <v>34</v>
      </c>
      <c r="AB6" s="1"/>
      <c r="AC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2024</v>
      </c>
      <c r="BB6" s="1" t="s">
        <v>84</v>
      </c>
      <c r="BC6" s="1">
        <v>21</v>
      </c>
      <c r="BD6" s="1">
        <v>22</v>
      </c>
      <c r="BE6" s="1">
        <v>20</v>
      </c>
      <c r="BF6" s="1">
        <v>19</v>
      </c>
      <c r="BG6" s="1">
        <v>16</v>
      </c>
      <c r="BJ6" s="1">
        <v>4</v>
      </c>
      <c r="BK6" s="1">
        <v>4</v>
      </c>
      <c r="BL6" s="1">
        <v>5</v>
      </c>
      <c r="BM6" s="1">
        <v>6</v>
      </c>
      <c r="BN6" s="1">
        <v>4</v>
      </c>
    </row>
    <row r="7" spans="1:71" ht="28" hidden="1">
      <c r="A7" s="1"/>
      <c r="B7" s="1"/>
      <c r="D7" s="1"/>
      <c r="E7" s="1"/>
      <c r="K7" s="1"/>
      <c r="L7" s="1"/>
      <c r="S7" s="1"/>
      <c r="AA7" s="1"/>
      <c r="AB7" s="1"/>
      <c r="AC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>
        <v>2025</v>
      </c>
      <c r="BB7" s="1" t="s">
        <v>85</v>
      </c>
      <c r="BC7" s="1">
        <v>21</v>
      </c>
      <c r="BD7" s="1">
        <v>22</v>
      </c>
      <c r="BE7" s="1">
        <v>20</v>
      </c>
      <c r="BF7" s="1">
        <v>19</v>
      </c>
      <c r="BG7" s="1">
        <v>16</v>
      </c>
      <c r="BJ7" s="1">
        <v>4</v>
      </c>
      <c r="BK7" s="1">
        <v>4</v>
      </c>
      <c r="BL7" s="1">
        <v>5</v>
      </c>
      <c r="BM7" s="1">
        <v>6</v>
      </c>
      <c r="BN7" s="1">
        <v>4</v>
      </c>
    </row>
    <row r="8" spans="1:71" ht="13" hidden="1">
      <c r="A8" s="1"/>
      <c r="B8" s="1"/>
      <c r="D8" s="1"/>
      <c r="E8" s="1"/>
      <c r="K8" s="1"/>
      <c r="L8" s="1"/>
      <c r="S8" s="1"/>
      <c r="AA8" s="1"/>
      <c r="AB8" s="1"/>
      <c r="AC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13" hidden="1">
      <c r="A9" s="1"/>
      <c r="B9" s="1"/>
      <c r="D9" s="1"/>
      <c r="E9" s="1"/>
      <c r="K9" s="1"/>
      <c r="L9" s="1"/>
      <c r="S9" s="1"/>
      <c r="AA9" s="1"/>
      <c r="AB9" s="1"/>
      <c r="AC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ht="28">
      <c r="A10" s="11" t="s">
        <v>86</v>
      </c>
      <c r="B10" s="12">
        <f ca="1">IFERROR(__xludf.DUMMYFUNCTION("INDEX(FILTER(INDIRECT($B$6), $C$21:$C1023 = False),1,B3)"),45961)</f>
        <v>45961</v>
      </c>
      <c r="D10" s="11"/>
      <c r="E10" s="11" t="s">
        <v>87</v>
      </c>
      <c r="F10" s="13" t="s">
        <v>88</v>
      </c>
      <c r="G10" s="1" t="s">
        <v>89</v>
      </c>
      <c r="H10" s="1" t="s">
        <v>90</v>
      </c>
      <c r="I10" s="1"/>
      <c r="J10" s="1" t="s">
        <v>91</v>
      </c>
      <c r="L10" s="1" t="s">
        <v>72</v>
      </c>
      <c r="M10" s="14">
        <v>45729</v>
      </c>
      <c r="N10" s="14">
        <v>45764</v>
      </c>
      <c r="O10" s="14">
        <v>45796</v>
      </c>
      <c r="P10" s="14">
        <v>45828</v>
      </c>
      <c r="Q10" s="14">
        <v>45864</v>
      </c>
      <c r="R10" s="14">
        <v>45889</v>
      </c>
      <c r="S10" s="14">
        <v>45919</v>
      </c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1:71" ht="28">
      <c r="A11" s="11" t="s">
        <v>64</v>
      </c>
      <c r="B11" s="15">
        <f ca="1">IFERROR(__xludf.DUMMYFUNCTION("INDEX(FILTER(INDIRECT($B$6), C21:C1023 = False),1,B4)"),0)</f>
        <v>0</v>
      </c>
      <c r="D11" s="11" t="s">
        <v>61</v>
      </c>
      <c r="E11" s="15">
        <f ca="1">IFERROR(__xludf.DUMMYFUNCTION("INDEX(FILTER(INDIRECT($B$6), $C$21:$C1023 = False),1,E3)"),271506.092707594)</f>
        <v>271506.09270759398</v>
      </c>
      <c r="F11" s="16">
        <f t="shared" ref="F11:F14" ca="1" si="1">E11-MIN($E$11:$E$14)</f>
        <v>956.02489999996033</v>
      </c>
      <c r="G11" s="17">
        <f t="shared" ref="G11:G14" ca="1" si="2">F11+$B$14</f>
        <v>508.00304641122057</v>
      </c>
      <c r="H11" s="17">
        <f t="shared" ref="H11:H14" ca="1" si="3">E11-G11</f>
        <v>270998.08966118278</v>
      </c>
      <c r="J11" s="1" t="str">
        <f t="shared" ref="J11:J14" ca="1" si="4">D11&amp;" "&amp; DOLLAR(G11)</f>
        <v>Mirek $508.00</v>
      </c>
      <c r="L11" t="str">
        <f t="shared" ref="L11:L14" si="5">D11</f>
        <v>Mirek</v>
      </c>
      <c r="M11" s="17">
        <v>47059.22</v>
      </c>
      <c r="N11" s="17">
        <v>68949.69</v>
      </c>
      <c r="O11" s="17">
        <v>37829.94</v>
      </c>
      <c r="P11" s="18" t="s">
        <v>92</v>
      </c>
      <c r="Q11" s="17">
        <v>52893.36</v>
      </c>
      <c r="R11" s="17">
        <v>108504.16834641127</v>
      </c>
      <c r="S11" s="17">
        <v>33959.547905794796</v>
      </c>
      <c r="T11" s="17"/>
      <c r="U11" s="17"/>
      <c r="V11" s="17"/>
      <c r="W11" s="17"/>
      <c r="X11" s="17"/>
      <c r="Y11" s="17"/>
      <c r="Z11" s="17"/>
      <c r="AA11" s="17"/>
      <c r="AC11" s="1"/>
      <c r="AD11" s="1"/>
      <c r="AE11" s="1"/>
      <c r="AF11" s="1"/>
      <c r="AG11" s="1"/>
      <c r="AI11" s="1"/>
    </row>
    <row r="12" spans="1:71" ht="14">
      <c r="A12" s="11" t="s">
        <v>78</v>
      </c>
      <c r="B12" s="15">
        <f ca="1">IFERROR(__xludf.DUMMYFUNCTION("INDEX(FILTER(INDIRECT($B$6), C21:C1023 = False),1,B5)"),0)</f>
        <v>0</v>
      </c>
      <c r="D12" s="11" t="s">
        <v>65</v>
      </c>
      <c r="E12" s="15">
        <f ca="1">IFERROR(__xludf.DUMMYFUNCTION("INDEX(FILTER(INDIRECT($B$6), C21:C1023 = False),1,E4)"),270550.067807594)</f>
        <v>270550.06780759402</v>
      </c>
      <c r="F12" s="16">
        <f t="shared" ca="1" si="1"/>
        <v>0</v>
      </c>
      <c r="G12" s="17">
        <f t="shared" ca="1" si="2"/>
        <v>-448.02185358873976</v>
      </c>
      <c r="H12" s="17">
        <f t="shared" ca="1" si="3"/>
        <v>270998.08966118278</v>
      </c>
      <c r="I12" s="1"/>
      <c r="J12" s="1" t="str">
        <f t="shared" ca="1" si="4"/>
        <v>Marek ($448.02)</v>
      </c>
      <c r="L12" t="str">
        <f t="shared" si="5"/>
        <v>Marek</v>
      </c>
      <c r="M12" s="17">
        <v>52923.03</v>
      </c>
      <c r="N12" s="17">
        <v>68949.69</v>
      </c>
      <c r="O12" s="17">
        <v>37829.94</v>
      </c>
      <c r="P12" s="18" t="s">
        <v>92</v>
      </c>
      <c r="Q12" s="17">
        <v>52893.36</v>
      </c>
      <c r="R12" s="17">
        <v>108504.16834641127</v>
      </c>
      <c r="S12" s="17">
        <v>33959.547905794796</v>
      </c>
      <c r="T12" s="17"/>
      <c r="U12" s="17"/>
      <c r="V12" s="17"/>
      <c r="W12" s="17"/>
      <c r="X12" s="17"/>
      <c r="Y12" s="17"/>
      <c r="Z12" s="17"/>
      <c r="AA12" s="17"/>
      <c r="AC12" s="1"/>
      <c r="AD12" s="1"/>
      <c r="AE12" s="1"/>
      <c r="AF12" s="1"/>
      <c r="AG12" s="1"/>
      <c r="AH12" s="1"/>
      <c r="AI12" s="1"/>
    </row>
    <row r="13" spans="1:71" ht="14">
      <c r="A13" s="11" t="s">
        <v>93</v>
      </c>
      <c r="B13" s="15">
        <f ca="1">MAX(0,B11-B12)</f>
        <v>0</v>
      </c>
      <c r="D13" s="11" t="s">
        <v>79</v>
      </c>
      <c r="E13" s="15">
        <f ca="1">IFERROR(__xludf.DUMMYFUNCTION("INDEX(FILTER(INDIRECT($B$6), C21:C1023 = False),1,E5)"),270599.85336836)</f>
        <v>270599.85336836003</v>
      </c>
      <c r="F13" s="16">
        <f t="shared" ca="1" si="1"/>
        <v>49.785560766002163</v>
      </c>
      <c r="G13" s="17">
        <f t="shared" ca="1" si="2"/>
        <v>-398.2362928227376</v>
      </c>
      <c r="H13" s="17">
        <f t="shared" ca="1" si="3"/>
        <v>270998.08966118278</v>
      </c>
      <c r="I13" s="1"/>
      <c r="J13" s="1" t="str">
        <f t="shared" ca="1" si="4"/>
        <v>Michal ($398.24)</v>
      </c>
      <c r="L13" t="str">
        <f t="shared" si="5"/>
        <v>Michal</v>
      </c>
      <c r="M13" s="17">
        <v>215594.6</v>
      </c>
      <c r="N13" s="17">
        <v>69374.22</v>
      </c>
      <c r="O13" s="17">
        <v>37829.93</v>
      </c>
      <c r="P13" s="18" t="s">
        <v>92</v>
      </c>
      <c r="Q13" s="17">
        <v>53032.03</v>
      </c>
      <c r="R13" s="17">
        <v>108504.1739071776</v>
      </c>
      <c r="S13" s="17">
        <v>33959.553466561003</v>
      </c>
      <c r="T13" s="17"/>
      <c r="U13" s="17"/>
      <c r="V13" s="17"/>
      <c r="W13" s="17"/>
      <c r="X13" s="17"/>
      <c r="Y13" s="17"/>
      <c r="Z13" s="17"/>
      <c r="AA13" s="17"/>
      <c r="AC13" s="1"/>
      <c r="AD13" s="1"/>
      <c r="AE13" s="1"/>
      <c r="AF13" s="1"/>
      <c r="AG13" s="1"/>
      <c r="AH13" s="1"/>
      <c r="AI13" s="1"/>
    </row>
    <row r="14" spans="1:71" ht="28">
      <c r="A14" s="11" t="s">
        <v>94</v>
      </c>
      <c r="B14" s="15">
        <f ca="1">(B13-F15)*0.25</f>
        <v>-448.02185358873976</v>
      </c>
      <c r="D14" s="11" t="s">
        <v>83</v>
      </c>
      <c r="E14" s="15">
        <f ca="1">IFERROR(__xludf.DUMMYFUNCTION("INDEX(FILTER(INDIRECT($B$6), C21:C1023 = False),1,E6)"),271336.344761183)</f>
        <v>271336.34476118302</v>
      </c>
      <c r="F14" s="16">
        <f t="shared" ca="1" si="1"/>
        <v>786.27695358899655</v>
      </c>
      <c r="G14" s="17">
        <f t="shared" ca="1" si="2"/>
        <v>338.25510000025679</v>
      </c>
      <c r="H14" s="17">
        <f t="shared" ca="1" si="3"/>
        <v>270998.08966118278</v>
      </c>
      <c r="I14" s="1"/>
      <c r="J14" s="1" t="str">
        <f t="shared" ca="1" si="4"/>
        <v>Colin $338.26</v>
      </c>
      <c r="L14" t="str">
        <f t="shared" si="5"/>
        <v>Colin</v>
      </c>
      <c r="M14" s="18" t="s">
        <v>92</v>
      </c>
      <c r="N14" s="17">
        <v>44175.23</v>
      </c>
      <c r="O14" s="17">
        <v>3650.06</v>
      </c>
      <c r="P14" s="18" t="s">
        <v>92</v>
      </c>
      <c r="Q14" s="17">
        <v>32663.74</v>
      </c>
      <c r="R14" s="17">
        <v>133268.04019999993</v>
      </c>
      <c r="S14" s="17">
        <v>28889.489759383418</v>
      </c>
      <c r="T14" s="17"/>
      <c r="U14" s="17"/>
      <c r="V14" s="17"/>
      <c r="W14" s="17"/>
      <c r="X14" s="17"/>
      <c r="Y14" s="17"/>
      <c r="Z14" s="17"/>
      <c r="AA14" s="17"/>
      <c r="AC14" s="1"/>
      <c r="AD14" s="1"/>
      <c r="AE14" s="1"/>
      <c r="AF14" s="1"/>
      <c r="AG14" s="1"/>
      <c r="AH14" s="1"/>
      <c r="AI14" s="1"/>
    </row>
    <row r="15" spans="1:71" ht="13">
      <c r="F15" s="19">
        <f t="shared" ref="F15:H15" ca="1" si="6">SUM(F11:F14)</f>
        <v>1792.087414354959</v>
      </c>
      <c r="G15" s="19">
        <f t="shared" ca="1" si="6"/>
        <v>0</v>
      </c>
      <c r="H15" s="19">
        <f t="shared" ca="1" si="6"/>
        <v>1083992.3586447311</v>
      </c>
      <c r="I15" s="1"/>
      <c r="J15" s="1"/>
      <c r="M15" s="1"/>
      <c r="N15" s="1"/>
      <c r="O15" s="1"/>
      <c r="P15" s="1"/>
      <c r="Q15" s="1"/>
      <c r="R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1:71" ht="13">
      <c r="F16" s="1"/>
      <c r="G16" s="1"/>
      <c r="H16" s="1"/>
      <c r="I16" s="1"/>
      <c r="J16" s="1"/>
      <c r="M16" s="1"/>
      <c r="N16" s="1"/>
      <c r="O16" s="1"/>
      <c r="P16" s="1"/>
      <c r="Q16" s="1"/>
      <c r="R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1:71" ht="13" hidden="1">
      <c r="A17" s="1"/>
      <c r="B17" s="1"/>
      <c r="C17" s="1"/>
      <c r="D17" s="1"/>
      <c r="E17" s="1"/>
      <c r="F17" s="1"/>
      <c r="G17" s="1"/>
      <c r="H17" s="1"/>
      <c r="I17" s="1"/>
      <c r="J17" s="1"/>
      <c r="M17" s="1"/>
      <c r="N17" s="1"/>
      <c r="O17" s="1"/>
      <c r="P17" s="1"/>
      <c r="Q17" s="1"/>
      <c r="R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1:71" ht="14">
      <c r="A18" s="20"/>
      <c r="B18" s="21" t="s">
        <v>95</v>
      </c>
      <c r="C18" s="22"/>
      <c r="D18" s="1"/>
      <c r="E18" s="22"/>
      <c r="F18" s="22"/>
      <c r="G18" s="22"/>
      <c r="H18" s="21" t="s">
        <v>61</v>
      </c>
      <c r="I18" s="22"/>
      <c r="J18" s="22"/>
      <c r="K18" s="22"/>
      <c r="M18" s="22"/>
      <c r="N18" s="22"/>
      <c r="O18" s="22"/>
      <c r="P18" s="21" t="s">
        <v>65</v>
      </c>
      <c r="Q18" s="22"/>
      <c r="R18" s="22"/>
      <c r="S18" s="22"/>
      <c r="U18" s="22"/>
      <c r="V18" s="22"/>
      <c r="W18" s="21" t="s">
        <v>79</v>
      </c>
      <c r="X18" s="22"/>
      <c r="Y18" s="22"/>
      <c r="Z18" s="22"/>
      <c r="AA18" s="22"/>
      <c r="AC18" s="22"/>
      <c r="AD18" s="22"/>
      <c r="AE18" s="21" t="s">
        <v>83</v>
      </c>
      <c r="AF18" s="22"/>
      <c r="AG18" s="22"/>
      <c r="AH18" s="22"/>
      <c r="AI18" s="22"/>
      <c r="AJ18" s="22"/>
      <c r="AL18" s="23" t="s">
        <v>96</v>
      </c>
      <c r="AN18" s="22"/>
      <c r="AO18" s="22"/>
      <c r="AP18" s="21"/>
      <c r="AQ18" s="21" t="s">
        <v>97</v>
      </c>
      <c r="AR18" s="22"/>
      <c r="AS18" s="22"/>
      <c r="AT18" s="23"/>
      <c r="AV18" s="22"/>
      <c r="AW18" s="21" t="s">
        <v>98</v>
      </c>
      <c r="AX18" s="22"/>
      <c r="BB18" s="1" t="s">
        <v>99</v>
      </c>
      <c r="BC18" s="1" t="s">
        <v>100</v>
      </c>
      <c r="BD18" s="1" t="s">
        <v>65</v>
      </c>
      <c r="BE18" s="1" t="s">
        <v>100</v>
      </c>
      <c r="BF18" s="1" t="s">
        <v>79</v>
      </c>
      <c r="BG18" s="1" t="s">
        <v>100</v>
      </c>
      <c r="BH18" s="1"/>
      <c r="BI18" s="1" t="s">
        <v>83</v>
      </c>
      <c r="BJ18" s="1" t="s">
        <v>100</v>
      </c>
      <c r="BK18" s="1" t="s">
        <v>101</v>
      </c>
    </row>
    <row r="19" spans="1:71" ht="42">
      <c r="A19" s="24" t="s">
        <v>102</v>
      </c>
      <c r="B19" s="24" t="s">
        <v>103</v>
      </c>
      <c r="C19" s="25" t="s">
        <v>104</v>
      </c>
      <c r="D19" s="1"/>
      <c r="E19" s="11" t="s">
        <v>105</v>
      </c>
      <c r="F19" s="11" t="s">
        <v>58</v>
      </c>
      <c r="G19" s="11" t="s">
        <v>106</v>
      </c>
      <c r="H19" s="25" t="s">
        <v>107</v>
      </c>
      <c r="I19" s="11" t="s">
        <v>59</v>
      </c>
      <c r="J19" s="11" t="s">
        <v>87</v>
      </c>
      <c r="K19" s="11" t="s">
        <v>108</v>
      </c>
      <c r="L19" s="1"/>
      <c r="M19" s="11" t="s">
        <v>105</v>
      </c>
      <c r="N19" s="11" t="s">
        <v>58</v>
      </c>
      <c r="O19" s="11" t="s">
        <v>109</v>
      </c>
      <c r="P19" s="25" t="s">
        <v>107</v>
      </c>
      <c r="Q19" s="11" t="s">
        <v>59</v>
      </c>
      <c r="R19" s="11" t="s">
        <v>87</v>
      </c>
      <c r="S19" s="11" t="s">
        <v>108</v>
      </c>
      <c r="T19" s="1"/>
      <c r="U19" s="11" t="s">
        <v>105</v>
      </c>
      <c r="V19" s="11" t="s">
        <v>58</v>
      </c>
      <c r="W19" s="11" t="s">
        <v>109</v>
      </c>
      <c r="X19" s="25" t="s">
        <v>107</v>
      </c>
      <c r="Y19" s="11" t="s">
        <v>59</v>
      </c>
      <c r="Z19" s="11" t="s">
        <v>87</v>
      </c>
      <c r="AA19" s="11" t="s">
        <v>108</v>
      </c>
      <c r="AB19" s="1"/>
      <c r="AC19" s="11" t="s">
        <v>105</v>
      </c>
      <c r="AD19" s="11" t="s">
        <v>58</v>
      </c>
      <c r="AE19" s="11" t="s">
        <v>109</v>
      </c>
      <c r="AF19" s="11" t="s">
        <v>110</v>
      </c>
      <c r="AG19" s="11" t="s">
        <v>107</v>
      </c>
      <c r="AH19" s="11" t="s">
        <v>59</v>
      </c>
      <c r="AI19" s="11" t="s">
        <v>87</v>
      </c>
      <c r="AJ19" s="11" t="s">
        <v>108</v>
      </c>
      <c r="AK19" s="1"/>
      <c r="AL19" s="11"/>
      <c r="AM19" s="1"/>
      <c r="AN19" s="11" t="s">
        <v>111</v>
      </c>
      <c r="AO19" s="11" t="s">
        <v>112</v>
      </c>
      <c r="AP19" s="11" t="s">
        <v>113</v>
      </c>
      <c r="AQ19" s="11" t="s">
        <v>114</v>
      </c>
      <c r="AR19" s="11" t="s">
        <v>115</v>
      </c>
      <c r="AS19" s="11" t="s">
        <v>116</v>
      </c>
      <c r="AT19" s="11" t="s">
        <v>101</v>
      </c>
      <c r="AU19" s="1"/>
      <c r="AV19" s="11" t="s">
        <v>117</v>
      </c>
      <c r="AW19" s="11" t="s">
        <v>118</v>
      </c>
      <c r="AX19" s="11" t="s">
        <v>78</v>
      </c>
      <c r="AY19" s="1"/>
      <c r="AZ19" s="1"/>
      <c r="BA19" s="11"/>
      <c r="BB19" s="11"/>
      <c r="BC19" s="11"/>
      <c r="BD19" s="11"/>
      <c r="BE19" s="11"/>
      <c r="BF19" s="11"/>
      <c r="BG19" s="11"/>
      <c r="BH19" s="1"/>
      <c r="BI19" s="11"/>
      <c r="BJ19" s="11"/>
      <c r="BK19" s="11"/>
    </row>
    <row r="20" spans="1:71" ht="28">
      <c r="A20" s="24" t="s">
        <v>119</v>
      </c>
      <c r="B20" s="24" t="s">
        <v>92</v>
      </c>
      <c r="C20" s="26" t="s">
        <v>92</v>
      </c>
      <c r="D20" s="1"/>
      <c r="E20" s="11" t="s">
        <v>92</v>
      </c>
      <c r="F20" s="11" t="s">
        <v>92</v>
      </c>
      <c r="G20" s="11" t="s">
        <v>92</v>
      </c>
      <c r="H20" s="27" t="s">
        <v>92</v>
      </c>
      <c r="I20" s="15"/>
      <c r="J20" s="15">
        <v>147305.03</v>
      </c>
      <c r="K20" s="17" t="s">
        <v>92</v>
      </c>
      <c r="L20" s="1"/>
      <c r="M20" s="11" t="s">
        <v>92</v>
      </c>
      <c r="N20" s="11" t="s">
        <v>92</v>
      </c>
      <c r="O20" s="11" t="s">
        <v>92</v>
      </c>
      <c r="P20" s="27" t="s">
        <v>92</v>
      </c>
      <c r="Q20" s="15"/>
      <c r="R20" s="15">
        <v>147305.03</v>
      </c>
      <c r="S20" s="17" t="s">
        <v>92</v>
      </c>
      <c r="T20" s="1"/>
      <c r="U20" s="11" t="s">
        <v>92</v>
      </c>
      <c r="V20" s="11" t="s">
        <v>92</v>
      </c>
      <c r="W20" s="11" t="s">
        <v>92</v>
      </c>
      <c r="X20" s="27" t="s">
        <v>92</v>
      </c>
      <c r="Y20" s="15"/>
      <c r="Z20" s="15">
        <v>215291.95</v>
      </c>
      <c r="AA20" s="17" t="s">
        <v>92</v>
      </c>
      <c r="AB20" s="1"/>
      <c r="AC20" s="11" t="s">
        <v>92</v>
      </c>
      <c r="AD20" s="11" t="s">
        <v>92</v>
      </c>
      <c r="AE20" s="11" t="s">
        <v>92</v>
      </c>
      <c r="AF20" s="15" t="s">
        <v>92</v>
      </c>
      <c r="AG20" s="11" t="s">
        <v>92</v>
      </c>
      <c r="AH20" s="15"/>
      <c r="AI20" s="15">
        <v>272493.14</v>
      </c>
      <c r="AJ20" s="17" t="s">
        <v>92</v>
      </c>
      <c r="AK20" s="1"/>
      <c r="AL20" s="15">
        <f t="shared" ref="AL20:AL56" si="7">AI20+Z20+R20+J20</f>
        <v>782395.15</v>
      </c>
      <c r="AM20" s="1"/>
      <c r="AN20" s="15" t="s">
        <v>92</v>
      </c>
      <c r="AO20" s="15" t="s">
        <v>92</v>
      </c>
      <c r="AP20" s="15" t="s">
        <v>92</v>
      </c>
      <c r="AQ20" s="15" t="s">
        <v>92</v>
      </c>
      <c r="AR20" s="15" t="s">
        <v>92</v>
      </c>
      <c r="AS20" s="15" t="s">
        <v>92</v>
      </c>
      <c r="AT20" s="15">
        <f t="shared" ref="AT20:AT47" si="8">SUM(AO20:AS20)</f>
        <v>0</v>
      </c>
      <c r="AU20" s="1"/>
      <c r="AV20" s="28" t="s">
        <v>92</v>
      </c>
      <c r="AW20" s="15" t="s">
        <v>92</v>
      </c>
      <c r="AX20" s="15">
        <v>0</v>
      </c>
      <c r="AY20" s="1"/>
      <c r="AZ20" s="1"/>
      <c r="BA20" s="11" t="s">
        <v>120</v>
      </c>
      <c r="BB20" s="15">
        <f t="shared" ref="BB20:BB46" si="9">J20</f>
        <v>147305.03</v>
      </c>
      <c r="BC20" s="29">
        <f t="shared" ref="BC20:BC32" ca="1" si="10">BB20/BK20-BH$63</f>
        <v>-2.8392199474481239E-2</v>
      </c>
      <c r="BD20" s="15">
        <f t="shared" ref="BD20:BD46" si="11">R20</f>
        <v>147305.03</v>
      </c>
      <c r="BE20" s="30">
        <f t="shared" ref="BE20:BE32" ca="1" si="12">BD20/BK20-BI$63</f>
        <v>-2.8392199474481239E-2</v>
      </c>
      <c r="BF20" s="15">
        <f t="shared" ref="BF20:BF46" si="13">Z20</f>
        <v>215291.95</v>
      </c>
      <c r="BG20" s="30">
        <f t="shared" ref="BG20:BG32" ca="1" si="14">BF20/BK20-BK$63</f>
        <v>-4.1496313169460064E-2</v>
      </c>
      <c r="BH20" s="1"/>
      <c r="BI20" s="15">
        <f t="shared" ref="BI20:BI46" si="15">AI20</f>
        <v>272493.14</v>
      </c>
      <c r="BJ20" s="30">
        <f t="shared" ref="BJ20:BJ32" ca="1" si="16">BI20/BK20-BL$63</f>
        <v>9.8280712118422542E-2</v>
      </c>
      <c r="BK20" s="15">
        <f t="shared" ref="BK20:BK46" si="17">BB20+BD20+BF20+BI20</f>
        <v>782395.15</v>
      </c>
    </row>
    <row r="21" spans="1:71" ht="14">
      <c r="A21" s="31">
        <v>1</v>
      </c>
      <c r="B21" s="32">
        <f t="shared" ref="B21:B32" ca="1" si="18">INDIRECT(ADDRESS(1,$BJ$5 +(A21-1) * $BB$3,,,$BB$5))</f>
        <v>44957</v>
      </c>
      <c r="C21" s="33" t="b">
        <v>1</v>
      </c>
      <c r="D21" s="31"/>
      <c r="E21" s="34">
        <f t="shared" ref="E21:E32" ca="1" si="19">INDIRECT(ADDRESS($BC$5,$BK$5+ (A21-1)* $BB$3,,,$BB$5))</f>
        <v>108.33333333333334</v>
      </c>
      <c r="F21" s="35">
        <f t="shared" ref="F21:F32" ca="1" si="20">IF(C21,INDIRECT(ADDRESS($BC$5,$BL$5 + (A21-1)* $BB$3,,,$BB$5)),0)</f>
        <v>38522.780186255615</v>
      </c>
      <c r="G21" s="35">
        <f t="shared" ref="G21:G32" ca="1" si="21">INDIRECT(ADDRESS($BC$5,$BM$5 + (A21-1)* $BB$3,,,$BB$5))</f>
        <v>0</v>
      </c>
      <c r="H21" s="36">
        <v>52117.77</v>
      </c>
      <c r="I21" s="35">
        <f t="shared" ref="I21:I57" ca="1" si="22">SUM(G21:H21)</f>
        <v>52117.77</v>
      </c>
      <c r="J21" s="35">
        <f t="shared" ref="J21:J56" ca="1" si="23">J20+F21-I21</f>
        <v>133710.04018625562</v>
      </c>
      <c r="K21" s="35" t="s">
        <v>92</v>
      </c>
      <c r="L21" s="31"/>
      <c r="M21" s="34">
        <f t="shared" ref="M21:M32" ca="1" si="24">INDIRECT(ADDRESS($BD$5,$BK$5+ (A21-1)* $BB$3,,,$BB$5))</f>
        <v>108.33333333333334</v>
      </c>
      <c r="N21" s="35">
        <f t="shared" ref="N21:N32" ca="1" si="25">IF(C21, INDIRECT(ADDRESS($BD$5,$BL$5 + (A21-1)* $BB$3,,,$BB$5)),0)</f>
        <v>38522.780186255615</v>
      </c>
      <c r="O21" s="35">
        <f t="shared" ref="O21:O32" ca="1" si="26">INDIRECT(ADDRESS($BD$5,$BM$5 + (A21-1)* $BB$3,,,$BB$5))</f>
        <v>0</v>
      </c>
      <c r="P21" s="36">
        <v>52117.77</v>
      </c>
      <c r="Q21" s="35">
        <f t="shared" ref="Q21:Q56" ca="1" si="27">SUM(O21:P21)</f>
        <v>52117.77</v>
      </c>
      <c r="R21" s="35">
        <f t="shared" ref="R21:R56" ca="1" si="28">R20+N21-Q21</f>
        <v>133710.04018625562</v>
      </c>
      <c r="S21" s="35" t="s">
        <v>92</v>
      </c>
      <c r="T21" s="31"/>
      <c r="U21" s="34">
        <f t="shared" ref="U21:U32" ca="1" si="29">INDIRECT(ADDRESS($BE$5,$BK$5+ (A21-1)* $BB$3,,,$BB$5))</f>
        <v>158.33333333333334</v>
      </c>
      <c r="V21" s="35">
        <f t="shared" ref="V21:V32" ca="1" si="30">IF(C21, INDIRECT(ADDRESS($BE$5,$BL$5 + (A21-1)* $BB$3,,,$BB$5)),0)</f>
        <v>56302.524887604355</v>
      </c>
      <c r="W21" s="35">
        <f t="shared" ref="W21:W32" ca="1" si="31">INDIRECT(ADDRESS($BE$5,$BM$5 + (A21-1)* $BB$3,,,$BB$5))</f>
        <v>0</v>
      </c>
      <c r="X21" s="36">
        <v>76172.12</v>
      </c>
      <c r="Y21" s="35">
        <f t="shared" ref="Y21:Y56" ca="1" si="32">SUM(W21:X21)</f>
        <v>76172.12</v>
      </c>
      <c r="Z21" s="35">
        <f t="shared" ref="Z21:Z56" ca="1" si="33">Z20+V21-Y21</f>
        <v>195422.35488760436</v>
      </c>
      <c r="AA21" s="35" t="s">
        <v>92</v>
      </c>
      <c r="AB21" s="31"/>
      <c r="AC21" s="34">
        <f t="shared" ref="AC21:AC32" ca="1" si="34">INDIRECT(ADDRESS($BF$5,$BK$5+ (A21-1)* $BB$3,,,$BB$5))</f>
        <v>125</v>
      </c>
      <c r="AD21" s="35">
        <f t="shared" ref="AD21:AD32" ca="1" si="35">IF(C21,INDIRECT(ADDRESS($BF$5,$BL$5 + (A21-1)* $BB$3,,,$BB$5)),0)</f>
        <v>44449.361753371857</v>
      </c>
      <c r="AE21" s="35">
        <f t="shared" ref="AE21:AE32" ca="1" si="36">INDIRECT(ADDRESS($BF$5,$BM$5 + (A21-1)* $BB$3,,,$BB$5))</f>
        <v>7065.16</v>
      </c>
      <c r="AF21" s="35" t="s">
        <v>92</v>
      </c>
      <c r="AG21" s="35">
        <f t="shared" ref="AG21:AG32" ca="1" si="37">IF(C21,INDIRECT(ADDRESS($BG$5,$BN$5 + (A21-1)* $BB$3,,,$BB$5)),0)</f>
        <v>6612.07</v>
      </c>
      <c r="AH21" s="35">
        <f t="shared" ref="AH21:AH56" ca="1" si="38">AE21+AG21</f>
        <v>13677.23</v>
      </c>
      <c r="AI21" s="35">
        <f t="shared" ref="AI21:AI56" ca="1" si="39">AI20+AD21-AH21</f>
        <v>303265.27175337187</v>
      </c>
      <c r="AJ21" s="35" t="s">
        <v>92</v>
      </c>
      <c r="AK21" s="31"/>
      <c r="AL21" s="35">
        <f t="shared" ca="1" si="7"/>
        <v>766107.70701348747</v>
      </c>
      <c r="AM21" s="31"/>
      <c r="AN21" s="35" t="s">
        <v>92</v>
      </c>
      <c r="AO21" s="35" t="s">
        <v>92</v>
      </c>
      <c r="AP21" s="35" t="s">
        <v>92</v>
      </c>
      <c r="AQ21" s="35" t="s">
        <v>92</v>
      </c>
      <c r="AR21" s="35" t="s">
        <v>92</v>
      </c>
      <c r="AS21" s="35" t="s">
        <v>92</v>
      </c>
      <c r="AT21" s="35">
        <f t="shared" si="8"/>
        <v>0</v>
      </c>
      <c r="AU21" s="31"/>
      <c r="AV21" s="37" t="s">
        <v>92</v>
      </c>
      <c r="AW21" s="35" t="s">
        <v>92</v>
      </c>
      <c r="AX21" s="35">
        <v>0</v>
      </c>
      <c r="AY21" s="31"/>
      <c r="AZ21" s="31"/>
      <c r="BA21" s="32">
        <f t="shared" ref="BA21:BA46" ca="1" si="40">B21</f>
        <v>44957</v>
      </c>
      <c r="BB21" s="35">
        <f t="shared" ca="1" si="9"/>
        <v>133710.04018625562</v>
      </c>
      <c r="BC21" s="38">
        <f t="shared" ca="1" si="10"/>
        <v>-4.213501927272964E-2</v>
      </c>
      <c r="BD21" s="35">
        <f t="shared" ca="1" si="11"/>
        <v>133710.04018625562</v>
      </c>
      <c r="BE21" s="39">
        <f t="shared" ca="1" si="12"/>
        <v>-4.213501927272964E-2</v>
      </c>
      <c r="BF21" s="35">
        <f t="shared" ca="1" si="13"/>
        <v>195422.35488760436</v>
      </c>
      <c r="BG21" s="39">
        <f t="shared" ca="1" si="14"/>
        <v>-6.1581966305906732E-2</v>
      </c>
      <c r="BH21" s="31"/>
      <c r="BI21" s="35">
        <f t="shared" ca="1" si="15"/>
        <v>303265.27175337187</v>
      </c>
      <c r="BJ21" s="39">
        <f t="shared" ca="1" si="16"/>
        <v>0.1458520048513659</v>
      </c>
      <c r="BK21" s="35">
        <f t="shared" ca="1" si="17"/>
        <v>766107.70701348747</v>
      </c>
      <c r="BL21" s="31"/>
      <c r="BM21" s="31"/>
      <c r="BN21" s="31"/>
      <c r="BO21" s="31"/>
      <c r="BP21" s="31"/>
      <c r="BQ21" s="31"/>
      <c r="BR21" s="31"/>
      <c r="BS21" s="31"/>
    </row>
    <row r="22" spans="1:71" ht="14">
      <c r="A22" s="24">
        <v>2</v>
      </c>
      <c r="B22" s="40">
        <f t="shared" ca="1" si="18"/>
        <v>44985</v>
      </c>
      <c r="C22" s="26" t="b">
        <v>1</v>
      </c>
      <c r="D22" s="1"/>
      <c r="E22" s="41">
        <f t="shared" ca="1" si="19"/>
        <v>108.33333333333334</v>
      </c>
      <c r="F22" s="15">
        <f t="shared" ca="1" si="20"/>
        <v>47041.656390494529</v>
      </c>
      <c r="G22" s="15">
        <f t="shared" ca="1" si="21"/>
        <v>0</v>
      </c>
      <c r="H22" s="27"/>
      <c r="I22" s="15">
        <f t="shared" ca="1" si="22"/>
        <v>0</v>
      </c>
      <c r="J22" s="15">
        <f t="shared" ca="1" si="23"/>
        <v>180751.69657675014</v>
      </c>
      <c r="K22" s="17" t="s">
        <v>92</v>
      </c>
      <c r="L22" s="1"/>
      <c r="M22" s="41">
        <f t="shared" ca="1" si="24"/>
        <v>108.33333333333334</v>
      </c>
      <c r="N22" s="15">
        <f t="shared" ca="1" si="25"/>
        <v>47041.656390494529</v>
      </c>
      <c r="O22" s="15">
        <f t="shared" ca="1" si="26"/>
        <v>0</v>
      </c>
      <c r="P22" s="27"/>
      <c r="Q22" s="15">
        <f t="shared" ca="1" si="27"/>
        <v>0</v>
      </c>
      <c r="R22" s="15">
        <f t="shared" ca="1" si="28"/>
        <v>180751.69657675014</v>
      </c>
      <c r="S22" s="17" t="s">
        <v>92</v>
      </c>
      <c r="T22" s="1"/>
      <c r="U22" s="41">
        <f t="shared" ca="1" si="29"/>
        <v>158.33333333333334</v>
      </c>
      <c r="V22" s="15">
        <f t="shared" ca="1" si="30"/>
        <v>68753.190109184303</v>
      </c>
      <c r="W22" s="15">
        <f t="shared" ca="1" si="31"/>
        <v>0</v>
      </c>
      <c r="X22" s="27"/>
      <c r="Y22" s="15">
        <f t="shared" ca="1" si="32"/>
        <v>0</v>
      </c>
      <c r="Z22" s="15">
        <f t="shared" ca="1" si="33"/>
        <v>264175.54499678867</v>
      </c>
      <c r="AA22" s="17" t="s">
        <v>92</v>
      </c>
      <c r="AB22" s="1"/>
      <c r="AC22" s="41">
        <f t="shared" ca="1" si="34"/>
        <v>125</v>
      </c>
      <c r="AD22" s="15">
        <f t="shared" ca="1" si="35"/>
        <v>54278.834296724453</v>
      </c>
      <c r="AE22" s="15">
        <f t="shared" ca="1" si="36"/>
        <v>5747.93</v>
      </c>
      <c r="AF22" s="15" t="s">
        <v>92</v>
      </c>
      <c r="AG22" s="15">
        <f t="shared" ca="1" si="37"/>
        <v>30000</v>
      </c>
      <c r="AH22" s="15">
        <f t="shared" ca="1" si="38"/>
        <v>35747.93</v>
      </c>
      <c r="AI22" s="15">
        <f t="shared" ca="1" si="39"/>
        <v>321796.17605009634</v>
      </c>
      <c r="AJ22" s="17" t="s">
        <v>92</v>
      </c>
      <c r="AK22" s="1"/>
      <c r="AL22" s="15">
        <f t="shared" ca="1" si="7"/>
        <v>947475.11420038529</v>
      </c>
      <c r="AM22" s="1"/>
      <c r="AN22" s="15" t="s">
        <v>92</v>
      </c>
      <c r="AO22" s="15" t="s">
        <v>92</v>
      </c>
      <c r="AP22" s="15" t="s">
        <v>92</v>
      </c>
      <c r="AQ22" s="15" t="s">
        <v>92</v>
      </c>
      <c r="AR22" s="15" t="s">
        <v>92</v>
      </c>
      <c r="AS22" s="15" t="s">
        <v>92</v>
      </c>
      <c r="AT22" s="15">
        <f t="shared" si="8"/>
        <v>0</v>
      </c>
      <c r="AU22" s="1"/>
      <c r="AV22" s="28" t="s">
        <v>92</v>
      </c>
      <c r="AW22" s="15" t="s">
        <v>92</v>
      </c>
      <c r="AX22" s="15">
        <v>0</v>
      </c>
      <c r="AY22" s="1"/>
      <c r="AZ22" s="1"/>
      <c r="BA22" s="12">
        <f t="shared" ca="1" si="40"/>
        <v>44985</v>
      </c>
      <c r="BB22" s="15">
        <f t="shared" ca="1" si="9"/>
        <v>180751.69657675014</v>
      </c>
      <c r="BC22" s="29">
        <f t="shared" ca="1" si="10"/>
        <v>-2.5894694012488617E-2</v>
      </c>
      <c r="BD22" s="15">
        <f t="shared" ca="1" si="11"/>
        <v>180751.69657675014</v>
      </c>
      <c r="BE22" s="30">
        <f t="shared" ca="1" si="12"/>
        <v>-2.5894694012488617E-2</v>
      </c>
      <c r="BF22" s="15">
        <f t="shared" ca="1" si="13"/>
        <v>264175.54499678867</v>
      </c>
      <c r="BG22" s="30">
        <f t="shared" ca="1" si="14"/>
        <v>-3.7846103427137512E-2</v>
      </c>
      <c r="BH22" s="1"/>
      <c r="BI22" s="15">
        <f t="shared" ca="1" si="15"/>
        <v>321796.17605009634</v>
      </c>
      <c r="BJ22" s="30">
        <f t="shared" ca="1" si="16"/>
        <v>8.9635491452114691E-2</v>
      </c>
      <c r="BK22" s="15">
        <f t="shared" ca="1" si="17"/>
        <v>947475.11420038529</v>
      </c>
    </row>
    <row r="23" spans="1:71" ht="14">
      <c r="A23" s="24">
        <v>3</v>
      </c>
      <c r="B23" s="40">
        <f t="shared" ca="1" si="18"/>
        <v>45016</v>
      </c>
      <c r="C23" s="26" t="b">
        <v>1</v>
      </c>
      <c r="D23" s="1"/>
      <c r="E23" s="41">
        <f t="shared" ca="1" si="19"/>
        <v>108.33333333333334</v>
      </c>
      <c r="F23" s="15">
        <f t="shared" ca="1" si="20"/>
        <v>32597.733782915853</v>
      </c>
      <c r="G23" s="15">
        <f t="shared" ca="1" si="21"/>
        <v>0</v>
      </c>
      <c r="H23" s="27">
        <v>95187.26</v>
      </c>
      <c r="I23" s="15">
        <f t="shared" ca="1" si="22"/>
        <v>95187.26</v>
      </c>
      <c r="J23" s="15">
        <f t="shared" ca="1" si="23"/>
        <v>118162.17035966601</v>
      </c>
      <c r="K23" s="17" t="s">
        <v>92</v>
      </c>
      <c r="L23" s="1"/>
      <c r="M23" s="41">
        <f t="shared" ca="1" si="24"/>
        <v>108.33333333333334</v>
      </c>
      <c r="N23" s="15">
        <f t="shared" ca="1" si="25"/>
        <v>32597.733782915853</v>
      </c>
      <c r="O23" s="15">
        <f t="shared" ca="1" si="26"/>
        <v>0</v>
      </c>
      <c r="P23" s="27">
        <v>95187.26</v>
      </c>
      <c r="Q23" s="15">
        <f t="shared" ca="1" si="27"/>
        <v>95187.26</v>
      </c>
      <c r="R23" s="15">
        <f t="shared" ca="1" si="28"/>
        <v>118162.17035966601</v>
      </c>
      <c r="S23" s="17" t="s">
        <v>92</v>
      </c>
      <c r="T23" s="1"/>
      <c r="U23" s="41">
        <f t="shared" ca="1" si="29"/>
        <v>158.33333333333334</v>
      </c>
      <c r="V23" s="15">
        <f t="shared" ca="1" si="30"/>
        <v>47642.84168272317</v>
      </c>
      <c r="W23" s="15">
        <f t="shared" ca="1" si="31"/>
        <v>0</v>
      </c>
      <c r="X23" s="27">
        <v>139119.82999999999</v>
      </c>
      <c r="Y23" s="15">
        <f t="shared" ca="1" si="32"/>
        <v>139119.82999999999</v>
      </c>
      <c r="Z23" s="15">
        <f t="shared" ca="1" si="33"/>
        <v>172698.55667951188</v>
      </c>
      <c r="AA23" s="17" t="s">
        <v>92</v>
      </c>
      <c r="AB23" s="1"/>
      <c r="AC23" s="41">
        <f t="shared" ca="1" si="34"/>
        <v>125</v>
      </c>
      <c r="AD23" s="15">
        <f t="shared" ca="1" si="35"/>
        <v>37612.769749518287</v>
      </c>
      <c r="AE23" s="15">
        <f t="shared" ca="1" si="36"/>
        <v>4461.83</v>
      </c>
      <c r="AF23" s="15" t="s">
        <v>92</v>
      </c>
      <c r="AG23" s="15">
        <f t="shared" ca="1" si="37"/>
        <v>861.0099999999984</v>
      </c>
      <c r="AH23" s="15">
        <f t="shared" ca="1" si="38"/>
        <v>5322.8399999999983</v>
      </c>
      <c r="AI23" s="15">
        <f t="shared" ca="1" si="39"/>
        <v>354086.10579961463</v>
      </c>
      <c r="AJ23" s="17" t="s">
        <v>92</v>
      </c>
      <c r="AK23" s="1"/>
      <c r="AL23" s="15">
        <f t="shared" ca="1" si="7"/>
        <v>763109.00319845846</v>
      </c>
      <c r="AM23" s="1"/>
      <c r="AN23" s="15" t="s">
        <v>92</v>
      </c>
      <c r="AO23" s="15" t="s">
        <v>92</v>
      </c>
      <c r="AP23" s="15" t="s">
        <v>92</v>
      </c>
      <c r="AQ23" s="15" t="s">
        <v>92</v>
      </c>
      <c r="AR23" s="15" t="s">
        <v>92</v>
      </c>
      <c r="AS23" s="15" t="s">
        <v>92</v>
      </c>
      <c r="AT23" s="15">
        <f t="shared" si="8"/>
        <v>0</v>
      </c>
      <c r="AU23" s="1"/>
      <c r="AV23" s="28" t="s">
        <v>92</v>
      </c>
      <c r="AW23" s="15" t="s">
        <v>92</v>
      </c>
      <c r="AX23" s="15">
        <v>0</v>
      </c>
      <c r="AY23" s="1"/>
      <c r="AZ23" s="1"/>
      <c r="BA23" s="12">
        <f t="shared" ca="1" si="40"/>
        <v>45016</v>
      </c>
      <c r="BB23" s="15">
        <f t="shared" ca="1" si="9"/>
        <v>118162.17035966601</v>
      </c>
      <c r="BC23" s="29">
        <f t="shared" ca="1" si="10"/>
        <v>-6.1823557930684336E-2</v>
      </c>
      <c r="BD23" s="15">
        <f t="shared" ca="1" si="11"/>
        <v>118162.17035966601</v>
      </c>
      <c r="BE23" s="30">
        <f t="shared" ca="1" si="12"/>
        <v>-6.1823557930684336E-2</v>
      </c>
      <c r="BF23" s="15">
        <f t="shared" ca="1" si="13"/>
        <v>172698.55667951188</v>
      </c>
      <c r="BG23" s="30">
        <f t="shared" ca="1" si="14"/>
        <v>-9.0357507744846355E-2</v>
      </c>
      <c r="BH23" s="1"/>
      <c r="BI23" s="15">
        <f t="shared" ca="1" si="15"/>
        <v>354086.10579961463</v>
      </c>
      <c r="BJ23" s="30">
        <f t="shared" ca="1" si="16"/>
        <v>0.21400462360621492</v>
      </c>
      <c r="BK23" s="15">
        <f t="shared" ca="1" si="17"/>
        <v>763109.00319845858</v>
      </c>
    </row>
    <row r="24" spans="1:71" ht="14">
      <c r="A24" s="24">
        <v>4</v>
      </c>
      <c r="B24" s="40">
        <f t="shared" ca="1" si="18"/>
        <v>45046</v>
      </c>
      <c r="C24" s="26" t="b">
        <v>1</v>
      </c>
      <c r="D24" s="1"/>
      <c r="E24" s="41">
        <f t="shared" ca="1" si="19"/>
        <v>108.33333333333334</v>
      </c>
      <c r="F24" s="15">
        <f t="shared" ca="1" si="20"/>
        <v>37323.033397559404</v>
      </c>
      <c r="G24" s="15">
        <f t="shared" ca="1" si="21"/>
        <v>0</v>
      </c>
      <c r="H24" s="27"/>
      <c r="I24" s="15">
        <f t="shared" ca="1" si="22"/>
        <v>0</v>
      </c>
      <c r="J24" s="15">
        <f t="shared" ca="1" si="23"/>
        <v>155485.20375722542</v>
      </c>
      <c r="K24" s="17" t="s">
        <v>92</v>
      </c>
      <c r="L24" s="1"/>
      <c r="M24" s="41">
        <f t="shared" ca="1" si="24"/>
        <v>108.33333333333334</v>
      </c>
      <c r="N24" s="15">
        <f t="shared" ca="1" si="25"/>
        <v>37323.033397559404</v>
      </c>
      <c r="O24" s="15">
        <f t="shared" ca="1" si="26"/>
        <v>0</v>
      </c>
      <c r="P24" s="27"/>
      <c r="Q24" s="15">
        <f t="shared" ca="1" si="27"/>
        <v>0</v>
      </c>
      <c r="R24" s="15">
        <f t="shared" ca="1" si="28"/>
        <v>155485.20375722542</v>
      </c>
      <c r="S24" s="17" t="s">
        <v>92</v>
      </c>
      <c r="T24" s="1"/>
      <c r="U24" s="41">
        <f t="shared" ca="1" si="29"/>
        <v>158.33333333333334</v>
      </c>
      <c r="V24" s="15">
        <f t="shared" ca="1" si="30"/>
        <v>54549.048811817593</v>
      </c>
      <c r="W24" s="15">
        <f t="shared" ca="1" si="31"/>
        <v>0</v>
      </c>
      <c r="X24" s="27"/>
      <c r="Y24" s="15">
        <f t="shared" ca="1" si="32"/>
        <v>0</v>
      </c>
      <c r="Z24" s="15">
        <f t="shared" ca="1" si="33"/>
        <v>227247.60549132948</v>
      </c>
      <c r="AA24" s="17" t="s">
        <v>92</v>
      </c>
      <c r="AB24" s="1"/>
      <c r="AC24" s="41">
        <f t="shared" ca="1" si="34"/>
        <v>125</v>
      </c>
      <c r="AD24" s="15">
        <f t="shared" ca="1" si="35"/>
        <v>43065.038535645464</v>
      </c>
      <c r="AE24" s="15">
        <f t="shared" ca="1" si="36"/>
        <v>1555.42</v>
      </c>
      <c r="AF24" s="15" t="s">
        <v>92</v>
      </c>
      <c r="AG24" s="15">
        <f t="shared" ca="1" si="37"/>
        <v>123861.01000000001</v>
      </c>
      <c r="AH24" s="15">
        <f t="shared" ca="1" si="38"/>
        <v>125416.43000000001</v>
      </c>
      <c r="AI24" s="15">
        <f t="shared" ca="1" si="39"/>
        <v>271734.7143352601</v>
      </c>
      <c r="AJ24" s="17" t="s">
        <v>92</v>
      </c>
      <c r="AK24" s="1"/>
      <c r="AL24" s="15">
        <f t="shared" ca="1" si="7"/>
        <v>809952.72734104039</v>
      </c>
      <c r="AM24" s="1"/>
      <c r="AN24" s="15" t="s">
        <v>92</v>
      </c>
      <c r="AO24" s="15" t="s">
        <v>92</v>
      </c>
      <c r="AP24" s="15" t="s">
        <v>92</v>
      </c>
      <c r="AQ24" s="15" t="s">
        <v>92</v>
      </c>
      <c r="AR24" s="15" t="s">
        <v>92</v>
      </c>
      <c r="AS24" s="15" t="s">
        <v>92</v>
      </c>
      <c r="AT24" s="15">
        <f t="shared" si="8"/>
        <v>0</v>
      </c>
      <c r="AU24" s="1"/>
      <c r="AV24" s="28" t="s">
        <v>92</v>
      </c>
      <c r="AW24" s="15" t="s">
        <v>92</v>
      </c>
      <c r="AX24" s="15">
        <v>0</v>
      </c>
      <c r="AY24" s="1"/>
      <c r="AZ24" s="1"/>
      <c r="BA24" s="12">
        <f t="shared" ca="1" si="40"/>
        <v>45046</v>
      </c>
      <c r="BB24" s="15">
        <f t="shared" ca="1" si="9"/>
        <v>155485.20375722542</v>
      </c>
      <c r="BC24" s="29">
        <f t="shared" ca="1" si="10"/>
        <v>-2.4698421473319132E-2</v>
      </c>
      <c r="BD24" s="15">
        <f t="shared" ca="1" si="11"/>
        <v>155485.20375722542</v>
      </c>
      <c r="BE24" s="30">
        <f t="shared" ca="1" si="12"/>
        <v>-2.4698421473319132E-2</v>
      </c>
      <c r="BF24" s="15">
        <f t="shared" ca="1" si="13"/>
        <v>227247.60549132948</v>
      </c>
      <c r="BG24" s="30">
        <f t="shared" ca="1" si="14"/>
        <v>-3.6097692922543334E-2</v>
      </c>
      <c r="BH24" s="1"/>
      <c r="BI24" s="15">
        <f t="shared" ca="1" si="15"/>
        <v>271734.7143352601</v>
      </c>
      <c r="BJ24" s="30">
        <f t="shared" ca="1" si="16"/>
        <v>8.5494535869181543E-2</v>
      </c>
      <c r="BK24" s="15">
        <f t="shared" ca="1" si="17"/>
        <v>809952.72734104039</v>
      </c>
    </row>
    <row r="25" spans="1:71" ht="14">
      <c r="A25" s="24">
        <v>5</v>
      </c>
      <c r="B25" s="40">
        <f t="shared" ca="1" si="18"/>
        <v>45077</v>
      </c>
      <c r="C25" s="26" t="b">
        <v>1</v>
      </c>
      <c r="D25" s="1"/>
      <c r="E25" s="41">
        <f t="shared" ca="1" si="19"/>
        <v>108.33333333333334</v>
      </c>
      <c r="F25" s="15">
        <f t="shared" ca="1" si="20"/>
        <v>19487.233782915864</v>
      </c>
      <c r="G25" s="15">
        <f t="shared" ca="1" si="21"/>
        <v>0</v>
      </c>
      <c r="H25" s="27"/>
      <c r="I25" s="15">
        <f t="shared" ca="1" si="22"/>
        <v>0</v>
      </c>
      <c r="J25" s="15">
        <f t="shared" ca="1" si="23"/>
        <v>174972.43754014128</v>
      </c>
      <c r="K25" s="17" t="s">
        <v>92</v>
      </c>
      <c r="L25" s="1"/>
      <c r="M25" s="41">
        <f t="shared" ca="1" si="24"/>
        <v>108.33333333333334</v>
      </c>
      <c r="N25" s="15">
        <f t="shared" ca="1" si="25"/>
        <v>19487.233782915864</v>
      </c>
      <c r="O25" s="15">
        <f t="shared" ca="1" si="26"/>
        <v>0</v>
      </c>
      <c r="P25" s="27"/>
      <c r="Q25" s="15">
        <f t="shared" ca="1" si="27"/>
        <v>0</v>
      </c>
      <c r="R25" s="15">
        <f t="shared" ca="1" si="28"/>
        <v>174972.43754014128</v>
      </c>
      <c r="S25" s="17" t="s">
        <v>92</v>
      </c>
      <c r="T25" s="1"/>
      <c r="U25" s="41">
        <f t="shared" ca="1" si="29"/>
        <v>158.33333333333334</v>
      </c>
      <c r="V25" s="15">
        <f t="shared" ca="1" si="30"/>
        <v>28481.341682723185</v>
      </c>
      <c r="W25" s="15">
        <f t="shared" ca="1" si="31"/>
        <v>0</v>
      </c>
      <c r="X25" s="27"/>
      <c r="Y25" s="15">
        <f t="shared" ca="1" si="32"/>
        <v>0</v>
      </c>
      <c r="Z25" s="15">
        <f t="shared" ca="1" si="33"/>
        <v>255728.94717405265</v>
      </c>
      <c r="AA25" s="17" t="s">
        <v>92</v>
      </c>
      <c r="AB25" s="1"/>
      <c r="AC25" s="41">
        <f t="shared" ca="1" si="34"/>
        <v>125</v>
      </c>
      <c r="AD25" s="15">
        <f t="shared" ca="1" si="35"/>
        <v>22485.269749518302</v>
      </c>
      <c r="AE25" s="15">
        <f t="shared" ca="1" si="36"/>
        <v>8415.27</v>
      </c>
      <c r="AF25" s="15" t="s">
        <v>92</v>
      </c>
      <c r="AG25" s="15">
        <f t="shared" ca="1" si="37"/>
        <v>0</v>
      </c>
      <c r="AH25" s="15">
        <f t="shared" ca="1" si="38"/>
        <v>8415.27</v>
      </c>
      <c r="AI25" s="15">
        <f t="shared" ca="1" si="39"/>
        <v>285804.71408477839</v>
      </c>
      <c r="AJ25" s="17" t="s">
        <v>92</v>
      </c>
      <c r="AK25" s="1"/>
      <c r="AL25" s="15">
        <f t="shared" ca="1" si="7"/>
        <v>891478.53633911361</v>
      </c>
      <c r="AM25" s="1"/>
      <c r="AN25" s="15" t="s">
        <v>92</v>
      </c>
      <c r="AO25" s="15" t="s">
        <v>92</v>
      </c>
      <c r="AP25" s="15" t="s">
        <v>92</v>
      </c>
      <c r="AQ25" s="15" t="s">
        <v>92</v>
      </c>
      <c r="AR25" s="15" t="s">
        <v>92</v>
      </c>
      <c r="AS25" s="15" t="s">
        <v>92</v>
      </c>
      <c r="AT25" s="15">
        <f t="shared" si="8"/>
        <v>0</v>
      </c>
      <c r="AU25" s="1"/>
      <c r="AV25" s="28" t="s">
        <v>92</v>
      </c>
      <c r="AW25" s="15" t="s">
        <v>92</v>
      </c>
      <c r="AX25" s="15">
        <v>0</v>
      </c>
      <c r="AY25" s="1"/>
      <c r="AZ25" s="1"/>
      <c r="BA25" s="12">
        <f t="shared" ca="1" si="40"/>
        <v>45077</v>
      </c>
      <c r="BB25" s="15">
        <f t="shared" ca="1" si="9"/>
        <v>174972.43754014128</v>
      </c>
      <c r="BC25" s="29">
        <f t="shared" ca="1" si="10"/>
        <v>-2.0394484659154277E-2</v>
      </c>
      <c r="BD25" s="15">
        <f t="shared" ca="1" si="11"/>
        <v>174972.43754014128</v>
      </c>
      <c r="BE25" s="30">
        <f t="shared" ca="1" si="12"/>
        <v>-2.0394484659154277E-2</v>
      </c>
      <c r="BF25" s="15">
        <f t="shared" ca="1" si="13"/>
        <v>255728.94717405265</v>
      </c>
      <c r="BG25" s="30">
        <f t="shared" ca="1" si="14"/>
        <v>-2.9807323732610136E-2</v>
      </c>
      <c r="BH25" s="1"/>
      <c r="BI25" s="15">
        <f t="shared" ca="1" si="15"/>
        <v>285804.71408477839</v>
      </c>
      <c r="BJ25" s="30">
        <f t="shared" ca="1" si="16"/>
        <v>7.0596293050918468E-2</v>
      </c>
      <c r="BK25" s="15">
        <f t="shared" ca="1" si="17"/>
        <v>891478.53633911372</v>
      </c>
    </row>
    <row r="26" spans="1:71" ht="14">
      <c r="A26" s="24">
        <v>6</v>
      </c>
      <c r="B26" s="40">
        <f t="shared" ca="1" si="18"/>
        <v>45107</v>
      </c>
      <c r="C26" s="26" t="b">
        <v>1</v>
      </c>
      <c r="D26" s="1"/>
      <c r="E26" s="41">
        <f t="shared" ca="1" si="19"/>
        <v>108.33333333333334</v>
      </c>
      <c r="F26" s="15">
        <f t="shared" ca="1" si="20"/>
        <v>16605.754977520872</v>
      </c>
      <c r="G26" s="15">
        <f t="shared" ca="1" si="21"/>
        <v>0</v>
      </c>
      <c r="H26" s="27"/>
      <c r="I26" s="15">
        <f t="shared" ca="1" si="22"/>
        <v>0</v>
      </c>
      <c r="J26" s="15">
        <f t="shared" ca="1" si="23"/>
        <v>191578.19251766216</v>
      </c>
      <c r="K26" s="17" t="s">
        <v>92</v>
      </c>
      <c r="L26" s="1"/>
      <c r="M26" s="41">
        <f t="shared" ca="1" si="24"/>
        <v>108.33333333333334</v>
      </c>
      <c r="N26" s="15">
        <f t="shared" ca="1" si="25"/>
        <v>16605.754977520872</v>
      </c>
      <c r="O26" s="15">
        <f t="shared" ca="1" si="26"/>
        <v>0</v>
      </c>
      <c r="P26" s="27"/>
      <c r="Q26" s="15">
        <f t="shared" ca="1" si="27"/>
        <v>0</v>
      </c>
      <c r="R26" s="15">
        <f t="shared" ca="1" si="28"/>
        <v>191578.19251766216</v>
      </c>
      <c r="S26" s="17" t="s">
        <v>92</v>
      </c>
      <c r="T26" s="1"/>
      <c r="U26" s="41">
        <f t="shared" ca="1" si="29"/>
        <v>158.33333333333334</v>
      </c>
      <c r="V26" s="15">
        <f t="shared" ca="1" si="30"/>
        <v>24269.949582530502</v>
      </c>
      <c r="W26" s="15">
        <f t="shared" ca="1" si="31"/>
        <v>0</v>
      </c>
      <c r="X26" s="27"/>
      <c r="Y26" s="15">
        <f t="shared" ca="1" si="32"/>
        <v>0</v>
      </c>
      <c r="Z26" s="15">
        <f t="shared" ca="1" si="33"/>
        <v>279998.89675658313</v>
      </c>
      <c r="AA26" s="17" t="s">
        <v>92</v>
      </c>
      <c r="AB26" s="1"/>
      <c r="AC26" s="41">
        <f t="shared" ca="1" si="34"/>
        <v>125</v>
      </c>
      <c r="AD26" s="15">
        <f t="shared" ca="1" si="35"/>
        <v>19160.486512524079</v>
      </c>
      <c r="AE26" s="15">
        <f t="shared" ca="1" si="36"/>
        <v>3644.84</v>
      </c>
      <c r="AF26" s="15" t="s">
        <v>92</v>
      </c>
      <c r="AG26" s="15">
        <f t="shared" ca="1" si="37"/>
        <v>2204.4500000000007</v>
      </c>
      <c r="AH26" s="15">
        <f t="shared" ca="1" si="38"/>
        <v>5849.2900000000009</v>
      </c>
      <c r="AI26" s="15">
        <f t="shared" ca="1" si="39"/>
        <v>299115.91059730249</v>
      </c>
      <c r="AJ26" s="17" t="s">
        <v>92</v>
      </c>
      <c r="AK26" s="1"/>
      <c r="AL26" s="15">
        <f t="shared" ca="1" si="7"/>
        <v>962271.19238920999</v>
      </c>
      <c r="AM26" s="1"/>
      <c r="AN26" s="15" t="s">
        <v>92</v>
      </c>
      <c r="AO26" s="15" t="s">
        <v>92</v>
      </c>
      <c r="AP26" s="15" t="s">
        <v>92</v>
      </c>
      <c r="AQ26" s="15" t="s">
        <v>92</v>
      </c>
      <c r="AR26" s="15" t="s">
        <v>92</v>
      </c>
      <c r="AS26" s="15" t="s">
        <v>92</v>
      </c>
      <c r="AT26" s="15">
        <f t="shared" si="8"/>
        <v>0</v>
      </c>
      <c r="AU26" s="1"/>
      <c r="AV26" s="28" t="s">
        <v>92</v>
      </c>
      <c r="AW26" s="15" t="s">
        <v>92</v>
      </c>
      <c r="AX26" s="15">
        <v>0</v>
      </c>
      <c r="AY26" s="1"/>
      <c r="AZ26" s="1"/>
      <c r="BA26" s="12">
        <f t="shared" ca="1" si="40"/>
        <v>45107</v>
      </c>
      <c r="BB26" s="15">
        <f t="shared" ca="1" si="9"/>
        <v>191578.19251766216</v>
      </c>
      <c r="BC26" s="29">
        <f t="shared" ca="1" si="10"/>
        <v>-1.7577060708500875E-2</v>
      </c>
      <c r="BD26" s="15">
        <f t="shared" ca="1" si="11"/>
        <v>191578.19251766216</v>
      </c>
      <c r="BE26" s="30">
        <f t="shared" ca="1" si="12"/>
        <v>-1.7577060708500875E-2</v>
      </c>
      <c r="BF26" s="15">
        <f t="shared" ca="1" si="13"/>
        <v>279998.89675658313</v>
      </c>
      <c r="BG26" s="30">
        <f t="shared" ca="1" si="14"/>
        <v>-2.5689550266270567E-2</v>
      </c>
      <c r="BH26" s="1"/>
      <c r="BI26" s="15">
        <f t="shared" ca="1" si="15"/>
        <v>299115.91059730249</v>
      </c>
      <c r="BJ26" s="30">
        <f t="shared" ca="1" si="16"/>
        <v>6.084367168327226E-2</v>
      </c>
      <c r="BK26" s="15">
        <f t="shared" ca="1" si="17"/>
        <v>962271.19238920999</v>
      </c>
    </row>
    <row r="27" spans="1:71" ht="14">
      <c r="A27" s="24">
        <v>7</v>
      </c>
      <c r="B27" s="40">
        <f t="shared" ca="1" si="18"/>
        <v>45138</v>
      </c>
      <c r="C27" s="26" t="b">
        <v>1</v>
      </c>
      <c r="D27" s="1"/>
      <c r="E27" s="41">
        <f t="shared" ca="1" si="19"/>
        <v>108.33333333333334</v>
      </c>
      <c r="F27" s="15">
        <f t="shared" ca="1" si="20"/>
        <v>33289.322093770068</v>
      </c>
      <c r="G27" s="15">
        <f t="shared" ca="1" si="21"/>
        <v>0</v>
      </c>
      <c r="H27" s="27"/>
      <c r="I27" s="15">
        <f t="shared" ca="1" si="22"/>
        <v>0</v>
      </c>
      <c r="J27" s="15">
        <f t="shared" ca="1" si="23"/>
        <v>224867.51461143221</v>
      </c>
      <c r="K27" s="17" t="s">
        <v>92</v>
      </c>
      <c r="L27" s="1"/>
      <c r="M27" s="41">
        <f t="shared" ca="1" si="24"/>
        <v>108.33333333333334</v>
      </c>
      <c r="N27" s="15">
        <f t="shared" ca="1" si="25"/>
        <v>33289.322093770068</v>
      </c>
      <c r="O27" s="15">
        <f t="shared" ca="1" si="26"/>
        <v>0</v>
      </c>
      <c r="P27" s="27"/>
      <c r="Q27" s="15">
        <f t="shared" ca="1" si="27"/>
        <v>0</v>
      </c>
      <c r="R27" s="15">
        <f t="shared" ca="1" si="28"/>
        <v>224867.51461143221</v>
      </c>
      <c r="S27" s="17" t="s">
        <v>92</v>
      </c>
      <c r="T27" s="1"/>
      <c r="U27" s="41">
        <f t="shared" ca="1" si="29"/>
        <v>158.33333333333334</v>
      </c>
      <c r="V27" s="15">
        <f t="shared" ca="1" si="30"/>
        <v>48653.624598587019</v>
      </c>
      <c r="W27" s="15">
        <f t="shared" ca="1" si="31"/>
        <v>0</v>
      </c>
      <c r="X27" s="27"/>
      <c r="Y27" s="15">
        <f t="shared" ca="1" si="32"/>
        <v>0</v>
      </c>
      <c r="Z27" s="15">
        <f t="shared" ca="1" si="33"/>
        <v>328652.52135517017</v>
      </c>
      <c r="AA27" s="17" t="s">
        <v>92</v>
      </c>
      <c r="AB27" s="1"/>
      <c r="AC27" s="41">
        <f t="shared" ca="1" si="34"/>
        <v>125</v>
      </c>
      <c r="AD27" s="15">
        <f t="shared" ca="1" si="35"/>
        <v>38410.756262042378</v>
      </c>
      <c r="AE27" s="15">
        <f t="shared" ca="1" si="36"/>
        <v>11761.15</v>
      </c>
      <c r="AF27" s="15" t="s">
        <v>92</v>
      </c>
      <c r="AG27" s="15">
        <f t="shared" ca="1" si="37"/>
        <v>0</v>
      </c>
      <c r="AH27" s="15">
        <f t="shared" ca="1" si="38"/>
        <v>11761.15</v>
      </c>
      <c r="AI27" s="15">
        <f t="shared" ca="1" si="39"/>
        <v>325765.51685934485</v>
      </c>
      <c r="AJ27" s="17" t="s">
        <v>92</v>
      </c>
      <c r="AK27" s="1"/>
      <c r="AL27" s="15">
        <f t="shared" ca="1" si="7"/>
        <v>1104153.0674373794</v>
      </c>
      <c r="AM27" s="1"/>
      <c r="AN27" s="15" t="s">
        <v>92</v>
      </c>
      <c r="AO27" s="15" t="s">
        <v>92</v>
      </c>
      <c r="AP27" s="15" t="s">
        <v>92</v>
      </c>
      <c r="AQ27" s="15" t="s">
        <v>92</v>
      </c>
      <c r="AR27" s="15" t="s">
        <v>92</v>
      </c>
      <c r="AS27" s="15" t="s">
        <v>92</v>
      </c>
      <c r="AT27" s="15">
        <f t="shared" si="8"/>
        <v>0</v>
      </c>
      <c r="AU27" s="1"/>
      <c r="AV27" s="28" t="s">
        <v>92</v>
      </c>
      <c r="AW27" s="15" t="s">
        <v>92</v>
      </c>
      <c r="AX27" s="15">
        <v>0</v>
      </c>
      <c r="AY27" s="1"/>
      <c r="AZ27" s="1"/>
      <c r="BA27" s="12">
        <f t="shared" ca="1" si="40"/>
        <v>45138</v>
      </c>
      <c r="BB27" s="15">
        <f t="shared" ca="1" si="9"/>
        <v>224867.51461143221</v>
      </c>
      <c r="BC27" s="29">
        <f t="shared" ca="1" si="10"/>
        <v>-1.3010560241743602E-2</v>
      </c>
      <c r="BD27" s="15">
        <f t="shared" ca="1" si="11"/>
        <v>224867.51461143221</v>
      </c>
      <c r="BE27" s="30">
        <f t="shared" ca="1" si="12"/>
        <v>-1.3010560241743602E-2</v>
      </c>
      <c r="BF27" s="15">
        <f t="shared" ca="1" si="13"/>
        <v>328652.52135517017</v>
      </c>
      <c r="BG27" s="30">
        <f t="shared" ca="1" si="14"/>
        <v>-1.9015434199471437E-2</v>
      </c>
      <c r="BH27" s="1"/>
      <c r="BI27" s="15">
        <f t="shared" ca="1" si="15"/>
        <v>325765.51685934485</v>
      </c>
      <c r="BJ27" s="30">
        <f t="shared" ca="1" si="16"/>
        <v>4.5036554682958585E-2</v>
      </c>
      <c r="BK27" s="15">
        <f t="shared" ca="1" si="17"/>
        <v>1104153.0674373794</v>
      </c>
    </row>
    <row r="28" spans="1:71" ht="14">
      <c r="A28" s="24">
        <v>8</v>
      </c>
      <c r="B28" s="40">
        <f t="shared" ca="1" si="18"/>
        <v>45169</v>
      </c>
      <c r="C28" s="26" t="b">
        <v>1</v>
      </c>
      <c r="D28" s="1"/>
      <c r="E28" s="41">
        <f t="shared" ca="1" si="19"/>
        <v>108.33333333333334</v>
      </c>
      <c r="F28" s="15">
        <f t="shared" ca="1" si="20"/>
        <v>27718.237636480419</v>
      </c>
      <c r="G28" s="15">
        <f t="shared" ca="1" si="21"/>
        <v>0</v>
      </c>
      <c r="H28" s="27">
        <v>118162.17</v>
      </c>
      <c r="I28" s="15">
        <f t="shared" ca="1" si="22"/>
        <v>118162.17</v>
      </c>
      <c r="J28" s="15">
        <f t="shared" ca="1" si="23"/>
        <v>134423.58224791265</v>
      </c>
      <c r="K28" s="17" t="s">
        <v>92</v>
      </c>
      <c r="L28" s="1"/>
      <c r="M28" s="41">
        <f t="shared" ca="1" si="24"/>
        <v>108.33333333333334</v>
      </c>
      <c r="N28" s="15">
        <f t="shared" ca="1" si="25"/>
        <v>27718.237636480419</v>
      </c>
      <c r="O28" s="15">
        <f t="shared" ca="1" si="26"/>
        <v>0</v>
      </c>
      <c r="P28" s="27">
        <v>118162.17</v>
      </c>
      <c r="Q28" s="15">
        <f t="shared" ca="1" si="27"/>
        <v>118162.17</v>
      </c>
      <c r="R28" s="15">
        <f t="shared" ca="1" si="28"/>
        <v>134423.58224791265</v>
      </c>
      <c r="S28" s="17" t="s">
        <v>92</v>
      </c>
      <c r="T28" s="1"/>
      <c r="U28" s="41">
        <f t="shared" ca="1" si="29"/>
        <v>158.33333333333334</v>
      </c>
      <c r="V28" s="15">
        <f t="shared" ca="1" si="30"/>
        <v>40511.270391779071</v>
      </c>
      <c r="W28" s="15">
        <f t="shared" ca="1" si="31"/>
        <v>0</v>
      </c>
      <c r="X28" s="27">
        <v>172698.56</v>
      </c>
      <c r="Y28" s="15">
        <f t="shared" ca="1" si="32"/>
        <v>172698.56</v>
      </c>
      <c r="Z28" s="15">
        <f t="shared" ca="1" si="33"/>
        <v>196465.23174694926</v>
      </c>
      <c r="AA28" s="17" t="s">
        <v>92</v>
      </c>
      <c r="AB28" s="1"/>
      <c r="AC28" s="41">
        <f t="shared" ca="1" si="34"/>
        <v>125</v>
      </c>
      <c r="AD28" s="15">
        <f t="shared" ca="1" si="35"/>
        <v>31982.58188824663</v>
      </c>
      <c r="AE28" s="15">
        <f t="shared" ca="1" si="36"/>
        <v>9770.1299999999992</v>
      </c>
      <c r="AF28" s="15" t="s">
        <v>92</v>
      </c>
      <c r="AG28" s="15">
        <f t="shared" ca="1" si="37"/>
        <v>100152</v>
      </c>
      <c r="AH28" s="15">
        <f t="shared" ca="1" si="38"/>
        <v>109922.13</v>
      </c>
      <c r="AI28" s="15">
        <f t="shared" ca="1" si="39"/>
        <v>247825.96874759148</v>
      </c>
      <c r="AJ28" s="17" t="s">
        <v>92</v>
      </c>
      <c r="AK28" s="1"/>
      <c r="AL28" s="15">
        <f t="shared" ca="1" si="7"/>
        <v>713138.36499036604</v>
      </c>
      <c r="AM28" s="1"/>
      <c r="AN28" s="15" t="s">
        <v>92</v>
      </c>
      <c r="AO28" s="15" t="s">
        <v>92</v>
      </c>
      <c r="AP28" s="15" t="s">
        <v>92</v>
      </c>
      <c r="AQ28" s="15" t="s">
        <v>92</v>
      </c>
      <c r="AR28" s="15" t="s">
        <v>92</v>
      </c>
      <c r="AS28" s="15" t="s">
        <v>92</v>
      </c>
      <c r="AT28" s="15">
        <f t="shared" si="8"/>
        <v>0</v>
      </c>
      <c r="AU28" s="1"/>
      <c r="AV28" s="28" t="s">
        <v>92</v>
      </c>
      <c r="AW28" s="15" t="s">
        <v>92</v>
      </c>
      <c r="AX28" s="15">
        <v>0</v>
      </c>
      <c r="AY28" s="1"/>
      <c r="AZ28" s="1"/>
      <c r="BA28" s="12">
        <f t="shared" ca="1" si="40"/>
        <v>45169</v>
      </c>
      <c r="BB28" s="15">
        <f t="shared" ca="1" si="9"/>
        <v>134423.58224791265</v>
      </c>
      <c r="BC28" s="29">
        <f t="shared" ca="1" si="10"/>
        <v>-2.8170872796807189E-2</v>
      </c>
      <c r="BD28" s="15">
        <f t="shared" ca="1" si="11"/>
        <v>134423.58224791265</v>
      </c>
      <c r="BE28" s="30">
        <f t="shared" ca="1" si="12"/>
        <v>-2.8170872796807189E-2</v>
      </c>
      <c r="BF28" s="15">
        <f t="shared" ca="1" si="13"/>
        <v>196465.23174694926</v>
      </c>
      <c r="BG28" s="30">
        <f t="shared" ca="1" si="14"/>
        <v>-4.1172819480919887E-2</v>
      </c>
      <c r="BH28" s="1"/>
      <c r="BI28" s="15">
        <f t="shared" ca="1" si="15"/>
        <v>247825.96874759148</v>
      </c>
      <c r="BJ28" s="30">
        <f t="shared" ca="1" si="16"/>
        <v>9.751456507453421E-2</v>
      </c>
      <c r="BK28" s="15">
        <f t="shared" ca="1" si="17"/>
        <v>713138.36499036604</v>
      </c>
    </row>
    <row r="29" spans="1:71" ht="14">
      <c r="A29" s="24">
        <v>9</v>
      </c>
      <c r="B29" s="40">
        <f t="shared" ca="1" si="18"/>
        <v>45199</v>
      </c>
      <c r="C29" s="26" t="b">
        <v>1</v>
      </c>
      <c r="D29" s="1"/>
      <c r="E29" s="41">
        <f t="shared" ca="1" si="19"/>
        <v>108.33333333333334</v>
      </c>
      <c r="F29" s="15">
        <f t="shared" ca="1" si="20"/>
        <v>32966.447013487479</v>
      </c>
      <c r="G29" s="15">
        <f t="shared" ca="1" si="21"/>
        <v>0</v>
      </c>
      <c r="H29" s="27"/>
      <c r="I29" s="15">
        <f t="shared" ca="1" si="22"/>
        <v>0</v>
      </c>
      <c r="J29" s="15">
        <f t="shared" ca="1" si="23"/>
        <v>167390.02926140014</v>
      </c>
      <c r="K29" s="17" t="s">
        <v>92</v>
      </c>
      <c r="L29" s="1"/>
      <c r="M29" s="41">
        <f t="shared" ca="1" si="24"/>
        <v>108.33333333333334</v>
      </c>
      <c r="N29" s="15">
        <f t="shared" ca="1" si="25"/>
        <v>32966.447013487479</v>
      </c>
      <c r="O29" s="15">
        <f t="shared" ca="1" si="26"/>
        <v>0</v>
      </c>
      <c r="P29" s="27"/>
      <c r="Q29" s="15">
        <f t="shared" ca="1" si="27"/>
        <v>0</v>
      </c>
      <c r="R29" s="15">
        <f t="shared" ca="1" si="28"/>
        <v>167390.02926140014</v>
      </c>
      <c r="S29" s="17" t="s">
        <v>92</v>
      </c>
      <c r="T29" s="1"/>
      <c r="U29" s="41">
        <f t="shared" ca="1" si="29"/>
        <v>158.33333333333334</v>
      </c>
      <c r="V29" s="15">
        <f t="shared" ca="1" si="30"/>
        <v>48181.730250481691</v>
      </c>
      <c r="W29" s="15">
        <f t="shared" ca="1" si="31"/>
        <v>0</v>
      </c>
      <c r="X29" s="27"/>
      <c r="Y29" s="15">
        <f t="shared" ca="1" si="32"/>
        <v>0</v>
      </c>
      <c r="Z29" s="15">
        <f t="shared" ca="1" si="33"/>
        <v>244646.96199743095</v>
      </c>
      <c r="AA29" s="17" t="s">
        <v>92</v>
      </c>
      <c r="AB29" s="1"/>
      <c r="AC29" s="41">
        <f t="shared" ca="1" si="34"/>
        <v>125</v>
      </c>
      <c r="AD29" s="15">
        <f t="shared" ca="1" si="35"/>
        <v>38038.20809248554</v>
      </c>
      <c r="AE29" s="15">
        <f t="shared" ca="1" si="36"/>
        <v>18223.080000000002</v>
      </c>
      <c r="AF29" s="15" t="s">
        <v>92</v>
      </c>
      <c r="AG29" s="15">
        <f t="shared" ca="1" si="37"/>
        <v>30000</v>
      </c>
      <c r="AH29" s="15">
        <f t="shared" ca="1" si="38"/>
        <v>48223.08</v>
      </c>
      <c r="AI29" s="15">
        <f t="shared" ca="1" si="39"/>
        <v>237641.09684007702</v>
      </c>
      <c r="AJ29" s="17" t="s">
        <v>92</v>
      </c>
      <c r="AK29" s="1"/>
      <c r="AL29" s="15">
        <f t="shared" ca="1" si="7"/>
        <v>817068.11736030818</v>
      </c>
      <c r="AM29" s="1"/>
      <c r="AN29" s="15" t="s">
        <v>92</v>
      </c>
      <c r="AO29" s="15" t="s">
        <v>92</v>
      </c>
      <c r="AP29" s="15" t="s">
        <v>92</v>
      </c>
      <c r="AQ29" s="15" t="s">
        <v>92</v>
      </c>
      <c r="AR29" s="15" t="s">
        <v>92</v>
      </c>
      <c r="AS29" s="15" t="s">
        <v>92</v>
      </c>
      <c r="AT29" s="15">
        <f t="shared" si="8"/>
        <v>0</v>
      </c>
      <c r="AU29" s="1"/>
      <c r="AV29" s="28" t="s">
        <v>92</v>
      </c>
      <c r="AW29" s="15" t="s">
        <v>92</v>
      </c>
      <c r="AX29" s="15">
        <v>0</v>
      </c>
      <c r="AY29" s="1"/>
      <c r="AZ29" s="1"/>
      <c r="BA29" s="12">
        <f t="shared" ca="1" si="40"/>
        <v>45199</v>
      </c>
      <c r="BB29" s="15">
        <f t="shared" ca="1" si="9"/>
        <v>167390.02926140014</v>
      </c>
      <c r="BC29" s="29">
        <f t="shared" ca="1" si="10"/>
        <v>-1.1799990676193556E-2</v>
      </c>
      <c r="BD29" s="15">
        <f t="shared" ca="1" si="11"/>
        <v>167390.02926140014</v>
      </c>
      <c r="BE29" s="30">
        <f t="shared" ca="1" si="12"/>
        <v>-1.1799990676193556E-2</v>
      </c>
      <c r="BF29" s="15">
        <f t="shared" ca="1" si="13"/>
        <v>244646.96199743095</v>
      </c>
      <c r="BG29" s="30">
        <f t="shared" ca="1" si="14"/>
        <v>-1.7246144926314377E-2</v>
      </c>
      <c r="BH29" s="1"/>
      <c r="BI29" s="15">
        <f t="shared" ca="1" si="15"/>
        <v>237641.09684007702</v>
      </c>
      <c r="BJ29" s="30">
        <f t="shared" ca="1" si="16"/>
        <v>4.0846126278701378E-2</v>
      </c>
      <c r="BK29" s="15">
        <f t="shared" ca="1" si="17"/>
        <v>817068.1173603083</v>
      </c>
    </row>
    <row r="30" spans="1:71" ht="14">
      <c r="A30" s="24">
        <v>10</v>
      </c>
      <c r="B30" s="40">
        <f t="shared" ca="1" si="18"/>
        <v>45230</v>
      </c>
      <c r="C30" s="26" t="b">
        <v>1</v>
      </c>
      <c r="D30" s="1"/>
      <c r="E30" s="41">
        <f t="shared" ca="1" si="19"/>
        <v>108.33333333333334</v>
      </c>
      <c r="F30" s="15">
        <f t="shared" ca="1" si="20"/>
        <v>17586.580764290302</v>
      </c>
      <c r="G30" s="15">
        <f t="shared" ca="1" si="21"/>
        <v>0</v>
      </c>
      <c r="H30" s="27"/>
      <c r="I30" s="15">
        <f t="shared" ca="1" si="22"/>
        <v>0</v>
      </c>
      <c r="J30" s="15">
        <f t="shared" ca="1" si="23"/>
        <v>184976.61002569043</v>
      </c>
      <c r="K30" s="17" t="s">
        <v>92</v>
      </c>
      <c r="L30" s="1"/>
      <c r="M30" s="41">
        <f t="shared" ca="1" si="24"/>
        <v>108.33333333333334</v>
      </c>
      <c r="N30" s="15">
        <f t="shared" ca="1" si="25"/>
        <v>17586.580764290302</v>
      </c>
      <c r="O30" s="15">
        <f t="shared" ca="1" si="26"/>
        <v>0</v>
      </c>
      <c r="P30" s="27"/>
      <c r="Q30" s="15">
        <f t="shared" ca="1" si="27"/>
        <v>0</v>
      </c>
      <c r="R30" s="15">
        <f t="shared" ca="1" si="28"/>
        <v>184976.61002569043</v>
      </c>
      <c r="S30" s="17" t="s">
        <v>92</v>
      </c>
      <c r="T30" s="1"/>
      <c r="U30" s="41">
        <f t="shared" ca="1" si="29"/>
        <v>158.33333333333334</v>
      </c>
      <c r="V30" s="15">
        <f t="shared" ca="1" si="30"/>
        <v>25703.464193962747</v>
      </c>
      <c r="W30" s="15">
        <f t="shared" ca="1" si="31"/>
        <v>0</v>
      </c>
      <c r="X30" s="27"/>
      <c r="Y30" s="15">
        <f t="shared" ca="1" si="32"/>
        <v>0</v>
      </c>
      <c r="Z30" s="15">
        <f t="shared" ca="1" si="33"/>
        <v>270350.42619139369</v>
      </c>
      <c r="AA30" s="17" t="s">
        <v>92</v>
      </c>
      <c r="AB30" s="1"/>
      <c r="AC30" s="41">
        <f t="shared" ca="1" si="34"/>
        <v>125</v>
      </c>
      <c r="AD30" s="15">
        <f t="shared" ca="1" si="35"/>
        <v>20292.208574181113</v>
      </c>
      <c r="AE30" s="15">
        <f t="shared" ca="1" si="36"/>
        <v>3988.75</v>
      </c>
      <c r="AF30" s="15" t="s">
        <v>92</v>
      </c>
      <c r="AG30" s="15">
        <f t="shared" ca="1" si="37"/>
        <v>-10000</v>
      </c>
      <c r="AH30" s="15">
        <f t="shared" ca="1" si="38"/>
        <v>-6011.25</v>
      </c>
      <c r="AI30" s="15">
        <f t="shared" ca="1" si="39"/>
        <v>263944.55541425815</v>
      </c>
      <c r="AJ30" s="17" t="s">
        <v>92</v>
      </c>
      <c r="AL30" s="15">
        <f t="shared" ca="1" si="7"/>
        <v>904248.20165703259</v>
      </c>
      <c r="AM30" s="1"/>
      <c r="AN30" s="15" t="s">
        <v>92</v>
      </c>
      <c r="AO30" s="15" t="s">
        <v>92</v>
      </c>
      <c r="AP30" s="15" t="s">
        <v>92</v>
      </c>
      <c r="AQ30" s="15" t="s">
        <v>92</v>
      </c>
      <c r="AR30" s="15" t="s">
        <v>92</v>
      </c>
      <c r="AS30" s="15" t="s">
        <v>92</v>
      </c>
      <c r="AT30" s="15">
        <f t="shared" si="8"/>
        <v>0</v>
      </c>
      <c r="AU30" s="1"/>
      <c r="AV30" s="28" t="s">
        <v>92</v>
      </c>
      <c r="AW30" s="15" t="s">
        <v>92</v>
      </c>
      <c r="AX30" s="15">
        <v>0</v>
      </c>
      <c r="AY30" s="1"/>
      <c r="AZ30" s="1"/>
      <c r="BA30" s="12">
        <f t="shared" ca="1" si="40"/>
        <v>45230</v>
      </c>
      <c r="BB30" s="15">
        <f t="shared" ca="1" si="9"/>
        <v>184976.61002569043</v>
      </c>
      <c r="BC30" s="29">
        <f t="shared" ca="1" si="10"/>
        <v>-1.210268778706125E-2</v>
      </c>
      <c r="BD30" s="15">
        <f t="shared" ca="1" si="11"/>
        <v>184976.61002569043</v>
      </c>
      <c r="BE30" s="30">
        <f t="shared" ca="1" si="12"/>
        <v>-1.210268778706125E-2</v>
      </c>
      <c r="BF30" s="15">
        <f t="shared" ca="1" si="13"/>
        <v>270350.42619139369</v>
      </c>
      <c r="BG30" s="30">
        <f t="shared" ca="1" si="14"/>
        <v>-1.7688547942209032E-2</v>
      </c>
      <c r="BH30" s="1"/>
      <c r="BI30" s="15">
        <f t="shared" ca="1" si="15"/>
        <v>263944.55541425815</v>
      </c>
      <c r="BJ30" s="30">
        <f t="shared" ca="1" si="16"/>
        <v>4.1893923516331422E-2</v>
      </c>
      <c r="BK30" s="15">
        <f t="shared" ca="1" si="17"/>
        <v>904248.20165703271</v>
      </c>
    </row>
    <row r="31" spans="1:71" ht="14">
      <c r="A31" s="24">
        <v>11</v>
      </c>
      <c r="B31" s="40">
        <f t="shared" ca="1" si="18"/>
        <v>45260</v>
      </c>
      <c r="C31" s="26" t="b">
        <v>1</v>
      </c>
      <c r="D31" s="1"/>
      <c r="E31" s="41">
        <f t="shared" ca="1" si="19"/>
        <v>108.33333333333334</v>
      </c>
      <c r="F31" s="15">
        <f t="shared" ca="1" si="20"/>
        <v>32550.223667308917</v>
      </c>
      <c r="G31" s="15">
        <f t="shared" ca="1" si="21"/>
        <v>0</v>
      </c>
      <c r="H31" s="27"/>
      <c r="I31" s="15">
        <f t="shared" ca="1" si="22"/>
        <v>0</v>
      </c>
      <c r="J31" s="15">
        <f t="shared" ca="1" si="23"/>
        <v>217526.83369299935</v>
      </c>
      <c r="K31" s="17" t="s">
        <v>92</v>
      </c>
      <c r="M31" s="41">
        <f t="shared" ca="1" si="24"/>
        <v>108.33333333333334</v>
      </c>
      <c r="N31" s="15">
        <f t="shared" ca="1" si="25"/>
        <v>32550.223667308917</v>
      </c>
      <c r="O31" s="15">
        <f t="shared" ca="1" si="26"/>
        <v>0</v>
      </c>
      <c r="P31" s="27"/>
      <c r="Q31" s="15">
        <f t="shared" ca="1" si="27"/>
        <v>0</v>
      </c>
      <c r="R31" s="15">
        <f t="shared" ca="1" si="28"/>
        <v>217526.83369299935</v>
      </c>
      <c r="S31" s="17" t="s">
        <v>92</v>
      </c>
      <c r="T31" s="1"/>
      <c r="U31" s="41">
        <f t="shared" ca="1" si="29"/>
        <v>158.33333333333334</v>
      </c>
      <c r="V31" s="15">
        <f t="shared" ca="1" si="30"/>
        <v>47573.403821451495</v>
      </c>
      <c r="W31" s="15">
        <f t="shared" ca="1" si="31"/>
        <v>0</v>
      </c>
      <c r="X31" s="27"/>
      <c r="Y31" s="15">
        <f t="shared" ca="1" si="32"/>
        <v>0</v>
      </c>
      <c r="Z31" s="15">
        <f t="shared" ca="1" si="33"/>
        <v>317923.83001284517</v>
      </c>
      <c r="AA31" s="17" t="s">
        <v>92</v>
      </c>
      <c r="AB31" s="1"/>
      <c r="AC31" s="41">
        <f t="shared" ca="1" si="34"/>
        <v>125</v>
      </c>
      <c r="AD31" s="15">
        <f t="shared" ca="1" si="35"/>
        <v>37557.950385356446</v>
      </c>
      <c r="AE31" s="15">
        <f t="shared" ca="1" si="36"/>
        <v>12368.93</v>
      </c>
      <c r="AF31" s="15" t="s">
        <v>92</v>
      </c>
      <c r="AG31" s="15">
        <f t="shared" ca="1" si="37"/>
        <v>30000</v>
      </c>
      <c r="AH31" s="15">
        <f t="shared" ca="1" si="38"/>
        <v>42368.93</v>
      </c>
      <c r="AI31" s="15">
        <f t="shared" ca="1" si="39"/>
        <v>259133.5757996146</v>
      </c>
      <c r="AJ31" s="17" t="s">
        <v>92</v>
      </c>
      <c r="AK31" s="1"/>
      <c r="AL31" s="15">
        <f t="shared" ca="1" si="7"/>
        <v>1012111.0731984584</v>
      </c>
      <c r="AM31" s="1"/>
      <c r="AN31" s="15" t="s">
        <v>92</v>
      </c>
      <c r="AO31" s="15" t="s">
        <v>92</v>
      </c>
      <c r="AP31" s="15" t="s">
        <v>92</v>
      </c>
      <c r="AQ31" s="15" t="s">
        <v>92</v>
      </c>
      <c r="AR31" s="15" t="s">
        <v>92</v>
      </c>
      <c r="AS31" s="15" t="s">
        <v>92</v>
      </c>
      <c r="AT31" s="15">
        <f t="shared" si="8"/>
        <v>0</v>
      </c>
      <c r="AU31" s="1"/>
      <c r="AV31" s="28" t="s">
        <v>92</v>
      </c>
      <c r="AW31" s="15" t="s">
        <v>92</v>
      </c>
      <c r="AX31" s="15">
        <v>0</v>
      </c>
      <c r="AY31" s="1"/>
      <c r="AZ31" s="1"/>
      <c r="BA31" s="12">
        <f t="shared" ca="1" si="40"/>
        <v>45260</v>
      </c>
      <c r="BB31" s="15">
        <f t="shared" ca="1" si="9"/>
        <v>217526.83369299935</v>
      </c>
      <c r="BC31" s="29">
        <f t="shared" ca="1" si="10"/>
        <v>-1.7427917548210048E-3</v>
      </c>
      <c r="BD31" s="15">
        <f t="shared" ca="1" si="11"/>
        <v>217526.83369299935</v>
      </c>
      <c r="BE31" s="30">
        <f t="shared" ca="1" si="12"/>
        <v>-1.7427917548210048E-3</v>
      </c>
      <c r="BF31" s="15">
        <f t="shared" ca="1" si="13"/>
        <v>317923.83001284517</v>
      </c>
      <c r="BG31" s="30">
        <f t="shared" ca="1" si="14"/>
        <v>-2.5471609802532602E-3</v>
      </c>
      <c r="BH31" s="1"/>
      <c r="BI31" s="15">
        <f t="shared" ca="1" si="15"/>
        <v>259133.5757996146</v>
      </c>
      <c r="BJ31" s="30">
        <f t="shared" ca="1" si="16"/>
        <v>6.0327444898952698E-3</v>
      </c>
      <c r="BK31" s="15">
        <f t="shared" ca="1" si="17"/>
        <v>1012111.0731984584</v>
      </c>
    </row>
    <row r="32" spans="1:71" ht="14">
      <c r="A32" s="24">
        <v>12</v>
      </c>
      <c r="B32" s="40">
        <f t="shared" ca="1" si="18"/>
        <v>45291</v>
      </c>
      <c r="C32" s="26" t="b">
        <v>1</v>
      </c>
      <c r="D32" s="1"/>
      <c r="E32" s="41">
        <f t="shared" ca="1" si="19"/>
        <v>108.33333333333334</v>
      </c>
      <c r="F32" s="15">
        <f t="shared" ca="1" si="20"/>
        <v>26975.551059730249</v>
      </c>
      <c r="G32" s="15">
        <f t="shared" ca="1" si="21"/>
        <v>0</v>
      </c>
      <c r="H32" s="27">
        <v>66808.13</v>
      </c>
      <c r="I32" s="15">
        <f t="shared" ca="1" si="22"/>
        <v>66808.13</v>
      </c>
      <c r="J32" s="15">
        <f t="shared" ca="1" si="23"/>
        <v>177694.25475272961</v>
      </c>
      <c r="K32" s="17" t="s">
        <v>92</v>
      </c>
      <c r="L32" s="1"/>
      <c r="M32" s="41">
        <f t="shared" ca="1" si="24"/>
        <v>108.33333333333334</v>
      </c>
      <c r="N32" s="15">
        <f t="shared" ca="1" si="25"/>
        <v>26975.551059730249</v>
      </c>
      <c r="O32" s="15">
        <f t="shared" ca="1" si="26"/>
        <v>0</v>
      </c>
      <c r="P32" s="27">
        <v>66808.13</v>
      </c>
      <c r="Q32" s="15">
        <f t="shared" ca="1" si="27"/>
        <v>66808.13</v>
      </c>
      <c r="R32" s="15">
        <f t="shared" ca="1" si="28"/>
        <v>177694.25475272961</v>
      </c>
      <c r="S32" s="17" t="s">
        <v>92</v>
      </c>
      <c r="T32" s="1"/>
      <c r="U32" s="41">
        <f t="shared" ca="1" si="29"/>
        <v>158.33333333333334</v>
      </c>
      <c r="V32" s="15">
        <f t="shared" ca="1" si="30"/>
        <v>39425.805394990362</v>
      </c>
      <c r="W32" s="15">
        <f t="shared" ca="1" si="31"/>
        <v>0</v>
      </c>
      <c r="X32" s="27">
        <v>97642.66</v>
      </c>
      <c r="Y32" s="15">
        <f t="shared" ca="1" si="32"/>
        <v>97642.66</v>
      </c>
      <c r="Z32" s="15">
        <f t="shared" ca="1" si="33"/>
        <v>259706.97540783553</v>
      </c>
      <c r="AA32" s="17" t="s">
        <v>92</v>
      </c>
      <c r="AB32" s="1"/>
      <c r="AC32" s="41">
        <f t="shared" ca="1" si="34"/>
        <v>125</v>
      </c>
      <c r="AD32" s="15">
        <f t="shared" ca="1" si="35"/>
        <v>31125.635838150287</v>
      </c>
      <c r="AE32" s="15">
        <f t="shared" ca="1" si="36"/>
        <v>5292.98</v>
      </c>
      <c r="AF32" s="15" t="s">
        <v>92</v>
      </c>
      <c r="AG32" s="15">
        <f t="shared" ca="1" si="37"/>
        <v>-20000</v>
      </c>
      <c r="AH32" s="15">
        <f t="shared" ca="1" si="38"/>
        <v>-14707.02</v>
      </c>
      <c r="AI32" s="15">
        <f t="shared" ca="1" si="39"/>
        <v>304966.2316377649</v>
      </c>
      <c r="AJ32" s="17">
        <v>304966.24</v>
      </c>
      <c r="AL32" s="15">
        <f t="shared" ca="1" si="7"/>
        <v>920061.71655105962</v>
      </c>
      <c r="AM32" s="1"/>
      <c r="AN32" s="15" t="s">
        <v>92</v>
      </c>
      <c r="AO32" s="15" t="s">
        <v>92</v>
      </c>
      <c r="AP32" s="15" t="s">
        <v>92</v>
      </c>
      <c r="AQ32" s="15" t="s">
        <v>92</v>
      </c>
      <c r="AR32" s="15" t="s">
        <v>92</v>
      </c>
      <c r="AS32" s="15" t="s">
        <v>92</v>
      </c>
      <c r="AT32" s="15">
        <f t="shared" si="8"/>
        <v>0</v>
      </c>
      <c r="AU32" s="1"/>
      <c r="AV32" s="28" t="s">
        <v>92</v>
      </c>
      <c r="AW32" s="15" t="s">
        <v>92</v>
      </c>
      <c r="AX32" s="15">
        <v>0</v>
      </c>
      <c r="AY32" s="1"/>
      <c r="AZ32" s="1"/>
      <c r="BA32" s="12">
        <f t="shared" ca="1" si="40"/>
        <v>45291</v>
      </c>
      <c r="BB32" s="15">
        <f t="shared" ca="1" si="9"/>
        <v>177694.25475272961</v>
      </c>
      <c r="BC32" s="29">
        <f t="shared" ca="1" si="10"/>
        <v>-2.353369356695581E-2</v>
      </c>
      <c r="BD32" s="15">
        <f t="shared" ca="1" si="11"/>
        <v>177694.25475272961</v>
      </c>
      <c r="BE32" s="30">
        <f t="shared" ca="1" si="12"/>
        <v>-2.353369356695581E-2</v>
      </c>
      <c r="BF32" s="15">
        <f t="shared" ca="1" si="13"/>
        <v>259706.97540783553</v>
      </c>
      <c r="BG32" s="30">
        <f t="shared" ca="1" si="14"/>
        <v>-3.4395411667195286E-2</v>
      </c>
      <c r="BH32" s="1"/>
      <c r="BI32" s="15">
        <f t="shared" ca="1" si="15"/>
        <v>304966.2316377649</v>
      </c>
      <c r="BJ32" s="30">
        <f t="shared" ca="1" si="16"/>
        <v>8.146279880110685E-2</v>
      </c>
      <c r="BK32" s="15">
        <f t="shared" ca="1" si="17"/>
        <v>920061.71655105962</v>
      </c>
    </row>
    <row r="33" spans="1:71" ht="14">
      <c r="A33" s="31">
        <v>1</v>
      </c>
      <c r="B33" s="32">
        <f t="shared" ref="B33:B44" ca="1" si="41">INDIRECT(ADDRESS(1,$BJ$6 +(A33-1) * $BB$3,,,$BB$6))</f>
        <v>45322</v>
      </c>
      <c r="C33" s="33" t="b">
        <v>1</v>
      </c>
      <c r="D33" s="31"/>
      <c r="E33" s="34">
        <f t="shared" ref="E33:E44" ca="1" si="42">INDIRECT(ADDRESS($BC$6,$BK$6+ (A33-1)* $BB$3,,,$BB$6))</f>
        <v>108.33333333333334</v>
      </c>
      <c r="F33" s="35">
        <f t="shared" ref="F33:F44" ca="1" si="43">IF(C33,INDIRECT(ADDRESS($BC$6,$BL$6 + (A33-1)* $BB$3,,,$BB$6)),0)</f>
        <v>42662.024371069172</v>
      </c>
      <c r="G33" s="35">
        <f t="shared" ref="G33:G44" ca="1" si="44">INDIRECT(ADDRESS($BC$6,$BM$6 + (A33-1)* $BB$3,,,$BB$6))</f>
        <v>0</v>
      </c>
      <c r="H33" s="36"/>
      <c r="I33" s="35">
        <f t="shared" ca="1" si="22"/>
        <v>0</v>
      </c>
      <c r="J33" s="35">
        <f t="shared" ca="1" si="23"/>
        <v>220356.27912379877</v>
      </c>
      <c r="K33" s="35" t="e">
        <f t="array" aca="1" ref="K33" ca="1">MAX(0,SUM(INDIRECT(ADDRESS(ROW(firstNotPaidRow),$F$3)&amp;":"&amp;ADDRESS(ROW(),$F$3)))-SUM(INDIRECT(ADDRESS(ROW(firstPaidRow),$G$3)&amp;":"&amp; SUBSTITUTE(ADDRESS(1,$G$3,4), 1,"")),$I$38))</f>
        <v>#REF!</v>
      </c>
      <c r="L33" s="31"/>
      <c r="M33" s="34">
        <f t="shared" ref="M33:M44" ca="1" si="45">INDIRECT(ADDRESS($BD$6,$BK$6+ (A33-1)* $BB$3,,,$BB$6))</f>
        <v>108.33333333333334</v>
      </c>
      <c r="N33" s="35">
        <f t="shared" ref="N33:N44" ca="1" si="46">IF(C33,INDIRECT(ADDRESS($BD$6,$BL$6 + (A33-1)* $BB$3,,,$BB$6)),0)</f>
        <v>42662.024371069172</v>
      </c>
      <c r="O33" s="35">
        <f t="shared" ref="O33:O44" ca="1" si="47">INDIRECT(ADDRESS($BD$6,$BM$6 + (A33-1)* $BB$3,,,$BB$6))</f>
        <v>0</v>
      </c>
      <c r="P33" s="36"/>
      <c r="Q33" s="35">
        <f t="shared" ca="1" si="27"/>
        <v>0</v>
      </c>
      <c r="R33" s="35">
        <f t="shared" ca="1" si="28"/>
        <v>220356.27912379877</v>
      </c>
      <c r="S33" s="35" t="e">
        <f t="array" aca="1" ref="S33" ca="1">MAX(0,SUM(INDIRECT(ADDRESS(ROW(firstNotPaidRow),$F$4)&amp;":"&amp;ADDRESS(ROW(),$F$4)))-SUM(INDIRECT(ADDRESS(ROW(firstPaidRow),$G$4)&amp;":"&amp; SUBSTITUTE(ADDRESS(1,$G$4,4), 1,""))))</f>
        <v>#REF!</v>
      </c>
      <c r="T33" s="31"/>
      <c r="U33" s="34">
        <f t="shared" ref="U33:U44" ca="1" si="48">INDIRECT(ADDRESS($BE$6,$BK$6+ (A33-1)* $BB$3,,,$BB$6))</f>
        <v>158.33333333333334</v>
      </c>
      <c r="V33" s="35">
        <f t="shared" ref="V33:V44" ca="1" si="49">IF(C33, INDIRECT(ADDRESS($BE$6,$BL$6 + (A33-1)* $BB$3,,,$BB$6)),0)</f>
        <v>62352.189465408796</v>
      </c>
      <c r="W33" s="35">
        <f t="shared" ref="W33:W44" ca="1" si="50">INDIRECT(ADDRESS($BE$6,$BM$6 + (A33-1)* $BB$3,,,$BB$6))</f>
        <v>0</v>
      </c>
      <c r="X33" s="36"/>
      <c r="Y33" s="35">
        <f t="shared" ca="1" si="32"/>
        <v>0</v>
      </c>
      <c r="Z33" s="35">
        <f t="shared" ca="1" si="33"/>
        <v>322059.16487324436</v>
      </c>
      <c r="AA33" s="35" t="e">
        <f t="array" aca="1" ref="AA33" ca="1">MAX(0,SUM(INDIRECT(ADDRESS(ROW(firstNotPaidRow),$F$5)&amp;":"&amp;ADDRESS(ROW(),$F$5)))-SUM(INDIRECT(ADDRESS(ROW(firstPaidRow),$G$5)&amp;":"&amp; SUBSTITUTE(ADDRESS(1,$G$5,4), 1,""))))</f>
        <v>#REF!</v>
      </c>
      <c r="AB33" s="31"/>
      <c r="AC33" s="34">
        <f t="shared" ref="AC33:AC44" ca="1" si="51">INDIRECT(ADDRESS($BF$6,$BK$6+ (A33-1)* $BB$3,,,$BB$6))</f>
        <v>125</v>
      </c>
      <c r="AD33" s="35">
        <f t="array" aca="1" ref="AD33" ca="1">IF(C33,INDIRECT(ADDRESS($BF$6,$BL$6 + (A33-1)* $BB$3,,,$BB$6)),0)</f>
        <v>49225.412735849044</v>
      </c>
      <c r="AE33" s="35">
        <f t="shared" ref="AE33:AE44" ca="1" si="52">INDIRECT(ADDRESS($BF$6,$BM$6 + (A33-1)* $BB$3,,,$BB$6))</f>
        <v>4420.0200000000004</v>
      </c>
      <c r="AF33" s="35" t="s">
        <v>92</v>
      </c>
      <c r="AG33" s="35">
        <f t="shared" ref="AG33:AG44" ca="1" si="53">IF(C33,INDIRECT(ADDRESS($BG$6,$BN$6 + (A33-1)* $BB$3,,,$BB$6)),0)</f>
        <v>15000</v>
      </c>
      <c r="AH33" s="35">
        <f t="shared" ca="1" si="38"/>
        <v>19420.02</v>
      </c>
      <c r="AI33" s="35">
        <f t="shared" ca="1" si="39"/>
        <v>334771.62437361391</v>
      </c>
      <c r="AJ33" s="35" t="e">
        <f t="array" aca="1" ref="AJ33" ca="1">MAX(0,$AJ$32+SUM(INDIRECT(ADDRESS(ROW(firstNotPaidRow),$F$6)&amp;":"&amp;ADDRESS(ROW(),$F$6)))-SUM(INDIRECT(ADDRESS(ROW(firstColinPaidRow),$G$6)&amp;":"&amp; SUBSTITUTE(ADDRESS(1,$G$6,4), 1,""))))</f>
        <v>#REF!</v>
      </c>
      <c r="AK33" s="31"/>
      <c r="AL33" s="35">
        <f t="shared" ca="1" si="7"/>
        <v>1097543.3474944558</v>
      </c>
      <c r="AM33" s="31"/>
      <c r="AN33" s="35" t="s">
        <v>92</v>
      </c>
      <c r="AO33" s="35" t="s">
        <v>92</v>
      </c>
      <c r="AP33" s="35" t="s">
        <v>92</v>
      </c>
      <c r="AQ33" s="35" t="s">
        <v>92</v>
      </c>
      <c r="AR33" s="35" t="s">
        <v>92</v>
      </c>
      <c r="AS33" s="35" t="s">
        <v>92</v>
      </c>
      <c r="AT33" s="35">
        <f t="shared" si="8"/>
        <v>0</v>
      </c>
      <c r="AU33" s="31"/>
      <c r="AV33" s="37" t="s">
        <v>92</v>
      </c>
      <c r="AW33" s="35" t="s">
        <v>92</v>
      </c>
      <c r="AX33" s="35">
        <v>0</v>
      </c>
      <c r="AY33" s="31"/>
      <c r="AZ33" s="31"/>
      <c r="BA33" s="32">
        <f t="shared" ca="1" si="40"/>
        <v>45322</v>
      </c>
      <c r="BB33" s="35">
        <f t="shared" ca="1" si="9"/>
        <v>220356.27912379877</v>
      </c>
      <c r="BC33" s="38">
        <f t="shared" ref="BC33:BC46" ca="1" si="54">BB33/BK33-BH$64</f>
        <v>-1.5894387715823771E-2</v>
      </c>
      <c r="BD33" s="35">
        <f t="shared" ca="1" si="11"/>
        <v>220356.27912379877</v>
      </c>
      <c r="BE33" s="39">
        <f t="shared" ref="BE33:BE46" ca="1" si="55">BD33/BK33-BI$64</f>
        <v>-1.5894387715823771E-2</v>
      </c>
      <c r="BF33" s="35">
        <f t="shared" ca="1" si="13"/>
        <v>322059.16487324436</v>
      </c>
      <c r="BG33" s="39">
        <f t="shared" ref="BG33:BG46" ca="1" si="56">BF33/BK33-BK$64</f>
        <v>-2.3230270183136281E-2</v>
      </c>
      <c r="BH33" s="31"/>
      <c r="BI33" s="35">
        <f t="shared" ca="1" si="15"/>
        <v>334771.62437361391</v>
      </c>
      <c r="BJ33" s="39">
        <f t="shared" ref="BJ33:BJ46" ca="1" si="57">BI33/BK33-BL$64</f>
        <v>5.5019045614783824E-2</v>
      </c>
      <c r="BK33" s="35">
        <f t="shared" ca="1" si="17"/>
        <v>1097543.3474944558</v>
      </c>
      <c r="BL33" s="31"/>
      <c r="BM33" s="31"/>
      <c r="BN33" s="31"/>
      <c r="BO33" s="31"/>
      <c r="BP33" s="31"/>
      <c r="BQ33" s="31"/>
      <c r="BR33" s="31"/>
      <c r="BS33" s="31"/>
    </row>
    <row r="34" spans="1:71" ht="14">
      <c r="A34" s="24">
        <v>2</v>
      </c>
      <c r="B34" s="40">
        <f t="shared" ca="1" si="41"/>
        <v>45351</v>
      </c>
      <c r="C34" s="26" t="b">
        <v>1</v>
      </c>
      <c r="D34" s="1"/>
      <c r="E34" s="41">
        <f t="shared" ca="1" si="42"/>
        <v>108.33333333333334</v>
      </c>
      <c r="F34" s="15">
        <f t="shared" ca="1" si="43"/>
        <v>39833.610691823887</v>
      </c>
      <c r="G34" s="15">
        <f t="shared" ca="1" si="44"/>
        <v>0</v>
      </c>
      <c r="H34" s="27"/>
      <c r="I34" s="15">
        <f t="shared" ca="1" si="22"/>
        <v>0</v>
      </c>
      <c r="J34" s="15">
        <f t="shared" ca="1" si="23"/>
        <v>260189.88981562265</v>
      </c>
      <c r="K34" s="17" t="e">
        <f t="array" aca="1" ref="K34" ca="1">MAX(0,SUM(INDIRECT(ADDRESS(ROW(firstNotPaidRow),$F$3)&amp;":"&amp;ADDRESS(ROW(),$F$3)))-SUM(INDIRECT(ADDRESS(ROW(firstPaidRow),$G$3)&amp;":"&amp; SUBSTITUTE(ADDRESS(1,$G$3,4), 1,"")),$I$38))</f>
        <v>#REF!</v>
      </c>
      <c r="M34" s="41">
        <f t="shared" ca="1" si="45"/>
        <v>108.33333333333334</v>
      </c>
      <c r="N34" s="15">
        <f t="shared" ca="1" si="46"/>
        <v>39833.610691823887</v>
      </c>
      <c r="O34" s="15">
        <f t="shared" ca="1" si="47"/>
        <v>0</v>
      </c>
      <c r="P34" s="27"/>
      <c r="Q34" s="15">
        <f t="shared" ca="1" si="27"/>
        <v>0</v>
      </c>
      <c r="R34" s="15">
        <f t="shared" ca="1" si="28"/>
        <v>260189.88981562265</v>
      </c>
      <c r="S34" s="17" t="e">
        <f t="array" aca="1" ref="S34" ca="1">MAX(0,SUM(INDIRECT(ADDRESS(ROW(firstNotPaidRow),$F$4)&amp;":"&amp;ADDRESS(ROW(),$F$4)))-SUM(INDIRECT(ADDRESS(ROW(firstPaidRow),$G$4)&amp;":"&amp; SUBSTITUTE(ADDRESS(1,$G$4,4), 1,""))))</f>
        <v>#REF!</v>
      </c>
      <c r="T34" s="1"/>
      <c r="U34" s="41">
        <f t="shared" ca="1" si="48"/>
        <v>158.33333333333334</v>
      </c>
      <c r="V34" s="15">
        <f t="shared" ca="1" si="49"/>
        <v>58218.354088050299</v>
      </c>
      <c r="W34" s="15">
        <f t="shared" ca="1" si="50"/>
        <v>0</v>
      </c>
      <c r="X34" s="27"/>
      <c r="Y34" s="15">
        <f t="shared" ca="1" si="32"/>
        <v>0</v>
      </c>
      <c r="Z34" s="15">
        <f t="shared" ca="1" si="33"/>
        <v>380277.51896129467</v>
      </c>
      <c r="AA34" s="17" t="e">
        <f t="array" aca="1" ref="AA34" ca="1">MAX(0,SUM(INDIRECT(ADDRESS(ROW(firstNotPaidRow),$F$5)&amp;":"&amp;ADDRESS(ROW(),$F$5)))-SUM(INDIRECT(ADDRESS(ROW(firstPaidRow),$G$5)&amp;":"&amp; SUBSTITUTE(ADDRESS(1,$G$5,4), 1,""))))</f>
        <v>#REF!</v>
      </c>
      <c r="AB34" s="1"/>
      <c r="AC34" s="41">
        <f t="shared" ca="1" si="51"/>
        <v>125</v>
      </c>
      <c r="AD34" s="15">
        <f t="shared" ref="AD34:AD44" ca="1" si="58">IF(C22,INDIRECT(ADDRESS($BF$6,$BL$6 + (A34-1)* $BB$3,,,$BB$6)),0)</f>
        <v>45961.858490566017</v>
      </c>
      <c r="AE34" s="15">
        <f t="shared" ca="1" si="52"/>
        <v>10454.120000000001</v>
      </c>
      <c r="AF34" s="15" t="s">
        <v>92</v>
      </c>
      <c r="AG34" s="15">
        <f t="shared" ca="1" si="53"/>
        <v>51</v>
      </c>
      <c r="AH34" s="15">
        <f t="shared" ca="1" si="38"/>
        <v>10505.12</v>
      </c>
      <c r="AI34" s="15">
        <f t="shared" ca="1" si="39"/>
        <v>370228.36286417994</v>
      </c>
      <c r="AJ34" s="17" t="e">
        <f t="array" aca="1" ref="AJ34" ca="1">MAX(0,$AJ$32+SUM(INDIRECT(ADDRESS(ROW(firstNotPaidRow),$F$6)&amp;":"&amp;ADDRESS(ROW(),$F$6)))-SUM(INDIRECT(ADDRESS(ROW(firstColinPaidRow),$G$6)&amp;":"&amp; SUBSTITUTE(ADDRESS(1,$G$6,4), 1,""))))</f>
        <v>#REF!</v>
      </c>
      <c r="AL34" s="15">
        <f t="shared" ca="1" si="7"/>
        <v>1270885.66145672</v>
      </c>
      <c r="AM34" s="1"/>
      <c r="AN34" s="15" t="s">
        <v>92</v>
      </c>
      <c r="AO34" s="15" t="s">
        <v>92</v>
      </c>
      <c r="AP34" s="15" t="s">
        <v>92</v>
      </c>
      <c r="AQ34" s="15" t="s">
        <v>92</v>
      </c>
      <c r="AR34" s="15" t="s">
        <v>92</v>
      </c>
      <c r="AS34" s="15" t="s">
        <v>92</v>
      </c>
      <c r="AT34" s="15">
        <f t="shared" si="8"/>
        <v>0</v>
      </c>
      <c r="AU34" s="1"/>
      <c r="AV34" s="28" t="s">
        <v>92</v>
      </c>
      <c r="AW34" s="15" t="s">
        <v>92</v>
      </c>
      <c r="AX34" s="15">
        <v>0</v>
      </c>
      <c r="AY34" s="1"/>
      <c r="AZ34" s="1"/>
      <c r="BA34" s="12">
        <f t="shared" ca="1" si="40"/>
        <v>45351</v>
      </c>
      <c r="BB34" s="15">
        <f t="shared" ca="1" si="9"/>
        <v>260189.88981562265</v>
      </c>
      <c r="BC34" s="29">
        <f t="shared" ca="1" si="54"/>
        <v>-1.193551129476117E-2</v>
      </c>
      <c r="BD34" s="15">
        <f t="shared" ca="1" si="11"/>
        <v>260189.88981562265</v>
      </c>
      <c r="BE34" s="30">
        <f t="shared" ca="1" si="55"/>
        <v>-1.193551129476117E-2</v>
      </c>
      <c r="BF34" s="15">
        <f t="shared" ca="1" si="13"/>
        <v>380277.51896129467</v>
      </c>
      <c r="BG34" s="30">
        <f t="shared" ca="1" si="56"/>
        <v>-1.7444218499762909E-2</v>
      </c>
      <c r="BH34" s="1"/>
      <c r="BI34" s="15">
        <f t="shared" ca="1" si="15"/>
        <v>370228.36286417994</v>
      </c>
      <c r="BJ34" s="30">
        <f t="shared" ca="1" si="57"/>
        <v>4.1315241089285082E-2</v>
      </c>
      <c r="BK34" s="15">
        <f t="shared" ca="1" si="17"/>
        <v>1270885.66145672</v>
      </c>
    </row>
    <row r="35" spans="1:71" ht="14">
      <c r="A35" s="24">
        <v>3</v>
      </c>
      <c r="B35" s="40">
        <f t="shared" ca="1" si="41"/>
        <v>45382</v>
      </c>
      <c r="C35" s="26" t="b">
        <v>1</v>
      </c>
      <c r="D35" s="1"/>
      <c r="E35" s="41">
        <f t="shared" ca="1" si="42"/>
        <v>108.33333333333334</v>
      </c>
      <c r="F35" s="15">
        <f t="shared" ca="1" si="43"/>
        <v>27274.600943396228</v>
      </c>
      <c r="G35" s="15">
        <f t="shared" ca="1" si="44"/>
        <v>0</v>
      </c>
      <c r="H35" s="27">
        <v>93181.57</v>
      </c>
      <c r="I35" s="15">
        <f t="shared" ca="1" si="22"/>
        <v>93181.57</v>
      </c>
      <c r="J35" s="15">
        <f t="shared" ca="1" si="23"/>
        <v>194282.92075901886</v>
      </c>
      <c r="K35" s="17" t="e">
        <f t="array" aca="1" ref="K35" ca="1">MAX(0,SUM(INDIRECT(ADDRESS(ROW(firstNotPaidRow),$F$3)&amp;":"&amp;ADDRESS(ROW(),$F$3)))-SUM(INDIRECT(ADDRESS(ROW(firstPaidRow),$G$3)&amp;":"&amp; SUBSTITUTE(ADDRESS(1,$G$3,4), 1,"")),$I$38))</f>
        <v>#REF!</v>
      </c>
      <c r="L35" s="1"/>
      <c r="M35" s="41">
        <f t="shared" ca="1" si="45"/>
        <v>108.33333333333334</v>
      </c>
      <c r="N35" s="15">
        <f t="shared" ca="1" si="46"/>
        <v>27274.600943396228</v>
      </c>
      <c r="O35" s="15">
        <f t="shared" ca="1" si="47"/>
        <v>0</v>
      </c>
      <c r="P35" s="27">
        <v>93181.57</v>
      </c>
      <c r="Q35" s="15">
        <f t="shared" ca="1" si="27"/>
        <v>93181.57</v>
      </c>
      <c r="R35" s="15">
        <f t="shared" ca="1" si="28"/>
        <v>194282.92075901886</v>
      </c>
      <c r="S35" s="17" t="e">
        <f t="array" aca="1" ref="S35" ca="1">MAX(0,SUM(INDIRECT(ADDRESS(ROW(firstNotPaidRow),$F$4)&amp;":"&amp;ADDRESS(ROW(),$F$4)))-SUM(INDIRECT(ADDRESS(ROW(firstPaidRow),$G$4)&amp;":"&amp; SUBSTITUTE(ADDRESS(1,$G$4,4), 1,""))))</f>
        <v>#REF!</v>
      </c>
      <c r="T35" s="1"/>
      <c r="U35" s="41">
        <f t="shared" ca="1" si="48"/>
        <v>158.33333333333334</v>
      </c>
      <c r="V35" s="15">
        <f t="shared" ca="1" si="49"/>
        <v>39862.878301886791</v>
      </c>
      <c r="W35" s="15">
        <f t="shared" ca="1" si="50"/>
        <v>0</v>
      </c>
      <c r="X35" s="27">
        <v>136188.44</v>
      </c>
      <c r="Y35" s="15">
        <f t="shared" ca="1" si="32"/>
        <v>136188.44</v>
      </c>
      <c r="Z35" s="15">
        <f t="shared" ca="1" si="33"/>
        <v>283951.95726318145</v>
      </c>
      <c r="AA35" s="17" t="e">
        <f t="array" aca="1" ref="AA35" ca="1">MAX(0,SUM(INDIRECT(ADDRESS(ROW(firstNotPaidRow),$F$5)&amp;":"&amp;ADDRESS(ROW(),$F$5)))-SUM(INDIRECT(ADDRESS(ROW(firstPaidRow),$G$5)&amp;":"&amp; SUBSTITUTE(ADDRESS(1,$G$5,4), 1,""))))</f>
        <v>#REF!</v>
      </c>
      <c r="AB35" s="1"/>
      <c r="AC35" s="41">
        <f t="shared" ca="1" si="51"/>
        <v>125</v>
      </c>
      <c r="AD35" s="15">
        <f t="shared" ca="1" si="58"/>
        <v>31470.693396226412</v>
      </c>
      <c r="AE35" s="15">
        <f t="shared" ca="1" si="52"/>
        <v>15682.1</v>
      </c>
      <c r="AF35" s="15" t="s">
        <v>92</v>
      </c>
      <c r="AG35" s="15">
        <f t="shared" ca="1" si="53"/>
        <v>15000</v>
      </c>
      <c r="AH35" s="15">
        <f t="shared" ca="1" si="38"/>
        <v>30682.1</v>
      </c>
      <c r="AI35" s="15">
        <f t="shared" ca="1" si="39"/>
        <v>371016.95626040635</v>
      </c>
      <c r="AJ35" s="17" t="e">
        <f t="array" aca="1" ref="AJ35" ca="1">MAX(0,$AJ$32+SUM(INDIRECT(ADDRESS(ROW(firstNotPaidRow),$F$6)&amp;":"&amp;ADDRESS(ROW(),$F$6)))-SUM(INDIRECT(ADDRESS(ROW(firstColinPaidRow),$G$6)&amp;":"&amp; SUBSTITUTE(ADDRESS(1,$G$6,4), 1,""))))</f>
        <v>#REF!</v>
      </c>
      <c r="AK35" s="1"/>
      <c r="AL35" s="15">
        <f t="shared" ca="1" si="7"/>
        <v>1043534.7550416256</v>
      </c>
      <c r="AM35" s="1"/>
      <c r="AN35" s="15" t="s">
        <v>92</v>
      </c>
      <c r="AO35" s="15" t="s">
        <v>92</v>
      </c>
      <c r="AP35" s="15" t="s">
        <v>92</v>
      </c>
      <c r="AQ35" s="15" t="s">
        <v>92</v>
      </c>
      <c r="AR35" s="15" t="s">
        <v>92</v>
      </c>
      <c r="AS35" s="15" t="s">
        <v>92</v>
      </c>
      <c r="AT35" s="15">
        <f t="shared" si="8"/>
        <v>0</v>
      </c>
      <c r="AU35" s="1"/>
      <c r="AV35" s="28" t="s">
        <v>92</v>
      </c>
      <c r="AW35" s="15" t="s">
        <v>92</v>
      </c>
      <c r="AX35" s="15">
        <v>0</v>
      </c>
      <c r="AY35" s="1"/>
      <c r="AZ35" s="1"/>
      <c r="BA35" s="12">
        <f t="shared" ca="1" si="40"/>
        <v>45382</v>
      </c>
      <c r="BB35" s="15">
        <f t="shared" ca="1" si="9"/>
        <v>194282.92075901886</v>
      </c>
      <c r="BC35" s="29">
        <f t="shared" ca="1" si="54"/>
        <v>-3.0488947313879911E-2</v>
      </c>
      <c r="BD35" s="15">
        <f t="shared" ca="1" si="11"/>
        <v>194282.92075901886</v>
      </c>
      <c r="BE35" s="30">
        <f t="shared" ca="1" si="55"/>
        <v>-3.0488947313879911E-2</v>
      </c>
      <c r="BF35" s="15">
        <f t="shared" ca="1" si="13"/>
        <v>283951.95726318145</v>
      </c>
      <c r="BG35" s="30">
        <f t="shared" ca="1" si="56"/>
        <v>-4.4560772836753137E-2</v>
      </c>
      <c r="BH35" s="1"/>
      <c r="BI35" s="15">
        <f t="shared" ca="1" si="15"/>
        <v>371016.95626040635</v>
      </c>
      <c r="BJ35" s="30">
        <f t="shared" ca="1" si="57"/>
        <v>0.10553866746451279</v>
      </c>
      <c r="BK35" s="15">
        <f t="shared" ca="1" si="17"/>
        <v>1043534.7550416256</v>
      </c>
    </row>
    <row r="36" spans="1:71" ht="14">
      <c r="A36" s="24">
        <v>4</v>
      </c>
      <c r="B36" s="40">
        <f t="shared" ca="1" si="41"/>
        <v>45412</v>
      </c>
      <c r="C36" s="26" t="b">
        <v>1</v>
      </c>
      <c r="D36" s="1"/>
      <c r="E36" s="41">
        <f t="shared" ca="1" si="42"/>
        <v>108.33333333333334</v>
      </c>
      <c r="F36" s="15">
        <f t="shared" ca="1" si="43"/>
        <v>16792.461792452828</v>
      </c>
      <c r="G36" s="15">
        <f t="shared" ca="1" si="44"/>
        <v>0</v>
      </c>
      <c r="H36" s="27"/>
      <c r="I36" s="15">
        <f t="shared" ca="1" si="22"/>
        <v>0</v>
      </c>
      <c r="J36" s="15">
        <f t="shared" ca="1" si="23"/>
        <v>211075.3825514717</v>
      </c>
      <c r="K36" s="17" t="e">
        <f t="array" aca="1" ref="K36" ca="1">MAX(0,SUM(INDIRECT(ADDRESS(ROW(firstNotPaidRow),$F$3)&amp;":"&amp;ADDRESS(ROW(),$F$3)))-SUM(INDIRECT(ADDRESS(ROW(firstPaidRow),$G$3)&amp;":"&amp; SUBSTITUTE(ADDRESS(1,$G$3,4), 1,"")),$I$38))</f>
        <v>#REF!</v>
      </c>
      <c r="M36" s="41">
        <f t="shared" ca="1" si="45"/>
        <v>108.33333333333334</v>
      </c>
      <c r="N36" s="15">
        <f t="shared" ca="1" si="46"/>
        <v>16792.461792452828</v>
      </c>
      <c r="O36" s="15">
        <f t="shared" ca="1" si="47"/>
        <v>0</v>
      </c>
      <c r="P36" s="27"/>
      <c r="Q36" s="15">
        <f t="shared" ca="1" si="27"/>
        <v>0</v>
      </c>
      <c r="R36" s="15">
        <f t="shared" ca="1" si="28"/>
        <v>211075.3825514717</v>
      </c>
      <c r="S36" s="17" t="e">
        <f t="array" aca="1" ref="S36" ca="1">MAX(0,SUM(INDIRECT(ADDRESS(ROW(firstNotPaidRow),$F$4)&amp;":"&amp;ADDRESS(ROW(),$F$4)))-SUM(INDIRECT(ADDRESS(ROW(firstPaidRow),$G$4)&amp;":"&amp; SUBSTITUTE(ADDRESS(1,$G$4,4), 1,""))))</f>
        <v>#REF!</v>
      </c>
      <c r="T36" s="1"/>
      <c r="U36" s="41">
        <f t="shared" ca="1" si="48"/>
        <v>158.33333333333334</v>
      </c>
      <c r="V36" s="15">
        <f t="shared" ca="1" si="49"/>
        <v>24542.828773584908</v>
      </c>
      <c r="W36" s="15">
        <f t="shared" ca="1" si="50"/>
        <v>0</v>
      </c>
      <c r="X36" s="27"/>
      <c r="Y36" s="15">
        <f t="shared" ca="1" si="32"/>
        <v>0</v>
      </c>
      <c r="Z36" s="15">
        <f t="shared" ca="1" si="33"/>
        <v>308494.78603676637</v>
      </c>
      <c r="AA36" s="17" t="e">
        <f t="array" aca="1" ref="AA36" ca="1">MAX(0,SUM(INDIRECT(ADDRESS(ROW(firstNotPaidRow),$F$5)&amp;":"&amp;ADDRESS(ROW(),$F$5)))-SUM(INDIRECT(ADDRESS(ROW(firstPaidRow),$G$5)&amp;":"&amp; SUBSTITUTE(ADDRESS(1,$G$5,4), 1,""))))</f>
        <v>#REF!</v>
      </c>
      <c r="AB36" s="1"/>
      <c r="AC36" s="41">
        <f t="shared" ca="1" si="51"/>
        <v>125</v>
      </c>
      <c r="AD36" s="15">
        <f t="shared" ca="1" si="58"/>
        <v>19375.917452830188</v>
      </c>
      <c r="AE36" s="15">
        <f t="shared" ca="1" si="52"/>
        <v>28859.9</v>
      </c>
      <c r="AF36" s="15" t="s">
        <v>92</v>
      </c>
      <c r="AG36" s="15">
        <f t="shared" ca="1" si="53"/>
        <v>200000</v>
      </c>
      <c r="AH36" s="15">
        <f t="shared" ca="1" si="38"/>
        <v>228859.9</v>
      </c>
      <c r="AI36" s="15">
        <f t="shared" ca="1" si="39"/>
        <v>161532.97371323654</v>
      </c>
      <c r="AJ36" s="17" t="e">
        <f t="array" aca="1" ref="AJ36" ca="1">MAX(0,$AJ$32+SUM(INDIRECT(ADDRESS(ROW(firstNotPaidRow),$F$6)&amp;":"&amp;ADDRESS(ROW(),$F$6)))-SUM(INDIRECT(ADDRESS(ROW(firstColinPaidRow),$G$6)&amp;":"&amp; SUBSTITUTE(ADDRESS(1,$G$6,4), 1,""))))</f>
        <v>#REF!</v>
      </c>
      <c r="AK36" s="1"/>
      <c r="AL36" s="15">
        <f t="shared" ca="1" si="7"/>
        <v>892178.52485294628</v>
      </c>
      <c r="AM36" s="1"/>
      <c r="AN36" s="15" t="s">
        <v>92</v>
      </c>
      <c r="AO36" s="15" t="s">
        <v>92</v>
      </c>
      <c r="AP36" s="15" t="s">
        <v>92</v>
      </c>
      <c r="AQ36" s="15" t="s">
        <v>92</v>
      </c>
      <c r="AR36" s="15" t="s">
        <v>92</v>
      </c>
      <c r="AS36" s="15" t="s">
        <v>92</v>
      </c>
      <c r="AT36" s="15">
        <f t="shared" si="8"/>
        <v>0</v>
      </c>
      <c r="AU36" s="1"/>
      <c r="AV36" s="28" t="s">
        <v>92</v>
      </c>
      <c r="AW36" s="15" t="s">
        <v>92</v>
      </c>
      <c r="AX36" s="15">
        <v>0</v>
      </c>
      <c r="AY36" s="1"/>
      <c r="AZ36" s="1"/>
      <c r="BA36" s="12">
        <f t="shared" ca="1" si="40"/>
        <v>45412</v>
      </c>
      <c r="BB36" s="15">
        <f t="shared" ca="1" si="9"/>
        <v>211075.3825514717</v>
      </c>
      <c r="BC36" s="29">
        <f t="shared" ca="1" si="54"/>
        <v>1.9917578158394872E-2</v>
      </c>
      <c r="BD36" s="15">
        <f t="shared" ca="1" si="11"/>
        <v>211075.3825514717</v>
      </c>
      <c r="BE36" s="30">
        <f t="shared" ca="1" si="55"/>
        <v>1.9917578158394872E-2</v>
      </c>
      <c r="BF36" s="15">
        <f t="shared" ca="1" si="13"/>
        <v>308494.78603676637</v>
      </c>
      <c r="BG36" s="30">
        <f t="shared" ca="1" si="56"/>
        <v>2.9110302228223639E-2</v>
      </c>
      <c r="BH36" s="1"/>
      <c r="BI36" s="15">
        <f t="shared" ca="1" si="15"/>
        <v>161532.97371323654</v>
      </c>
      <c r="BJ36" s="30">
        <f t="shared" ca="1" si="57"/>
        <v>-6.8945458545013411E-2</v>
      </c>
      <c r="BK36" s="15">
        <f t="shared" ca="1" si="17"/>
        <v>892178.52485294628</v>
      </c>
    </row>
    <row r="37" spans="1:71" ht="14">
      <c r="A37" s="24">
        <v>5</v>
      </c>
      <c r="B37" s="40">
        <f t="shared" ca="1" si="41"/>
        <v>45443</v>
      </c>
      <c r="C37" s="26" t="b">
        <v>1</v>
      </c>
      <c r="D37" s="1"/>
      <c r="E37" s="41">
        <f t="shared" ca="1" si="42"/>
        <v>108.33333333333334</v>
      </c>
      <c r="F37" s="15">
        <f t="shared" ca="1" si="43"/>
        <v>23237.164779874205</v>
      </c>
      <c r="G37" s="15">
        <f t="shared" ca="1" si="44"/>
        <v>0</v>
      </c>
      <c r="H37" s="27"/>
      <c r="I37" s="15">
        <f t="shared" ca="1" si="22"/>
        <v>0</v>
      </c>
      <c r="J37" s="15">
        <f t="shared" ca="1" si="23"/>
        <v>234312.54733134591</v>
      </c>
      <c r="K37" s="17" t="e">
        <f t="array" aca="1" ref="K37" ca="1">MAX(0,SUM(INDIRECT(ADDRESS(ROW(firstNotPaidRow),$F$3)&amp;":"&amp;ADDRESS(ROW(),$F$3)))-SUM(INDIRECT(ADDRESS(ROW(firstPaidRow),$G$3)&amp;":"&amp; SUBSTITUTE(ADDRESS(1,$G$3,4), 1,"")),$I$38))</f>
        <v>#REF!</v>
      </c>
      <c r="M37" s="41">
        <f t="shared" ca="1" si="45"/>
        <v>108.33333333333334</v>
      </c>
      <c r="N37" s="15">
        <f t="shared" ca="1" si="46"/>
        <v>23237.164779874205</v>
      </c>
      <c r="O37" s="15">
        <f t="shared" ca="1" si="47"/>
        <v>0</v>
      </c>
      <c r="P37" s="27"/>
      <c r="Q37" s="15">
        <f t="shared" ca="1" si="27"/>
        <v>0</v>
      </c>
      <c r="R37" s="15">
        <f t="shared" ca="1" si="28"/>
        <v>234312.54733134591</v>
      </c>
      <c r="S37" s="17" t="e">
        <f t="array" aca="1" ref="S37" ca="1">MAX(0,SUM(INDIRECT(ADDRESS(ROW(firstNotPaidRow),$F$4)&amp;":"&amp;ADDRESS(ROW(),$F$4)))-SUM(INDIRECT(ADDRESS(ROW(firstPaidRow),$G$4)&amp;":"&amp; SUBSTITUTE(ADDRESS(1,$G$4,4), 1,""))))</f>
        <v>#REF!</v>
      </c>
      <c r="T37" s="1"/>
      <c r="U37" s="41">
        <f t="shared" ca="1" si="48"/>
        <v>158.33333333333334</v>
      </c>
      <c r="V37" s="15">
        <f t="shared" ca="1" si="49"/>
        <v>33962.010062893074</v>
      </c>
      <c r="W37" s="15">
        <f t="shared" ca="1" si="50"/>
        <v>0</v>
      </c>
      <c r="X37" s="27"/>
      <c r="Y37" s="15">
        <f t="shared" ca="1" si="32"/>
        <v>0</v>
      </c>
      <c r="Z37" s="15">
        <f t="shared" ca="1" si="33"/>
        <v>342456.79609965946</v>
      </c>
      <c r="AA37" s="17" t="e">
        <f t="array" aca="1" ref="AA37" ca="1">MAX(0,SUM(INDIRECT(ADDRESS(ROW(firstNotPaidRow),$F$5)&amp;":"&amp;ADDRESS(ROW(),$F$5)))-SUM(INDIRECT(ADDRESS(ROW(firstPaidRow),$G$5)&amp;":"&amp; SUBSTITUTE(ADDRESS(1,$G$5,4), 1,""))))</f>
        <v>#REF!</v>
      </c>
      <c r="AB37" s="1"/>
      <c r="AC37" s="41">
        <f t="shared" ca="1" si="51"/>
        <v>125</v>
      </c>
      <c r="AD37" s="15">
        <f t="shared" ca="1" si="58"/>
        <v>26812.113207547161</v>
      </c>
      <c r="AE37" s="15">
        <f t="shared" ca="1" si="52"/>
        <v>8248.6299999999992</v>
      </c>
      <c r="AF37" s="15" t="s">
        <v>92</v>
      </c>
      <c r="AG37" s="15">
        <f t="shared" ca="1" si="53"/>
        <v>29202.370000000003</v>
      </c>
      <c r="AH37" s="15">
        <f t="shared" ca="1" si="38"/>
        <v>37451</v>
      </c>
      <c r="AI37" s="15">
        <f t="shared" ca="1" si="39"/>
        <v>150894.08692078371</v>
      </c>
      <c r="AJ37" s="17" t="e">
        <f t="array" aca="1" ref="AJ37" ca="1">MAX(0,$AJ$32+SUM(INDIRECT(ADDRESS(ROW(firstNotPaidRow),$F$6)&amp;":"&amp;ADDRESS(ROW(),$F$6)))-SUM(INDIRECT(ADDRESS(ROW(firstColinPaidRow),$G$6)&amp;":"&amp; SUBSTITUTE(ADDRESS(1,$G$6,4), 1,""))))</f>
        <v>#REF!</v>
      </c>
      <c r="AK37" s="1"/>
      <c r="AL37" s="15">
        <f t="shared" ca="1" si="7"/>
        <v>961975.97768313508</v>
      </c>
      <c r="AM37" s="1"/>
      <c r="AN37" s="15" t="s">
        <v>92</v>
      </c>
      <c r="AO37" s="15" t="s">
        <v>92</v>
      </c>
      <c r="AP37" s="15" t="s">
        <v>92</v>
      </c>
      <c r="AQ37" s="15" t="s">
        <v>92</v>
      </c>
      <c r="AR37" s="15" t="s">
        <v>92</v>
      </c>
      <c r="AS37" s="15" t="s">
        <v>92</v>
      </c>
      <c r="AT37" s="15">
        <f t="shared" si="8"/>
        <v>0</v>
      </c>
      <c r="AU37" s="1"/>
      <c r="AV37" s="28" t="s">
        <v>92</v>
      </c>
      <c r="AW37" s="15" t="s">
        <v>92</v>
      </c>
      <c r="AX37" s="15">
        <v>0</v>
      </c>
      <c r="AY37" s="1"/>
      <c r="AZ37" s="1"/>
      <c r="BA37" s="12">
        <f t="shared" ca="1" si="40"/>
        <v>45443</v>
      </c>
      <c r="BB37" s="15">
        <f t="shared" ca="1" si="9"/>
        <v>234312.54733134591</v>
      </c>
      <c r="BC37" s="29">
        <f t="shared" ca="1" si="54"/>
        <v>2.6907552198626089E-2</v>
      </c>
      <c r="BD37" s="15">
        <f t="shared" ca="1" si="11"/>
        <v>234312.54733134591</v>
      </c>
      <c r="BE37" s="30">
        <f t="shared" ca="1" si="55"/>
        <v>2.6907552198626089E-2</v>
      </c>
      <c r="BF37" s="15">
        <f t="shared" ca="1" si="13"/>
        <v>342456.79609965946</v>
      </c>
      <c r="BG37" s="30">
        <f t="shared" ca="1" si="56"/>
        <v>3.9326418445965128E-2</v>
      </c>
      <c r="BH37" s="1"/>
      <c r="BI37" s="15">
        <f t="shared" ca="1" si="15"/>
        <v>150894.08692078371</v>
      </c>
      <c r="BJ37" s="30">
        <f t="shared" ca="1" si="57"/>
        <v>-9.3141522843217334E-2</v>
      </c>
      <c r="BK37" s="15">
        <f t="shared" ca="1" si="17"/>
        <v>961975.97768313496</v>
      </c>
    </row>
    <row r="38" spans="1:71" ht="14">
      <c r="A38" s="24">
        <v>6</v>
      </c>
      <c r="B38" s="40">
        <f t="shared" ca="1" si="41"/>
        <v>45473</v>
      </c>
      <c r="C38" s="26" t="b">
        <v>1</v>
      </c>
      <c r="D38" s="1"/>
      <c r="E38" s="41">
        <f t="shared" ca="1" si="42"/>
        <v>108.33333333333334</v>
      </c>
      <c r="F38" s="15">
        <f t="shared" ca="1" si="43"/>
        <v>19553.06902515723</v>
      </c>
      <c r="G38" s="15">
        <f t="shared" ca="1" si="44"/>
        <v>5863.81</v>
      </c>
      <c r="H38" s="27"/>
      <c r="I38" s="15">
        <f t="shared" ca="1" si="22"/>
        <v>5863.81</v>
      </c>
      <c r="J38" s="15">
        <f t="shared" ca="1" si="23"/>
        <v>248001.80635650313</v>
      </c>
      <c r="K38" s="17" t="e">
        <f t="array" aca="1" ref="K38" ca="1">MAX(0,SUM(INDIRECT(ADDRESS(ROW(firstNotPaidRow),$F$3)&amp;":"&amp;ADDRESS(ROW(),$F$3)))-SUM(INDIRECT(ADDRESS(ROW(firstPaidRow),$G$3)&amp;":"&amp; SUBSTITUTE(ADDRESS(1,$G$3,4), 1,"")),$I$38))</f>
        <v>#REF!</v>
      </c>
      <c r="M38" s="41">
        <f t="shared" ca="1" si="45"/>
        <v>108.33333333333334</v>
      </c>
      <c r="N38" s="15">
        <f t="shared" ca="1" si="46"/>
        <v>19553.06902515723</v>
      </c>
      <c r="O38" s="15">
        <f t="shared" ca="1" si="47"/>
        <v>0</v>
      </c>
      <c r="P38" s="27"/>
      <c r="Q38" s="15">
        <f t="shared" ca="1" si="27"/>
        <v>0</v>
      </c>
      <c r="R38" s="15">
        <f t="shared" ca="1" si="28"/>
        <v>253865.61635650313</v>
      </c>
      <c r="S38" s="17" t="e">
        <f t="array" aca="1" ref="S38" ca="1">MAX(0,SUM(INDIRECT(ADDRESS(ROW(firstNotPaidRow),$F$4)&amp;":"&amp;ADDRESS(ROW(),$F$4)))-SUM(INDIRECT(ADDRESS(ROW(firstPaidRow),$G$4)&amp;":"&amp; SUBSTITUTE(ADDRESS(1,$G$4,4), 1,""))))</f>
        <v>#REF!</v>
      </c>
      <c r="T38" s="1"/>
      <c r="U38" s="41">
        <f t="shared" ca="1" si="48"/>
        <v>158.33333333333334</v>
      </c>
      <c r="V38" s="15">
        <f t="shared" ca="1" si="49"/>
        <v>28577.562421383645</v>
      </c>
      <c r="W38" s="15">
        <f t="shared" ca="1" si="50"/>
        <v>0</v>
      </c>
      <c r="X38" s="27"/>
      <c r="Y38" s="15">
        <f t="shared" ca="1" si="32"/>
        <v>0</v>
      </c>
      <c r="Z38" s="15">
        <f t="shared" ca="1" si="33"/>
        <v>371034.35852104309</v>
      </c>
      <c r="AA38" s="17" t="e">
        <f t="array" aca="1" ref="AA38" ca="1">MAX(0,SUM(INDIRECT(ADDRESS(ROW(firstNotPaidRow),$F$5)&amp;":"&amp;ADDRESS(ROW(),$F$5)))-SUM(INDIRECT(ADDRESS(ROW(firstPaidRow),$G$5)&amp;":"&amp; SUBSTITUTE(ADDRESS(1,$G$5,4), 1,""))))</f>
        <v>#REF!</v>
      </c>
      <c r="AB38" s="1"/>
      <c r="AC38" s="41">
        <f t="shared" ca="1" si="51"/>
        <v>125</v>
      </c>
      <c r="AD38" s="15">
        <f t="shared" ca="1" si="58"/>
        <v>22561.233490566032</v>
      </c>
      <c r="AE38" s="15">
        <f t="shared" ca="1" si="52"/>
        <v>5939.58</v>
      </c>
      <c r="AF38" s="15" t="s">
        <v>92</v>
      </c>
      <c r="AG38" s="15">
        <f t="shared" ca="1" si="53"/>
        <v>-30000</v>
      </c>
      <c r="AH38" s="15">
        <f t="shared" ca="1" si="38"/>
        <v>-24060.42</v>
      </c>
      <c r="AI38" s="15">
        <f t="shared" ca="1" si="39"/>
        <v>197515.74041134975</v>
      </c>
      <c r="AJ38" s="17" t="e">
        <f t="array" aca="1" ref="AJ38" ca="1">MAX(0,$AJ$32+SUM(INDIRECT(ADDRESS(ROW(firstNotPaidRow),$F$6)&amp;":"&amp;ADDRESS(ROW(),$F$6)))-SUM(INDIRECT(ADDRESS(ROW(firstColinPaidRow),$G$6)&amp;":"&amp; SUBSTITUTE(ADDRESS(1,$G$6,4), 1,""))))</f>
        <v>#REF!</v>
      </c>
      <c r="AK38" s="1"/>
      <c r="AL38" s="15">
        <f t="shared" ca="1" si="7"/>
        <v>1070417.521645399</v>
      </c>
      <c r="AM38" s="1"/>
      <c r="AN38" s="15" t="s">
        <v>92</v>
      </c>
      <c r="AO38" s="15" t="s">
        <v>92</v>
      </c>
      <c r="AP38" s="15" t="s">
        <v>92</v>
      </c>
      <c r="AQ38" s="15" t="s">
        <v>92</v>
      </c>
      <c r="AR38" s="15" t="s">
        <v>92</v>
      </c>
      <c r="AS38" s="15" t="s">
        <v>92</v>
      </c>
      <c r="AT38" s="15">
        <f t="shared" si="8"/>
        <v>0</v>
      </c>
      <c r="AU38" s="1"/>
      <c r="AV38" s="28" t="s">
        <v>92</v>
      </c>
      <c r="AW38" s="15" t="s">
        <v>92</v>
      </c>
      <c r="AX38" s="15">
        <v>0</v>
      </c>
      <c r="AY38" s="1"/>
      <c r="AZ38" s="1"/>
      <c r="BA38" s="12">
        <f t="shared" ca="1" si="40"/>
        <v>45473</v>
      </c>
      <c r="BB38" s="15">
        <f t="shared" ca="1" si="9"/>
        <v>248001.80635650313</v>
      </c>
      <c r="BC38" s="29">
        <f t="shared" ca="1" si="54"/>
        <v>1.5020316535257733E-2</v>
      </c>
      <c r="BD38" s="15">
        <f t="shared" ca="1" si="11"/>
        <v>253865.61635650313</v>
      </c>
      <c r="BE38" s="30">
        <f t="shared" ca="1" si="55"/>
        <v>2.0498375219299453E-2</v>
      </c>
      <c r="BF38" s="15">
        <f t="shared" ca="1" si="13"/>
        <v>371034.35852104309</v>
      </c>
      <c r="BG38" s="30">
        <f t="shared" ca="1" si="56"/>
        <v>2.9959160188918865E-2</v>
      </c>
      <c r="BH38" s="1"/>
      <c r="BI38" s="15">
        <f t="shared" ca="1" si="15"/>
        <v>197515.74041134975</v>
      </c>
      <c r="BJ38" s="30">
        <f t="shared" ca="1" si="57"/>
        <v>-6.5477851943476051E-2</v>
      </c>
      <c r="BK38" s="15">
        <f t="shared" ca="1" si="17"/>
        <v>1070417.521645399</v>
      </c>
    </row>
    <row r="39" spans="1:71" ht="14">
      <c r="A39" s="24">
        <v>7</v>
      </c>
      <c r="B39" s="40">
        <f t="shared" ca="1" si="41"/>
        <v>45504</v>
      </c>
      <c r="C39" s="26" t="b">
        <v>1</v>
      </c>
      <c r="D39" s="1"/>
      <c r="E39" s="41">
        <f t="shared" ca="1" si="42"/>
        <v>108.33333333333334</v>
      </c>
      <c r="F39" s="15">
        <f t="shared" ca="1" si="43"/>
        <v>36584.894339622631</v>
      </c>
      <c r="G39" s="15">
        <f t="shared" ca="1" si="44"/>
        <v>0</v>
      </c>
      <c r="H39" s="27">
        <v>40000</v>
      </c>
      <c r="I39" s="15">
        <f t="shared" ca="1" si="22"/>
        <v>40000</v>
      </c>
      <c r="J39" s="15">
        <f t="shared" ca="1" si="23"/>
        <v>244586.70069612574</v>
      </c>
      <c r="K39" s="17" t="e">
        <f t="array" aca="1" ref="K39" ca="1">MAX(0,SUM(INDIRECT(ADDRESS(ROW(firstNotPaidRow),$F$3)&amp;":"&amp;ADDRESS(ROW(),$F$3)))-SUM(INDIRECT(ADDRESS(ROW(firstPaidRow),$G$3)&amp;":"&amp; SUBSTITUTE(ADDRESS(1,$G$3,4), 1,"")),$I$38))</f>
        <v>#REF!</v>
      </c>
      <c r="L39" s="1"/>
      <c r="M39" s="41">
        <f t="shared" ca="1" si="45"/>
        <v>108.33333333333334</v>
      </c>
      <c r="N39" s="15">
        <f t="shared" ca="1" si="46"/>
        <v>36584.894339622631</v>
      </c>
      <c r="O39" s="15">
        <f t="shared" ca="1" si="47"/>
        <v>0</v>
      </c>
      <c r="P39" s="27">
        <v>40000</v>
      </c>
      <c r="Q39" s="15">
        <f t="shared" ca="1" si="27"/>
        <v>40000</v>
      </c>
      <c r="R39" s="15">
        <f t="shared" ca="1" si="28"/>
        <v>250450.51069612574</v>
      </c>
      <c r="S39" s="17" t="e">
        <f t="array" aca="1" ref="S39" ca="1">MAX(0,SUM(INDIRECT(ADDRESS(ROW(firstNotPaidRow),$F$4)&amp;":"&amp;ADDRESS(ROW(),$F$4)))-SUM(INDIRECT(ADDRESS(ROW(firstPaidRow),$G$4)&amp;":"&amp; SUBSTITUTE(ADDRESS(1,$G$4,4), 1,""))))</f>
        <v>#REF!</v>
      </c>
      <c r="T39" s="1"/>
      <c r="U39" s="41">
        <f t="shared" ca="1" si="48"/>
        <v>158.33333333333334</v>
      </c>
      <c r="V39" s="15">
        <f t="shared" ca="1" si="49"/>
        <v>53470.230188679234</v>
      </c>
      <c r="W39" s="15">
        <f t="shared" ca="1" si="50"/>
        <v>0</v>
      </c>
      <c r="X39" s="27">
        <v>50000</v>
      </c>
      <c r="Y39" s="15">
        <f t="shared" ca="1" si="32"/>
        <v>50000</v>
      </c>
      <c r="Z39" s="15">
        <f t="shared" ca="1" si="33"/>
        <v>374504.58870972233</v>
      </c>
      <c r="AA39" s="17" t="e">
        <f t="array" aca="1" ref="AA39" ca="1">MAX(0,SUM(INDIRECT(ADDRESS(ROW(firstNotPaidRow),$F$5)&amp;":"&amp;ADDRESS(ROW(),$F$5)))-SUM(INDIRECT(ADDRESS(ROW(firstPaidRow),$G$5)&amp;":"&amp; SUBSTITUTE(ADDRESS(1,$G$5,4), 1,""))))</f>
        <v>#REF!</v>
      </c>
      <c r="AB39" s="1"/>
      <c r="AC39" s="41">
        <f t="shared" ca="1" si="51"/>
        <v>125</v>
      </c>
      <c r="AD39" s="15">
        <f t="shared" ca="1" si="58"/>
        <v>42213.339622641499</v>
      </c>
      <c r="AE39" s="15">
        <f t="shared" ca="1" si="52"/>
        <v>11885.55</v>
      </c>
      <c r="AF39" s="15" t="s">
        <v>92</v>
      </c>
      <c r="AG39" s="15">
        <f t="shared" ca="1" si="53"/>
        <v>0</v>
      </c>
      <c r="AH39" s="15">
        <f t="shared" ca="1" si="38"/>
        <v>11885.55</v>
      </c>
      <c r="AI39" s="15">
        <f t="shared" ca="1" si="39"/>
        <v>227843.53003399126</v>
      </c>
      <c r="AJ39" s="17" t="e">
        <f t="array" aca="1" ref="AJ39" ca="1">MAX(0,$AJ$32+SUM(INDIRECT(ADDRESS(ROW(firstNotPaidRow),$F$6)&amp;":"&amp;ADDRESS(ROW(),$F$6)))-SUM(INDIRECT(ADDRESS(ROW(firstColinPaidRow),$G$6)&amp;":"&amp; SUBSTITUTE(ADDRESS(1,$G$6,4), 1,""))))</f>
        <v>#REF!</v>
      </c>
      <c r="AK39" s="1"/>
      <c r="AL39" s="15">
        <f t="shared" ca="1" si="7"/>
        <v>1097385.3301359653</v>
      </c>
      <c r="AM39" s="1"/>
      <c r="AN39" s="15" t="s">
        <v>92</v>
      </c>
      <c r="AO39" s="15" t="s">
        <v>92</v>
      </c>
      <c r="AP39" s="15" t="s">
        <v>92</v>
      </c>
      <c r="AQ39" s="15" t="s">
        <v>92</v>
      </c>
      <c r="AR39" s="15" t="s">
        <v>92</v>
      </c>
      <c r="AS39" s="15" t="s">
        <v>92</v>
      </c>
      <c r="AT39" s="15">
        <f t="shared" si="8"/>
        <v>0</v>
      </c>
      <c r="AU39" s="1"/>
      <c r="AV39" s="28" t="s">
        <v>92</v>
      </c>
      <c r="AW39" s="15" t="s">
        <v>92</v>
      </c>
      <c r="AX39" s="15">
        <v>0</v>
      </c>
      <c r="AY39" s="1"/>
      <c r="AZ39" s="1"/>
      <c r="BA39" s="12">
        <f t="shared" ca="1" si="40"/>
        <v>45504</v>
      </c>
      <c r="BB39" s="15">
        <f t="shared" ca="1" si="9"/>
        <v>244586.70069612574</v>
      </c>
      <c r="BC39" s="29">
        <f t="shared" ca="1" si="54"/>
        <v>6.2146622333849322E-3</v>
      </c>
      <c r="BD39" s="15">
        <f t="shared" ca="1" si="11"/>
        <v>250450.51069612574</v>
      </c>
      <c r="BE39" s="30">
        <f t="shared" ca="1" si="55"/>
        <v>1.155809980173067E-2</v>
      </c>
      <c r="BF39" s="15">
        <f t="shared" ca="1" si="13"/>
        <v>374504.58870972233</v>
      </c>
      <c r="BG39" s="30">
        <f t="shared" ca="1" si="56"/>
        <v>2.4603239559728318E-2</v>
      </c>
      <c r="BH39" s="1"/>
      <c r="BI39" s="15">
        <f t="shared" ca="1" si="15"/>
        <v>227843.53003399126</v>
      </c>
      <c r="BJ39" s="30">
        <f t="shared" ca="1" si="57"/>
        <v>-4.2376001594843921E-2</v>
      </c>
      <c r="BK39" s="15">
        <f t="shared" ca="1" si="17"/>
        <v>1097385.330135965</v>
      </c>
    </row>
    <row r="40" spans="1:71" ht="14">
      <c r="A40" s="24">
        <v>8</v>
      </c>
      <c r="B40" s="40">
        <f t="shared" ca="1" si="41"/>
        <v>45535</v>
      </c>
      <c r="C40" s="26" t="b">
        <v>1</v>
      </c>
      <c r="D40" s="1"/>
      <c r="E40" s="41">
        <f t="shared" ca="1" si="42"/>
        <v>108.33333333333334</v>
      </c>
      <c r="F40" s="15">
        <f t="shared" ca="1" si="43"/>
        <v>35610.241823899363</v>
      </c>
      <c r="G40" s="15">
        <f t="shared" ca="1" si="44"/>
        <v>0</v>
      </c>
      <c r="H40" s="27"/>
      <c r="I40" s="15">
        <f t="shared" ca="1" si="22"/>
        <v>0</v>
      </c>
      <c r="J40" s="15">
        <f t="shared" ca="1" si="23"/>
        <v>280196.94252002513</v>
      </c>
      <c r="K40" s="17" t="e">
        <f t="array" aca="1" ref="K40" ca="1">MAX(0,SUM(INDIRECT(ADDRESS(ROW(firstNotPaidRow),$F$3)&amp;":"&amp;ADDRESS(ROW(),$F$3)))-SUM(INDIRECT(ADDRESS(ROW(firstPaidRow),$G$3)&amp;":"&amp; SUBSTITUTE(ADDRESS(1,$G$3,4), 1,"")),$I$38))</f>
        <v>#REF!</v>
      </c>
      <c r="L40" s="1"/>
      <c r="M40" s="41">
        <f t="shared" ca="1" si="45"/>
        <v>108.33333333333334</v>
      </c>
      <c r="N40" s="15">
        <f t="shared" ca="1" si="46"/>
        <v>35610.241823899363</v>
      </c>
      <c r="O40" s="15">
        <f t="shared" ca="1" si="47"/>
        <v>0</v>
      </c>
      <c r="P40" s="27"/>
      <c r="Q40" s="15">
        <f t="shared" ca="1" si="27"/>
        <v>0</v>
      </c>
      <c r="R40" s="15">
        <f t="shared" ca="1" si="28"/>
        <v>286060.75252002513</v>
      </c>
      <c r="S40" s="17" t="e">
        <f t="array" aca="1" ref="S40" ca="1">MAX(0,SUM(INDIRECT(ADDRESS(ROW(firstNotPaidRow),$F$4)&amp;":"&amp;ADDRESS(ROW(),$F$4)))-SUM(INDIRECT(ADDRESS(ROW(firstPaidRow),$G$4)&amp;":"&amp; SUBSTITUTE(ADDRESS(1,$G$4,4), 1,""))))</f>
        <v>#REF!</v>
      </c>
      <c r="T40" s="1"/>
      <c r="U40" s="41">
        <f t="shared" ca="1" si="48"/>
        <v>158.33333333333334</v>
      </c>
      <c r="V40" s="15">
        <f t="shared" ca="1" si="49"/>
        <v>52045.738050314467</v>
      </c>
      <c r="W40" s="15">
        <f t="shared" ca="1" si="50"/>
        <v>0</v>
      </c>
      <c r="X40" s="27"/>
      <c r="Y40" s="15">
        <f t="shared" ca="1" si="32"/>
        <v>0</v>
      </c>
      <c r="Z40" s="15">
        <f t="shared" ca="1" si="33"/>
        <v>426550.32676003681</v>
      </c>
      <c r="AA40" s="17" t="e">
        <f t="array" aca="1" ref="AA40" ca="1">MAX(0,SUM(INDIRECT(ADDRESS(ROW(firstNotPaidRow),$F$5)&amp;":"&amp;ADDRESS(ROW(),$F$5)))-SUM(INDIRECT(ADDRESS(ROW(firstPaidRow),$G$5)&amp;":"&amp; SUBSTITUTE(ADDRESS(1,$G$5,4), 1,""))))</f>
        <v>#REF!</v>
      </c>
      <c r="AB40" s="1"/>
      <c r="AC40" s="41">
        <f t="shared" ca="1" si="51"/>
        <v>125</v>
      </c>
      <c r="AD40" s="15">
        <f t="shared" ca="1" si="58"/>
        <v>41088.740566037726</v>
      </c>
      <c r="AE40" s="15">
        <f t="shared" ca="1" si="52"/>
        <v>10512.72</v>
      </c>
      <c r="AF40" s="15" t="s">
        <v>92</v>
      </c>
      <c r="AG40" s="15">
        <f t="shared" ca="1" si="53"/>
        <v>35000</v>
      </c>
      <c r="AH40" s="15">
        <f t="shared" ca="1" si="38"/>
        <v>45512.72</v>
      </c>
      <c r="AI40" s="15">
        <f t="shared" ca="1" si="39"/>
        <v>223419.55060002898</v>
      </c>
      <c r="AJ40" s="17" t="e">
        <f t="array" aca="1" ref="AJ40" ca="1">MAX(0,$AJ$32+SUM(INDIRECT(ADDRESS(ROW(firstNotPaidRow),$F$6)&amp;":"&amp;ADDRESS(ROW(),$F$6)))-SUM(INDIRECT(ADDRESS(ROW(firstColinPaidRow),$G$6)&amp;":"&amp; SUBSTITUTE(ADDRESS(1,$G$6,4), 1,""))))</f>
        <v>#REF!</v>
      </c>
      <c r="AK40" s="1"/>
      <c r="AL40" s="15">
        <f t="shared" ca="1" si="7"/>
        <v>1216227.5724001161</v>
      </c>
      <c r="AM40" s="1"/>
      <c r="AN40" s="15" t="s">
        <v>92</v>
      </c>
      <c r="AO40" s="15" t="s">
        <v>92</v>
      </c>
      <c r="AP40" s="15" t="s">
        <v>92</v>
      </c>
      <c r="AQ40" s="15" t="s">
        <v>92</v>
      </c>
      <c r="AR40" s="15" t="s">
        <v>92</v>
      </c>
      <c r="AS40" s="15" t="s">
        <v>92</v>
      </c>
      <c r="AT40" s="15">
        <f t="shared" si="8"/>
        <v>0</v>
      </c>
      <c r="AU40" s="1"/>
      <c r="AV40" s="28" t="s">
        <v>92</v>
      </c>
      <c r="AW40" s="15" t="s">
        <v>92</v>
      </c>
      <c r="AX40" s="15">
        <v>0</v>
      </c>
      <c r="AY40" s="1"/>
      <c r="AZ40" s="1"/>
      <c r="BA40" s="12">
        <f t="shared" ca="1" si="40"/>
        <v>45535</v>
      </c>
      <c r="BB40" s="15">
        <f t="shared" ca="1" si="9"/>
        <v>280196.94252002513</v>
      </c>
      <c r="BC40" s="29">
        <f t="shared" ca="1" si="54"/>
        <v>1.3715334924599309E-2</v>
      </c>
      <c r="BD40" s="15">
        <f t="shared" ca="1" si="11"/>
        <v>286060.75252002513</v>
      </c>
      <c r="BE40" s="30">
        <f t="shared" ca="1" si="55"/>
        <v>1.8536644795438956E-2</v>
      </c>
      <c r="BF40" s="15">
        <f t="shared" ca="1" si="13"/>
        <v>426550.32676003681</v>
      </c>
      <c r="BG40" s="30">
        <f t="shared" ca="1" si="56"/>
        <v>3.4049216149801553E-2</v>
      </c>
      <c r="BH40" s="1"/>
      <c r="BI40" s="15">
        <f t="shared" ca="1" si="15"/>
        <v>223419.55060002898</v>
      </c>
      <c r="BJ40" s="30">
        <f t="shared" ca="1" si="57"/>
        <v>-6.6301195869839957E-2</v>
      </c>
      <c r="BK40" s="15">
        <f t="shared" ca="1" si="17"/>
        <v>1216227.5724001161</v>
      </c>
    </row>
    <row r="41" spans="1:71" ht="28">
      <c r="A41" s="42">
        <v>9</v>
      </c>
      <c r="B41" s="43">
        <f t="shared" ca="1" si="41"/>
        <v>45565</v>
      </c>
      <c r="C41" s="44" t="b">
        <v>1</v>
      </c>
      <c r="D41" s="42"/>
      <c r="E41" s="45">
        <f t="shared" ca="1" si="42"/>
        <v>108.33333333333334</v>
      </c>
      <c r="F41" s="46">
        <f t="shared" ca="1" si="43"/>
        <v>-3464.9803459119553</v>
      </c>
      <c r="G41" s="46">
        <f t="shared" ca="1" si="44"/>
        <v>0</v>
      </c>
      <c r="H41" s="47">
        <v>44512.68</v>
      </c>
      <c r="I41" s="46">
        <f t="shared" ca="1" si="22"/>
        <v>44512.68</v>
      </c>
      <c r="J41" s="46">
        <f t="shared" ca="1" si="23"/>
        <v>232219.28217411321</v>
      </c>
      <c r="K41" s="46" t="e">
        <f t="array" aca="1" ref="K41" ca="1">MAX(0,SUM(INDIRECT(ADDRESS(ROW(firstNotPaidRow),$F$3)&amp;":"&amp;ADDRESS(ROW(),$F$3)))-SUM(INDIRECT(ADDRESS(ROW(firstPaidRow),$G$3)&amp;":"&amp; SUBSTITUTE(ADDRESS(1,$G$3,4), 1,"")),$I$38))</f>
        <v>#REF!</v>
      </c>
      <c r="L41" s="42" t="s">
        <v>121</v>
      </c>
      <c r="M41" s="45">
        <f t="shared" ca="1" si="45"/>
        <v>108.33333333333334</v>
      </c>
      <c r="N41" s="46">
        <f t="shared" ca="1" si="46"/>
        <v>-3464.9803459119553</v>
      </c>
      <c r="O41" s="46">
        <f t="shared" ca="1" si="47"/>
        <v>0</v>
      </c>
      <c r="P41" s="47">
        <v>44512.68</v>
      </c>
      <c r="Q41" s="46">
        <f t="shared" ca="1" si="27"/>
        <v>44512.68</v>
      </c>
      <c r="R41" s="46">
        <f t="shared" ca="1" si="28"/>
        <v>238083.0921741132</v>
      </c>
      <c r="S41" s="46" t="e">
        <f t="array" aca="1" ref="S41" ca="1">MAX(0,SUM(INDIRECT(ADDRESS(ROW(firstNotPaidRow),$F$4)&amp;":"&amp;ADDRESS(ROW(),$F$4)))-SUM(INDIRECT(ADDRESS(ROW(firstPaidRow),$G$4)&amp;":"&amp; SUBSTITUTE(ADDRESS(1,$G$4,4), 1,""))))</f>
        <v>#REF!</v>
      </c>
      <c r="T41" s="42" t="s">
        <v>121</v>
      </c>
      <c r="U41" s="45">
        <f t="shared" ca="1" si="48"/>
        <v>158.33333333333334</v>
      </c>
      <c r="V41" s="46">
        <f t="shared" ca="1" si="49"/>
        <v>-5064.2020440251654</v>
      </c>
      <c r="W41" s="46">
        <f t="shared" ca="1" si="50"/>
        <v>0</v>
      </c>
      <c r="X41" s="47">
        <v>73518.539999999994</v>
      </c>
      <c r="Y41" s="46">
        <f t="shared" ca="1" si="32"/>
        <v>73518.539999999994</v>
      </c>
      <c r="Z41" s="46">
        <f t="shared" ca="1" si="33"/>
        <v>347967.58471601165</v>
      </c>
      <c r="AA41" s="46" t="e">
        <f t="array" aca="1" ref="AA41" ca="1">MAX(0,SUM(INDIRECT(ADDRESS(ROW(firstNotPaidRow),$F$5)&amp;":"&amp;ADDRESS(ROW(),$F$5)))-SUM(INDIRECT(ADDRESS(ROW(firstPaidRow),$G$5)&amp;":"&amp; SUBSTITUTE(ADDRESS(1,$G$5,4), 1,""))))</f>
        <v>#REF!</v>
      </c>
      <c r="AB41" s="42" t="s">
        <v>121</v>
      </c>
      <c r="AC41" s="45">
        <f t="shared" ca="1" si="51"/>
        <v>125</v>
      </c>
      <c r="AD41" s="46">
        <f t="shared" ca="1" si="58"/>
        <v>-3998.054245283025</v>
      </c>
      <c r="AE41" s="46">
        <f t="shared" ca="1" si="52"/>
        <v>4356.2700000000004</v>
      </c>
      <c r="AF41" s="46" t="s">
        <v>92</v>
      </c>
      <c r="AG41" s="46">
        <f t="shared" ca="1" si="53"/>
        <v>0</v>
      </c>
      <c r="AH41" s="46">
        <f t="shared" ca="1" si="38"/>
        <v>4356.2700000000004</v>
      </c>
      <c r="AI41" s="46">
        <f t="shared" ca="1" si="39"/>
        <v>215065.22635474597</v>
      </c>
      <c r="AJ41" s="46" t="e">
        <f t="array" aca="1" ref="AJ41" ca="1">MAX(0,$AJ$32+SUM(INDIRECT(ADDRESS(ROW(firstNotPaidRow),$F$6)&amp;":"&amp;ADDRESS(ROW(),$F$6)))-SUM(INDIRECT(ADDRESS(ROW(firstColinPaidRow),$G$6)&amp;":"&amp; SUBSTITUTE(ADDRESS(1,$G$6,4), 1,""))))</f>
        <v>#REF!</v>
      </c>
      <c r="AK41" s="42"/>
      <c r="AL41" s="46">
        <f t="shared" ca="1" si="7"/>
        <v>1033335.1854189842</v>
      </c>
      <c r="AM41" s="42"/>
      <c r="AN41" s="46" t="s">
        <v>92</v>
      </c>
      <c r="AO41" s="46" t="s">
        <v>92</v>
      </c>
      <c r="AP41" s="46" t="s">
        <v>92</v>
      </c>
      <c r="AQ41" s="46" t="s">
        <v>92</v>
      </c>
      <c r="AR41" s="46" t="s">
        <v>92</v>
      </c>
      <c r="AS41" s="46" t="s">
        <v>92</v>
      </c>
      <c r="AT41" s="46">
        <f t="shared" si="8"/>
        <v>0</v>
      </c>
      <c r="AU41" s="42"/>
      <c r="AV41" s="48" t="s">
        <v>92</v>
      </c>
      <c r="AW41" s="46" t="s">
        <v>92</v>
      </c>
      <c r="AX41" s="46">
        <v>0</v>
      </c>
      <c r="AY41" s="42"/>
      <c r="AZ41" s="42"/>
      <c r="BA41" s="43">
        <f t="shared" ca="1" si="40"/>
        <v>45565</v>
      </c>
      <c r="BB41" s="46">
        <f t="shared" ca="1" si="9"/>
        <v>232219.28217411321</v>
      </c>
      <c r="BC41" s="49">
        <f t="shared" ca="1" si="54"/>
        <v>8.0612681321041713E-3</v>
      </c>
      <c r="BD41" s="46">
        <f t="shared" ca="1" si="11"/>
        <v>238083.0921741132</v>
      </c>
      <c r="BE41" s="50">
        <f t="shared" ca="1" si="55"/>
        <v>1.3735912799915817E-2</v>
      </c>
      <c r="BF41" s="46">
        <f t="shared" ca="1" si="13"/>
        <v>347967.58471601165</v>
      </c>
      <c r="BG41" s="50">
        <f t="shared" ca="1" si="56"/>
        <v>2.007555369518238E-2</v>
      </c>
      <c r="BH41" s="42"/>
      <c r="BI41" s="46">
        <f t="shared" ca="1" si="15"/>
        <v>215065.22635474597</v>
      </c>
      <c r="BJ41" s="50">
        <f t="shared" ca="1" si="57"/>
        <v>-4.1872734627202313E-2</v>
      </c>
      <c r="BK41" s="46">
        <f t="shared" ca="1" si="17"/>
        <v>1033335.1854189839</v>
      </c>
      <c r="BL41" s="42"/>
      <c r="BM41" s="42"/>
      <c r="BN41" s="42"/>
      <c r="BO41" s="42"/>
      <c r="BP41" s="42"/>
      <c r="BQ41" s="42"/>
      <c r="BR41" s="42"/>
      <c r="BS41" s="42"/>
    </row>
    <row r="42" spans="1:71" ht="14">
      <c r="A42" s="24">
        <v>10</v>
      </c>
      <c r="B42" s="40">
        <f t="shared" ca="1" si="41"/>
        <v>45596</v>
      </c>
      <c r="C42" s="26" t="b">
        <v>1</v>
      </c>
      <c r="D42" s="1"/>
      <c r="E42" s="41">
        <f t="shared" ca="1" si="42"/>
        <v>108.33333333333334</v>
      </c>
      <c r="F42" s="15">
        <f t="shared" ca="1" si="43"/>
        <v>46420.15267295597</v>
      </c>
      <c r="G42" s="15">
        <f t="shared" ca="1" si="44"/>
        <v>0</v>
      </c>
      <c r="H42" s="27"/>
      <c r="I42" s="15">
        <f t="shared" ca="1" si="22"/>
        <v>0</v>
      </c>
      <c r="J42" s="15">
        <f t="shared" ca="1" si="23"/>
        <v>278639.43484706921</v>
      </c>
      <c r="K42" s="17" t="e">
        <f t="array" aca="1" ref="K42" ca="1">MAX(0,SUM(INDIRECT(ADDRESS(ROW(firstNotPaidRow),$F$3)&amp;":"&amp;ADDRESS(ROW(),$F$3)))-SUM(INDIRECT(ADDRESS(ROW(firstPaidRow),$G$3)&amp;":"&amp; SUBSTITUTE(ADDRESS(1,$G$3,4), 1,"")),$I$38))</f>
        <v>#REF!</v>
      </c>
      <c r="L42" s="1"/>
      <c r="M42" s="41">
        <f t="shared" ca="1" si="45"/>
        <v>108.33333333333334</v>
      </c>
      <c r="N42" s="15">
        <f t="shared" ca="1" si="46"/>
        <v>46420.15267295597</v>
      </c>
      <c r="O42" s="15">
        <f t="shared" ca="1" si="47"/>
        <v>0</v>
      </c>
      <c r="P42" s="27"/>
      <c r="Q42" s="15">
        <f t="shared" ca="1" si="27"/>
        <v>0</v>
      </c>
      <c r="R42" s="15">
        <f t="shared" ca="1" si="28"/>
        <v>284503.24484706915</v>
      </c>
      <c r="S42" s="17" t="e">
        <f t="array" aca="1" ref="S42" ca="1">MAX(0,SUM(INDIRECT(ADDRESS(ROW(firstNotPaidRow),$F$4)&amp;":"&amp;ADDRESS(ROW(),$F$4)))-SUM(INDIRECT(ADDRESS(ROW(firstPaidRow),$G$4)&amp;":"&amp; SUBSTITUTE(ADDRESS(1,$G$4,4), 1,""))))</f>
        <v>#REF!</v>
      </c>
      <c r="T42" s="1"/>
      <c r="U42" s="41">
        <f t="shared" ca="1" si="48"/>
        <v>158.33333333333334</v>
      </c>
      <c r="V42" s="15">
        <f t="shared" ca="1" si="49"/>
        <v>67844.838522012564</v>
      </c>
      <c r="W42" s="15">
        <f t="shared" ca="1" si="50"/>
        <v>0</v>
      </c>
      <c r="X42" s="27"/>
      <c r="Y42" s="15">
        <f t="shared" ca="1" si="32"/>
        <v>0</v>
      </c>
      <c r="Z42" s="15">
        <f t="shared" ca="1" si="33"/>
        <v>415812.42323802423</v>
      </c>
      <c r="AA42" s="17" t="e">
        <f t="array" aca="1" ref="AA42" ca="1">MAX(0,SUM(INDIRECT(ADDRESS(ROW(firstNotPaidRow),$F$5)&amp;":"&amp;ADDRESS(ROW(),$F$5)))-SUM(INDIRECT(ADDRESS(ROW(firstPaidRow),$G$5)&amp;":"&amp; SUBSTITUTE(ADDRESS(1,$G$5,4), 1,""))))</f>
        <v>#REF!</v>
      </c>
      <c r="AB42" s="1"/>
      <c r="AC42" s="41">
        <f t="shared" ca="1" si="51"/>
        <v>125</v>
      </c>
      <c r="AD42" s="15">
        <f t="shared" ca="1" si="58"/>
        <v>53561.714622641492</v>
      </c>
      <c r="AE42" s="15">
        <f t="shared" ca="1" si="52"/>
        <v>18974.560000000001</v>
      </c>
      <c r="AF42" s="15" t="s">
        <v>92</v>
      </c>
      <c r="AG42" s="15">
        <f t="shared" ca="1" si="53"/>
        <v>30000</v>
      </c>
      <c r="AH42" s="15">
        <f t="shared" ca="1" si="38"/>
        <v>48974.559999999998</v>
      </c>
      <c r="AI42" s="15">
        <f t="shared" ca="1" si="39"/>
        <v>219652.38097738748</v>
      </c>
      <c r="AJ42" s="17" t="e">
        <f t="array" aca="1" ref="AJ42" ca="1">MAX(0,$AJ$32+SUM(INDIRECT(ADDRESS(ROW(firstNotPaidRow),$F$6)&amp;":"&amp;ADDRESS(ROW(),$F$6)))-SUM(INDIRECT(ADDRESS(ROW(firstColinPaidRow),$G$6)&amp;":"&amp; SUBSTITUTE(ADDRESS(1,$G$6,4), 1,""))))</f>
        <v>#REF!</v>
      </c>
      <c r="AK42" s="1"/>
      <c r="AL42" s="15">
        <f t="shared" ca="1" si="7"/>
        <v>1198607.4839095501</v>
      </c>
      <c r="AM42" s="1"/>
      <c r="AN42" s="15" t="s">
        <v>92</v>
      </c>
      <c r="AO42" s="15" t="s">
        <v>92</v>
      </c>
      <c r="AP42" s="15" t="s">
        <v>92</v>
      </c>
      <c r="AQ42" s="15" t="s">
        <v>92</v>
      </c>
      <c r="AR42" s="15" t="s">
        <v>92</v>
      </c>
      <c r="AS42" s="15" t="s">
        <v>92</v>
      </c>
      <c r="AT42" s="15">
        <f t="shared" si="8"/>
        <v>0</v>
      </c>
      <c r="AU42" s="1"/>
      <c r="AV42" s="28" t="s">
        <v>92</v>
      </c>
      <c r="AW42" s="15" t="s">
        <v>92</v>
      </c>
      <c r="AX42" s="15">
        <v>0</v>
      </c>
      <c r="AY42" s="1"/>
      <c r="AZ42" s="1"/>
      <c r="BA42" s="12">
        <f t="shared" ca="1" si="40"/>
        <v>45596</v>
      </c>
      <c r="BB42" s="15">
        <f t="shared" ca="1" si="9"/>
        <v>278639.43484706921</v>
      </c>
      <c r="BC42" s="29">
        <f t="shared" ca="1" si="54"/>
        <v>1.5802626732218883E-2</v>
      </c>
      <c r="BD42" s="15">
        <f t="shared" ca="1" si="11"/>
        <v>284503.24484706915</v>
      </c>
      <c r="BE42" s="30">
        <f t="shared" ca="1" si="55"/>
        <v>2.0694812104592564E-2</v>
      </c>
      <c r="BF42" s="15">
        <f t="shared" ca="1" si="13"/>
        <v>415812.42323802423</v>
      </c>
      <c r="BG42" s="30">
        <f t="shared" ca="1" si="56"/>
        <v>3.0246254218618263E-2</v>
      </c>
      <c r="BH42" s="1"/>
      <c r="BI42" s="15">
        <f t="shared" ca="1" si="15"/>
        <v>219652.38097738748</v>
      </c>
      <c r="BJ42" s="30">
        <f t="shared" ca="1" si="57"/>
        <v>-6.674369305542982E-2</v>
      </c>
      <c r="BK42" s="15">
        <f t="shared" ca="1" si="17"/>
        <v>1198607.4839095501</v>
      </c>
    </row>
    <row r="43" spans="1:71" ht="14">
      <c r="A43" s="24">
        <v>11</v>
      </c>
      <c r="B43" s="40">
        <f t="shared" ca="1" si="41"/>
        <v>45626</v>
      </c>
      <c r="C43" s="26" t="b">
        <v>1</v>
      </c>
      <c r="D43" s="1"/>
      <c r="E43" s="41">
        <f t="shared" ca="1" si="42"/>
        <v>108.33333333333334</v>
      </c>
      <c r="F43" s="15">
        <f t="shared" ca="1" si="43"/>
        <v>37214.648270440252</v>
      </c>
      <c r="G43" s="15">
        <f t="shared" ca="1" si="44"/>
        <v>0</v>
      </c>
      <c r="H43" s="27"/>
      <c r="I43" s="15">
        <f t="shared" ca="1" si="22"/>
        <v>0</v>
      </c>
      <c r="J43" s="15">
        <f t="shared" ca="1" si="23"/>
        <v>315854.08311750944</v>
      </c>
      <c r="K43" s="17" t="e">
        <f t="array" aca="1" ref="K43" ca="1">MAX(0,SUM(INDIRECT(ADDRESS(ROW(firstNotPaidRow),$F$3)&amp;":"&amp;ADDRESS(ROW(),$F$3)))-SUM(INDIRECT(ADDRESS(ROW(firstPaidRow),$G$3)&amp;":"&amp; SUBSTITUTE(ADDRESS(1,$G$3,4), 1,"")),$I$38))</f>
        <v>#REF!</v>
      </c>
      <c r="L43" s="1"/>
      <c r="M43" s="41">
        <f t="shared" ca="1" si="45"/>
        <v>108.33333333333334</v>
      </c>
      <c r="N43" s="15">
        <f t="shared" ca="1" si="46"/>
        <v>37214.648270440252</v>
      </c>
      <c r="O43" s="15">
        <f t="shared" ca="1" si="47"/>
        <v>0</v>
      </c>
      <c r="P43" s="27"/>
      <c r="Q43" s="15">
        <f t="shared" ca="1" si="27"/>
        <v>0</v>
      </c>
      <c r="R43" s="15">
        <f t="shared" ca="1" si="28"/>
        <v>321717.89311750937</v>
      </c>
      <c r="S43" s="17" t="e">
        <f t="array" aca="1" ref="S43" ca="1">MAX(0,SUM(INDIRECT(ADDRESS(ROW(firstNotPaidRow),$F$4)&amp;":"&amp;ADDRESS(ROW(),$F$4)))-SUM(INDIRECT(ADDRESS(ROW(firstPaidRow),$G$4)&amp;":"&amp; SUBSTITUTE(ADDRESS(1,$G$4,4), 1,""))))</f>
        <v>#REF!</v>
      </c>
      <c r="T43" s="1"/>
      <c r="U43" s="41">
        <f t="shared" ca="1" si="48"/>
        <v>158.33333333333334</v>
      </c>
      <c r="V43" s="15">
        <f t="shared" ca="1" si="49"/>
        <v>54390.639779874204</v>
      </c>
      <c r="W43" s="15">
        <f t="shared" ca="1" si="50"/>
        <v>0</v>
      </c>
      <c r="X43" s="27"/>
      <c r="Y43" s="15">
        <f t="shared" ca="1" si="32"/>
        <v>0</v>
      </c>
      <c r="Z43" s="15">
        <f t="shared" ca="1" si="33"/>
        <v>470203.06301789841</v>
      </c>
      <c r="AA43" s="17" t="e">
        <f t="array" aca="1" ref="AA43" ca="1">MAX(0,SUM(INDIRECT(ADDRESS(ROW(firstNotPaidRow),$F$5)&amp;":"&amp;ADDRESS(ROW(),$F$5)))-SUM(INDIRECT(ADDRESS(ROW(firstPaidRow),$G$5)&amp;":"&amp; SUBSTITUTE(ADDRESS(1,$G$5,4), 1,""))))</f>
        <v>#REF!</v>
      </c>
      <c r="AB43" s="1"/>
      <c r="AC43" s="41">
        <f t="shared" ca="1" si="51"/>
        <v>125</v>
      </c>
      <c r="AD43" s="15">
        <f t="shared" ca="1" si="58"/>
        <v>42939.978773584895</v>
      </c>
      <c r="AE43" s="15">
        <f t="shared" ca="1" si="52"/>
        <v>23637.279999999999</v>
      </c>
      <c r="AF43" s="15" t="s">
        <v>92</v>
      </c>
      <c r="AG43" s="15">
        <f t="shared" ca="1" si="53"/>
        <v>-30000</v>
      </c>
      <c r="AH43" s="15">
        <f t="shared" ca="1" si="38"/>
        <v>-6362.7200000000012</v>
      </c>
      <c r="AI43" s="15">
        <f t="shared" ca="1" si="39"/>
        <v>268955.07975097233</v>
      </c>
      <c r="AJ43" s="17" t="e">
        <f t="array" aca="1" ref="AJ43" ca="1">MAX(0,$AJ$32+SUM(INDIRECT(ADDRESS(ROW(firstNotPaidRow),$F$6)&amp;":"&amp;ADDRESS(ROW(),$F$6)))-SUM(INDIRECT(ADDRESS(ROW(firstColinPaidRow),$G$6)&amp;":"&amp; SUBSTITUTE(ADDRESS(1,$G$6,4), 1,""))))</f>
        <v>#REF!</v>
      </c>
      <c r="AK43" s="1"/>
      <c r="AL43" s="15">
        <f t="shared" ca="1" si="7"/>
        <v>1376730.1190038896</v>
      </c>
      <c r="AM43" s="1"/>
      <c r="AN43" s="15" t="s">
        <v>92</v>
      </c>
      <c r="AO43" s="15" t="s">
        <v>92</v>
      </c>
      <c r="AP43" s="15" t="s">
        <v>92</v>
      </c>
      <c r="AQ43" s="15" t="s">
        <v>92</v>
      </c>
      <c r="AR43" s="15" t="s">
        <v>92</v>
      </c>
      <c r="AS43" s="15" t="s">
        <v>92</v>
      </c>
      <c r="AT43" s="15">
        <f t="shared" si="8"/>
        <v>0</v>
      </c>
      <c r="AU43" s="1"/>
      <c r="AV43" s="28" t="s">
        <v>92</v>
      </c>
      <c r="AW43" s="15" t="s">
        <v>92</v>
      </c>
      <c r="AX43" s="15">
        <v>0</v>
      </c>
      <c r="AY43" s="1"/>
      <c r="AZ43" s="1"/>
      <c r="BA43" s="12">
        <f t="shared" ca="1" si="40"/>
        <v>45626</v>
      </c>
      <c r="BB43" s="15">
        <f t="shared" ca="1" si="9"/>
        <v>315854.08311750944</v>
      </c>
      <c r="BC43" s="29">
        <f t="shared" ca="1" si="54"/>
        <v>1.2756717595486633E-2</v>
      </c>
      <c r="BD43" s="15">
        <f t="shared" ca="1" si="11"/>
        <v>321717.89311750937</v>
      </c>
      <c r="BE43" s="30">
        <f t="shared" ca="1" si="55"/>
        <v>1.7015947432226619E-2</v>
      </c>
      <c r="BF43" s="15">
        <f t="shared" ca="1" si="13"/>
        <v>470203.06301789841</v>
      </c>
      <c r="BG43" s="30">
        <f t="shared" ca="1" si="56"/>
        <v>2.4869453250653095E-2</v>
      </c>
      <c r="BH43" s="1"/>
      <c r="BI43" s="15">
        <f t="shared" ca="1" si="15"/>
        <v>268955.07975097233</v>
      </c>
      <c r="BJ43" s="30">
        <f t="shared" ca="1" si="57"/>
        <v>-5.4642118278366458E-2</v>
      </c>
      <c r="BK43" s="15">
        <f t="shared" ca="1" si="17"/>
        <v>1376730.1190038896</v>
      </c>
    </row>
    <row r="44" spans="1:71" ht="14">
      <c r="A44" s="24">
        <v>12</v>
      </c>
      <c r="B44" s="40">
        <f t="shared" ca="1" si="41"/>
        <v>45657</v>
      </c>
      <c r="C44" s="26" t="b">
        <v>1</v>
      </c>
      <c r="D44" s="1"/>
      <c r="E44" s="41">
        <f t="shared" ca="1" si="42"/>
        <v>108.33333333333334</v>
      </c>
      <c r="F44" s="15">
        <f t="shared" ca="1" si="43"/>
        <v>32465.4838308176</v>
      </c>
      <c r="G44" s="15">
        <f t="shared" ca="1" si="44"/>
        <v>0</v>
      </c>
      <c r="H44" s="27"/>
      <c r="I44" s="15">
        <f t="shared" ca="1" si="22"/>
        <v>0</v>
      </c>
      <c r="J44" s="15">
        <f t="shared" ca="1" si="23"/>
        <v>348319.56694832706</v>
      </c>
      <c r="K44" s="17" t="e">
        <f t="array" aca="1" ref="K44" ca="1">MAX(0,SUM(INDIRECT(ADDRESS(ROW(firstNotPaidRow),$F$3)&amp;":"&amp;ADDRESS(ROW(),$F$3)))-SUM(INDIRECT(ADDRESS(ROW(firstPaidRow),$G$3)&amp;":"&amp; SUBSTITUTE(ADDRESS(1,$G$3,4), 1,"")),$I$38))</f>
        <v>#REF!</v>
      </c>
      <c r="L44" s="1"/>
      <c r="M44" s="41">
        <f t="shared" ca="1" si="45"/>
        <v>108.33333333333334</v>
      </c>
      <c r="N44" s="15">
        <f t="shared" ca="1" si="46"/>
        <v>31509.4589308176</v>
      </c>
      <c r="O44" s="15">
        <f t="shared" ca="1" si="47"/>
        <v>0</v>
      </c>
      <c r="P44" s="27"/>
      <c r="Q44" s="15">
        <f t="shared" ca="1" si="27"/>
        <v>0</v>
      </c>
      <c r="R44" s="15">
        <f t="shared" ca="1" si="28"/>
        <v>353227.35204832698</v>
      </c>
      <c r="S44" s="17" t="e">
        <f t="array" aca="1" ref="S44" ca="1">MAX(0,SUM(INDIRECT(ADDRESS(ROW(firstNotPaidRow),$F$4)&amp;":"&amp;ADDRESS(ROW(),$F$4)))-SUM(INDIRECT(ADDRESS(ROW(firstPaidRow),$G$4)&amp;":"&amp; SUBSTITUTE(ADDRESS(1,$G$4,4), 1,""))))</f>
        <v>#REF!</v>
      </c>
      <c r="T44" s="1"/>
      <c r="U44" s="41">
        <f t="shared" ca="1" si="48"/>
        <v>158.33333333333334</v>
      </c>
      <c r="V44" s="15">
        <f t="shared" ca="1" si="49"/>
        <v>46308.84459119496</v>
      </c>
      <c r="W44" s="15">
        <f t="shared" ca="1" si="50"/>
        <v>0</v>
      </c>
      <c r="X44" s="27"/>
      <c r="Y44" s="15">
        <f t="shared" ca="1" si="32"/>
        <v>0</v>
      </c>
      <c r="Z44" s="15">
        <f t="shared" ca="1" si="33"/>
        <v>516511.90760909335</v>
      </c>
      <c r="AA44" s="17" t="e">
        <f t="array" aca="1" ref="AA44" ca="1">MAX(0,SUM(INDIRECT(ADDRESS(ROW(firstNotPaidRow),$F$5)&amp;":"&amp;ADDRESS(ROW(),$F$5)))-SUM(INDIRECT(ADDRESS(ROW(firstPaidRow),$G$5)&amp;":"&amp; SUBSTITUTE(ADDRESS(1,$G$5,4), 1,""))))</f>
        <v>#REF!</v>
      </c>
      <c r="AB44" s="1"/>
      <c r="AC44" s="41">
        <f t="shared" ca="1" si="51"/>
        <v>125</v>
      </c>
      <c r="AD44" s="15">
        <f t="shared" ca="1" si="58"/>
        <v>37212.269250943384</v>
      </c>
      <c r="AE44" s="15">
        <f t="shared" ca="1" si="52"/>
        <v>4889.0200000000004</v>
      </c>
      <c r="AF44" s="15" t="s">
        <v>92</v>
      </c>
      <c r="AG44" s="15">
        <f t="shared" ca="1" si="53"/>
        <v>0</v>
      </c>
      <c r="AH44" s="15">
        <f t="shared" ca="1" si="38"/>
        <v>4889.0200000000004</v>
      </c>
      <c r="AI44" s="15">
        <f t="shared" ca="1" si="39"/>
        <v>301278.3290019157</v>
      </c>
      <c r="AJ44" s="17" t="e">
        <f t="array" aca="1" ref="AJ44" ca="1">MAX(0,$AJ$32+SUM(INDIRECT(ADDRESS(ROW(firstNotPaidRow),$F$6)&amp;":"&amp;ADDRESS(ROW(),$F$6)))-SUM(INDIRECT(ADDRESS(ROW(firstColinPaidRow),$G$6)&amp;":"&amp; SUBSTITUTE(ADDRESS(1,$G$6,4), 1,""))))</f>
        <v>#REF!</v>
      </c>
      <c r="AK44" s="1"/>
      <c r="AL44" s="15">
        <f t="shared" ca="1" si="7"/>
        <v>1519337.1556076631</v>
      </c>
      <c r="AM44" s="1"/>
      <c r="AN44" s="15" t="s">
        <v>92</v>
      </c>
      <c r="AO44" s="15" t="s">
        <v>92</v>
      </c>
      <c r="AP44" s="15" t="s">
        <v>92</v>
      </c>
      <c r="AQ44" s="15" t="s">
        <v>92</v>
      </c>
      <c r="AR44" s="15" t="s">
        <v>92</v>
      </c>
      <c r="AS44" s="15" t="s">
        <v>92</v>
      </c>
      <c r="AT44" s="15">
        <f t="shared" si="8"/>
        <v>0</v>
      </c>
      <c r="AU44" s="1"/>
      <c r="AV44" s="28" t="s">
        <v>92</v>
      </c>
      <c r="AW44" s="15" t="s">
        <v>92</v>
      </c>
      <c r="AX44" s="15">
        <v>0</v>
      </c>
      <c r="AY44" s="1"/>
      <c r="AZ44" s="1"/>
      <c r="BA44" s="12">
        <f t="shared" ca="1" si="40"/>
        <v>45657</v>
      </c>
      <c r="BB44" s="15">
        <f t="shared" ca="1" si="9"/>
        <v>348319.56694832706</v>
      </c>
      <c r="BC44" s="29">
        <f t="shared" ca="1" si="54"/>
        <v>1.2590918236544429E-2</v>
      </c>
      <c r="BD44" s="15">
        <f t="shared" ca="1" si="11"/>
        <v>353227.35204832698</v>
      </c>
      <c r="BE44" s="30">
        <f t="shared" ca="1" si="55"/>
        <v>1.5821132861314147E-2</v>
      </c>
      <c r="BF44" s="15">
        <f t="shared" ca="1" si="13"/>
        <v>516511.90760909335</v>
      </c>
      <c r="BG44" s="30">
        <f t="shared" ca="1" si="56"/>
        <v>2.3292048686748723E-2</v>
      </c>
      <c r="BH44" s="1"/>
      <c r="BI44" s="15">
        <f t="shared" ca="1" si="15"/>
        <v>301278.3290019157</v>
      </c>
      <c r="BJ44" s="30">
        <f t="shared" ca="1" si="57"/>
        <v>-5.1704099784607327E-2</v>
      </c>
      <c r="BK44" s="15">
        <f t="shared" ca="1" si="17"/>
        <v>1519337.1556076631</v>
      </c>
    </row>
    <row r="45" spans="1:71" ht="14">
      <c r="A45" s="31">
        <v>1</v>
      </c>
      <c r="B45" s="32">
        <f t="shared" ref="B45:B56" ca="1" si="59">INDIRECT(ADDRESS(1,$BJ$7 +(A45-1) * $BB$3,,,$BB$7))</f>
        <v>45688</v>
      </c>
      <c r="C45" s="33" t="b">
        <v>1</v>
      </c>
      <c r="D45" s="31"/>
      <c r="E45" s="34">
        <f t="shared" ref="E45:E56" ca="1" si="60">INDIRECT(ADDRESS($BC$7,$BK$7+ (A45-1)* $BB$3,,,$BB$7))</f>
        <v>125</v>
      </c>
      <c r="F45" s="35">
        <f t="shared" ref="F45:F56" ca="1" si="61">IF(C45,INDIRECT(ADDRESS($BC$7,$BL$7 + (A45-1)* $BB$3,,,$BB$7)),0)</f>
        <v>31998.826530612245</v>
      </c>
      <c r="G45" s="35">
        <f t="shared" ref="G45:G56" ca="1" si="62">INDIRECT(ADDRESS($BC$7,$BM$7 + (A45-1)* $BB$3,,,$BB$7))</f>
        <v>0</v>
      </c>
      <c r="H45" s="36"/>
      <c r="I45" s="35">
        <f t="shared" ca="1" si="22"/>
        <v>0</v>
      </c>
      <c r="J45" s="35">
        <f t="shared" ca="1" si="23"/>
        <v>380318.39347893931</v>
      </c>
      <c r="K45" s="35" t="e">
        <f t="array" aca="1" ref="K45" ca="1">MAX(0,SUM(INDIRECT(ADDRESS(ROW(firstNotPaidRow),$F$3)&amp;":"&amp;ADDRESS(ROW(),$F$3)))-SUM(INDIRECT(ADDRESS(ROW(firstPaidRow),$G$3)&amp;":"&amp; SUBSTITUTE(ADDRESS(1,$G$3,4), 1,"")),$I$38))</f>
        <v>#REF!</v>
      </c>
      <c r="L45" s="31"/>
      <c r="M45" s="34">
        <f t="shared" ref="M45:M56" ca="1" si="63">INDIRECT(ADDRESS($BD$7,$BK$7+ (A45-1)* $BB$3,,,$BB$7))</f>
        <v>125</v>
      </c>
      <c r="N45" s="35">
        <f t="shared" ref="N45:N56" ca="1" si="64">IF(C45, INDIRECT(ADDRESS($BD$7,$BL$7 + (A45-1)* $BB$3,,,$BB$7)),0)</f>
        <v>31998.826530612245</v>
      </c>
      <c r="O45" s="35">
        <f t="shared" ref="O45:O56" ca="1" si="65">INDIRECT(ADDRESS($BD$7,$BM$7 + (A45-1)* $BB$3,,,$BB$7))</f>
        <v>0</v>
      </c>
      <c r="P45" s="36"/>
      <c r="Q45" s="35">
        <f t="shared" ca="1" si="27"/>
        <v>0</v>
      </c>
      <c r="R45" s="35">
        <f t="shared" ca="1" si="28"/>
        <v>385226.17857893923</v>
      </c>
      <c r="S45" s="35" t="e">
        <f t="array" aca="1" ref="S45" ca="1">MAX(0,SUM(INDIRECT(ADDRESS(ROW(firstNotPaidRow),$F$4)&amp;":"&amp;ADDRESS(ROW(),$F$4)))-SUM(INDIRECT(ADDRESS(ROW(firstPaidRow),$G$4)&amp;":"&amp; SUBSTITUTE(ADDRESS(1,$G$4,4), 1,""))))</f>
        <v>#REF!</v>
      </c>
      <c r="T45" s="31"/>
      <c r="U45" s="34">
        <f t="shared" ref="U45:U56" ca="1" si="66">INDIRECT(ADDRESS($BE$7,$BK$7+ (A45-1)* $BB$3,,,$BB$7))</f>
        <v>125</v>
      </c>
      <c r="V45" s="35">
        <f t="shared" ref="V45:V56" ca="1" si="67">IF(C45, INDIRECT(ADDRESS($BE$7,$BL$7 + (A45-1)* $BB$3,,,$BB$7)),0)</f>
        <v>31998.826530612245</v>
      </c>
      <c r="W45" s="35">
        <f t="shared" ref="W45:W56" ca="1" si="68">INDIRECT(ADDRESS($BE$7,$BM$7 + (A45-1)* $BB$3,,,$BB$7))</f>
        <v>0</v>
      </c>
      <c r="X45" s="36"/>
      <c r="Y45" s="35">
        <f t="shared" ca="1" si="32"/>
        <v>0</v>
      </c>
      <c r="Z45" s="35">
        <f t="shared" ca="1" si="33"/>
        <v>548510.73413970554</v>
      </c>
      <c r="AA45" s="35" t="e">
        <f t="array" aca="1" ref="AA45" ca="1">MAX(0,SUM(INDIRECT(ADDRESS(ROW(firstNotPaidRow),$F$5)&amp;":"&amp;ADDRESS(ROW(),$F$5)))-SUM(INDIRECT(ADDRESS(ROW(firstPaidRow),$G$5)&amp;":"&amp; SUBSTITUTE(ADDRESS(1,$G$5,4), 1,""))))</f>
        <v>#REF!</v>
      </c>
      <c r="AB45" s="31"/>
      <c r="AC45" s="34">
        <f t="shared" ref="AC45:AC56" ca="1" si="69">INDIRECT(ADDRESS($BF$7,$BK$7+ (A45-1)* $BB$3,,,$BB$7))</f>
        <v>125</v>
      </c>
      <c r="AD45" s="35">
        <f t="shared" ref="AD45:AD56" ca="1" si="70">IF(C45,INDIRECT(ADDRESS($BF$7,$BL$7 + (A45-1)* $BB$3,,,$BB$7)),0)</f>
        <v>31998.826530612245</v>
      </c>
      <c r="AE45" s="35">
        <f t="shared" ref="AE45:AE56" ca="1" si="71">INDIRECT(ADDRESS($BF$7,$BM$7 + (A45-1)* $BB$3,,,$BB$7))</f>
        <v>2511.21</v>
      </c>
      <c r="AF45" s="35" t="s">
        <v>92</v>
      </c>
      <c r="AG45" s="35">
        <f t="shared" ref="AG45:AG56" ca="1" si="72">IF(C45,INDIRECT(ADDRESS($BG$7,$BN$7 + (A45-1)* $BB$3,,,$BB$7)),0)</f>
        <v>0</v>
      </c>
      <c r="AH45" s="35">
        <f t="shared" ca="1" si="38"/>
        <v>2511.21</v>
      </c>
      <c r="AI45" s="35">
        <f t="shared" ca="1" si="39"/>
        <v>330765.94553252793</v>
      </c>
      <c r="AJ45" s="35" t="e">
        <f t="array" aca="1" ref="AJ45" ca="1">MAX(0,$AJ$32+SUM(INDIRECT(ADDRESS(ROW(firstNotPaidRow),$F$6)&amp;":"&amp;ADDRESS(ROW(),$F$6)))-SUM(INDIRECT(ADDRESS(ROW(firstColinPaidRow),$G$6)&amp;":"&amp; SUBSTITUTE(ADDRESS(1,$G$6,4), 1,""))))</f>
        <v>#REF!</v>
      </c>
      <c r="AK45" s="31"/>
      <c r="AL45" s="35">
        <f t="shared" ca="1" si="7"/>
        <v>1644821.2517301121</v>
      </c>
      <c r="AM45" s="31"/>
      <c r="AN45" s="35" t="s">
        <v>92</v>
      </c>
      <c r="AO45" s="35" t="s">
        <v>92</v>
      </c>
      <c r="AP45" s="35" t="s">
        <v>92</v>
      </c>
      <c r="AQ45" s="35" t="s">
        <v>92</v>
      </c>
      <c r="AR45" s="35" t="s">
        <v>92</v>
      </c>
      <c r="AS45" s="35" t="s">
        <v>92</v>
      </c>
      <c r="AT45" s="35">
        <f t="shared" si="8"/>
        <v>0</v>
      </c>
      <c r="AU45" s="31"/>
      <c r="AV45" s="37" t="s">
        <v>92</v>
      </c>
      <c r="AW45" s="35" t="s">
        <v>92</v>
      </c>
      <c r="AX45" s="35">
        <v>0</v>
      </c>
      <c r="AY45" s="31"/>
      <c r="AZ45" s="31"/>
      <c r="BA45" s="32">
        <f t="shared" ca="1" si="40"/>
        <v>45688</v>
      </c>
      <c r="BB45" s="35">
        <f t="shared" ca="1" si="9"/>
        <v>380318.39347893931</v>
      </c>
      <c r="BC45" s="38">
        <f t="shared" ca="1" si="54"/>
        <v>1.4555050026803712E-2</v>
      </c>
      <c r="BD45" s="35">
        <f t="shared" ca="1" si="11"/>
        <v>385226.17857893923</v>
      </c>
      <c r="BE45" s="39">
        <f t="shared" ca="1" si="55"/>
        <v>1.7538830236864617E-2</v>
      </c>
      <c r="BF45" s="35">
        <f t="shared" ca="1" si="13"/>
        <v>548510.73413970554</v>
      </c>
      <c r="BG45" s="39">
        <f t="shared" ca="1" si="56"/>
        <v>1.681074527870563E-2</v>
      </c>
      <c r="BH45" s="31"/>
      <c r="BI45" s="35">
        <f t="shared" ca="1" si="15"/>
        <v>330765.94553252793</v>
      </c>
      <c r="BJ45" s="39">
        <f t="shared" ca="1" si="57"/>
        <v>-4.8904625542374042E-2</v>
      </c>
      <c r="BK45" s="35">
        <f t="shared" ca="1" si="17"/>
        <v>1644821.2517301121</v>
      </c>
      <c r="BL45" s="31"/>
      <c r="BM45" s="31"/>
      <c r="BN45" s="31"/>
      <c r="BO45" s="31"/>
      <c r="BP45" s="31"/>
      <c r="BQ45" s="31"/>
      <c r="BR45" s="31"/>
      <c r="BS45" s="31"/>
    </row>
    <row r="46" spans="1:71" ht="14">
      <c r="A46" s="24">
        <v>2</v>
      </c>
      <c r="B46" s="40">
        <f t="shared" ca="1" si="59"/>
        <v>45716</v>
      </c>
      <c r="C46" s="26" t="b">
        <v>1</v>
      </c>
      <c r="D46" s="1"/>
      <c r="E46" s="41">
        <f t="shared" ca="1" si="60"/>
        <v>125</v>
      </c>
      <c r="F46" s="15">
        <f t="shared" ca="1" si="61"/>
        <v>21642.182282003712</v>
      </c>
      <c r="G46" s="15">
        <f t="shared" ca="1" si="62"/>
        <v>0</v>
      </c>
      <c r="H46" s="27"/>
      <c r="I46" s="15">
        <f t="shared" ca="1" si="22"/>
        <v>0</v>
      </c>
      <c r="J46" s="15">
        <f t="shared" ca="1" si="23"/>
        <v>401960.575760943</v>
      </c>
      <c r="K46" s="17" t="e">
        <f t="array" aca="1" ref="K46" ca="1">MAX(0,SUM(INDIRECT(ADDRESS(ROW(firstNotPaidRow),$F$3)&amp;":"&amp;ADDRESS(ROW(),$F$3)))-SUM(INDIRECT(ADDRESS(ROW(firstPaidRow),$G$3)&amp;":"&amp; SUBSTITUTE(ADDRESS(1,$G$3,4), 1,"")),$I$38))</f>
        <v>#REF!</v>
      </c>
      <c r="L46" s="1"/>
      <c r="M46" s="41">
        <f t="shared" ca="1" si="63"/>
        <v>125</v>
      </c>
      <c r="N46" s="15">
        <f t="shared" ca="1" si="64"/>
        <v>21642.182282003712</v>
      </c>
      <c r="O46" s="15">
        <f t="shared" ca="1" si="65"/>
        <v>0</v>
      </c>
      <c r="P46" s="27"/>
      <c r="Q46" s="15">
        <f t="shared" ca="1" si="27"/>
        <v>0</v>
      </c>
      <c r="R46" s="15">
        <f t="shared" ca="1" si="28"/>
        <v>406868.36086094292</v>
      </c>
      <c r="S46" s="17" t="e">
        <f t="array" aca="1" ref="S46" ca="1">MAX(0,SUM(INDIRECT(ADDRESS(ROW(firstNotPaidRow),$F$4)&amp;":"&amp;ADDRESS(ROW(),$F$4)))-SUM(INDIRECT(ADDRESS(ROW(firstPaidRow),$G$4)&amp;":"&amp; SUBSTITUTE(ADDRESS(1,$G$4,4), 1,""))))</f>
        <v>#REF!</v>
      </c>
      <c r="T46" s="1"/>
      <c r="U46" s="41">
        <f t="shared" ca="1" si="66"/>
        <v>125</v>
      </c>
      <c r="V46" s="15">
        <f t="shared" ca="1" si="67"/>
        <v>21642.182282003712</v>
      </c>
      <c r="W46" s="15">
        <f t="shared" ca="1" si="68"/>
        <v>0</v>
      </c>
      <c r="X46" s="27"/>
      <c r="Y46" s="15">
        <f t="shared" ca="1" si="32"/>
        <v>0</v>
      </c>
      <c r="Z46" s="15">
        <f t="shared" ca="1" si="33"/>
        <v>570152.91642170923</v>
      </c>
      <c r="AA46" s="17" t="e">
        <f t="array" aca="1" ref="AA46" ca="1">MAX(0,SUM(INDIRECT(ADDRESS(ROW(firstNotPaidRow),$F$5)&amp;":"&amp;ADDRESS(ROW(),$F$5)))-SUM(INDIRECT(ADDRESS(ROW(firstPaidRow),$G$5)&amp;":"&amp; SUBSTITUTE(ADDRESS(1,$G$5,4), 1,""))))</f>
        <v>#REF!</v>
      </c>
      <c r="AB46" s="1"/>
      <c r="AC46" s="41">
        <f t="shared" ca="1" si="69"/>
        <v>125</v>
      </c>
      <c r="AD46" s="15">
        <f t="shared" ca="1" si="70"/>
        <v>21642.182282003712</v>
      </c>
      <c r="AE46" s="15">
        <f t="shared" ca="1" si="71"/>
        <v>3249.21</v>
      </c>
      <c r="AF46" s="15" t="s">
        <v>92</v>
      </c>
      <c r="AG46" s="15">
        <f t="shared" ca="1" si="72"/>
        <v>30000</v>
      </c>
      <c r="AH46" s="15">
        <f t="shared" ca="1" si="38"/>
        <v>33249.21</v>
      </c>
      <c r="AI46" s="15">
        <f t="shared" ca="1" si="39"/>
        <v>319158.9178145316</v>
      </c>
      <c r="AJ46" s="17" t="e">
        <f t="array" aca="1" ref="AJ46" ca="1">MAX(0,$AJ$32+SUM(INDIRECT(ADDRESS(ROW(firstNotPaidRow),$F$6)&amp;":"&amp;ADDRESS(ROW(),$F$6)))-SUM(INDIRECT(ADDRESS(ROW(firstColinPaidRow),$G$6)&amp;":"&amp; SUBSTITUTE(ADDRESS(1,$G$6,4), 1,""))))</f>
        <v>#REF!</v>
      </c>
      <c r="AK46" s="1"/>
      <c r="AL46" s="15">
        <f t="shared" ca="1" si="7"/>
        <v>1698140.7708581267</v>
      </c>
      <c r="AM46" s="1"/>
      <c r="AN46" s="15" t="s">
        <v>92</v>
      </c>
      <c r="AO46" s="15" t="s">
        <v>92</v>
      </c>
      <c r="AP46" s="15" t="s">
        <v>92</v>
      </c>
      <c r="AQ46" s="15" t="s">
        <v>92</v>
      </c>
      <c r="AR46" s="15" t="s">
        <v>92</v>
      </c>
      <c r="AS46" s="15" t="s">
        <v>92</v>
      </c>
      <c r="AT46" s="15">
        <f t="shared" si="8"/>
        <v>0</v>
      </c>
      <c r="AU46" s="1"/>
      <c r="AV46" s="28" t="s">
        <v>92</v>
      </c>
      <c r="AW46" s="15" t="s">
        <v>92</v>
      </c>
      <c r="AX46" s="15">
        <v>0</v>
      </c>
      <c r="AY46" s="1"/>
      <c r="AZ46" s="1"/>
      <c r="BA46" s="12">
        <f t="shared" ca="1" si="40"/>
        <v>45716</v>
      </c>
      <c r="BB46" s="15">
        <f t="shared" ca="1" si="9"/>
        <v>401960.575760943</v>
      </c>
      <c r="BC46" s="29">
        <f t="shared" ca="1" si="54"/>
        <v>2.0039608018569799E-2</v>
      </c>
      <c r="BD46" s="15">
        <f t="shared" ca="1" si="11"/>
        <v>406868.36086094292</v>
      </c>
      <c r="BE46" s="30">
        <f t="shared" ca="1" si="55"/>
        <v>2.2929701221808679E-2</v>
      </c>
      <c r="BF46" s="15">
        <f t="shared" ca="1" si="13"/>
        <v>570152.91642170923</v>
      </c>
      <c r="BG46" s="30">
        <f t="shared" ca="1" si="56"/>
        <v>1.9084600958567954E-2</v>
      </c>
      <c r="BH46" s="1"/>
      <c r="BI46" s="15">
        <f t="shared" ca="1" si="15"/>
        <v>319158.9178145316</v>
      </c>
      <c r="BJ46" s="30">
        <f t="shared" ca="1" si="57"/>
        <v>-6.2053910198946571E-2</v>
      </c>
      <c r="BK46" s="15">
        <f t="shared" ca="1" si="17"/>
        <v>1698140.7708581269</v>
      </c>
    </row>
    <row r="47" spans="1:71" ht="14">
      <c r="A47" s="24">
        <v>3</v>
      </c>
      <c r="B47" s="40">
        <f t="shared" ca="1" si="59"/>
        <v>45747</v>
      </c>
      <c r="C47" s="26" t="b">
        <v>1</v>
      </c>
      <c r="D47" s="1"/>
      <c r="E47" s="41">
        <f t="shared" ca="1" si="60"/>
        <v>125</v>
      </c>
      <c r="F47" s="15">
        <f t="shared" ca="1" si="61"/>
        <v>28638.65259740259</v>
      </c>
      <c r="G47" s="15">
        <f t="shared" ca="1" si="62"/>
        <v>0</v>
      </c>
      <c r="H47" s="27">
        <v>47059.22</v>
      </c>
      <c r="I47" s="15">
        <f t="shared" ca="1" si="22"/>
        <v>47059.22</v>
      </c>
      <c r="J47" s="15">
        <f t="shared" ca="1" si="23"/>
        <v>383540.0083583456</v>
      </c>
      <c r="K47" s="17" t="e">
        <f t="array" aca="1" ref="K47" ca="1">MAX(0,SUM(INDIRECT(ADDRESS(ROW(firstNotPaidRow),$F$3)&amp;":"&amp;ADDRESS(ROW(),$F$3)))-SUM(INDIRECT(ADDRESS(ROW(firstPaidRow),$G$3)&amp;":"&amp; SUBSTITUTE(ADDRESS(1,$G$3,4), 1,"")),$I$38))</f>
        <v>#REF!</v>
      </c>
      <c r="L47" s="1"/>
      <c r="M47" s="41">
        <f t="shared" ca="1" si="63"/>
        <v>125</v>
      </c>
      <c r="N47" s="15">
        <f t="shared" ca="1" si="64"/>
        <v>28638.65259740259</v>
      </c>
      <c r="O47" s="15">
        <f t="shared" ca="1" si="65"/>
        <v>0</v>
      </c>
      <c r="P47" s="27">
        <v>52923.03</v>
      </c>
      <c r="Q47" s="15">
        <f t="shared" ca="1" si="27"/>
        <v>52923.03</v>
      </c>
      <c r="R47" s="15">
        <f t="shared" ca="1" si="28"/>
        <v>382583.98345834552</v>
      </c>
      <c r="S47" s="17" t="e">
        <f t="array" aca="1" ref="S47" ca="1">MAX(0,SUM(INDIRECT(ADDRESS(ROW(firstNotPaidRow),$F$4)&amp;":"&amp;ADDRESS(ROW(),$F$4)))-SUM(INDIRECT(ADDRESS(ROW(firstPaidRow),$G$4)&amp;":"&amp; SUBSTITUTE(ADDRESS(1,$G$4,4), 1,""))))</f>
        <v>#REF!</v>
      </c>
      <c r="T47" s="1"/>
      <c r="U47" s="41">
        <f t="shared" ca="1" si="66"/>
        <v>125</v>
      </c>
      <c r="V47" s="15">
        <f t="shared" ca="1" si="67"/>
        <v>28638.65259740259</v>
      </c>
      <c r="W47" s="15">
        <f t="shared" ca="1" si="68"/>
        <v>0</v>
      </c>
      <c r="X47" s="27">
        <v>215594.6</v>
      </c>
      <c r="Y47" s="15">
        <f t="shared" ca="1" si="32"/>
        <v>215594.6</v>
      </c>
      <c r="Z47" s="15">
        <f t="shared" ca="1" si="33"/>
        <v>383196.96901911183</v>
      </c>
      <c r="AA47" s="17" t="e">
        <f t="array" aca="1" ref="AA47" ca="1">MAX(0,SUM(INDIRECT(ADDRESS(ROW(firstNotPaidRow),$F$5)&amp;":"&amp;ADDRESS(ROW(),$F$5)))-SUM(INDIRECT(ADDRESS(ROW(firstPaidRow),$G$5)&amp;":"&amp; SUBSTITUTE(ADDRESS(1,$G$5,4), 1,""))))</f>
        <v>#REF!</v>
      </c>
      <c r="AB47" s="1"/>
      <c r="AC47" s="41">
        <f t="shared" ca="1" si="69"/>
        <v>125</v>
      </c>
      <c r="AD47" s="15">
        <f t="shared" ca="1" si="70"/>
        <v>28638.65259740259</v>
      </c>
      <c r="AE47" s="15">
        <f t="shared" ca="1" si="71"/>
        <v>6117.5</v>
      </c>
      <c r="AF47" s="15" t="s">
        <v>92</v>
      </c>
      <c r="AG47" s="15">
        <f t="shared" ca="1" si="72"/>
        <v>-16961.95</v>
      </c>
      <c r="AH47" s="15">
        <f t="shared" ca="1" si="38"/>
        <v>-10844.45</v>
      </c>
      <c r="AI47" s="15">
        <f t="shared" ca="1" si="39"/>
        <v>358642.02041193418</v>
      </c>
      <c r="AJ47" s="17" t="e">
        <f t="array" aca="1" ref="AJ47" ca="1">MAX(0,$AJ$32+SUM(INDIRECT(ADDRESS(ROW(firstNotPaidRow),$F$6)&amp;":"&amp;ADDRESS(ROW(),$F$6)))-SUM(INDIRECT(ADDRESS(ROW(firstColinPaidRow),$G$6)&amp;":"&amp; SUBSTITUTE(ADDRESS(1,$G$6,4), 1,""))))</f>
        <v>#REF!</v>
      </c>
      <c r="AK47" s="1"/>
      <c r="AL47" s="15">
        <f t="shared" ca="1" si="7"/>
        <v>1507962.9812477371</v>
      </c>
      <c r="AM47" s="1"/>
      <c r="AN47" s="15" t="s">
        <v>92</v>
      </c>
      <c r="AO47" s="15" t="s">
        <v>92</v>
      </c>
      <c r="AP47" s="15" t="s">
        <v>92</v>
      </c>
      <c r="AQ47" s="15" t="s">
        <v>92</v>
      </c>
      <c r="AR47" s="15" t="s">
        <v>92</v>
      </c>
      <c r="AS47" s="15" t="s">
        <v>92</v>
      </c>
      <c r="AT47" s="15">
        <f t="shared" si="8"/>
        <v>0</v>
      </c>
      <c r="AU47" s="1"/>
      <c r="AV47" s="28" t="s">
        <v>92</v>
      </c>
      <c r="AW47" s="15" t="s">
        <v>92</v>
      </c>
      <c r="AX47" s="15">
        <v>0</v>
      </c>
      <c r="AY47" s="1"/>
      <c r="AZ47" s="1"/>
      <c r="BA47" s="11"/>
      <c r="BB47" s="11"/>
      <c r="BC47" s="11"/>
      <c r="BD47" s="11"/>
      <c r="BE47" s="11"/>
      <c r="BF47" s="11"/>
      <c r="BG47" s="11"/>
      <c r="BH47" s="1"/>
      <c r="BI47" s="11"/>
      <c r="BJ47" s="11"/>
      <c r="BK47" s="11"/>
    </row>
    <row r="48" spans="1:71" ht="14">
      <c r="A48" s="24">
        <v>4</v>
      </c>
      <c r="B48" s="40">
        <f t="shared" ca="1" si="59"/>
        <v>45777</v>
      </c>
      <c r="C48" s="26" t="b">
        <v>1</v>
      </c>
      <c r="D48" s="1"/>
      <c r="E48" s="41">
        <f t="shared" ca="1" si="60"/>
        <v>125</v>
      </c>
      <c r="F48" s="15">
        <f t="shared" ca="1" si="61"/>
        <v>51651.496771217709</v>
      </c>
      <c r="G48" s="15">
        <f t="shared" ca="1" si="62"/>
        <v>0</v>
      </c>
      <c r="H48" s="27">
        <v>68949.69</v>
      </c>
      <c r="I48" s="15">
        <f t="shared" ca="1" si="22"/>
        <v>68949.69</v>
      </c>
      <c r="J48" s="15">
        <f t="shared" ca="1" si="23"/>
        <v>366241.81512956333</v>
      </c>
      <c r="K48" s="17" t="e">
        <f t="array" aca="1" ref="K48" ca="1">MAX(0,SUM(INDIRECT(ADDRESS(ROW(firstNotPaidRow),$F$3)&amp;":"&amp;ADDRESS(ROW(),$F$3)))-SUM(INDIRECT(ADDRESS(ROW(firstPaidRow),$G$3)&amp;":"&amp; SUBSTITUTE(ADDRESS(1,$G$3,4), 1,"")),$I$38))</f>
        <v>#REF!</v>
      </c>
      <c r="M48" s="41">
        <f t="shared" ca="1" si="63"/>
        <v>125</v>
      </c>
      <c r="N48" s="15">
        <f t="shared" ca="1" si="64"/>
        <v>51651.496771217709</v>
      </c>
      <c r="O48" s="15">
        <f t="shared" ca="1" si="65"/>
        <v>0</v>
      </c>
      <c r="P48" s="27">
        <v>68949.69</v>
      </c>
      <c r="Q48" s="15">
        <f t="shared" ca="1" si="27"/>
        <v>68949.69</v>
      </c>
      <c r="R48" s="15">
        <f t="shared" ca="1" si="28"/>
        <v>365285.79022956325</v>
      </c>
      <c r="S48" s="17" t="e">
        <f t="array" aca="1" ref="S48" ca="1">MAX(0,SUM(INDIRECT(ADDRESS(ROW(firstNotPaidRow),$F$4)&amp;":"&amp;ADDRESS(ROW(),$F$4)))-SUM(INDIRECT(ADDRESS(ROW(firstPaidRow),$G$4)&amp;":"&amp; SUBSTITUTE(ADDRESS(1,$G$4,4), 1,""))))</f>
        <v>#REF!</v>
      </c>
      <c r="T48" s="1"/>
      <c r="U48" s="41">
        <f t="shared" ca="1" si="66"/>
        <v>125</v>
      </c>
      <c r="V48" s="15">
        <f t="shared" ca="1" si="67"/>
        <v>51651.496771217709</v>
      </c>
      <c r="W48" s="15">
        <f t="shared" ca="1" si="68"/>
        <v>0</v>
      </c>
      <c r="X48" s="27">
        <v>69374.22</v>
      </c>
      <c r="Y48" s="15">
        <f t="shared" ca="1" si="32"/>
        <v>69374.22</v>
      </c>
      <c r="Z48" s="15">
        <f t="shared" ca="1" si="33"/>
        <v>365474.24579032953</v>
      </c>
      <c r="AA48" s="17" t="e">
        <f t="array" aca="1" ref="AA48" ca="1">MAX(0,SUM(INDIRECT(ADDRESS(ROW(firstNotPaidRow),$F$5)&amp;":"&amp;ADDRESS(ROW(),$F$5)))-SUM(INDIRECT(ADDRESS(ROW(firstPaidRow),$G$5)&amp;":"&amp; SUBSTITUTE(ADDRESS(1,$G$5,4), 1,""))))</f>
        <v>#REF!</v>
      </c>
      <c r="AB48" s="1"/>
      <c r="AC48" s="41">
        <f t="shared" ca="1" si="69"/>
        <v>125</v>
      </c>
      <c r="AD48" s="15">
        <f t="shared" ca="1" si="70"/>
        <v>51651.496771217709</v>
      </c>
      <c r="AE48" s="15">
        <f t="shared" ca="1" si="71"/>
        <v>4179.87</v>
      </c>
      <c r="AF48" s="15">
        <v>44175.23</v>
      </c>
      <c r="AG48" s="15">
        <f t="shared" ca="1" si="72"/>
        <v>74175.23</v>
      </c>
      <c r="AH48" s="15">
        <f t="shared" ca="1" si="38"/>
        <v>78355.099999999991</v>
      </c>
      <c r="AI48" s="15">
        <f t="shared" ca="1" si="39"/>
        <v>331938.41718315193</v>
      </c>
      <c r="AJ48" s="17" t="e">
        <f t="array" aca="1" ref="AJ48" ca="1">MAX(0,$AJ$32+SUM(INDIRECT(ADDRESS(ROW(firstNotPaidRow),$F$6)&amp;":"&amp;ADDRESS(ROW(),$F$6)))-SUM(INDIRECT(ADDRESS(ROW(firstColinPaidRow),$G$6)&amp;":"&amp; SUBSTITUTE(ADDRESS(1,$G$6,4), 1,""))))</f>
        <v>#REF!</v>
      </c>
      <c r="AK48" s="1"/>
      <c r="AL48" s="15">
        <f t="shared" ca="1" si="7"/>
        <v>1428940.268332608</v>
      </c>
      <c r="AM48" s="1"/>
      <c r="AN48" s="51">
        <v>45764</v>
      </c>
      <c r="AO48" s="15">
        <f>932830.23+975</f>
        <v>933805.23</v>
      </c>
      <c r="AP48" s="15">
        <v>0.27</v>
      </c>
      <c r="AQ48" s="15">
        <f>63000*AP48</f>
        <v>17010</v>
      </c>
      <c r="AR48" s="15">
        <v>45833.61</v>
      </c>
      <c r="AS48" s="15">
        <v>14800</v>
      </c>
      <c r="AT48" s="15">
        <f>AO48+AQ48+AR48+AS48</f>
        <v>1011448.84</v>
      </c>
      <c r="AU48" s="1"/>
      <c r="AV48" s="28">
        <v>95</v>
      </c>
      <c r="AW48" s="15">
        <v>8000</v>
      </c>
      <c r="AX48" s="15">
        <f t="shared" ref="AX48:AX56" si="73">AV48*AW48</f>
        <v>760000</v>
      </c>
      <c r="AY48" s="1"/>
      <c r="AZ48" s="1"/>
      <c r="BA48" s="11"/>
      <c r="BB48" s="11"/>
      <c r="BC48" s="11"/>
      <c r="BD48" s="11"/>
      <c r="BE48" s="11"/>
      <c r="BF48" s="11"/>
      <c r="BG48" s="11"/>
      <c r="BH48" s="1"/>
      <c r="BI48" s="11"/>
      <c r="BJ48" s="11"/>
      <c r="BK48" s="11"/>
    </row>
    <row r="49" spans="1:64" ht="14">
      <c r="A49" s="24">
        <v>5</v>
      </c>
      <c r="B49" s="40">
        <f t="shared" ca="1" si="59"/>
        <v>45808</v>
      </c>
      <c r="C49" s="26" t="b">
        <v>1</v>
      </c>
      <c r="D49" s="1"/>
      <c r="E49" s="41">
        <f t="shared" ca="1" si="60"/>
        <v>125</v>
      </c>
      <c r="F49" s="15">
        <f t="shared" ca="1" si="61"/>
        <v>60548.673892988932</v>
      </c>
      <c r="G49" s="15">
        <f t="shared" ca="1" si="62"/>
        <v>0</v>
      </c>
      <c r="H49" s="27">
        <v>37829.94</v>
      </c>
      <c r="I49" s="15">
        <f t="shared" ca="1" si="22"/>
        <v>37829.94</v>
      </c>
      <c r="J49" s="15">
        <f t="shared" ca="1" si="23"/>
        <v>388960.54902255227</v>
      </c>
      <c r="K49" s="17" t="e">
        <f t="array" aca="1" ref="K49" ca="1">MAX(0,SUM(INDIRECT(ADDRESS(ROW(firstNotPaidRow),$F$3)&amp;":"&amp;ADDRESS(ROW(),$F$3)))-SUM(INDIRECT(ADDRESS(ROW(firstPaidRow),$G$3)&amp;":"&amp; SUBSTITUTE(ADDRESS(1,$G$3,4), 1,"")),$I$38))</f>
        <v>#REF!</v>
      </c>
      <c r="L49" s="1"/>
      <c r="M49" s="41">
        <f t="shared" ca="1" si="63"/>
        <v>125</v>
      </c>
      <c r="N49" s="15">
        <f t="shared" ca="1" si="64"/>
        <v>60548.673892988932</v>
      </c>
      <c r="O49" s="15">
        <f t="shared" ca="1" si="65"/>
        <v>0</v>
      </c>
      <c r="P49" s="27">
        <v>37829.94</v>
      </c>
      <c r="Q49" s="15">
        <f t="shared" ca="1" si="27"/>
        <v>37829.94</v>
      </c>
      <c r="R49" s="15">
        <f t="shared" ca="1" si="28"/>
        <v>388004.52412255219</v>
      </c>
      <c r="S49" s="17" t="e">
        <f t="array" aca="1" ref="S49" ca="1">MAX(0,SUM(INDIRECT(ADDRESS(ROW(firstNotPaidRow),$F$4)&amp;":"&amp;ADDRESS(ROW(),$F$4)))-SUM(INDIRECT(ADDRESS(ROW(firstPaidRow),$G$4)&amp;":"&amp; SUBSTITUTE(ADDRESS(1,$G$4,4), 1,""))))</f>
        <v>#REF!</v>
      </c>
      <c r="T49" s="1"/>
      <c r="U49" s="41">
        <f t="shared" ca="1" si="66"/>
        <v>125</v>
      </c>
      <c r="V49" s="15">
        <f t="shared" ca="1" si="67"/>
        <v>60548.673892988932</v>
      </c>
      <c r="W49" s="15">
        <f t="shared" ca="1" si="68"/>
        <v>0</v>
      </c>
      <c r="X49" s="27">
        <v>37829.94</v>
      </c>
      <c r="Y49" s="15">
        <f t="shared" ca="1" si="32"/>
        <v>37829.94</v>
      </c>
      <c r="Z49" s="15">
        <f t="shared" ca="1" si="33"/>
        <v>388192.97968331847</v>
      </c>
      <c r="AA49" s="17" t="e">
        <f t="array" aca="1" ref="AA49" ca="1">MAX(0,SUM(INDIRECT(ADDRESS(ROW(firstNotPaidRow),$F$5)&amp;":"&amp;ADDRESS(ROW(),$F$5)))-SUM(INDIRECT(ADDRESS(ROW(firstPaidRow),$G$5)&amp;":"&amp; SUBSTITUTE(ADDRESS(1,$G$5,4), 1,""))))</f>
        <v>#REF!</v>
      </c>
      <c r="AB49" s="1"/>
      <c r="AC49" s="41">
        <f t="shared" ca="1" si="69"/>
        <v>125</v>
      </c>
      <c r="AD49" s="15">
        <f t="shared" ca="1" si="70"/>
        <v>60548.673892988932</v>
      </c>
      <c r="AE49" s="15">
        <f t="shared" ca="1" si="71"/>
        <v>19697.07</v>
      </c>
      <c r="AF49" s="15">
        <v>3650.06</v>
      </c>
      <c r="AG49" s="15">
        <f t="shared" ca="1" si="72"/>
        <v>-26350</v>
      </c>
      <c r="AH49" s="15">
        <f t="shared" ca="1" si="38"/>
        <v>-6652.93</v>
      </c>
      <c r="AI49" s="15">
        <f t="shared" ca="1" si="39"/>
        <v>399140.02107614087</v>
      </c>
      <c r="AJ49" s="17" t="e">
        <f t="array" aca="1" ref="AJ49" ca="1">MAX(0,$AJ$32+SUM(INDIRECT(ADDRESS(ROW(firstNotPaidRow),$F$6)&amp;":"&amp;ADDRESS(ROW(),$F$6)))-SUM(INDIRECT(ADDRESS(ROW(firstColinPaidRow),$G$6)&amp;":"&amp; SUBSTITUTE(ADDRESS(1,$G$6,4), 1,""))))</f>
        <v>#REF!</v>
      </c>
      <c r="AK49" s="1"/>
      <c r="AL49" s="15">
        <f t="shared" ca="1" si="7"/>
        <v>1564298.0739045639</v>
      </c>
      <c r="AM49" s="1"/>
      <c r="AN49" s="52">
        <v>45796</v>
      </c>
      <c r="AO49" s="15">
        <v>807327.29</v>
      </c>
      <c r="AP49" s="15">
        <v>0.26</v>
      </c>
      <c r="AQ49" s="15">
        <f>17544*AP49</f>
        <v>4561.4400000000005</v>
      </c>
      <c r="AR49" s="15">
        <f>45329.81+8570.6</f>
        <v>53900.409999999996</v>
      </c>
      <c r="AS49" s="15">
        <v>43350.47</v>
      </c>
      <c r="AT49" s="15">
        <f t="shared" ref="AT49:AT56" si="74">SUM(AO49:AS49)</f>
        <v>909139.87</v>
      </c>
      <c r="AU49" s="1"/>
      <c r="AV49" s="28">
        <v>99</v>
      </c>
      <c r="AW49" s="15">
        <v>8000</v>
      </c>
      <c r="AX49" s="15">
        <f t="shared" si="73"/>
        <v>792000</v>
      </c>
      <c r="AY49" s="1"/>
      <c r="AZ49" s="1"/>
      <c r="BA49" s="11" t="s">
        <v>122</v>
      </c>
      <c r="BB49" s="15">
        <f ca="1">BB44-$BI44</f>
        <v>47041.237946411362</v>
      </c>
      <c r="BC49" s="11"/>
      <c r="BD49" s="15">
        <f ca="1">BD44-$BI44</f>
        <v>51949.023046411283</v>
      </c>
      <c r="BE49" s="11"/>
      <c r="BF49" s="15">
        <f ca="1">BF44-$BI44</f>
        <v>215233.57860717765</v>
      </c>
      <c r="BG49" s="11"/>
      <c r="BH49" s="1"/>
      <c r="BI49" s="15">
        <f ca="1">BI44-$BI44</f>
        <v>0</v>
      </c>
      <c r="BJ49" s="11"/>
      <c r="BK49" s="15">
        <f t="shared" ref="BK49:BK50" ca="1" si="75">SUM(BB49:BJ49)</f>
        <v>314223.8396000003</v>
      </c>
    </row>
    <row r="50" spans="1:64" ht="14">
      <c r="A50" s="24">
        <v>6</v>
      </c>
      <c r="B50" s="40">
        <f t="shared" ca="1" si="59"/>
        <v>45838</v>
      </c>
      <c r="C50" s="26" t="b">
        <v>1</v>
      </c>
      <c r="D50" s="1"/>
      <c r="E50" s="41">
        <f t="shared" ca="1" si="60"/>
        <v>125</v>
      </c>
      <c r="F50" s="15">
        <f t="shared" ca="1" si="61"/>
        <v>33569.534132841327</v>
      </c>
      <c r="G50" s="15">
        <f t="shared" ca="1" si="62"/>
        <v>0</v>
      </c>
      <c r="H50" s="27">
        <v>0</v>
      </c>
      <c r="I50" s="15">
        <f t="shared" ca="1" si="22"/>
        <v>0</v>
      </c>
      <c r="J50" s="15">
        <f t="shared" ca="1" si="23"/>
        <v>422530.0831553936</v>
      </c>
      <c r="K50" s="17" t="e">
        <f t="array" aca="1" ref="K50" ca="1">MAX(0,SUM(INDIRECT(ADDRESS(ROW(firstNotPaidRow),$F$3)&amp;":"&amp;ADDRESS(ROW(),$F$3)))-SUM(INDIRECT(ADDRESS(ROW(firstPaidRow),$G$3)&amp;":"&amp; SUBSTITUTE(ADDRESS(1,$G$3,4), 1,"")),$I$38))</f>
        <v>#REF!</v>
      </c>
      <c r="L50" s="1"/>
      <c r="M50" s="41">
        <f t="shared" ca="1" si="63"/>
        <v>125</v>
      </c>
      <c r="N50" s="15">
        <f t="shared" ca="1" si="64"/>
        <v>33569.534132841327</v>
      </c>
      <c r="O50" s="15">
        <f t="shared" ca="1" si="65"/>
        <v>0</v>
      </c>
      <c r="P50" s="27">
        <v>0</v>
      </c>
      <c r="Q50" s="15">
        <f t="shared" ca="1" si="27"/>
        <v>0</v>
      </c>
      <c r="R50" s="15">
        <f t="shared" ca="1" si="28"/>
        <v>421574.05825539352</v>
      </c>
      <c r="S50" s="17" t="e">
        <f t="array" aca="1" ref="S50" ca="1">MAX(0,SUM(INDIRECT(ADDRESS(ROW(firstNotPaidRow),$F$4)&amp;":"&amp;ADDRESS(ROW(),$F$4)))-SUM(INDIRECT(ADDRESS(ROW(firstPaidRow),$G$4)&amp;":"&amp; SUBSTITUTE(ADDRESS(1,$G$4,4), 1,""))))</f>
        <v>#REF!</v>
      </c>
      <c r="T50" s="1"/>
      <c r="U50" s="41">
        <f t="shared" ca="1" si="66"/>
        <v>125</v>
      </c>
      <c r="V50" s="15">
        <f t="shared" ca="1" si="67"/>
        <v>33569.534132841327</v>
      </c>
      <c r="W50" s="15">
        <f t="shared" ca="1" si="68"/>
        <v>0</v>
      </c>
      <c r="X50" s="27">
        <v>0</v>
      </c>
      <c r="Y50" s="15">
        <f t="shared" ca="1" si="32"/>
        <v>0</v>
      </c>
      <c r="Z50" s="15">
        <f t="shared" ca="1" si="33"/>
        <v>421762.5138161598</v>
      </c>
      <c r="AA50" s="17" t="e">
        <f t="array" aca="1" ref="AA50" ca="1">MAX(0,SUM(INDIRECT(ADDRESS(ROW(firstNotPaidRow),$F$5)&amp;":"&amp;ADDRESS(ROW(),$F$5)))-SUM(INDIRECT(ADDRESS(ROW(firstPaidRow),$G$5)&amp;":"&amp; SUBSTITUTE(ADDRESS(1,$G$5,4), 1,""))))</f>
        <v>#REF!</v>
      </c>
      <c r="AB50" s="1"/>
      <c r="AC50" s="41">
        <f t="shared" ca="1" si="69"/>
        <v>125</v>
      </c>
      <c r="AD50" s="15">
        <f t="shared" ca="1" si="70"/>
        <v>33569.534132841327</v>
      </c>
      <c r="AE50" s="15">
        <f t="shared" ca="1" si="71"/>
        <v>3736.61</v>
      </c>
      <c r="AF50" s="15">
        <v>0</v>
      </c>
      <c r="AG50" s="15">
        <f t="shared" ca="1" si="72"/>
        <v>30000</v>
      </c>
      <c r="AH50" s="15">
        <f t="shared" ca="1" si="38"/>
        <v>33736.61</v>
      </c>
      <c r="AI50" s="15">
        <f t="shared" ca="1" si="39"/>
        <v>398972.94520898222</v>
      </c>
      <c r="AJ50" s="17" t="e">
        <f t="array" aca="1" ref="AJ50" ca="1">MAX(0,$AJ$32+SUM(INDIRECT(ADDRESS(ROW(firstNotPaidRow),$F$6)&amp;":"&amp;ADDRESS(ROW(),$F$6)))-SUM(INDIRECT(ADDRESS(ROW(firstColinPaidRow),$G$6)&amp;":"&amp; SUBSTITUTE(ADDRESS(1,$G$6,4), 1,""))))</f>
        <v>#REF!</v>
      </c>
      <c r="AK50" s="1"/>
      <c r="AL50" s="15">
        <f t="shared" ca="1" si="7"/>
        <v>1664839.6004359291</v>
      </c>
      <c r="AM50" s="1"/>
      <c r="AN50" s="51">
        <v>45831</v>
      </c>
      <c r="AO50" s="15">
        <f>667654.72+945</f>
        <v>668599.72</v>
      </c>
      <c r="AP50" s="15">
        <v>0.27</v>
      </c>
      <c r="AQ50" s="15">
        <f>164353.56*AP50</f>
        <v>44375.461200000005</v>
      </c>
      <c r="AR50" s="15">
        <f>25897.15+8570.74</f>
        <v>34467.89</v>
      </c>
      <c r="AS50" s="15">
        <v>42748.93</v>
      </c>
      <c r="AT50" s="15">
        <f t="shared" si="74"/>
        <v>790192.27120000008</v>
      </c>
      <c r="AU50" s="1"/>
      <c r="AV50" s="28">
        <v>99</v>
      </c>
      <c r="AW50" s="15">
        <v>8000</v>
      </c>
      <c r="AX50" s="15">
        <f t="shared" si="73"/>
        <v>792000</v>
      </c>
      <c r="AY50" s="1"/>
      <c r="AZ50" s="1"/>
      <c r="BA50" s="15" t="s">
        <v>123</v>
      </c>
      <c r="BB50" s="15">
        <f ca="1">BB46-$BI$46</f>
        <v>82801.657946411404</v>
      </c>
      <c r="BC50" s="15"/>
      <c r="BD50" s="15">
        <f ca="1">BD46-$BI$46</f>
        <v>87709.443046411325</v>
      </c>
      <c r="BE50" s="15"/>
      <c r="BF50" s="15">
        <f ca="1">BF46-$BI$46</f>
        <v>250993.99860717764</v>
      </c>
      <c r="BG50" s="15"/>
      <c r="BH50" s="1"/>
      <c r="BI50" s="15">
        <f ca="1">BI46-$BI$46</f>
        <v>0</v>
      </c>
      <c r="BJ50" s="15"/>
      <c r="BK50" s="15">
        <f t="shared" ca="1" si="75"/>
        <v>421505.09960000037</v>
      </c>
    </row>
    <row r="51" spans="1:64" ht="14">
      <c r="A51" s="24">
        <v>7</v>
      </c>
      <c r="B51" s="40">
        <f t="shared" ca="1" si="59"/>
        <v>45869</v>
      </c>
      <c r="C51" s="26" t="b">
        <v>1</v>
      </c>
      <c r="D51" s="1"/>
      <c r="E51" s="41">
        <f t="shared" ca="1" si="60"/>
        <v>125</v>
      </c>
      <c r="F51" s="15">
        <f t="shared" ca="1" si="61"/>
        <v>15406.376845018447</v>
      </c>
      <c r="G51" s="15">
        <f t="shared" ca="1" si="62"/>
        <v>0</v>
      </c>
      <c r="H51" s="27">
        <v>52893.36</v>
      </c>
      <c r="I51" s="15">
        <f t="shared" ca="1" si="22"/>
        <v>52893.36</v>
      </c>
      <c r="J51" s="15">
        <f t="shared" ca="1" si="23"/>
        <v>385043.10000041209</v>
      </c>
      <c r="K51" s="17" t="e">
        <f t="array" aca="1" ref="K51" ca="1">MAX(0,SUM(INDIRECT(ADDRESS(ROW(firstNotPaidRow),$F$3)&amp;":"&amp;ADDRESS(ROW(),$F$3)))-SUM(INDIRECT(ADDRESS(ROW(firstPaidRow),$G$3)&amp;":"&amp; SUBSTITUTE(ADDRESS(1,$G$3,4), 1,"")),$I$38))</f>
        <v>#REF!</v>
      </c>
      <c r="L51" s="1"/>
      <c r="M51" s="41">
        <f t="shared" ca="1" si="63"/>
        <v>125</v>
      </c>
      <c r="N51" s="15">
        <f t="shared" ca="1" si="64"/>
        <v>15406.376845018447</v>
      </c>
      <c r="O51" s="15">
        <f t="shared" ca="1" si="65"/>
        <v>0</v>
      </c>
      <c r="P51" s="27">
        <v>52893.36</v>
      </c>
      <c r="Q51" s="15">
        <f t="shared" ca="1" si="27"/>
        <v>52893.36</v>
      </c>
      <c r="R51" s="15">
        <f t="shared" ca="1" si="28"/>
        <v>384087.07510041201</v>
      </c>
      <c r="S51" s="17" t="e">
        <f t="array" aca="1" ref="S51" ca="1">MAX(0,SUM(INDIRECT(ADDRESS(ROW(firstNotPaidRow),$F$4)&amp;":"&amp;ADDRESS(ROW(),$F$4)))-SUM(INDIRECT(ADDRESS(ROW(firstPaidRow),$G$4)&amp;":"&amp; SUBSTITUTE(ADDRESS(1,$G$4,4), 1,""))))</f>
        <v>#REF!</v>
      </c>
      <c r="T51" s="1"/>
      <c r="U51" s="41">
        <f t="shared" ca="1" si="66"/>
        <v>125</v>
      </c>
      <c r="V51" s="15">
        <f t="shared" ca="1" si="67"/>
        <v>15406.376845018447</v>
      </c>
      <c r="W51" s="15">
        <f t="shared" ca="1" si="68"/>
        <v>0</v>
      </c>
      <c r="X51" s="27"/>
      <c r="Y51" s="15">
        <f t="shared" ca="1" si="32"/>
        <v>0</v>
      </c>
      <c r="Z51" s="15">
        <f t="shared" ca="1" si="33"/>
        <v>437168.89066117827</v>
      </c>
      <c r="AA51" s="17" t="e">
        <f t="array" aca="1" ref="AA51" ca="1">MAX(0,SUM(INDIRECT(ADDRESS(ROW(firstNotPaidRow),$F$5)&amp;":"&amp;ADDRESS(ROW(),$F$5)))-SUM(INDIRECT(ADDRESS(ROW(firstPaidRow),$G$5)&amp;":"&amp; SUBSTITUTE(ADDRESS(1,$G$5,4), 1,""))))</f>
        <v>#REF!</v>
      </c>
      <c r="AB51" s="1"/>
      <c r="AC51" s="41">
        <f t="shared" ca="1" si="69"/>
        <v>125</v>
      </c>
      <c r="AD51" s="15">
        <f t="shared" ca="1" si="70"/>
        <v>15406.376845018447</v>
      </c>
      <c r="AE51" s="15">
        <f t="shared" ca="1" si="71"/>
        <v>2078.36</v>
      </c>
      <c r="AF51" s="15">
        <v>32663.74</v>
      </c>
      <c r="AG51" s="15">
        <f t="shared" ca="1" si="72"/>
        <v>2663.7400000000016</v>
      </c>
      <c r="AH51" s="15">
        <f t="shared" ca="1" si="38"/>
        <v>4742.1000000000022</v>
      </c>
      <c r="AI51" s="15">
        <f t="shared" ca="1" si="39"/>
        <v>409637.22205400071</v>
      </c>
      <c r="AJ51" s="17" t="e">
        <f t="array" aca="1" ref="AJ51" ca="1">MAX(0,$AJ$32+SUM(INDIRECT(ADDRESS(ROW(firstNotPaidRow),$F$6)&amp;":"&amp;ADDRESS(ROW(),$F$6)))-SUM(INDIRECT(ADDRESS(ROW(firstColinPaidRow),$G$6)&amp;":"&amp; SUBSTITUTE(ADDRESS(1,$G$6,4), 1,""))))</f>
        <v>#REF!</v>
      </c>
      <c r="AK51" s="1"/>
      <c r="AL51" s="15">
        <f t="shared" ca="1" si="7"/>
        <v>1615936.287816003</v>
      </c>
      <c r="AM51" s="1"/>
      <c r="AN51" s="51">
        <v>45863</v>
      </c>
      <c r="AO51" s="15">
        <f>856883+930</f>
        <v>857813</v>
      </c>
      <c r="AP51" s="15">
        <v>0.27</v>
      </c>
      <c r="AQ51" s="15">
        <f>73938*AP51</f>
        <v>19963.260000000002</v>
      </c>
      <c r="AR51" s="15">
        <f>49144.07+8570.89</f>
        <v>57714.96</v>
      </c>
      <c r="AS51" s="15">
        <v>55991</v>
      </c>
      <c r="AT51" s="15">
        <f t="shared" si="74"/>
        <v>991482.49</v>
      </c>
      <c r="AU51" s="1"/>
      <c r="AV51" s="28">
        <v>100</v>
      </c>
      <c r="AW51" s="15">
        <v>8000</v>
      </c>
      <c r="AX51" s="15">
        <f t="shared" si="73"/>
        <v>800000</v>
      </c>
      <c r="AY51" s="1"/>
      <c r="AZ51" s="1"/>
      <c r="BA51" s="11"/>
      <c r="BB51" s="11"/>
      <c r="BC51" s="11"/>
      <c r="BD51" s="11"/>
      <c r="BE51" s="11"/>
      <c r="BF51" s="11"/>
      <c r="BG51" s="11"/>
      <c r="BH51" s="1"/>
      <c r="BI51" s="11"/>
      <c r="BJ51" s="11"/>
      <c r="BK51" s="11"/>
    </row>
    <row r="52" spans="1:64" ht="14">
      <c r="A52" s="24">
        <v>8</v>
      </c>
      <c r="B52" s="40">
        <f t="shared" ca="1" si="59"/>
        <v>45900</v>
      </c>
      <c r="C52" s="26" t="b">
        <v>1</v>
      </c>
      <c r="D52" s="1"/>
      <c r="E52" s="41">
        <f t="shared" ca="1" si="60"/>
        <v>125</v>
      </c>
      <c r="F52" s="15">
        <f t="shared" ca="1" si="61"/>
        <v>23197.325046040514</v>
      </c>
      <c r="G52" s="15">
        <f t="shared" ca="1" si="62"/>
        <v>0</v>
      </c>
      <c r="H52" s="27">
        <v>108504.17</v>
      </c>
      <c r="I52" s="15">
        <f t="shared" ca="1" si="22"/>
        <v>108504.17</v>
      </c>
      <c r="J52" s="15">
        <f t="shared" ca="1" si="23"/>
        <v>299736.25504645263</v>
      </c>
      <c r="K52" s="17" t="e">
        <f t="array" aca="1" ref="K52" ca="1">MAX(0,SUM(INDIRECT(ADDRESS(ROW(firstNotPaidRow),$F$3)&amp;":"&amp;ADDRESS(ROW(),$F$3)))-SUM(INDIRECT(ADDRESS(ROW(firstPaidRow),$G$3)&amp;":"&amp; SUBSTITUTE(ADDRESS(1,$G$3,4), 1,"")),$I$38))</f>
        <v>#REF!</v>
      </c>
      <c r="L52" s="1"/>
      <c r="M52" s="41">
        <f t="shared" ca="1" si="63"/>
        <v>125</v>
      </c>
      <c r="N52" s="15">
        <f t="shared" ca="1" si="64"/>
        <v>23197.325046040514</v>
      </c>
      <c r="O52" s="15">
        <f t="shared" ca="1" si="65"/>
        <v>0</v>
      </c>
      <c r="P52" s="27">
        <v>108504.17</v>
      </c>
      <c r="Q52" s="15">
        <f t="shared" ca="1" si="27"/>
        <v>108504.17</v>
      </c>
      <c r="R52" s="15">
        <f t="shared" ca="1" si="28"/>
        <v>298780.23014645255</v>
      </c>
      <c r="S52" s="17" t="e">
        <f t="array" aca="1" ref="S52" ca="1">MAX(0,SUM(INDIRECT(ADDRESS(ROW(firstNotPaidRow),$F$4)&amp;":"&amp;ADDRESS(ROW(),$F$4)))-SUM(INDIRECT(ADDRESS(ROW(firstPaidRow),$G$4)&amp;":"&amp; SUBSTITUTE(ADDRESS(1,$G$4,4), 1,""))))</f>
        <v>#REF!</v>
      </c>
      <c r="T52" s="1"/>
      <c r="U52" s="41">
        <f t="shared" ca="1" si="66"/>
        <v>125</v>
      </c>
      <c r="V52" s="15">
        <f t="shared" ca="1" si="67"/>
        <v>23197.325046040514</v>
      </c>
      <c r="W52" s="15">
        <f t="shared" ca="1" si="68"/>
        <v>0</v>
      </c>
      <c r="X52" s="27">
        <v>161536.20000000001</v>
      </c>
      <c r="Y52" s="15">
        <f t="shared" ca="1" si="32"/>
        <v>161536.20000000001</v>
      </c>
      <c r="Z52" s="15">
        <f t="shared" ca="1" si="33"/>
        <v>298830.01570721879</v>
      </c>
      <c r="AA52" s="17" t="e">
        <f t="array" aca="1" ref="AA52" ca="1">MAX(0,SUM(INDIRECT(ADDRESS(ROW(firstNotPaidRow),$F$5)&amp;":"&amp;ADDRESS(ROW(),$F$5)))-SUM(INDIRECT(ADDRESS(ROW(firstPaidRow),$G$5)&amp;":"&amp; SUBSTITUTE(ADDRESS(1,$G$5,4), 1,""))))</f>
        <v>#REF!</v>
      </c>
      <c r="AB52" s="1"/>
      <c r="AC52" s="41">
        <f t="shared" ca="1" si="69"/>
        <v>125</v>
      </c>
      <c r="AD52" s="15">
        <f t="shared" ca="1" si="70"/>
        <v>23197.325046040514</v>
      </c>
      <c r="AE52" s="15">
        <f t="shared" ca="1" si="71"/>
        <v>3052.76</v>
      </c>
      <c r="AF52" s="15">
        <v>133268.04019999999</v>
      </c>
      <c r="AG52" s="15">
        <f t="shared" ca="1" si="72"/>
        <v>135285.34</v>
      </c>
      <c r="AH52" s="15">
        <f t="shared" ca="1" si="38"/>
        <v>138338.1</v>
      </c>
      <c r="AI52" s="15">
        <f t="shared" ca="1" si="39"/>
        <v>294496.4471000412</v>
      </c>
      <c r="AJ52" s="17" t="e">
        <f t="array" aca="1" ref="AJ52" ca="1">MAX(0,$AJ$32+SUM(INDIRECT(ADDRESS(ROW(firstNotPaidRow),$F$6)&amp;":"&amp;ADDRESS(ROW(),$F$6)))-SUM(INDIRECT(ADDRESS(ROW(firstColinPaidRow),$G$6)&amp;":"&amp; SUBSTITUTE(ADDRESS(1,$G$6,4), 1,""))))</f>
        <v>#REF!</v>
      </c>
      <c r="AK52" s="1"/>
      <c r="AL52" s="15">
        <f t="shared" ca="1" si="7"/>
        <v>1191842.9480001652</v>
      </c>
      <c r="AM52" s="1"/>
      <c r="AN52" s="51">
        <v>45888</v>
      </c>
      <c r="AO52" s="15">
        <f>254523.05+915</f>
        <v>255438.05</v>
      </c>
      <c r="AP52" s="15">
        <v>0.27</v>
      </c>
      <c r="AQ52" s="15">
        <f>168295.04*AP52</f>
        <v>45439.660800000005</v>
      </c>
      <c r="AR52" s="15">
        <v>935493.25</v>
      </c>
      <c r="AS52" s="15">
        <v>22409.32</v>
      </c>
      <c r="AT52" s="15">
        <f t="shared" si="74"/>
        <v>1258780.5508000001</v>
      </c>
      <c r="AU52" s="1"/>
      <c r="AV52" s="28">
        <v>100</v>
      </c>
      <c r="AW52" s="15">
        <v>8000</v>
      </c>
      <c r="AX52" s="15">
        <f t="shared" si="73"/>
        <v>800000</v>
      </c>
      <c r="AY52" s="1"/>
      <c r="AZ52" s="1"/>
      <c r="BA52" s="11" t="s">
        <v>124</v>
      </c>
      <c r="BB52" s="15">
        <f ca="1">BB44-BB50</f>
        <v>265517.90900191566</v>
      </c>
      <c r="BC52" s="29">
        <f ca="1">BB52/BK52-BH$64</f>
        <v>2.5189915630163595E-2</v>
      </c>
      <c r="BD52" s="15">
        <f ca="1">BD44-BD50</f>
        <v>265517.90900191566</v>
      </c>
      <c r="BE52" s="30">
        <f ca="1">BD52/BK52-BI$64</f>
        <v>2.5189915630163595E-2</v>
      </c>
      <c r="BF52" s="15">
        <f ca="1">BF44-BF50</f>
        <v>265517.90900191572</v>
      </c>
      <c r="BG52" s="30">
        <f ca="1">BF52/BK52-BK$64</f>
        <v>-7.481008436983641E-2</v>
      </c>
      <c r="BH52" s="1"/>
      <c r="BI52" s="15">
        <f ca="1">BI44-BI50</f>
        <v>301278.3290019157</v>
      </c>
      <c r="BJ52" s="30">
        <f ca="1">BI52/BK52-BL$64</f>
        <v>2.4430253109509137E-2</v>
      </c>
      <c r="BK52" s="15">
        <f ca="1">BB52+BD52+BF52+BI52</f>
        <v>1097832.0560076628</v>
      </c>
    </row>
    <row r="53" spans="1:64" ht="14">
      <c r="A53" s="24">
        <v>9</v>
      </c>
      <c r="B53" s="40">
        <f t="shared" ca="1" si="59"/>
        <v>45930</v>
      </c>
      <c r="C53" s="26" t="b">
        <v>1</v>
      </c>
      <c r="D53" s="1"/>
      <c r="E53" s="41">
        <f t="shared" ca="1" si="60"/>
        <v>125</v>
      </c>
      <c r="F53" s="15">
        <f t="shared" ca="1" si="61"/>
        <v>5729.3876611418027</v>
      </c>
      <c r="G53" s="15">
        <f t="shared" ca="1" si="62"/>
        <v>0</v>
      </c>
      <c r="H53" s="27">
        <v>33959.550000000003</v>
      </c>
      <c r="I53" s="15">
        <f t="shared" ca="1" si="22"/>
        <v>33959.550000000003</v>
      </c>
      <c r="J53" s="15">
        <f t="shared" ca="1" si="23"/>
        <v>271506.09270759445</v>
      </c>
      <c r="K53" s="17" t="e">
        <f t="array" aca="1" ref="K53" ca="1">MAX(0,SUM(INDIRECT(ADDRESS(ROW(firstNotPaidRow),$F$3)&amp;":"&amp;ADDRESS(ROW(),$F$3)))-SUM(INDIRECT(ADDRESS(ROW(firstPaidRow),$G$3)&amp;":"&amp; SUBSTITUTE(ADDRESS(1,$G$3,4), 1,"")),$I$38))</f>
        <v>#REF!</v>
      </c>
      <c r="L53" s="1"/>
      <c r="M53" s="41">
        <f t="shared" ca="1" si="63"/>
        <v>125</v>
      </c>
      <c r="N53" s="15">
        <f t="shared" ca="1" si="64"/>
        <v>5729.3876611418027</v>
      </c>
      <c r="O53" s="15">
        <f t="shared" ca="1" si="65"/>
        <v>0</v>
      </c>
      <c r="P53" s="27">
        <v>33959.550000000003</v>
      </c>
      <c r="Q53" s="15">
        <f t="shared" ca="1" si="27"/>
        <v>33959.550000000003</v>
      </c>
      <c r="R53" s="15">
        <f t="shared" ca="1" si="28"/>
        <v>270550.06780759437</v>
      </c>
      <c r="S53" s="17" t="e">
        <f t="array" aca="1" ref="S53" ca="1">MAX(0,SUM(INDIRECT(ADDRESS(ROW(firstNotPaidRow),$F$4)&amp;":"&amp;ADDRESS(ROW(),$F$4)))-SUM(INDIRECT(ADDRESS(ROW(firstPaidRow),$G$4)&amp;":"&amp; SUBSTITUTE(ADDRESS(1,$G$4,4), 1,""))))</f>
        <v>#REF!</v>
      </c>
      <c r="T53" s="1"/>
      <c r="U53" s="41">
        <f t="shared" ca="1" si="66"/>
        <v>125</v>
      </c>
      <c r="V53" s="15">
        <f t="shared" ca="1" si="67"/>
        <v>5729.3876611418027</v>
      </c>
      <c r="W53" s="15">
        <f t="shared" ca="1" si="68"/>
        <v>0</v>
      </c>
      <c r="X53" s="27">
        <v>33959.550000000003</v>
      </c>
      <c r="Y53" s="15">
        <f t="shared" ca="1" si="32"/>
        <v>33959.550000000003</v>
      </c>
      <c r="Z53" s="15">
        <f t="shared" ca="1" si="33"/>
        <v>270599.85336836061</v>
      </c>
      <c r="AA53" s="17" t="e">
        <f t="array" aca="1" ref="AA53" ca="1">MAX(0,SUM(INDIRECT(ADDRESS(ROW(firstNotPaidRow),$F$5)&amp;":"&amp;ADDRESS(ROW(),$F$5)))-SUM(INDIRECT(ADDRESS(ROW(firstPaidRow),$G$5)&amp;":"&amp; SUBSTITUTE(ADDRESS(1,$G$5,4), 1,""))))</f>
        <v>#REF!</v>
      </c>
      <c r="AB53" s="1"/>
      <c r="AC53" s="41">
        <f t="shared" ca="1" si="69"/>
        <v>125</v>
      </c>
      <c r="AD53" s="15">
        <f t="shared" ca="1" si="70"/>
        <v>5729.3876611418027</v>
      </c>
      <c r="AE53" s="15">
        <f t="shared" ca="1" si="71"/>
        <v>0</v>
      </c>
      <c r="AF53" s="15">
        <v>28889.49</v>
      </c>
      <c r="AG53" s="15">
        <f t="shared" ca="1" si="72"/>
        <v>28889.489999999998</v>
      </c>
      <c r="AH53" s="15">
        <f t="shared" ca="1" si="38"/>
        <v>28889.489999999998</v>
      </c>
      <c r="AI53" s="15">
        <f t="shared" ca="1" si="39"/>
        <v>271336.34476118302</v>
      </c>
      <c r="AJ53" s="17" t="e">
        <f t="array" aca="1" ref="AJ53" ca="1">MAX(0,$AJ$32+SUM(INDIRECT(ADDRESS(ROW(firstNotPaidRow),$F$6)&amp;":"&amp;ADDRESS(ROW(),$F$6)))-SUM(INDIRECT(ADDRESS(ROW(firstColinPaidRow),$G$6)&amp;":"&amp; SUBSTITUTE(ADDRESS(1,$G$6,4), 1,""))))</f>
        <v>#REF!</v>
      </c>
      <c r="AK53" s="1"/>
      <c r="AL53" s="15">
        <f t="shared" ca="1" si="7"/>
        <v>1083992.3586447323</v>
      </c>
      <c r="AM53" s="1"/>
      <c r="AN53" s="51">
        <v>45919</v>
      </c>
      <c r="AO53" s="15">
        <v>-5.37</v>
      </c>
      <c r="AP53" s="11">
        <v>0.27628583400000001</v>
      </c>
      <c r="AQ53" s="15">
        <f>169787.47*AP53</f>
        <v>46909.872751699979</v>
      </c>
      <c r="AR53" s="15">
        <v>857925.47</v>
      </c>
      <c r="AS53" s="15">
        <v>49937.89</v>
      </c>
      <c r="AT53" s="15">
        <f t="shared" si="74"/>
        <v>954768.13903753401</v>
      </c>
      <c r="AU53" s="1"/>
      <c r="AV53" s="28">
        <v>103</v>
      </c>
      <c r="AW53" s="15">
        <v>8000</v>
      </c>
      <c r="AX53" s="15">
        <f t="shared" si="73"/>
        <v>824000</v>
      </c>
      <c r="AY53" s="1"/>
      <c r="AZ53" s="1"/>
      <c r="BA53" s="11"/>
      <c r="BB53" s="11"/>
      <c r="BC53" s="30">
        <f ca="1">BB52/BK52</f>
        <v>0.24185658229683027</v>
      </c>
      <c r="BD53" s="11"/>
      <c r="BE53" s="30">
        <f ca="1">BD52/BK52</f>
        <v>0.24185658229683027</v>
      </c>
      <c r="BF53" s="11"/>
      <c r="BG53" s="30">
        <f ca="1">BF52/BK52</f>
        <v>0.2418565822968303</v>
      </c>
      <c r="BH53" s="1"/>
      <c r="BI53" s="11"/>
      <c r="BJ53" s="30">
        <f ca="1">BI52/BK52</f>
        <v>0.27443025310950914</v>
      </c>
      <c r="BK53" s="11"/>
    </row>
    <row r="54" spans="1:64" ht="14">
      <c r="A54" s="24">
        <v>10</v>
      </c>
      <c r="B54" s="40">
        <f t="shared" ca="1" si="59"/>
        <v>45961</v>
      </c>
      <c r="C54" s="26" t="b">
        <v>0</v>
      </c>
      <c r="D54" s="1"/>
      <c r="E54" s="41">
        <f t="shared" ca="1" si="60"/>
        <v>125</v>
      </c>
      <c r="F54" s="15">
        <f t="shared" ca="1" si="61"/>
        <v>0</v>
      </c>
      <c r="G54" s="15">
        <f t="shared" ca="1" si="62"/>
        <v>0</v>
      </c>
      <c r="H54" s="27"/>
      <c r="I54" s="15">
        <f t="shared" ca="1" si="22"/>
        <v>0</v>
      </c>
      <c r="J54" s="15">
        <f t="shared" ca="1" si="23"/>
        <v>271506.09270759445</v>
      </c>
      <c r="K54" s="17" t="e">
        <f t="array" aca="1" ref="K54" ca="1">MAX(0,SUM(INDIRECT(ADDRESS(ROW(firstNotPaidRow),$F$3)&amp;":"&amp;ADDRESS(ROW(),$F$3)))-SUM(INDIRECT(ADDRESS(ROW(firstPaidRow),$G$3)&amp;":"&amp; SUBSTITUTE(ADDRESS(1,$G$3,4), 1,"")),$I$38))</f>
        <v>#REF!</v>
      </c>
      <c r="L54" s="1"/>
      <c r="M54" s="41">
        <f t="shared" ca="1" si="63"/>
        <v>125</v>
      </c>
      <c r="N54" s="15">
        <f t="shared" ca="1" si="64"/>
        <v>0</v>
      </c>
      <c r="O54" s="15">
        <f t="shared" ca="1" si="65"/>
        <v>0</v>
      </c>
      <c r="P54" s="27"/>
      <c r="Q54" s="15">
        <f t="shared" ca="1" si="27"/>
        <v>0</v>
      </c>
      <c r="R54" s="15">
        <f t="shared" ca="1" si="28"/>
        <v>270550.06780759437</v>
      </c>
      <c r="S54" s="17" t="e">
        <f t="array" aca="1" ref="S54" ca="1">MAX(0,SUM(INDIRECT(ADDRESS(ROW(firstNotPaidRow),$F$4)&amp;":"&amp;ADDRESS(ROW(),$F$4)))-SUM(INDIRECT(ADDRESS(ROW(firstPaidRow),$G$4)&amp;":"&amp; SUBSTITUTE(ADDRESS(1,$G$4,4), 1,""))))</f>
        <v>#REF!</v>
      </c>
      <c r="T54" s="1"/>
      <c r="U54" s="41">
        <f t="shared" ca="1" si="66"/>
        <v>125</v>
      </c>
      <c r="V54" s="15">
        <f t="shared" ca="1" si="67"/>
        <v>0</v>
      </c>
      <c r="W54" s="15">
        <f t="shared" ca="1" si="68"/>
        <v>0</v>
      </c>
      <c r="X54" s="27"/>
      <c r="Y54" s="15">
        <f t="shared" ca="1" si="32"/>
        <v>0</v>
      </c>
      <c r="Z54" s="15">
        <f t="shared" ca="1" si="33"/>
        <v>270599.85336836061</v>
      </c>
      <c r="AA54" s="17" t="e">
        <f t="array" aca="1" ref="AA54" ca="1">MAX(0,SUM(INDIRECT(ADDRESS(ROW(firstNotPaidRow),$F$5)&amp;":"&amp;ADDRESS(ROW(),$F$5)))-SUM(INDIRECT(ADDRESS(ROW(firstPaidRow),$G$5)&amp;":"&amp; SUBSTITUTE(ADDRESS(1,$G$5,4), 1,""))))</f>
        <v>#REF!</v>
      </c>
      <c r="AB54" s="1"/>
      <c r="AC54" s="41">
        <f t="shared" ca="1" si="69"/>
        <v>125</v>
      </c>
      <c r="AD54" s="15">
        <f t="shared" ca="1" si="70"/>
        <v>0</v>
      </c>
      <c r="AE54" s="15">
        <f t="shared" ca="1" si="71"/>
        <v>0</v>
      </c>
      <c r="AF54" s="15"/>
      <c r="AG54" s="15">
        <f t="shared" ca="1" si="72"/>
        <v>0</v>
      </c>
      <c r="AH54" s="15">
        <f t="shared" ca="1" si="38"/>
        <v>0</v>
      </c>
      <c r="AI54" s="15">
        <f t="shared" ca="1" si="39"/>
        <v>271336.34476118302</v>
      </c>
      <c r="AJ54" s="17" t="e">
        <f t="array" aca="1" ref="AJ54" ca="1">MAX(0,$AJ$32+SUM(INDIRECT(ADDRESS(ROW(firstNotPaidRow),$F$6)&amp;":"&amp;ADDRESS(ROW(),$F$6)))-SUM(INDIRECT(ADDRESS(ROW(firstColinPaidRow),$G$6)&amp;":"&amp; SUBSTITUTE(ADDRESS(1,$G$6,4), 1,""))))</f>
        <v>#REF!</v>
      </c>
      <c r="AK54" s="1"/>
      <c r="AL54" s="15">
        <f t="shared" ca="1" si="7"/>
        <v>1083992.3586447323</v>
      </c>
      <c r="AM54" s="1"/>
      <c r="AN54" s="15"/>
      <c r="AO54" s="15"/>
      <c r="AP54" s="15"/>
      <c r="AQ54" s="15"/>
      <c r="AR54" s="15"/>
      <c r="AS54" s="15"/>
      <c r="AT54" s="15">
        <f t="shared" si="74"/>
        <v>0</v>
      </c>
      <c r="AU54" s="1"/>
      <c r="AV54" s="28"/>
      <c r="AW54" s="15">
        <v>8000</v>
      </c>
      <c r="AX54" s="15">
        <f t="shared" si="73"/>
        <v>0</v>
      </c>
      <c r="AY54" s="1"/>
      <c r="AZ54" s="1"/>
      <c r="BA54" s="11"/>
      <c r="BB54" s="11"/>
      <c r="BC54" s="11"/>
      <c r="BD54" s="11"/>
      <c r="BE54" s="11"/>
      <c r="BF54" s="11"/>
      <c r="BG54" s="11"/>
      <c r="BH54" s="1"/>
      <c r="BI54" s="11"/>
      <c r="BJ54" s="11"/>
      <c r="BK54" s="11"/>
    </row>
    <row r="55" spans="1:64" ht="14">
      <c r="A55" s="24">
        <v>11</v>
      </c>
      <c r="B55" s="40">
        <f t="shared" ca="1" si="59"/>
        <v>45991</v>
      </c>
      <c r="C55" s="26" t="b">
        <v>0</v>
      </c>
      <c r="D55" s="1"/>
      <c r="E55" s="41">
        <f t="shared" ca="1" si="60"/>
        <v>125</v>
      </c>
      <c r="F55" s="15">
        <f t="shared" ca="1" si="61"/>
        <v>0</v>
      </c>
      <c r="G55" s="15">
        <f t="shared" ca="1" si="62"/>
        <v>0</v>
      </c>
      <c r="H55" s="27"/>
      <c r="I55" s="15">
        <f t="shared" ca="1" si="22"/>
        <v>0</v>
      </c>
      <c r="J55" s="15">
        <f t="shared" ca="1" si="23"/>
        <v>271506.09270759445</v>
      </c>
      <c r="K55" s="17" t="e">
        <f t="array" aca="1" ref="K55" ca="1">MAX(0,SUM(INDIRECT(ADDRESS(ROW(firstNotPaidRow),$F$3)&amp;":"&amp;ADDRESS(ROW(),$F$3)))-SUM(INDIRECT(ADDRESS(ROW(firstPaidRow),$G$3)&amp;":"&amp; SUBSTITUTE(ADDRESS(1,$G$3,4), 1,"")),$I$38))</f>
        <v>#REF!</v>
      </c>
      <c r="L55" s="1"/>
      <c r="M55" s="41">
        <f t="shared" ca="1" si="63"/>
        <v>125</v>
      </c>
      <c r="N55" s="15">
        <f t="shared" ca="1" si="64"/>
        <v>0</v>
      </c>
      <c r="O55" s="15">
        <f t="shared" ca="1" si="65"/>
        <v>0</v>
      </c>
      <c r="P55" s="27"/>
      <c r="Q55" s="15">
        <f t="shared" ca="1" si="27"/>
        <v>0</v>
      </c>
      <c r="R55" s="15">
        <f t="shared" ca="1" si="28"/>
        <v>270550.06780759437</v>
      </c>
      <c r="S55" s="17" t="e">
        <f t="array" aca="1" ref="S55" ca="1">MAX(0,SUM(INDIRECT(ADDRESS(ROW(firstNotPaidRow),$F$4)&amp;":"&amp;ADDRESS(ROW(),$F$4)))-SUM(INDIRECT(ADDRESS(ROW(firstPaidRow),$G$4)&amp;":"&amp; SUBSTITUTE(ADDRESS(1,$G$4,4), 1,""))))</f>
        <v>#REF!</v>
      </c>
      <c r="T55" s="1"/>
      <c r="U55" s="41">
        <f t="shared" ca="1" si="66"/>
        <v>125</v>
      </c>
      <c r="V55" s="15">
        <f t="shared" ca="1" si="67"/>
        <v>0</v>
      </c>
      <c r="W55" s="15">
        <f t="shared" ca="1" si="68"/>
        <v>0</v>
      </c>
      <c r="X55" s="27"/>
      <c r="Y55" s="15">
        <f t="shared" ca="1" si="32"/>
        <v>0</v>
      </c>
      <c r="Z55" s="15">
        <f t="shared" ca="1" si="33"/>
        <v>270599.85336836061</v>
      </c>
      <c r="AA55" s="17" t="e">
        <f t="array" aca="1" ref="AA55" ca="1">MAX(0,SUM(INDIRECT(ADDRESS(ROW(firstNotPaidRow),$F$5)&amp;":"&amp;ADDRESS(ROW(),$F$5)))-SUM(INDIRECT(ADDRESS(ROW(firstPaidRow),$G$5)&amp;":"&amp; SUBSTITUTE(ADDRESS(1,$G$5,4), 1,""))))</f>
        <v>#REF!</v>
      </c>
      <c r="AB55" s="1"/>
      <c r="AC55" s="41">
        <f t="shared" ca="1" si="69"/>
        <v>125</v>
      </c>
      <c r="AD55" s="15">
        <f t="shared" ca="1" si="70"/>
        <v>0</v>
      </c>
      <c r="AE55" s="15">
        <f t="shared" ca="1" si="71"/>
        <v>0</v>
      </c>
      <c r="AF55" s="15"/>
      <c r="AG55" s="15">
        <f t="shared" ca="1" si="72"/>
        <v>0</v>
      </c>
      <c r="AH55" s="15">
        <f t="shared" ca="1" si="38"/>
        <v>0</v>
      </c>
      <c r="AI55" s="15">
        <f t="shared" ca="1" si="39"/>
        <v>271336.34476118302</v>
      </c>
      <c r="AJ55" s="17" t="e">
        <f t="array" aca="1" ref="AJ55" ca="1">MAX(0,$AJ$32+SUM(INDIRECT(ADDRESS(ROW(firstNotPaidRow),$F$6)&amp;":"&amp;ADDRESS(ROW(),$F$6)))-SUM(INDIRECT(ADDRESS(ROW(firstColinPaidRow),$G$6)&amp;":"&amp; SUBSTITUTE(ADDRESS(1,$G$6,4), 1,""))))</f>
        <v>#REF!</v>
      </c>
      <c r="AK55" s="1"/>
      <c r="AL55" s="15">
        <f t="shared" ca="1" si="7"/>
        <v>1083992.3586447323</v>
      </c>
      <c r="AM55" s="1"/>
      <c r="AN55" s="15"/>
      <c r="AO55" s="15"/>
      <c r="AP55" s="15"/>
      <c r="AQ55" s="15"/>
      <c r="AR55" s="15"/>
      <c r="AS55" s="15"/>
      <c r="AT55" s="15">
        <f t="shared" si="74"/>
        <v>0</v>
      </c>
      <c r="AU55" s="1"/>
      <c r="AV55" s="28"/>
      <c r="AW55" s="15">
        <v>8000</v>
      </c>
      <c r="AX55" s="15">
        <f t="shared" si="73"/>
        <v>0</v>
      </c>
      <c r="AY55" s="1"/>
      <c r="AZ55" s="1"/>
      <c r="BA55" s="11"/>
      <c r="BB55" s="15">
        <f t="shared" ref="BB55:BG55" ca="1" si="76">BB44</f>
        <v>348319.56694832706</v>
      </c>
      <c r="BC55" s="29">
        <f t="shared" ca="1" si="76"/>
        <v>1.2590918236544429E-2</v>
      </c>
      <c r="BD55" s="15">
        <f t="shared" ca="1" si="76"/>
        <v>353227.35204832698</v>
      </c>
      <c r="BE55" s="30">
        <f t="shared" ca="1" si="76"/>
        <v>1.5821132861314147E-2</v>
      </c>
      <c r="BF55" s="15">
        <f t="shared" ca="1" si="76"/>
        <v>516511.90760909335</v>
      </c>
      <c r="BG55" s="30">
        <f t="shared" ca="1" si="76"/>
        <v>2.3292048686748723E-2</v>
      </c>
      <c r="BH55" s="1"/>
      <c r="BI55" s="15">
        <f t="shared" ref="BI55:BK55" ca="1" si="77">BI44</f>
        <v>301278.3290019157</v>
      </c>
      <c r="BJ55" s="30">
        <f t="shared" ca="1" si="77"/>
        <v>-5.1704099784607327E-2</v>
      </c>
      <c r="BK55" s="15">
        <f t="shared" ca="1" si="77"/>
        <v>1519337.1556076631</v>
      </c>
    </row>
    <row r="56" spans="1:64" ht="14">
      <c r="A56" s="24">
        <v>12</v>
      </c>
      <c r="B56" s="40">
        <f t="shared" ca="1" si="59"/>
        <v>46022</v>
      </c>
      <c r="C56" s="53" t="b">
        <v>0</v>
      </c>
      <c r="D56" s="1"/>
      <c r="E56" s="41">
        <f t="shared" ca="1" si="60"/>
        <v>125</v>
      </c>
      <c r="F56" s="15">
        <f t="shared" ca="1" si="61"/>
        <v>0</v>
      </c>
      <c r="G56" s="15">
        <f t="shared" ca="1" si="62"/>
        <v>0</v>
      </c>
      <c r="H56" s="54"/>
      <c r="I56" s="15">
        <f t="shared" ca="1" si="22"/>
        <v>0</v>
      </c>
      <c r="J56" s="15">
        <f t="shared" ca="1" si="23"/>
        <v>271506.09270759445</v>
      </c>
      <c r="K56" s="17" t="e">
        <f t="array" aca="1" ref="K56" ca="1">MAX(0,SUM(INDIRECT(ADDRESS(ROW(firstNotPaidRow),$F$3)&amp;":"&amp;ADDRESS(ROW(),$F$3)))-SUM(INDIRECT(ADDRESS(ROW(firstPaidRow),$G$3)&amp;":"&amp; SUBSTITUTE(ADDRESS(1,$G$3,4), 1,"")),$I$38))</f>
        <v>#REF!</v>
      </c>
      <c r="L56" s="1"/>
      <c r="M56" s="41">
        <f t="shared" ca="1" si="63"/>
        <v>125</v>
      </c>
      <c r="N56" s="15">
        <f t="shared" ca="1" si="64"/>
        <v>0</v>
      </c>
      <c r="O56" s="15">
        <f t="shared" ca="1" si="65"/>
        <v>0</v>
      </c>
      <c r="P56" s="54"/>
      <c r="Q56" s="15">
        <f t="shared" ca="1" si="27"/>
        <v>0</v>
      </c>
      <c r="R56" s="15">
        <f t="shared" ca="1" si="28"/>
        <v>270550.06780759437</v>
      </c>
      <c r="S56" s="17" t="e">
        <f t="array" aca="1" ref="S56" ca="1">MAX(0,SUM(INDIRECT(ADDRESS(ROW(firstNotPaidRow),$F$4)&amp;":"&amp;ADDRESS(ROW(),$F$4)))-SUM(INDIRECT(ADDRESS(ROW(firstPaidRow),$G$4)&amp;":"&amp; SUBSTITUTE(ADDRESS(1,$G$4,4), 1,""))))</f>
        <v>#REF!</v>
      </c>
      <c r="T56" s="1"/>
      <c r="U56" s="41">
        <f t="shared" ca="1" si="66"/>
        <v>125</v>
      </c>
      <c r="V56" s="15">
        <f t="shared" ca="1" si="67"/>
        <v>0</v>
      </c>
      <c r="W56" s="15">
        <f t="shared" ca="1" si="68"/>
        <v>0</v>
      </c>
      <c r="X56" s="54"/>
      <c r="Y56" s="15">
        <f t="shared" ca="1" si="32"/>
        <v>0</v>
      </c>
      <c r="Z56" s="15">
        <f t="shared" ca="1" si="33"/>
        <v>270599.85336836061</v>
      </c>
      <c r="AA56" s="17" t="e">
        <f t="array" aca="1" ref="AA56" ca="1">MAX(0,SUM(INDIRECT(ADDRESS(ROW(firstNotPaidRow),$F$5)&amp;":"&amp;ADDRESS(ROW(),$F$5)))-SUM(INDIRECT(ADDRESS(ROW(firstPaidRow),$G$5)&amp;":"&amp; SUBSTITUTE(ADDRESS(1,$G$5,4), 1,""))))</f>
        <v>#REF!</v>
      </c>
      <c r="AB56" s="1"/>
      <c r="AC56" s="41">
        <f t="shared" ca="1" si="69"/>
        <v>125</v>
      </c>
      <c r="AD56" s="15">
        <f t="shared" ca="1" si="70"/>
        <v>0</v>
      </c>
      <c r="AE56" s="15">
        <f t="shared" ca="1" si="71"/>
        <v>0</v>
      </c>
      <c r="AF56" s="15"/>
      <c r="AG56" s="15">
        <f t="shared" ca="1" si="72"/>
        <v>0</v>
      </c>
      <c r="AH56" s="15">
        <f t="shared" ca="1" si="38"/>
        <v>0</v>
      </c>
      <c r="AI56" s="15">
        <f t="shared" ca="1" si="39"/>
        <v>271336.34476118302</v>
      </c>
      <c r="AJ56" s="17" t="e">
        <f t="array" aca="1" ref="AJ56" ca="1">MAX(0,$AJ$32+SUM(INDIRECT(ADDRESS(ROW(firstNotPaidRow),$F$6)&amp;":"&amp;ADDRESS(ROW(),$F$6)))-SUM(INDIRECT(ADDRESS(ROW(firstColinPaidRow),$G$6)&amp;":"&amp; SUBSTITUTE(ADDRESS(1,$G$6,4), 1,""))))</f>
        <v>#REF!</v>
      </c>
      <c r="AK56" s="1"/>
      <c r="AL56" s="15">
        <f t="shared" ca="1" si="7"/>
        <v>1083992.3586447323</v>
      </c>
      <c r="AM56" s="1"/>
      <c r="AN56" s="15"/>
      <c r="AO56" s="15"/>
      <c r="AP56" s="15"/>
      <c r="AQ56" s="15"/>
      <c r="AR56" s="15"/>
      <c r="AS56" s="15"/>
      <c r="AT56" s="15">
        <f t="shared" si="74"/>
        <v>0</v>
      </c>
      <c r="AU56" s="1"/>
      <c r="AV56" s="28"/>
      <c r="AW56" s="15">
        <v>8000</v>
      </c>
      <c r="AX56" s="15">
        <f t="shared" si="73"/>
        <v>0</v>
      </c>
      <c r="AY56" s="1"/>
      <c r="AZ56" s="1"/>
      <c r="BA56" s="11"/>
      <c r="BB56" s="15">
        <f ca="1">BB44</f>
        <v>348319.56694832706</v>
      </c>
      <c r="BC56" s="30">
        <f ca="1">BB44/BK44</f>
        <v>0.2292575849032111</v>
      </c>
      <c r="BD56" s="15">
        <f ca="1">BD44</f>
        <v>353227.35204832698</v>
      </c>
      <c r="BE56" s="30">
        <f ca="1">BD44/BK44</f>
        <v>0.23248779952798082</v>
      </c>
      <c r="BF56" s="15">
        <f ca="1">BF44</f>
        <v>516511.90760909335</v>
      </c>
      <c r="BG56" s="30">
        <f ca="1">BF44/BK44</f>
        <v>0.33995871535341543</v>
      </c>
      <c r="BH56" s="1"/>
      <c r="BI56" s="15">
        <f ca="1">BI44</f>
        <v>301278.3290019157</v>
      </c>
      <c r="BJ56" s="30">
        <f ca="1">BI44/BK44</f>
        <v>0.19829590021539267</v>
      </c>
      <c r="BK56" s="15">
        <f ca="1">BK44</f>
        <v>1519337.1556076631</v>
      </c>
    </row>
    <row r="57" spans="1:64" ht="13">
      <c r="A57" s="24"/>
      <c r="B57" s="24"/>
      <c r="I57" s="17">
        <f t="shared" si="22"/>
        <v>0</v>
      </c>
      <c r="K57" s="17"/>
      <c r="Q57" s="17"/>
      <c r="S57" s="17"/>
      <c r="Y57" s="17"/>
      <c r="AA57" s="17"/>
      <c r="AH57" s="17"/>
      <c r="AJ57" s="17"/>
      <c r="AV57" s="55"/>
    </row>
    <row r="58" spans="1:64" ht="13">
      <c r="A58" s="24"/>
      <c r="B58" s="24"/>
      <c r="K58" s="17"/>
      <c r="S58" s="17"/>
      <c r="AA58" s="17"/>
      <c r="AJ58" s="17"/>
      <c r="AT58">
        <f ca="1">IFERROR(__xludf.DUMMYFUNCTION("GOOGLEFINANCE(""CURRENCY:PLNUSD"")"),0.2741886)</f>
        <v>0.2741886</v>
      </c>
    </row>
    <row r="59" spans="1:64" ht="13">
      <c r="A59" s="24"/>
      <c r="B59" s="24"/>
      <c r="K59" s="17"/>
      <c r="S59" s="17"/>
      <c r="AA59" s="17"/>
      <c r="AJ59" s="17"/>
    </row>
    <row r="60" spans="1:64" ht="13">
      <c r="A60" s="24"/>
      <c r="B60" s="24"/>
      <c r="J60" s="17"/>
      <c r="K60" s="17"/>
      <c r="S60" s="17"/>
      <c r="AA60" s="17"/>
      <c r="AJ60" s="17"/>
    </row>
    <row r="61" spans="1:64" ht="14">
      <c r="A61" s="24"/>
      <c r="B61" s="24"/>
      <c r="K61" s="17"/>
      <c r="S61" s="17"/>
      <c r="AA61" s="17"/>
      <c r="AJ61" s="17"/>
      <c r="BD61" s="1" t="s">
        <v>125</v>
      </c>
      <c r="BE61" s="56">
        <f ca="1">SUM(E21,M21,U21,AC21)</f>
        <v>500</v>
      </c>
    </row>
    <row r="62" spans="1:64" ht="14">
      <c r="A62" s="24"/>
      <c r="B62" s="24"/>
      <c r="K62" s="17"/>
      <c r="S62" s="17"/>
      <c r="AA62" s="17"/>
      <c r="AJ62" s="17"/>
      <c r="BH62" s="1" t="s">
        <v>61</v>
      </c>
      <c r="BI62" s="1" t="s">
        <v>65</v>
      </c>
      <c r="BJ62" s="1"/>
      <c r="BK62" s="1" t="s">
        <v>79</v>
      </c>
      <c r="BL62" s="1" t="s">
        <v>83</v>
      </c>
    </row>
    <row r="63" spans="1:64" ht="14">
      <c r="A63" s="24"/>
      <c r="B63" s="24"/>
      <c r="K63" s="17"/>
      <c r="S63" s="17"/>
      <c r="AA63" s="17"/>
      <c r="AJ63" s="17"/>
      <c r="BD63" s="1" t="s">
        <v>126</v>
      </c>
      <c r="BE63" s="17" t="e">
        <f ca="1">J44-'PS Model 2024'!BO36</f>
        <v>#REF!</v>
      </c>
      <c r="BG63" s="1">
        <v>2023</v>
      </c>
      <c r="BH63" s="57">
        <f ca="1">E21/BE61</f>
        <v>0.21666666666666667</v>
      </c>
      <c r="BI63" s="57">
        <f ca="1">M21/BE61</f>
        <v>0.21666666666666667</v>
      </c>
      <c r="BJ63" s="57"/>
      <c r="BK63" s="57">
        <f ca="1">U21/BE61</f>
        <v>0.31666666666666671</v>
      </c>
      <c r="BL63" s="57">
        <f ca="1">AC21/BE61</f>
        <v>0.25</v>
      </c>
    </row>
    <row r="64" spans="1:64" ht="14">
      <c r="A64" s="24"/>
      <c r="B64" s="24"/>
      <c r="K64" s="17"/>
      <c r="S64" s="17"/>
      <c r="AA64" s="17"/>
      <c r="AJ64" s="17"/>
      <c r="BD64" s="1" t="s">
        <v>127</v>
      </c>
      <c r="BE64" s="17">
        <f ca="1">R44-'PS Model 2024'!BO37</f>
        <v>2.4548145593144E-3</v>
      </c>
      <c r="BG64" s="1">
        <v>2024</v>
      </c>
      <c r="BH64" s="57">
        <f ca="1">E33/BE61</f>
        <v>0.21666666666666667</v>
      </c>
      <c r="BI64" s="57">
        <f ca="1">M33/BE61</f>
        <v>0.21666666666666667</v>
      </c>
      <c r="BJ64" s="57"/>
      <c r="BK64" s="57">
        <f ca="1">U33/BE61</f>
        <v>0.31666666666666671</v>
      </c>
      <c r="BL64" s="57">
        <f ca="1">AC33/BE61</f>
        <v>0.25</v>
      </c>
    </row>
    <row r="65" spans="1:64" ht="14">
      <c r="A65" s="24"/>
      <c r="B65" s="24"/>
      <c r="K65" s="17"/>
      <c r="S65" s="17"/>
      <c r="AA65" s="17"/>
      <c r="AJ65" s="17"/>
      <c r="BD65" s="1" t="s">
        <v>128</v>
      </c>
      <c r="BE65" s="17" t="e">
        <f ca="1">Z44-'PS Model 2024'!BO35</f>
        <v>#REF!</v>
      </c>
      <c r="BG65" s="1">
        <v>2025</v>
      </c>
      <c r="BH65" s="57">
        <f ca="1">E45/BE61</f>
        <v>0.25</v>
      </c>
      <c r="BI65" s="57">
        <f ca="1">M45/BE61</f>
        <v>0.25</v>
      </c>
      <c r="BJ65" s="57"/>
      <c r="BK65" s="57">
        <f ca="1">U45/BE61</f>
        <v>0.25</v>
      </c>
      <c r="BL65" s="57">
        <f ca="1">AC45/BE61</f>
        <v>0.25</v>
      </c>
    </row>
    <row r="66" spans="1:64" ht="14">
      <c r="A66" s="24"/>
      <c r="B66" s="24"/>
      <c r="K66" s="17"/>
      <c r="S66" s="17"/>
      <c r="AA66" s="17"/>
      <c r="AJ66" s="17"/>
      <c r="BD66" s="1" t="s">
        <v>129</v>
      </c>
      <c r="BE66" s="17">
        <f ca="1">AI44-'PS Model 2024'!BO34</f>
        <v>-4.8544230521656573E-3</v>
      </c>
    </row>
    <row r="67" spans="1:64" ht="13">
      <c r="A67" s="24"/>
      <c r="B67" s="24"/>
      <c r="K67" s="17"/>
      <c r="S67" s="17"/>
      <c r="AA67" s="17"/>
      <c r="AJ67" s="17"/>
    </row>
    <row r="68" spans="1:64" ht="13">
      <c r="A68" s="24"/>
      <c r="B68" s="24"/>
      <c r="K68" s="17"/>
      <c r="S68" s="17"/>
      <c r="AA68" s="17"/>
      <c r="AJ68" s="17"/>
    </row>
    <row r="69" spans="1:64" ht="13">
      <c r="A69" s="24"/>
      <c r="B69" s="24"/>
      <c r="K69" s="17"/>
      <c r="S69" s="17"/>
      <c r="AA69" s="17"/>
      <c r="AJ69" s="17"/>
    </row>
    <row r="70" spans="1:64" ht="13">
      <c r="A70" s="24"/>
      <c r="B70" s="24"/>
      <c r="K70" s="17"/>
      <c r="S70" s="17"/>
      <c r="AA70" s="17"/>
      <c r="AJ70" s="17"/>
    </row>
    <row r="71" spans="1:64" ht="13">
      <c r="A71" s="24"/>
      <c r="B71" s="24"/>
      <c r="K71" s="17"/>
      <c r="S71" s="17"/>
      <c r="AA71" s="17"/>
      <c r="AJ71" s="17"/>
    </row>
    <row r="72" spans="1:64" ht="13">
      <c r="A72" s="24"/>
      <c r="B72" s="24"/>
      <c r="K72" s="17"/>
      <c r="S72" s="17"/>
      <c r="AA72" s="17"/>
      <c r="AJ72" s="17"/>
    </row>
    <row r="73" spans="1:64" ht="13">
      <c r="A73" s="24"/>
      <c r="B73" s="24"/>
      <c r="K73" s="17"/>
      <c r="S73" s="17"/>
      <c r="AA73" s="17"/>
      <c r="AJ73" s="17"/>
    </row>
    <row r="74" spans="1:64" ht="13">
      <c r="A74" s="24"/>
      <c r="B74" s="24"/>
      <c r="K74" s="17"/>
      <c r="S74" s="17"/>
      <c r="AA74" s="17"/>
      <c r="AJ74" s="17"/>
    </row>
    <row r="75" spans="1:64" ht="13">
      <c r="K75" s="17"/>
      <c r="S75" s="17"/>
      <c r="AA75" s="17"/>
      <c r="AJ75" s="17"/>
    </row>
    <row r="76" spans="1:64" ht="13">
      <c r="K76" s="17"/>
      <c r="S76" s="17"/>
      <c r="AA76" s="17"/>
      <c r="AJ76" s="17"/>
    </row>
    <row r="77" spans="1:64" ht="13">
      <c r="K77" s="17"/>
      <c r="S77" s="17"/>
      <c r="AA77" s="17"/>
      <c r="AJ77" s="17"/>
    </row>
    <row r="78" spans="1:64" ht="13">
      <c r="K78" s="17"/>
      <c r="S78" s="17"/>
      <c r="AA78" s="17"/>
      <c r="AJ78" s="17"/>
    </row>
    <row r="79" spans="1:64" ht="13">
      <c r="K79" s="17"/>
      <c r="S79" s="17"/>
      <c r="AA79" s="17"/>
      <c r="AJ79" s="17"/>
    </row>
    <row r="80" spans="1:64" ht="13">
      <c r="K80" s="17"/>
      <c r="S80" s="17"/>
      <c r="AA80" s="17"/>
      <c r="AJ80" s="17"/>
    </row>
    <row r="81" spans="11:36" ht="13">
      <c r="K81" s="17"/>
      <c r="S81" s="17"/>
      <c r="AA81" s="17"/>
      <c r="AJ81" s="17"/>
    </row>
    <row r="82" spans="11:36" ht="13">
      <c r="K82" s="17"/>
      <c r="S82" s="17"/>
      <c r="AA82" s="17"/>
      <c r="AJ82" s="17"/>
    </row>
    <row r="83" spans="11:36" ht="13">
      <c r="K83" s="17"/>
      <c r="S83" s="17"/>
      <c r="AA83" s="17"/>
      <c r="AJ83" s="17"/>
    </row>
    <row r="84" spans="11:36" ht="13">
      <c r="K84" s="17"/>
      <c r="S84" s="17"/>
      <c r="AA84" s="17"/>
      <c r="AJ84" s="17"/>
    </row>
    <row r="85" spans="11:36" ht="13">
      <c r="K85" s="17"/>
      <c r="S85" s="17"/>
      <c r="AA85" s="17"/>
      <c r="AJ85" s="17"/>
    </row>
    <row r="86" spans="11:36" ht="13">
      <c r="K86" s="17"/>
      <c r="S86" s="17"/>
      <c r="AA86" s="17"/>
      <c r="AJ86" s="17"/>
    </row>
    <row r="87" spans="11:36" ht="13">
      <c r="K87" s="17"/>
      <c r="S87" s="17"/>
      <c r="AA87" s="17"/>
      <c r="AJ87" s="17"/>
    </row>
    <row r="88" spans="11:36" ht="13">
      <c r="K88" s="17"/>
      <c r="S88" s="17"/>
      <c r="AA88" s="17"/>
      <c r="AJ88" s="17"/>
    </row>
    <row r="89" spans="11:36" ht="13">
      <c r="K89" s="17"/>
      <c r="S89" s="17"/>
      <c r="AA89" s="17"/>
      <c r="AJ89" s="17"/>
    </row>
    <row r="90" spans="11:36" ht="13">
      <c r="K90" s="17"/>
      <c r="S90" s="17"/>
      <c r="AA90" s="17"/>
      <c r="AJ90" s="17"/>
    </row>
    <row r="91" spans="11:36" ht="13">
      <c r="K91" s="17"/>
      <c r="S91" s="17"/>
      <c r="AA91" s="17"/>
      <c r="AJ91" s="17"/>
    </row>
    <row r="92" spans="11:36" ht="13">
      <c r="K92" s="17"/>
      <c r="S92" s="17"/>
      <c r="AA92" s="17"/>
      <c r="AJ92" s="17"/>
    </row>
    <row r="93" spans="11:36" ht="13">
      <c r="K93" s="17"/>
      <c r="S93" s="17"/>
      <c r="AA93" s="17"/>
      <c r="AJ93" s="17"/>
    </row>
    <row r="94" spans="11:36" ht="13">
      <c r="K94" s="17"/>
      <c r="S94" s="17"/>
      <c r="AA94" s="17"/>
      <c r="AJ94" s="17"/>
    </row>
    <row r="95" spans="11:36" ht="13">
      <c r="K95" s="17"/>
      <c r="S95" s="17"/>
      <c r="AA95" s="17"/>
      <c r="AJ95" s="17"/>
    </row>
    <row r="96" spans="11:36" ht="13">
      <c r="K96" s="17"/>
      <c r="S96" s="17"/>
      <c r="AA96" s="17"/>
      <c r="AJ96" s="17"/>
    </row>
    <row r="97" spans="11:71" ht="13">
      <c r="K97" s="17"/>
      <c r="S97" s="17"/>
      <c r="AA97" s="17"/>
      <c r="AJ97" s="17"/>
    </row>
    <row r="98" spans="11:71" ht="13">
      <c r="K98" s="17"/>
      <c r="M98" s="17"/>
      <c r="N98" s="17"/>
      <c r="O98" s="17"/>
      <c r="P98" s="17"/>
      <c r="S98" s="17"/>
      <c r="T98" s="17"/>
      <c r="U98" s="17"/>
      <c r="V98" s="17"/>
      <c r="W98" s="17"/>
      <c r="X98" s="17"/>
      <c r="AA98" s="17"/>
      <c r="AB98" s="17"/>
      <c r="AC98" s="17"/>
      <c r="AD98" s="17"/>
      <c r="AE98" s="17"/>
      <c r="AF98" s="17"/>
      <c r="AG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</row>
    <row r="99" spans="11:71" ht="13">
      <c r="K99" s="17"/>
      <c r="S99" s="17"/>
      <c r="AA99" s="17"/>
      <c r="AJ99" s="17"/>
      <c r="BB99" s="17"/>
      <c r="BN99" s="17"/>
      <c r="BO99" s="17"/>
      <c r="BP99" s="17"/>
      <c r="BQ99" s="17"/>
      <c r="BR99" s="17"/>
      <c r="BS99" s="17"/>
    </row>
    <row r="100" spans="11:71" ht="13">
      <c r="K100" s="17"/>
      <c r="S100" s="17"/>
      <c r="AA100" s="17"/>
      <c r="AJ100" s="17"/>
    </row>
    <row r="101" spans="11:71" ht="13">
      <c r="K101" s="17"/>
      <c r="S101" s="17"/>
      <c r="AA101" s="17"/>
      <c r="AJ101" s="17"/>
    </row>
    <row r="102" spans="11:71" ht="13">
      <c r="K102" s="17"/>
      <c r="S102" s="17"/>
      <c r="AA102" s="17"/>
      <c r="AJ102" s="17"/>
    </row>
    <row r="103" spans="11:71" ht="13">
      <c r="K103" s="17"/>
      <c r="S103" s="17"/>
      <c r="AA103" s="17"/>
      <c r="AJ103" s="17"/>
    </row>
    <row r="104" spans="11:71" ht="13">
      <c r="K104" s="17"/>
      <c r="S104" s="17"/>
      <c r="AA104" s="17"/>
      <c r="AJ104" s="17"/>
    </row>
    <row r="105" spans="11:71" ht="13">
      <c r="K105" s="17"/>
      <c r="S105" s="17"/>
      <c r="AA105" s="17"/>
      <c r="AJ105" s="17"/>
    </row>
    <row r="106" spans="11:71" ht="13">
      <c r="K106" s="17"/>
      <c r="S106" s="17"/>
      <c r="AA106" s="17"/>
      <c r="AJ106" s="17"/>
    </row>
    <row r="107" spans="11:71" ht="13">
      <c r="K107" s="17"/>
      <c r="S107" s="17"/>
      <c r="AA107" s="17"/>
      <c r="AJ107" s="17"/>
    </row>
    <row r="108" spans="11:71" ht="13">
      <c r="K108" s="17"/>
      <c r="S108" s="17"/>
      <c r="AA108" s="17"/>
      <c r="AJ108" s="17"/>
    </row>
    <row r="109" spans="11:71" ht="13">
      <c r="K109" s="17"/>
      <c r="S109" s="17"/>
      <c r="AA109" s="17"/>
      <c r="AJ109" s="17"/>
    </row>
    <row r="110" spans="11:71" ht="13">
      <c r="K110" s="17"/>
      <c r="S110" s="17"/>
      <c r="AA110" s="17"/>
      <c r="AJ110" s="17"/>
    </row>
    <row r="111" spans="11:71" ht="13">
      <c r="K111" s="17"/>
      <c r="S111" s="17"/>
      <c r="AA111" s="17"/>
      <c r="AJ111" s="17"/>
    </row>
    <row r="112" spans="11:71" ht="13">
      <c r="K112" s="17"/>
      <c r="S112" s="17"/>
      <c r="AA112" s="17"/>
      <c r="AJ112" s="17"/>
    </row>
    <row r="113" spans="11:36" ht="13">
      <c r="K113" s="17"/>
      <c r="S113" s="17"/>
      <c r="AA113" s="17"/>
      <c r="AJ113" s="17"/>
    </row>
    <row r="114" spans="11:36" ht="13">
      <c r="K114" s="17"/>
      <c r="S114" s="17"/>
      <c r="AA114" s="17"/>
      <c r="AJ114" s="17"/>
    </row>
    <row r="115" spans="11:36" ht="13">
      <c r="K115" s="17"/>
      <c r="S115" s="17"/>
      <c r="AA115" s="17"/>
      <c r="AJ115" s="17"/>
    </row>
    <row r="116" spans="11:36" ht="13">
      <c r="K116" s="17"/>
      <c r="S116" s="17"/>
      <c r="AA116" s="17"/>
      <c r="AJ116" s="17"/>
    </row>
    <row r="117" spans="11:36" ht="13">
      <c r="K117" s="17"/>
      <c r="S117" s="17"/>
      <c r="AA117" s="17"/>
      <c r="AJ117" s="17"/>
    </row>
    <row r="118" spans="11:36" ht="13">
      <c r="K118" s="17"/>
      <c r="S118" s="17"/>
      <c r="AA118" s="17"/>
      <c r="AJ118" s="17"/>
    </row>
    <row r="119" spans="11:36" ht="13">
      <c r="K119" s="17"/>
      <c r="S119" s="17"/>
      <c r="AA119" s="17"/>
      <c r="AJ119" s="17"/>
    </row>
    <row r="120" spans="11:36" ht="13">
      <c r="K120" s="17"/>
      <c r="S120" s="17"/>
      <c r="AA120" s="17"/>
      <c r="AJ120" s="17"/>
    </row>
    <row r="121" spans="11:36" ht="13">
      <c r="K121" s="17"/>
      <c r="S121" s="17"/>
      <c r="AA121" s="17"/>
      <c r="AJ121" s="17"/>
    </row>
    <row r="122" spans="11:36" ht="13">
      <c r="K122" s="17"/>
      <c r="S122" s="17"/>
      <c r="AA122" s="17"/>
      <c r="AJ122" s="17"/>
    </row>
  </sheetData>
  <conditionalFormatting sqref="G11:G14">
    <cfRule type="cellIs" dxfId="29" priority="1" operator="lessThan">
      <formula>F11</formula>
    </cfRule>
    <cfRule type="cellIs" dxfId="28" priority="2" operator="greaterThanOrEqual">
      <formula>F11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  <outlinePr summaryBelow="0" summaryRight="0"/>
  </sheetPr>
  <dimension ref="A1:BS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5" width="10.1640625" customWidth="1"/>
    <col min="6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24" width="15.1640625" customWidth="1"/>
    <col min="25" max="25" width="17.83203125" customWidth="1"/>
    <col min="26" max="26" width="10.1640625" customWidth="1"/>
    <col min="27" max="28" width="15.1640625" customWidth="1"/>
    <col min="29" max="29" width="18.1640625" customWidth="1"/>
    <col min="30" max="30" width="10.6640625" customWidth="1"/>
    <col min="31" max="46" width="15.1640625" customWidth="1"/>
    <col min="47" max="47" width="16.1640625" customWidth="1"/>
    <col min="48" max="48" width="15.1640625" customWidth="1"/>
    <col min="49" max="49" width="15" customWidth="1"/>
    <col min="50" max="50" width="14.1640625" customWidth="1"/>
    <col min="51" max="51" width="26.5" customWidth="1"/>
    <col min="52" max="52" width="15.1640625" customWidth="1"/>
    <col min="53" max="53" width="12" customWidth="1"/>
    <col min="54" max="54" width="16" customWidth="1"/>
    <col min="55" max="55" width="18.5" customWidth="1"/>
    <col min="56" max="56" width="15.1640625" customWidth="1"/>
    <col min="57" max="57" width="14.33203125" customWidth="1"/>
    <col min="58" max="58" width="18.6640625" customWidth="1"/>
    <col min="59" max="59" width="15.1640625" customWidth="1"/>
    <col min="60" max="60" width="19.33203125" customWidth="1"/>
    <col min="61" max="61" width="15.5" customWidth="1"/>
    <col min="62" max="62" width="23.33203125" customWidth="1"/>
    <col min="63" max="63" width="15.1640625" customWidth="1"/>
    <col min="64" max="65" width="18" customWidth="1"/>
    <col min="66" max="67" width="19.1640625" customWidth="1"/>
    <col min="68" max="68" width="18.83203125" customWidth="1"/>
    <col min="69" max="69" width="15.1640625" customWidth="1"/>
    <col min="70" max="70" width="24.33203125" customWidth="1"/>
    <col min="71" max="71" width="15.1640625" customWidth="1"/>
  </cols>
  <sheetData>
    <row r="1" spans="1:71" ht="42.75" customHeight="1">
      <c r="A1" s="5" t="s">
        <v>130</v>
      </c>
      <c r="B1" s="1">
        <v>2025</v>
      </c>
      <c r="C1" s="58" t="s">
        <v>131</v>
      </c>
      <c r="D1" s="59">
        <f>EOMONTH(DATE(B1,1,1),0)</f>
        <v>45688</v>
      </c>
      <c r="E1" s="60"/>
      <c r="F1" s="60"/>
      <c r="G1" s="61"/>
      <c r="H1" s="59">
        <f>EOMONTH(DATE(B1,2,1),0)</f>
        <v>45716</v>
      </c>
      <c r="I1" s="60"/>
      <c r="J1" s="60"/>
      <c r="K1" s="61"/>
      <c r="L1" s="59">
        <f>EOMONTH(DATE(B1,3,1),0)</f>
        <v>45747</v>
      </c>
      <c r="M1" s="60"/>
      <c r="N1" s="60"/>
      <c r="O1" s="61"/>
      <c r="P1" s="59">
        <f>EOMONTH(DATE(B1,4,1),0)</f>
        <v>45777</v>
      </c>
      <c r="Q1" s="60"/>
      <c r="R1" s="60"/>
      <c r="S1" s="61"/>
      <c r="T1" s="59">
        <f>EOMONTH(DATE(B1,5,1),0)</f>
        <v>45808</v>
      </c>
      <c r="U1" s="60"/>
      <c r="V1" s="60"/>
      <c r="W1" s="61"/>
      <c r="X1" s="59">
        <f>EOMONTH(DATE(B1,6,1),0)</f>
        <v>45838</v>
      </c>
      <c r="Y1" s="60"/>
      <c r="Z1" s="60"/>
      <c r="AA1" s="61"/>
      <c r="AB1" s="59">
        <f>EOMONTH(DATE(B1,7,1),0)</f>
        <v>45869</v>
      </c>
      <c r="AC1" s="60"/>
      <c r="AD1" s="60"/>
      <c r="AE1" s="61"/>
      <c r="AF1" s="59">
        <f>EOMONTH(DATE(B1,8,1),0)</f>
        <v>45900</v>
      </c>
      <c r="AG1" s="60"/>
      <c r="AH1" s="60"/>
      <c r="AI1" s="61"/>
      <c r="AJ1" s="59">
        <f>EOMONTH(DATE(B1,9,1),0)</f>
        <v>45930</v>
      </c>
      <c r="AK1" s="60"/>
      <c r="AL1" s="60"/>
      <c r="AM1" s="61"/>
      <c r="AN1" s="59">
        <f>EOMONTH(DATE(B1,10,1),0)</f>
        <v>45961</v>
      </c>
      <c r="AO1" s="60"/>
      <c r="AP1" s="60"/>
      <c r="AQ1" s="61"/>
      <c r="AR1" s="59">
        <f>EOMONTH(DATE(B1,11,1),0)</f>
        <v>45991</v>
      </c>
      <c r="AS1" s="60"/>
      <c r="AT1" s="60"/>
      <c r="AU1" s="61"/>
      <c r="AV1" s="59">
        <f>EOMONTH(DATE(B1,12,1),0)</f>
        <v>46022</v>
      </c>
      <c r="AW1" s="60"/>
      <c r="AX1" s="60"/>
      <c r="BC1" s="62"/>
      <c r="BF1" s="61"/>
      <c r="BJ1" s="61"/>
      <c r="BK1" s="61"/>
    </row>
    <row r="2" spans="1:71" ht="14">
      <c r="A2" s="5"/>
      <c r="C2" s="61"/>
      <c r="D2" s="62">
        <f>YEAR(D1)</f>
        <v>2025</v>
      </c>
      <c r="G2" s="61"/>
      <c r="H2" s="62">
        <f>YEAR(H1)</f>
        <v>2025</v>
      </c>
      <c r="K2" s="61"/>
      <c r="L2" s="62">
        <f>YEAR(L1)</f>
        <v>2025</v>
      </c>
      <c r="O2" s="61"/>
      <c r="P2" s="62">
        <f>YEAR(P1)</f>
        <v>2025</v>
      </c>
      <c r="S2" s="61"/>
      <c r="T2" s="62">
        <f>YEAR(T1)</f>
        <v>2025</v>
      </c>
      <c r="W2" s="61"/>
      <c r="X2" s="62">
        <f>YEAR(X1)</f>
        <v>2025</v>
      </c>
      <c r="AA2" s="61"/>
      <c r="AB2" s="62">
        <f>YEAR(AB1)</f>
        <v>2025</v>
      </c>
      <c r="AE2" s="61"/>
      <c r="AF2" s="62">
        <f>YEAR(AF1)</f>
        <v>2025</v>
      </c>
      <c r="AI2" s="61"/>
      <c r="AJ2" s="62">
        <f>YEAR(AJ1)</f>
        <v>2025</v>
      </c>
      <c r="AM2" s="61"/>
      <c r="AN2" s="62">
        <f>YEAR(AN1)</f>
        <v>2025</v>
      </c>
      <c r="AQ2" s="61"/>
      <c r="AR2" s="62">
        <f>YEAR(AR1)</f>
        <v>2025</v>
      </c>
      <c r="AU2" s="61"/>
      <c r="AV2" s="62">
        <f>YEAR(AV1)</f>
        <v>2025</v>
      </c>
      <c r="AY2" s="61"/>
      <c r="AZ2" s="63" t="s">
        <v>132</v>
      </c>
      <c r="BC2" s="64" t="s">
        <v>133</v>
      </c>
      <c r="BD2" s="65"/>
      <c r="BG2" s="66" t="s">
        <v>134</v>
      </c>
      <c r="BH2" s="67"/>
      <c r="BK2" s="68" t="s">
        <v>135</v>
      </c>
      <c r="BL2" s="66"/>
      <c r="BM2" s="66">
        <f>B1</f>
        <v>2025</v>
      </c>
      <c r="BP2" s="67"/>
      <c r="BQ2" s="67"/>
      <c r="BR2" s="67"/>
      <c r="BS2" s="67"/>
    </row>
    <row r="3" spans="1:71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0"/>
      <c r="BC3" s="71"/>
      <c r="BD3" s="70"/>
      <c r="BF3" s="61"/>
      <c r="BH3" s="72"/>
      <c r="BI3" s="72"/>
      <c r="BJ3" s="73"/>
      <c r="BK3" s="73"/>
      <c r="BL3" s="72"/>
      <c r="BM3" s="72"/>
      <c r="BN3" s="72"/>
      <c r="BO3" s="72"/>
      <c r="BP3" s="72"/>
      <c r="BQ3" s="72"/>
      <c r="BR3" s="72"/>
      <c r="BS3" s="72"/>
    </row>
    <row r="4" spans="1:71" ht="14">
      <c r="A4" s="5"/>
      <c r="C4" s="61"/>
      <c r="D4" s="69" t="str">
        <f>IF(MONTH(D1)&lt;7,"1H","2H")</f>
        <v>1H</v>
      </c>
      <c r="E4" s="74"/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0"/>
      <c r="BC4" s="71"/>
      <c r="BD4" s="70"/>
      <c r="BF4" s="61"/>
      <c r="BH4" s="72"/>
      <c r="BI4" s="72"/>
      <c r="BJ4" s="73"/>
      <c r="BK4" s="73"/>
      <c r="BL4" s="72"/>
      <c r="BM4" s="72"/>
      <c r="BN4" s="72"/>
      <c r="BO4" s="72"/>
      <c r="BP4" s="72"/>
      <c r="BQ4" s="72"/>
      <c r="BR4" s="72"/>
      <c r="BS4" s="72"/>
    </row>
    <row r="5" spans="1:71" ht="13">
      <c r="A5" s="75" t="s">
        <v>136</v>
      </c>
      <c r="B5" s="31"/>
      <c r="C5" s="76"/>
      <c r="D5" s="77">
        <v>365751.69</v>
      </c>
      <c r="E5" s="31"/>
      <c r="F5" s="78"/>
      <c r="G5" s="79"/>
      <c r="H5" s="77">
        <v>239071.88</v>
      </c>
      <c r="I5" s="31"/>
      <c r="J5" s="80"/>
      <c r="K5" s="79"/>
      <c r="L5" s="77">
        <v>-149452.1</v>
      </c>
      <c r="M5" s="31"/>
      <c r="N5" s="80"/>
      <c r="O5" s="79"/>
      <c r="P5" s="77">
        <v>47378.67</v>
      </c>
      <c r="Q5" s="81"/>
      <c r="R5" s="80"/>
      <c r="S5" s="79"/>
      <c r="T5" s="77">
        <v>159640.71</v>
      </c>
      <c r="U5" s="77"/>
      <c r="V5" s="80"/>
      <c r="W5" s="79"/>
      <c r="X5" s="77">
        <v>171820.89</v>
      </c>
      <c r="Y5" s="318"/>
      <c r="Z5" s="319"/>
      <c r="AA5" s="319"/>
      <c r="AB5" s="77">
        <v>-33259.93</v>
      </c>
      <c r="AC5" s="320"/>
      <c r="AD5" s="319"/>
      <c r="AE5" s="321"/>
      <c r="AF5" s="77">
        <v>-254086.01</v>
      </c>
      <c r="AG5" s="77"/>
      <c r="AH5" s="80"/>
      <c r="AI5" s="79"/>
      <c r="AJ5" s="77">
        <v>-46990.19</v>
      </c>
      <c r="AK5" s="80"/>
      <c r="AL5" s="80"/>
      <c r="AM5" s="77"/>
      <c r="AN5" s="77">
        <v>0</v>
      </c>
      <c r="AO5" s="80"/>
      <c r="AP5" s="80"/>
      <c r="AQ5" s="77"/>
      <c r="AR5" s="77">
        <v>0</v>
      </c>
      <c r="AS5" s="80"/>
      <c r="AT5" s="80"/>
      <c r="AU5" s="77"/>
      <c r="AV5" s="77">
        <v>0</v>
      </c>
      <c r="AW5" s="83"/>
      <c r="AX5" s="84"/>
      <c r="AY5" s="77"/>
      <c r="AZ5" s="85">
        <f t="shared" ref="AZ5:AZ16" si="0">SUMIF($D$3:$AY$3,AZ$2,$D5:$AY5)</f>
        <v>455371.47000000009</v>
      </c>
      <c r="BA5" s="80"/>
      <c r="BB5" s="79"/>
      <c r="BC5" s="85">
        <f t="shared" ref="BC5:BC16" si="1">SUMIF($D$3:$AY$3,BC$2,$D5:$AY5)</f>
        <v>378840.27</v>
      </c>
      <c r="BD5" s="86"/>
      <c r="BE5" s="80"/>
      <c r="BF5" s="79"/>
      <c r="BG5" s="35">
        <f t="shared" ref="BG5:BG16" si="2">SUMIF($D$3:$AY$3,BG$2,$D5:$AY5)</f>
        <v>-334336.13</v>
      </c>
      <c r="BH5" s="87"/>
      <c r="BI5" s="87"/>
      <c r="BJ5" s="88"/>
      <c r="BK5" s="88">
        <f t="shared" ref="BK5:BK16" si="3">SUMIF($D$3:$AY$3,BK$2,$D5:$AY5)</f>
        <v>0</v>
      </c>
      <c r="BL5" s="86"/>
      <c r="BM5" s="86">
        <f t="shared" ref="BM5:BM9" si="4">SUMIF($D$2:$AY$2,$BM$2,$D5:$AY5)</f>
        <v>499875.61000000004</v>
      </c>
      <c r="BN5" s="86"/>
      <c r="BO5" s="86"/>
      <c r="BP5" s="86"/>
      <c r="BQ5" s="86"/>
      <c r="BR5" s="86"/>
      <c r="BS5" s="86"/>
    </row>
    <row r="6" spans="1:71" ht="13">
      <c r="A6" s="89" t="s">
        <v>137</v>
      </c>
      <c r="C6" s="61"/>
      <c r="D6" s="90">
        <v>200000</v>
      </c>
      <c r="E6" s="91"/>
      <c r="F6" s="91"/>
      <c r="G6" s="92"/>
      <c r="H6" s="90">
        <v>119000</v>
      </c>
      <c r="I6" s="91"/>
      <c r="J6" s="91"/>
      <c r="K6" s="92"/>
      <c r="L6" s="90"/>
      <c r="M6" s="91"/>
      <c r="N6" s="91"/>
      <c r="O6" s="92"/>
      <c r="P6" s="90"/>
      <c r="Q6" s="91"/>
      <c r="R6" s="91"/>
      <c r="S6" s="92"/>
      <c r="T6" s="90"/>
      <c r="U6" s="91"/>
      <c r="V6" s="91"/>
      <c r="W6" s="92"/>
      <c r="X6" s="90"/>
      <c r="Y6" s="91"/>
      <c r="Z6" s="91"/>
      <c r="AA6" s="91"/>
      <c r="AB6" s="90"/>
      <c r="AC6" s="91"/>
      <c r="AD6" s="91"/>
      <c r="AE6" s="92"/>
      <c r="AF6" s="90"/>
      <c r="AG6" s="91"/>
      <c r="AH6" s="91"/>
      <c r="AI6" s="92"/>
      <c r="AJ6" s="90"/>
      <c r="AK6" s="91"/>
      <c r="AL6" s="91"/>
      <c r="AM6" s="91"/>
      <c r="AN6" s="90"/>
      <c r="AO6" s="91"/>
      <c r="AP6" s="91"/>
      <c r="AQ6" s="91"/>
      <c r="AR6" s="90"/>
      <c r="AS6" s="91"/>
      <c r="AT6" s="91"/>
      <c r="AU6" s="91"/>
      <c r="AV6" s="90"/>
      <c r="AW6" s="91"/>
      <c r="AX6" s="91"/>
      <c r="AY6" s="91"/>
      <c r="AZ6" s="93">
        <f t="shared" si="0"/>
        <v>319000</v>
      </c>
      <c r="BA6" s="91"/>
      <c r="BB6" s="92"/>
      <c r="BC6" s="93">
        <f t="shared" si="1"/>
        <v>0</v>
      </c>
      <c r="BD6" s="94"/>
      <c r="BE6" s="91"/>
      <c r="BF6" s="92"/>
      <c r="BG6" s="17">
        <f t="shared" si="2"/>
        <v>0</v>
      </c>
      <c r="BH6" s="95"/>
      <c r="BI6" s="95"/>
      <c r="BJ6" s="96"/>
      <c r="BK6" s="96">
        <f t="shared" si="3"/>
        <v>0</v>
      </c>
      <c r="BL6" s="94"/>
      <c r="BM6" s="94">
        <f t="shared" si="4"/>
        <v>319000</v>
      </c>
      <c r="BN6" s="94"/>
      <c r="BO6" s="94"/>
      <c r="BP6" s="94"/>
      <c r="BQ6" s="94"/>
      <c r="BR6" s="94"/>
      <c r="BS6" s="94"/>
    </row>
    <row r="7" spans="1:71" ht="28">
      <c r="A7" s="89" t="s">
        <v>138</v>
      </c>
      <c r="C7" s="61"/>
      <c r="D7" s="90">
        <v>283.95999999999998</v>
      </c>
      <c r="E7" s="97" t="s">
        <v>139</v>
      </c>
      <c r="F7" s="91"/>
      <c r="G7" s="92"/>
      <c r="H7" s="90"/>
      <c r="I7" s="91"/>
      <c r="J7" s="91"/>
      <c r="K7" s="92"/>
      <c r="L7" s="90">
        <f>15126.75+3625.63</f>
        <v>18752.38</v>
      </c>
      <c r="M7" s="91" t="s">
        <v>140</v>
      </c>
      <c r="N7" s="91"/>
      <c r="O7" s="92"/>
      <c r="P7" s="90">
        <v>4871.25</v>
      </c>
      <c r="Q7" s="91" t="s">
        <v>141</v>
      </c>
      <c r="R7" s="91"/>
      <c r="S7" s="92"/>
      <c r="T7" s="98">
        <v>288.54000000000002</v>
      </c>
      <c r="U7" s="91" t="s">
        <v>141</v>
      </c>
      <c r="V7" s="91"/>
      <c r="W7" s="92"/>
      <c r="X7" s="91"/>
      <c r="Y7" s="91"/>
      <c r="Z7" s="91"/>
      <c r="AA7" s="92"/>
      <c r="AB7" s="91">
        <v>0</v>
      </c>
      <c r="AC7" s="91"/>
      <c r="AD7" s="91"/>
      <c r="AE7" s="92"/>
      <c r="AF7" s="91">
        <v>0</v>
      </c>
      <c r="AG7" s="91"/>
      <c r="AH7" s="91"/>
      <c r="AI7" s="92"/>
      <c r="AJ7" s="90">
        <v>0</v>
      </c>
      <c r="AK7" s="91"/>
      <c r="AL7" s="91"/>
      <c r="AM7" s="92"/>
      <c r="AN7" s="90">
        <v>0</v>
      </c>
      <c r="AO7" s="91"/>
      <c r="AP7" s="91"/>
      <c r="AQ7" s="92"/>
      <c r="AR7" s="90">
        <v>0</v>
      </c>
      <c r="AS7" s="91"/>
      <c r="AT7" s="91"/>
      <c r="AU7" s="92"/>
      <c r="AV7" s="90">
        <v>0</v>
      </c>
      <c r="AW7" s="91"/>
      <c r="AX7" s="91"/>
      <c r="AY7" s="92"/>
      <c r="AZ7" s="93">
        <f t="shared" si="0"/>
        <v>19036.34</v>
      </c>
      <c r="BA7" s="91"/>
      <c r="BB7" s="92"/>
      <c r="BC7" s="93">
        <f t="shared" si="1"/>
        <v>5159.79</v>
      </c>
      <c r="BD7" s="94"/>
      <c r="BE7" s="91"/>
      <c r="BF7" s="92"/>
      <c r="BG7" s="17">
        <f t="shared" si="2"/>
        <v>0</v>
      </c>
      <c r="BH7" s="95"/>
      <c r="BI7" s="95"/>
      <c r="BJ7" s="96"/>
      <c r="BK7" s="96">
        <f t="shared" si="3"/>
        <v>0</v>
      </c>
      <c r="BL7" s="94"/>
      <c r="BM7" s="94">
        <f t="shared" si="4"/>
        <v>24196.13</v>
      </c>
      <c r="BN7" s="94"/>
      <c r="BO7" s="94"/>
      <c r="BP7" s="94"/>
      <c r="BQ7" s="94"/>
      <c r="BR7" s="94"/>
      <c r="BS7" s="94"/>
    </row>
    <row r="8" spans="1:71" ht="13">
      <c r="A8" s="89" t="s">
        <v>142</v>
      </c>
      <c r="C8" s="61"/>
      <c r="D8" s="98">
        <v>0</v>
      </c>
      <c r="E8" s="91"/>
      <c r="F8" s="91"/>
      <c r="G8" s="91"/>
      <c r="H8" s="98">
        <v>0</v>
      </c>
      <c r="I8" s="91"/>
      <c r="J8" s="91"/>
      <c r="K8" s="91"/>
      <c r="L8" s="98">
        <v>0</v>
      </c>
      <c r="M8" s="91"/>
      <c r="N8" s="91"/>
      <c r="O8" s="91"/>
      <c r="P8" s="98">
        <v>0</v>
      </c>
      <c r="Q8" s="91"/>
      <c r="R8" s="91"/>
      <c r="S8" s="91"/>
      <c r="T8" s="98">
        <v>0</v>
      </c>
      <c r="U8" s="91"/>
      <c r="W8" s="91"/>
      <c r="X8" s="98">
        <v>0</v>
      </c>
      <c r="Y8" s="91"/>
      <c r="Z8" s="91"/>
      <c r="AA8" s="91"/>
      <c r="AB8" s="98">
        <v>0</v>
      </c>
      <c r="AC8" s="91"/>
      <c r="AD8" s="91"/>
      <c r="AE8" s="91"/>
      <c r="AF8" s="98">
        <v>0</v>
      </c>
      <c r="AG8" s="91"/>
      <c r="AH8" s="91"/>
      <c r="AI8" s="91"/>
      <c r="AJ8" s="98">
        <v>0</v>
      </c>
      <c r="AK8" s="91"/>
      <c r="AL8" s="91"/>
      <c r="AM8" s="91"/>
      <c r="AN8" s="98">
        <v>0</v>
      </c>
      <c r="AO8" s="91"/>
      <c r="AP8" s="91"/>
      <c r="AQ8" s="91"/>
      <c r="AR8" s="98">
        <v>0</v>
      </c>
      <c r="AS8" s="91"/>
      <c r="AT8" s="91"/>
      <c r="AU8" s="91"/>
      <c r="AV8" s="98">
        <v>0</v>
      </c>
      <c r="AW8" s="91"/>
      <c r="AX8" s="91"/>
      <c r="AY8" s="91"/>
      <c r="AZ8" s="93">
        <f t="shared" si="0"/>
        <v>0</v>
      </c>
      <c r="BA8" s="91"/>
      <c r="BB8" s="92"/>
      <c r="BC8" s="93">
        <f t="shared" si="1"/>
        <v>0</v>
      </c>
      <c r="BD8" s="94"/>
      <c r="BE8" s="91"/>
      <c r="BF8" s="92"/>
      <c r="BG8" s="17">
        <f t="shared" si="2"/>
        <v>0</v>
      </c>
      <c r="BH8" s="95"/>
      <c r="BI8" s="95"/>
      <c r="BJ8" s="96"/>
      <c r="BK8" s="96">
        <f t="shared" si="3"/>
        <v>0</v>
      </c>
      <c r="BL8" s="94"/>
      <c r="BM8" s="94">
        <f t="shared" si="4"/>
        <v>0</v>
      </c>
      <c r="BN8" s="94"/>
      <c r="BO8" s="94"/>
      <c r="BP8" s="94"/>
      <c r="BQ8" s="94"/>
      <c r="BR8" s="94"/>
      <c r="BS8" s="94"/>
    </row>
    <row r="9" spans="1:71" ht="13">
      <c r="A9" s="89" t="s">
        <v>143</v>
      </c>
      <c r="B9" s="99">
        <v>30000</v>
      </c>
      <c r="C9" s="61"/>
      <c r="D9" s="100">
        <f>'PS Model 2025'!ColinSalary</f>
        <v>30000</v>
      </c>
      <c r="E9" s="91"/>
      <c r="F9" s="91"/>
      <c r="G9" s="92"/>
      <c r="H9" s="100">
        <f>'PS Model 2025'!ColinSalary</f>
        <v>30000</v>
      </c>
      <c r="I9" s="91"/>
      <c r="J9" s="91"/>
      <c r="K9" s="92"/>
      <c r="L9" s="100">
        <f>'PS Model 2025'!ColinSalary</f>
        <v>30000</v>
      </c>
      <c r="M9" s="91"/>
      <c r="N9" s="91"/>
      <c r="O9" s="92"/>
      <c r="P9" s="100">
        <f>'PS Model 2025'!ColinSalary</f>
        <v>30000</v>
      </c>
      <c r="Q9" s="91"/>
      <c r="R9" s="91"/>
      <c r="S9" s="92"/>
      <c r="T9" s="100">
        <f>'PS Model 2025'!ColinSalary</f>
        <v>30000</v>
      </c>
      <c r="U9" s="91"/>
      <c r="V9" s="91"/>
      <c r="W9" s="92"/>
      <c r="X9" s="100">
        <f>'PS Model 2025'!ColinSalary</f>
        <v>30000</v>
      </c>
      <c r="Y9" s="91"/>
      <c r="Z9" s="91"/>
      <c r="AA9" s="92"/>
      <c r="AB9" s="100">
        <f>'PS Model 2025'!ColinSalary</f>
        <v>30000</v>
      </c>
      <c r="AC9" s="91"/>
      <c r="AD9" s="91"/>
      <c r="AE9" s="92"/>
      <c r="AF9" s="100">
        <f>'PS Model 2025'!ColinSalary</f>
        <v>30000</v>
      </c>
      <c r="AG9" s="91"/>
      <c r="AH9" s="91"/>
      <c r="AI9" s="92"/>
      <c r="AJ9" s="100">
        <f>'PS Model 2025'!ColinSalary</f>
        <v>30000</v>
      </c>
      <c r="AK9" s="91"/>
      <c r="AL9" s="91"/>
      <c r="AM9" s="92"/>
      <c r="AN9" s="100">
        <f>'PS Model 2025'!ColinSalary</f>
        <v>30000</v>
      </c>
      <c r="AO9" s="91"/>
      <c r="AP9" s="91"/>
      <c r="AQ9" s="92"/>
      <c r="AR9" s="100">
        <f>'PS Model 2025'!ColinSalary</f>
        <v>30000</v>
      </c>
      <c r="AS9" s="91"/>
      <c r="AT9" s="91"/>
      <c r="AU9" s="92"/>
      <c r="AV9" s="100">
        <f>'PS Model 2025'!ColinSalary</f>
        <v>30000</v>
      </c>
      <c r="AW9" s="91"/>
      <c r="AX9" s="91"/>
      <c r="AY9" s="92"/>
      <c r="AZ9" s="93">
        <f t="shared" si="0"/>
        <v>90000</v>
      </c>
      <c r="BA9" s="91"/>
      <c r="BB9" s="92"/>
      <c r="BC9" s="93">
        <f t="shared" si="1"/>
        <v>90000</v>
      </c>
      <c r="BD9" s="94"/>
      <c r="BE9" s="91"/>
      <c r="BF9" s="92"/>
      <c r="BG9" s="17">
        <f t="shared" si="2"/>
        <v>90000</v>
      </c>
      <c r="BH9" s="95"/>
      <c r="BI9" s="95"/>
      <c r="BJ9" s="96"/>
      <c r="BK9" s="96">
        <f t="shared" si="3"/>
        <v>90000</v>
      </c>
      <c r="BL9" s="94"/>
      <c r="BM9" s="94">
        <f t="shared" si="4"/>
        <v>360000</v>
      </c>
      <c r="BN9" s="94"/>
      <c r="BO9" s="94"/>
      <c r="BP9" s="94"/>
      <c r="BQ9" s="94"/>
      <c r="BR9" s="94"/>
      <c r="BS9" s="94"/>
    </row>
    <row r="10" spans="1:71" ht="13">
      <c r="A10" s="89" t="s">
        <v>144</v>
      </c>
      <c r="B10" s="101"/>
      <c r="C10" s="102"/>
      <c r="D10" s="103">
        <v>0</v>
      </c>
      <c r="E10" s="91"/>
      <c r="F10" s="91"/>
      <c r="G10" s="92"/>
      <c r="H10" s="103">
        <v>0</v>
      </c>
      <c r="I10" s="91"/>
      <c r="J10" s="91"/>
      <c r="K10" s="92"/>
      <c r="L10" s="103">
        <v>315576.84999999998</v>
      </c>
      <c r="M10" s="91"/>
      <c r="N10" s="91"/>
      <c r="O10" s="92"/>
      <c r="P10" s="103">
        <v>207273.60000000001</v>
      </c>
      <c r="Q10" s="91"/>
      <c r="R10" s="91"/>
      <c r="S10" s="92"/>
      <c r="T10" s="103">
        <v>113489.81</v>
      </c>
      <c r="U10" s="91"/>
      <c r="V10" s="91"/>
      <c r="W10" s="92"/>
      <c r="X10" s="103">
        <v>0</v>
      </c>
      <c r="Y10" s="103"/>
      <c r="Z10" s="91"/>
      <c r="AA10" s="92"/>
      <c r="AB10" s="103">
        <v>127983.62</v>
      </c>
      <c r="AC10" s="91"/>
      <c r="AD10" s="91"/>
      <c r="AE10" s="92"/>
      <c r="AF10" s="103">
        <v>381802.43</v>
      </c>
      <c r="AG10" s="91"/>
      <c r="AH10" s="91"/>
      <c r="AI10" s="92"/>
      <c r="AJ10" s="103">
        <v>101878.65</v>
      </c>
      <c r="AK10" s="91"/>
      <c r="AL10" s="91"/>
      <c r="AM10" s="92"/>
      <c r="AN10" s="103"/>
      <c r="AO10" s="91"/>
      <c r="AP10" s="91"/>
      <c r="AQ10" s="92"/>
      <c r="AR10" s="103"/>
      <c r="AS10" s="91"/>
      <c r="AT10" s="91"/>
      <c r="AU10" s="92"/>
      <c r="AV10" s="103">
        <v>0</v>
      </c>
      <c r="AW10" s="91"/>
      <c r="AX10" s="91"/>
      <c r="AY10" s="92"/>
      <c r="AZ10" s="95">
        <f t="shared" si="0"/>
        <v>315576.84999999998</v>
      </c>
      <c r="BA10" s="91"/>
      <c r="BB10" s="92"/>
      <c r="BC10" s="93">
        <f t="shared" si="1"/>
        <v>320763.41000000003</v>
      </c>
      <c r="BD10" s="94"/>
      <c r="BE10" s="91"/>
      <c r="BF10" s="92"/>
      <c r="BG10" s="95">
        <f t="shared" si="2"/>
        <v>611664.69999999995</v>
      </c>
      <c r="BH10" s="95"/>
      <c r="BI10" s="95"/>
      <c r="BJ10" s="96"/>
      <c r="BK10" s="96">
        <f t="shared" si="3"/>
        <v>0</v>
      </c>
      <c r="BL10" s="94"/>
      <c r="BM10" s="94"/>
      <c r="BN10" s="94"/>
      <c r="BO10" s="94"/>
      <c r="BP10" s="94"/>
      <c r="BQ10" s="94"/>
      <c r="BR10" s="94"/>
      <c r="BS10" s="94"/>
    </row>
    <row r="11" spans="1:71" ht="13">
      <c r="A11" s="89" t="s">
        <v>145</v>
      </c>
      <c r="B11" s="101"/>
      <c r="C11" s="102"/>
      <c r="D11" s="104">
        <f>SUM(F19:F30)</f>
        <v>2511.21</v>
      </c>
      <c r="E11" s="91"/>
      <c r="F11" s="91"/>
      <c r="G11" s="92"/>
      <c r="H11" s="104">
        <f>SUM(J19:J30)</f>
        <v>3249.21</v>
      </c>
      <c r="I11" s="91"/>
      <c r="J11" s="91"/>
      <c r="K11" s="92"/>
      <c r="L11" s="104">
        <f>SUM(N19:N30)</f>
        <v>6117.5</v>
      </c>
      <c r="M11" s="91"/>
      <c r="N11" s="91"/>
      <c r="O11" s="92"/>
      <c r="P11" s="104">
        <f>SUM(R19:R30)</f>
        <v>4179.87</v>
      </c>
      <c r="Q11" s="91"/>
      <c r="R11" s="91"/>
      <c r="S11" s="92"/>
      <c r="T11" s="104">
        <f>SUM(V19:V30)</f>
        <v>19697.07</v>
      </c>
      <c r="U11" s="91"/>
      <c r="V11" s="91"/>
      <c r="W11" s="92"/>
      <c r="X11" s="104">
        <f>SUM(Z19:Z30)</f>
        <v>3736.61</v>
      </c>
      <c r="Y11" s="91"/>
      <c r="Z11" s="91"/>
      <c r="AA11" s="92"/>
      <c r="AB11" s="104">
        <f>SUM(AD19:AD30)</f>
        <v>2078.36</v>
      </c>
      <c r="AC11" s="91"/>
      <c r="AD11" s="91"/>
      <c r="AE11" s="92"/>
      <c r="AF11" s="104">
        <f>SUM(AH19:AH30)</f>
        <v>3052.76</v>
      </c>
      <c r="AG11" s="91"/>
      <c r="AH11" s="91"/>
      <c r="AI11" s="92"/>
      <c r="AJ11" s="104">
        <f>SUM(AL19:AL30)</f>
        <v>0</v>
      </c>
      <c r="AK11" s="91"/>
      <c r="AL11" s="91"/>
      <c r="AM11" s="92"/>
      <c r="AN11" s="104">
        <f>SUM(AP19:AP30)</f>
        <v>0</v>
      </c>
      <c r="AO11" s="91"/>
      <c r="AP11" s="91"/>
      <c r="AQ11" s="92"/>
      <c r="AR11" s="104">
        <f>SUM(AT19:AT30)</f>
        <v>0</v>
      </c>
      <c r="AS11" s="91"/>
      <c r="AT11" s="91"/>
      <c r="AU11" s="92"/>
      <c r="AV11" s="104">
        <f>SUM(AX19:AX30)</f>
        <v>0</v>
      </c>
      <c r="AW11" s="91"/>
      <c r="AX11" s="91"/>
      <c r="AY11" s="92"/>
      <c r="AZ11" s="93">
        <f t="shared" si="0"/>
        <v>11877.92</v>
      </c>
      <c r="BA11" s="91"/>
      <c r="BB11" s="92"/>
      <c r="BC11" s="93">
        <f t="shared" si="1"/>
        <v>27613.55</v>
      </c>
      <c r="BD11" s="94"/>
      <c r="BE11" s="91"/>
      <c r="BF11" s="92"/>
      <c r="BG11" s="17">
        <f t="shared" si="2"/>
        <v>5131.1200000000008</v>
      </c>
      <c r="BH11" s="95"/>
      <c r="BI11" s="95"/>
      <c r="BJ11" s="96"/>
      <c r="BK11" s="96">
        <f t="shared" si="3"/>
        <v>0</v>
      </c>
      <c r="BL11" s="94"/>
      <c r="BM11" s="94">
        <f t="shared" ref="BM11:BM16" si="5">SUMIF($D$2:$AY$2,$BM$2,$D11:$AY11)</f>
        <v>44622.590000000004</v>
      </c>
      <c r="BN11" s="94"/>
      <c r="BO11" s="94"/>
      <c r="BP11" s="94"/>
      <c r="BQ11" s="94"/>
      <c r="BR11" s="105"/>
      <c r="BS11" s="94"/>
    </row>
    <row r="12" spans="1:71" ht="13">
      <c r="A12" s="106" t="s">
        <v>146</v>
      </c>
      <c r="B12" s="13"/>
      <c r="C12" s="107"/>
      <c r="D12" s="108">
        <f>D5-D7-D9+D11+D10-D6+D8</f>
        <v>137978.94</v>
      </c>
      <c r="E12" s="109"/>
      <c r="F12" s="109"/>
      <c r="G12" s="110"/>
      <c r="H12" s="108">
        <f>H5-H7-H9+H11+H10-H6+H8</f>
        <v>93321.09</v>
      </c>
      <c r="I12" s="109"/>
      <c r="J12" s="109"/>
      <c r="K12" s="110"/>
      <c r="L12" s="108">
        <f>L5-L7-L9+L11+L10-L6+L8</f>
        <v>123489.86999999997</v>
      </c>
      <c r="M12" s="109"/>
      <c r="N12" s="109"/>
      <c r="O12" s="110"/>
      <c r="P12" s="108">
        <f>P5-P7-P9+P11+P10-P6+P8</f>
        <v>223960.89</v>
      </c>
      <c r="Q12" s="109"/>
      <c r="R12" s="109"/>
      <c r="S12" s="110"/>
      <c r="T12" s="108">
        <f>T5-T7-T9+T11+T10-T6+T8</f>
        <v>262539.05</v>
      </c>
      <c r="U12" s="109"/>
      <c r="V12" s="109"/>
      <c r="W12" s="110"/>
      <c r="X12" s="108">
        <f>X5-X7-X9+X11+X10-X6+X8</f>
        <v>145557.5</v>
      </c>
      <c r="Y12" s="109"/>
      <c r="Z12" s="109"/>
      <c r="AA12" s="110"/>
      <c r="AB12" s="108">
        <f>AB5-AB7-AB9+AB11+AB10-AB6+AB8</f>
        <v>66802.049999999988</v>
      </c>
      <c r="AC12" s="111"/>
      <c r="AD12" s="109"/>
      <c r="AE12" s="109"/>
      <c r="AF12" s="108">
        <f>AF5-AF7-AF9+AF11+AF10-AF6+AF8</f>
        <v>100769.18</v>
      </c>
      <c r="AG12" s="109"/>
      <c r="AH12" s="109"/>
      <c r="AI12" s="110"/>
      <c r="AJ12" s="108">
        <f>AJ5-AJ7-AJ9+AJ11+AJ10-AJ6+AJ8</f>
        <v>24888.459999999992</v>
      </c>
      <c r="AK12" s="109"/>
      <c r="AL12" s="109"/>
      <c r="AM12" s="110"/>
      <c r="AN12" s="108">
        <f>AN5-AN7-AN9+AN11+AN10-AN6+AN8</f>
        <v>-30000</v>
      </c>
      <c r="AO12" s="109"/>
      <c r="AP12" s="109"/>
      <c r="AQ12" s="110"/>
      <c r="AR12" s="108">
        <f>AR5-AR7-AR9+AR11+AR10-AR6+AR8</f>
        <v>-30000</v>
      </c>
      <c r="AS12" s="109"/>
      <c r="AT12" s="109"/>
      <c r="AU12" s="110"/>
      <c r="AV12" s="108">
        <f>AV5-AV7-AV9+AV11+AV10-AV6+AV8</f>
        <v>-30000</v>
      </c>
      <c r="AW12" s="109"/>
      <c r="AX12" s="109"/>
      <c r="AY12" s="110"/>
      <c r="AZ12" s="112">
        <f t="shared" si="0"/>
        <v>354789.89999999997</v>
      </c>
      <c r="BA12" s="109"/>
      <c r="BB12" s="110"/>
      <c r="BC12" s="112">
        <f t="shared" si="1"/>
        <v>632057.43999999994</v>
      </c>
      <c r="BD12" s="113"/>
      <c r="BE12" s="109"/>
      <c r="BF12" s="110"/>
      <c r="BG12" s="16">
        <f t="shared" si="2"/>
        <v>192459.68999999997</v>
      </c>
      <c r="BH12" s="114"/>
      <c r="BI12" s="114"/>
      <c r="BJ12" s="115"/>
      <c r="BK12" s="115">
        <f t="shared" si="3"/>
        <v>-90000</v>
      </c>
      <c r="BL12" s="113"/>
      <c r="BM12" s="113">
        <f t="shared" si="5"/>
        <v>1089307.03</v>
      </c>
      <c r="BN12" s="94"/>
      <c r="BO12" s="94"/>
      <c r="BP12" s="94"/>
      <c r="BQ12" s="94"/>
      <c r="BR12" s="94"/>
      <c r="BS12" s="94"/>
    </row>
    <row r="13" spans="1:71" ht="14">
      <c r="A13" s="89" t="s">
        <v>147</v>
      </c>
      <c r="C13" s="61"/>
      <c r="D13" s="90">
        <v>30000</v>
      </c>
      <c r="E13" s="91"/>
      <c r="F13" s="91"/>
      <c r="G13" s="92"/>
      <c r="H13" s="90">
        <v>60000</v>
      </c>
      <c r="I13" s="91"/>
      <c r="J13" s="91"/>
      <c r="K13" s="92"/>
      <c r="L13" s="90">
        <v>13038.05</v>
      </c>
      <c r="M13" s="91" t="s">
        <v>148</v>
      </c>
      <c r="N13" s="91"/>
      <c r="O13" s="92"/>
      <c r="P13" s="90">
        <v>104175.23</v>
      </c>
      <c r="Q13" s="91"/>
      <c r="R13" s="91"/>
      <c r="S13" s="92"/>
      <c r="T13" s="90">
        <v>3650</v>
      </c>
      <c r="U13" s="91"/>
      <c r="V13" s="91"/>
      <c r="W13" s="92"/>
      <c r="X13" s="90">
        <v>60000</v>
      </c>
      <c r="Y13" s="91"/>
      <c r="Z13" s="91"/>
      <c r="AA13" s="92"/>
      <c r="AB13" s="90">
        <v>32663.74</v>
      </c>
      <c r="AC13" s="91"/>
      <c r="AD13" s="91"/>
      <c r="AE13" s="92"/>
      <c r="AF13" s="90">
        <v>165285.34</v>
      </c>
      <c r="AG13" s="91"/>
      <c r="AH13" s="91"/>
      <c r="AI13" s="92"/>
      <c r="AJ13" s="90">
        <v>58889.49</v>
      </c>
      <c r="AK13" s="91"/>
      <c r="AL13" s="91"/>
      <c r="AM13" s="92"/>
      <c r="AN13" s="90">
        <v>0</v>
      </c>
      <c r="AO13" s="91"/>
      <c r="AP13" s="91"/>
      <c r="AQ13" s="92"/>
      <c r="AR13" s="90">
        <v>0</v>
      </c>
      <c r="AS13" s="91"/>
      <c r="AT13" s="91"/>
      <c r="AU13" s="92"/>
      <c r="AV13" s="90">
        <v>0</v>
      </c>
      <c r="AW13" s="91"/>
      <c r="AX13" s="91"/>
      <c r="AY13" s="92"/>
      <c r="AZ13" s="93">
        <f t="shared" si="0"/>
        <v>103038.05</v>
      </c>
      <c r="BA13" s="91"/>
      <c r="BB13" s="92"/>
      <c r="BC13" s="93">
        <f t="shared" si="1"/>
        <v>167825.22999999998</v>
      </c>
      <c r="BD13" s="94"/>
      <c r="BE13" s="91"/>
      <c r="BF13" s="92"/>
      <c r="BG13" s="17">
        <f t="shared" si="2"/>
        <v>256838.56999999998</v>
      </c>
      <c r="BH13" s="95"/>
      <c r="BI13" s="95"/>
      <c r="BJ13" s="96"/>
      <c r="BK13" s="96">
        <f t="shared" si="3"/>
        <v>0</v>
      </c>
      <c r="BL13" s="94"/>
      <c r="BM13" s="94">
        <f t="shared" si="5"/>
        <v>527701.85</v>
      </c>
      <c r="BN13" s="94"/>
      <c r="BO13" s="94"/>
      <c r="BP13" s="94"/>
      <c r="BQ13" s="94"/>
      <c r="BR13" s="94"/>
      <c r="BS13" s="94"/>
    </row>
    <row r="14" spans="1:71" ht="14">
      <c r="A14" s="5" t="s">
        <v>149</v>
      </c>
      <c r="C14" s="61"/>
      <c r="D14" s="98"/>
      <c r="E14" s="91"/>
      <c r="F14" s="91"/>
      <c r="G14" s="92"/>
      <c r="H14" s="98"/>
      <c r="I14" s="91"/>
      <c r="J14" s="91"/>
      <c r="K14" s="92"/>
      <c r="L14" s="98"/>
      <c r="M14" s="91"/>
      <c r="N14" s="91"/>
      <c r="O14" s="92"/>
      <c r="P14" s="98"/>
      <c r="Q14" s="91"/>
      <c r="R14" s="91"/>
      <c r="S14" s="92"/>
      <c r="T14" s="98"/>
      <c r="U14" s="91"/>
      <c r="V14" s="91"/>
      <c r="W14" s="92"/>
      <c r="X14" s="98"/>
      <c r="Y14" s="91"/>
      <c r="Z14" s="91"/>
      <c r="AA14" s="92"/>
      <c r="AB14" s="98"/>
      <c r="AC14" s="91"/>
      <c r="AD14" s="91"/>
      <c r="AE14" s="92"/>
      <c r="AF14" s="98"/>
      <c r="AG14" s="91"/>
      <c r="AH14" s="91"/>
      <c r="AI14" s="92"/>
      <c r="AJ14" s="98"/>
      <c r="AK14" s="91"/>
      <c r="AL14" s="91"/>
      <c r="AM14" s="92"/>
      <c r="AN14" s="98"/>
      <c r="AO14" s="91"/>
      <c r="AP14" s="91"/>
      <c r="AQ14" s="92"/>
      <c r="AR14" s="98"/>
      <c r="AS14" s="91"/>
      <c r="AT14" s="91"/>
      <c r="AU14" s="92"/>
      <c r="AV14" s="98"/>
      <c r="AW14" s="91"/>
      <c r="AX14" s="91"/>
      <c r="AY14" s="92"/>
      <c r="AZ14" s="93">
        <f t="shared" si="0"/>
        <v>0</v>
      </c>
      <c r="BA14" s="91"/>
      <c r="BB14" s="92"/>
      <c r="BC14" s="93">
        <f t="shared" si="1"/>
        <v>0</v>
      </c>
      <c r="BD14" s="94"/>
      <c r="BE14" s="91"/>
      <c r="BF14" s="92"/>
      <c r="BG14" s="17">
        <f t="shared" si="2"/>
        <v>0</v>
      </c>
      <c r="BH14" s="95"/>
      <c r="BI14" s="95"/>
      <c r="BJ14" s="96"/>
      <c r="BK14" s="96">
        <f t="shared" si="3"/>
        <v>0</v>
      </c>
      <c r="BL14" s="94"/>
      <c r="BM14" s="94">
        <f t="shared" si="5"/>
        <v>0</v>
      </c>
      <c r="BN14" s="94"/>
      <c r="BO14" s="94"/>
      <c r="BP14" s="94"/>
      <c r="BQ14" s="94"/>
      <c r="BR14" s="94"/>
      <c r="BS14" s="94"/>
    </row>
    <row r="15" spans="1:71" ht="14">
      <c r="A15" s="5" t="s">
        <v>150</v>
      </c>
      <c r="C15" s="61"/>
      <c r="D15" s="100"/>
      <c r="E15" s="91"/>
      <c r="F15" s="91"/>
      <c r="G15" s="92"/>
      <c r="H15" s="100"/>
      <c r="I15" s="91"/>
      <c r="J15" s="91"/>
      <c r="K15" s="92"/>
      <c r="L15" s="100">
        <v>0</v>
      </c>
      <c r="M15" s="91"/>
      <c r="N15" s="91"/>
      <c r="O15" s="92"/>
      <c r="P15" s="100">
        <v>0</v>
      </c>
      <c r="Q15" s="91"/>
      <c r="R15" s="91"/>
      <c r="S15" s="92"/>
      <c r="T15" s="100"/>
      <c r="U15" s="91"/>
      <c r="V15" s="91"/>
      <c r="W15" s="92"/>
      <c r="X15" s="100">
        <v>0</v>
      </c>
      <c r="Y15" s="91"/>
      <c r="Z15" s="91"/>
      <c r="AA15" s="92"/>
      <c r="AB15" s="100"/>
      <c r="AC15" s="91"/>
      <c r="AD15" s="91"/>
      <c r="AE15" s="92"/>
      <c r="AF15" s="100"/>
      <c r="AG15" s="91"/>
      <c r="AH15" s="91"/>
      <c r="AI15" s="92"/>
      <c r="AJ15" s="100"/>
      <c r="AK15" s="91"/>
      <c r="AL15" s="91"/>
      <c r="AM15" s="92"/>
      <c r="AN15" s="100"/>
      <c r="AO15" s="91"/>
      <c r="AP15" s="91"/>
      <c r="AQ15" s="92"/>
      <c r="AR15" s="100"/>
      <c r="AS15" s="91"/>
      <c r="AT15" s="91"/>
      <c r="AU15" s="92"/>
      <c r="AV15" s="100"/>
      <c r="AW15" s="91"/>
      <c r="AX15" s="91"/>
      <c r="AY15" s="92"/>
      <c r="AZ15" s="93">
        <f t="shared" si="0"/>
        <v>0</v>
      </c>
      <c r="BA15" s="91"/>
      <c r="BB15" s="92"/>
      <c r="BC15" s="93">
        <f t="shared" si="1"/>
        <v>0</v>
      </c>
      <c r="BD15" s="94"/>
      <c r="BE15" s="91"/>
      <c r="BF15" s="92"/>
      <c r="BG15" s="17">
        <f t="shared" si="2"/>
        <v>0</v>
      </c>
      <c r="BH15" s="95"/>
      <c r="BI15" s="95"/>
      <c r="BJ15" s="96"/>
      <c r="BK15" s="96">
        <f t="shared" si="3"/>
        <v>0</v>
      </c>
      <c r="BL15" s="94"/>
      <c r="BM15" s="94">
        <f t="shared" si="5"/>
        <v>0</v>
      </c>
      <c r="BN15" s="94"/>
      <c r="BO15" s="94"/>
      <c r="BP15" s="94"/>
      <c r="BQ15" s="94"/>
      <c r="BR15" s="94"/>
      <c r="BS15" s="94"/>
    </row>
    <row r="16" spans="1:71" ht="14">
      <c r="A16" s="5" t="s">
        <v>151</v>
      </c>
      <c r="C16" s="61"/>
      <c r="D16" s="100">
        <f>D13+D14+D15-D9</f>
        <v>0</v>
      </c>
      <c r="E16" s="91"/>
      <c r="F16" s="91"/>
      <c r="G16" s="92"/>
      <c r="H16" s="100">
        <f>H13+H14+H15-H9</f>
        <v>30000</v>
      </c>
      <c r="I16" s="91"/>
      <c r="J16" s="91"/>
      <c r="K16" s="92"/>
      <c r="L16" s="100">
        <f>L13+L14+L15-L9</f>
        <v>-16961.95</v>
      </c>
      <c r="M16" s="91"/>
      <c r="N16" s="91"/>
      <c r="O16" s="92"/>
      <c r="P16" s="100">
        <f>P13+P14+P15-P9</f>
        <v>74175.23</v>
      </c>
      <c r="Q16" s="91"/>
      <c r="R16" s="91"/>
      <c r="S16" s="92"/>
      <c r="T16" s="100">
        <f>T13+T14+T15-T9</f>
        <v>-26350</v>
      </c>
      <c r="U16" s="91"/>
      <c r="V16" s="91"/>
      <c r="W16" s="92"/>
      <c r="X16" s="100">
        <f>X13+X14+X15-X9</f>
        <v>30000</v>
      </c>
      <c r="Y16" s="91"/>
      <c r="Z16" s="91"/>
      <c r="AA16" s="92"/>
      <c r="AB16" s="100">
        <f>AB13+AB14+AB15-AB9</f>
        <v>2663.7400000000016</v>
      </c>
      <c r="AC16" s="91"/>
      <c r="AD16" s="91"/>
      <c r="AE16" s="92"/>
      <c r="AF16" s="100">
        <f>AF13+AF14+AF15-AF9</f>
        <v>135285.34</v>
      </c>
      <c r="AG16" s="91"/>
      <c r="AH16" s="91"/>
      <c r="AI16" s="92"/>
      <c r="AJ16" s="100">
        <f>AJ13+AJ14+AJ15-AJ9</f>
        <v>28889.489999999998</v>
      </c>
      <c r="AK16" s="91"/>
      <c r="AL16" s="91"/>
      <c r="AM16" s="92"/>
      <c r="AN16" s="100">
        <f>AN13+AN14+AN15-AN9</f>
        <v>-30000</v>
      </c>
      <c r="AO16" s="91"/>
      <c r="AP16" s="91"/>
      <c r="AQ16" s="92"/>
      <c r="AR16" s="100">
        <f>AR13+AR14+AR15-AR9</f>
        <v>-30000</v>
      </c>
      <c r="AS16" s="91"/>
      <c r="AT16" s="91"/>
      <c r="AU16" s="92"/>
      <c r="AV16" s="100">
        <f>AV13+AV14+AV15-AV9</f>
        <v>-30000</v>
      </c>
      <c r="AW16" s="91"/>
      <c r="AX16" s="91"/>
      <c r="AY16" s="92"/>
      <c r="AZ16" s="93">
        <f t="shared" si="0"/>
        <v>13038.05</v>
      </c>
      <c r="BA16" s="91"/>
      <c r="BB16" s="92"/>
      <c r="BC16" s="93">
        <f t="shared" si="1"/>
        <v>77825.23</v>
      </c>
      <c r="BD16" s="94"/>
      <c r="BE16" s="91"/>
      <c r="BF16" s="92"/>
      <c r="BG16" s="17">
        <f t="shared" si="2"/>
        <v>166838.56999999998</v>
      </c>
      <c r="BH16" s="95"/>
      <c r="BI16" s="95"/>
      <c r="BJ16" s="96"/>
      <c r="BK16" s="96">
        <f t="shared" si="3"/>
        <v>-90000</v>
      </c>
      <c r="BL16" s="94"/>
      <c r="BM16" s="94">
        <f t="shared" si="5"/>
        <v>167701.84999999998</v>
      </c>
      <c r="BN16" s="94"/>
      <c r="BO16" s="94"/>
      <c r="BP16" s="94"/>
      <c r="BQ16" s="94"/>
      <c r="BR16" s="94"/>
      <c r="BS16" s="94"/>
    </row>
    <row r="17" spans="1:71" ht="13">
      <c r="A17" s="5"/>
      <c r="C17" s="61"/>
      <c r="D17" s="100"/>
      <c r="E17" s="91"/>
      <c r="F17" s="91"/>
      <c r="G17" s="92"/>
      <c r="H17" s="100"/>
      <c r="I17" s="91"/>
      <c r="J17" s="91"/>
      <c r="K17" s="92"/>
      <c r="L17" s="100"/>
      <c r="M17" s="91"/>
      <c r="N17" s="91"/>
      <c r="O17" s="92"/>
      <c r="P17" s="100"/>
      <c r="Q17" s="91"/>
      <c r="R17" s="91"/>
      <c r="S17" s="92"/>
      <c r="T17" s="100"/>
      <c r="U17" s="91"/>
      <c r="V17" s="91"/>
      <c r="W17" s="92"/>
      <c r="X17" s="100"/>
      <c r="Y17" s="91"/>
      <c r="Z17" s="91"/>
      <c r="AA17" s="92"/>
      <c r="AB17" s="100"/>
      <c r="AC17" s="91"/>
      <c r="AD17" s="91"/>
      <c r="AE17" s="92"/>
      <c r="AF17" s="100"/>
      <c r="AG17" s="91"/>
      <c r="AH17" s="91"/>
      <c r="AI17" s="92"/>
      <c r="AJ17" s="100"/>
      <c r="AK17" s="91"/>
      <c r="AL17" s="91"/>
      <c r="AM17" s="92"/>
      <c r="AN17" s="100"/>
      <c r="AO17" s="91"/>
      <c r="AP17" s="91"/>
      <c r="AQ17" s="92"/>
      <c r="AR17" s="100"/>
      <c r="AS17" s="91"/>
      <c r="AT17" s="91"/>
      <c r="AU17" s="92"/>
      <c r="AV17" s="100"/>
      <c r="AW17" s="91"/>
      <c r="AX17" s="91"/>
      <c r="AY17" s="92"/>
      <c r="AZ17" s="100"/>
      <c r="BA17" s="91"/>
      <c r="BB17" s="92"/>
      <c r="BC17" s="100"/>
      <c r="BD17" s="91"/>
      <c r="BE17" s="91"/>
      <c r="BF17" s="92"/>
      <c r="BG17" s="17"/>
      <c r="BH17" s="17"/>
      <c r="BI17" s="17"/>
      <c r="BJ17" s="116"/>
      <c r="BK17" s="116"/>
      <c r="BL17" s="91"/>
      <c r="BM17" s="91"/>
      <c r="BN17" s="91"/>
      <c r="BO17" s="91"/>
      <c r="BP17" s="91"/>
      <c r="BQ17" s="91"/>
      <c r="BR17" s="91"/>
      <c r="BS17" s="91"/>
    </row>
    <row r="18" spans="1:71" ht="28">
      <c r="A18" s="5"/>
      <c r="B18" s="5"/>
      <c r="C18" s="5"/>
      <c r="D18" s="117" t="s">
        <v>152</v>
      </c>
      <c r="E18" s="118" t="s">
        <v>153</v>
      </c>
      <c r="F18" s="118" t="s">
        <v>154</v>
      </c>
      <c r="G18" s="118" t="s">
        <v>155</v>
      </c>
      <c r="H18" s="117" t="s">
        <v>152</v>
      </c>
      <c r="I18" s="118" t="s">
        <v>153</v>
      </c>
      <c r="J18" s="118" t="s">
        <v>154</v>
      </c>
      <c r="K18" s="118" t="s">
        <v>155</v>
      </c>
      <c r="L18" s="117" t="s">
        <v>152</v>
      </c>
      <c r="M18" s="118" t="s">
        <v>153</v>
      </c>
      <c r="N18" s="118" t="s">
        <v>154</v>
      </c>
      <c r="O18" s="118" t="s">
        <v>155</v>
      </c>
      <c r="P18" s="117" t="s">
        <v>152</v>
      </c>
      <c r="Q18" s="118" t="s">
        <v>153</v>
      </c>
      <c r="R18" s="118" t="s">
        <v>154</v>
      </c>
      <c r="S18" s="118" t="s">
        <v>155</v>
      </c>
      <c r="T18" s="117" t="s">
        <v>152</v>
      </c>
      <c r="U18" s="118" t="s">
        <v>153</v>
      </c>
      <c r="V18" s="118" t="s">
        <v>154</v>
      </c>
      <c r="W18" s="118" t="s">
        <v>155</v>
      </c>
      <c r="X18" s="117" t="s">
        <v>152</v>
      </c>
      <c r="Y18" s="118" t="s">
        <v>153</v>
      </c>
      <c r="Z18" s="118" t="s">
        <v>154</v>
      </c>
      <c r="AA18" s="118" t="s">
        <v>155</v>
      </c>
      <c r="AB18" s="117" t="s">
        <v>152</v>
      </c>
      <c r="AC18" s="118" t="s">
        <v>153</v>
      </c>
      <c r="AD18" s="118" t="s">
        <v>154</v>
      </c>
      <c r="AE18" s="118" t="s">
        <v>155</v>
      </c>
      <c r="AF18" s="117" t="s">
        <v>152</v>
      </c>
      <c r="AG18" s="118" t="s">
        <v>153</v>
      </c>
      <c r="AH18" s="118" t="s">
        <v>154</v>
      </c>
      <c r="AI18" s="118" t="s">
        <v>155</v>
      </c>
      <c r="AJ18" s="117" t="s">
        <v>152</v>
      </c>
      <c r="AK18" s="118" t="s">
        <v>153</v>
      </c>
      <c r="AL18" s="118" t="s">
        <v>154</v>
      </c>
      <c r="AM18" s="118" t="s">
        <v>155</v>
      </c>
      <c r="AN18" s="117" t="s">
        <v>152</v>
      </c>
      <c r="AO18" s="118" t="s">
        <v>153</v>
      </c>
      <c r="AP18" s="118" t="s">
        <v>154</v>
      </c>
      <c r="AQ18" s="118" t="s">
        <v>155</v>
      </c>
      <c r="AR18" s="117" t="s">
        <v>152</v>
      </c>
      <c r="AS18" s="118" t="s">
        <v>153</v>
      </c>
      <c r="AT18" s="118" t="s">
        <v>154</v>
      </c>
      <c r="AU18" s="118" t="s">
        <v>155</v>
      </c>
      <c r="AV18" s="117" t="s">
        <v>152</v>
      </c>
      <c r="AW18" s="118" t="s">
        <v>153</v>
      </c>
      <c r="AX18" s="118" t="s">
        <v>154</v>
      </c>
      <c r="AY18" s="118" t="s">
        <v>155</v>
      </c>
      <c r="AZ18" s="119" t="s">
        <v>156</v>
      </c>
      <c r="BA18" s="119" t="s">
        <v>157</v>
      </c>
      <c r="BB18" s="119" t="s">
        <v>158</v>
      </c>
      <c r="BC18" s="119" t="s">
        <v>159</v>
      </c>
      <c r="BD18" s="119"/>
      <c r="BE18" s="119" t="s">
        <v>160</v>
      </c>
      <c r="BF18" s="119" t="s">
        <v>161</v>
      </c>
      <c r="BG18" s="119" t="s">
        <v>162</v>
      </c>
      <c r="BH18" s="119"/>
      <c r="BI18" s="119" t="s">
        <v>163</v>
      </c>
      <c r="BJ18" s="119" t="s">
        <v>164</v>
      </c>
      <c r="BK18" s="119" t="s">
        <v>165</v>
      </c>
      <c r="BL18" s="119" t="s">
        <v>166</v>
      </c>
      <c r="BM18" s="119"/>
      <c r="BN18" s="120"/>
      <c r="BO18" s="120" t="str">
        <f>B1&amp;" + carryover"</f>
        <v>2025 + carryover</v>
      </c>
      <c r="BP18" s="91"/>
      <c r="BQ18" s="91"/>
      <c r="BR18" s="91" t="s">
        <v>167</v>
      </c>
      <c r="BS18" s="91" t="s">
        <v>167</v>
      </c>
    </row>
    <row r="19" spans="1:71" ht="13">
      <c r="A19" s="89" t="s">
        <v>168</v>
      </c>
      <c r="B19" s="121"/>
      <c r="C19" s="121">
        <f>'PS Model 2024'!BO34</f>
        <v>301278.33385633875</v>
      </c>
      <c r="D19" s="122">
        <f t="shared" ref="D19:D22" si="6">300-175</f>
        <v>125</v>
      </c>
      <c r="E19" s="123">
        <f t="shared" ref="E19:E35" si="7">D$12*D19/D$36</f>
        <v>31998.826530612245</v>
      </c>
      <c r="F19" s="124">
        <v>2511.21</v>
      </c>
      <c r="G19" s="123">
        <f t="shared" ref="G19:G35" si="8">E19-F19</f>
        <v>29487.616530612246</v>
      </c>
      <c r="H19" s="122">
        <f t="shared" ref="H19:H35" si="9">D19</f>
        <v>125</v>
      </c>
      <c r="I19" s="123">
        <f t="shared" ref="I19:I35" si="10">H$12*H19/H$36</f>
        <v>21642.182282003712</v>
      </c>
      <c r="J19" s="124">
        <v>3249.21</v>
      </c>
      <c r="K19" s="123">
        <f t="shared" ref="K19:K35" si="11">I19-J19</f>
        <v>18392.972282003713</v>
      </c>
      <c r="L19" s="122">
        <f>H$19</f>
        <v>125</v>
      </c>
      <c r="M19" s="123">
        <f t="shared" ref="M19:M35" si="12">L$12*L19/L$36</f>
        <v>28638.65259740259</v>
      </c>
      <c r="N19" s="124">
        <v>6117.5</v>
      </c>
      <c r="O19" s="123">
        <f t="shared" ref="O19:O35" si="13">M19-N19</f>
        <v>22521.15259740259</v>
      </c>
      <c r="P19" s="122">
        <f>L$19</f>
        <v>125</v>
      </c>
      <c r="Q19" s="123">
        <f t="shared" ref="Q19:Q35" si="14">P$12*P19/P$36</f>
        <v>51651.496771217709</v>
      </c>
      <c r="R19" s="124">
        <v>4179.87</v>
      </c>
      <c r="S19" s="123">
        <f>Q19-R19-Q40</f>
        <v>47371.626771217707</v>
      </c>
      <c r="T19" s="122">
        <f>P$19</f>
        <v>125</v>
      </c>
      <c r="U19" s="123">
        <f t="shared" ref="U19:U35" si="15">T$12*T19/T$36</f>
        <v>60548.673892988932</v>
      </c>
      <c r="V19" s="124">
        <v>19697.07</v>
      </c>
      <c r="W19" s="123">
        <f t="shared" ref="W19:W35" si="16">U19-V19</f>
        <v>40851.603892988933</v>
      </c>
      <c r="X19" s="122">
        <f>T$19</f>
        <v>125</v>
      </c>
      <c r="Y19" s="123">
        <f t="shared" ref="Y19:Y35" si="17">X$12*X19/X$36</f>
        <v>33569.534132841327</v>
      </c>
      <c r="Z19" s="124">
        <v>3736.61</v>
      </c>
      <c r="AA19" s="123">
        <f t="shared" ref="AA19:AA35" si="18">Y19-Z19</f>
        <v>29832.924132841326</v>
      </c>
      <c r="AB19" s="122">
        <f>X$19</f>
        <v>125</v>
      </c>
      <c r="AC19" s="123">
        <f t="shared" ref="AC19:AC35" si="19">AB$12*AB19/AB$36</f>
        <v>15406.376845018447</v>
      </c>
      <c r="AD19" s="124">
        <v>2078.36</v>
      </c>
      <c r="AE19" s="123">
        <f t="shared" ref="AE19:AE35" si="20">AC19-AD19</f>
        <v>13328.016845018446</v>
      </c>
      <c r="AF19" s="122">
        <f>AB$19</f>
        <v>125</v>
      </c>
      <c r="AG19" s="123">
        <f t="shared" ref="AG19:AG35" si="21">AF$12*AF19/AF$36</f>
        <v>23197.325046040514</v>
      </c>
      <c r="AH19" s="125">
        <f>AH39</f>
        <v>3052.76</v>
      </c>
      <c r="AI19" s="123">
        <f t="shared" ref="AI19:AI35" si="22">AG19-AH19</f>
        <v>20144.565046040516</v>
      </c>
      <c r="AJ19" s="122">
        <f>AF$19</f>
        <v>125</v>
      </c>
      <c r="AK19" s="123">
        <f t="shared" ref="AK19:AK35" si="23">AJ$12*AJ19/AJ$36</f>
        <v>5729.3876611418027</v>
      </c>
      <c r="AL19" s="125">
        <f>AL39</f>
        <v>0</v>
      </c>
      <c r="AM19" s="123">
        <f t="shared" ref="AM19:AM35" si="24">AK19-AL19</f>
        <v>5729.3876611418027</v>
      </c>
      <c r="AN19" s="122">
        <f>AJ$19</f>
        <v>125</v>
      </c>
      <c r="AO19" s="123">
        <f t="shared" ref="AO19:AO35" si="25">AN$12*AN19/AN$36</f>
        <v>-6906.0773480662983</v>
      </c>
      <c r="AP19" s="124">
        <v>0</v>
      </c>
      <c r="AQ19" s="123">
        <f t="shared" ref="AQ19:AQ35" si="26">AO19-AP19</f>
        <v>-6906.0773480662983</v>
      </c>
      <c r="AR19" s="122">
        <f>AN$19</f>
        <v>125</v>
      </c>
      <c r="AS19" s="123">
        <f t="shared" ref="AS19:AS35" si="27">AR$12*AR19/AR$36</f>
        <v>-6906.0773480662983</v>
      </c>
      <c r="AT19" s="124">
        <v>0</v>
      </c>
      <c r="AU19" s="123">
        <f t="shared" ref="AU19:AU35" si="28">AS19-AT19</f>
        <v>-6906.0773480662983</v>
      </c>
      <c r="AV19" s="122">
        <f>AR$19</f>
        <v>125</v>
      </c>
      <c r="AW19" s="123">
        <f t="shared" ref="AW19:AW35" si="29">AV$12*AV19/AV$36</f>
        <v>-6906.0773480662983</v>
      </c>
      <c r="AX19" s="124">
        <v>0</v>
      </c>
      <c r="AY19" s="126">
        <f t="shared" ref="AY19:AY35" si="30">AW19-AX19</f>
        <v>-6906.0773480662983</v>
      </c>
      <c r="AZ19" s="127">
        <f t="shared" ref="AZ19:AZ35" si="31">IF($AV$3=AZ$2,AY19,0)+IF($AR$3=AZ$2,AU19,0)+IF($AN$3=AZ$2,AQ19,0)+IF($AJ$3=AZ$2,AM19,0)+IF($AF$3=AZ$2,AI19,0)+IF($AB$3=AZ$2,AE19,0)+IF($X$3=AZ$2,AA19,0)+IF($T$3=AZ$2,W19,0)+IF($P$3=AZ$2,S19,0)+IF($L$3=AZ$2,O19,0)+IF($H$3=AZ$2,K19,0)+IF($D$3=AZ$2,G19,0)</f>
        <v>70401.741410018542</v>
      </c>
      <c r="BA19" s="94">
        <f t="shared" ref="BA19:BA35" si="32">IF($AV$3=AZ$2,AX19,0)+IF($AR$3=AZ$2,AT19,0)+IF($AN$3=AZ$2,AP19,0)+IF($AJ$3=AZ$2,AL19,0)+IF($AF$3=AZ$2,AH19,0)+IF($AB$3=AZ$2,AD19,0)+IF($X$3=AZ$2,Z19,0)+IF($T$3=AZ$2,V19,0)+IF($P$3=AZ$2,R19,0)+IF($L$3=AZ$2,N19,0)+IF($H$3=AZ$2,J19,0)+IF($D$3=AZ$2,F19,0)</f>
        <v>11877.919999999998</v>
      </c>
      <c r="BB19" s="128">
        <f t="shared" ref="BB19:BB35" si="33">AZ19+$C19</f>
        <v>371680.07526635728</v>
      </c>
      <c r="BC19" s="127">
        <f t="shared" ref="BC19:BC35" si="34">IF($AV$3=BC$2,AY19,0)+IF($AR$3=BC$2,AU19,0)+IF($AN$3=BC$2,AQ19,0)+IF($AJ$3=BC$2,AM19,0)+IF($AF$3=BC$2,AI19,0)+IF($AB$3=BC$2,AE19,0)+IF($X$3=BC$2,AA19,0)+IF($T$3=BC$2,W19,0)+IF($P$3=BC$2,S19,0)+IF($L$3=BC$2,O19,0)+IF($H$3=BC$2,K19,0)+IF($D$3=BC$2,G19,0)</f>
        <v>118056.15479704796</v>
      </c>
      <c r="BD19" s="127"/>
      <c r="BE19" s="94">
        <f t="shared" ref="BE19:BE35" si="35">IF($AV$3=BC$2,AX19,0)+IF($AR$3=BC$2,AT19,0)+IF($AN$3=BC$2,AP19,0)+IF($AJ$3=BC$2,AL19,0)+IF($AF$3=BC$2,AH19,0)+IF($AB$3=BC$2,AD19,0)+IF($X$3=BC$2,Z19,0)+IF($T$3=BC$2,V19,0)+IF($P$3=BC$2,R19,0)+IF($L$3=BC$2,N19,0)+IF($H$3=BC$2,J19,0)+IF($D$3=BC$2,F19,0)</f>
        <v>27613.55</v>
      </c>
      <c r="BF19" s="128">
        <f t="shared" ref="BF19:BF35" si="36">BC19+BB19</f>
        <v>489736.23006340524</v>
      </c>
      <c r="BG19" s="127">
        <f t="shared" ref="BG19:BG35" si="37">IF($AV$3=BG$2,AY19,0)+IF($AR$3=BG$2,AU19,0)+IF($AN$3=BG$2,AQ19,0)+IF($AJ$3=BG$2,AM19,0)+IF($AF$3=BG$2,AI19,0)+IF($AB$3=BG$2,AE19,0)+IF($X$3=BG$2,AA19,0)+IF($T$3=BG$2,W19,0)+IF($P$3=BG$2,S19,0)+IF($L$3=BG$2,O19,0)+IF($H$3=BG$2,K19,0)+IF($D$3=BG$2,G19,0)</f>
        <v>39201.969552200768</v>
      </c>
      <c r="BH19" s="129"/>
      <c r="BI19" s="94">
        <f t="shared" ref="BI19:BI35" si="38">IF($AV$3=BG$2,AX19,0)+IF($AR$3=BG$2,AT19,0)+IF($AN$3=BG$2,AP19,0)+IF($AJ$3=BG$2,AL19,0)+IF($AF$3=BG$2,AH19,0)+IF($AB$3=BG$2,AD19,0)+IF($X$3=BG$2,Z19,0)+IF($T$3=BG$2,V19,0)+IF($P$3=BG$2,R19,0)+IF($L$3=BG$2,N19,0)+IF($H$3=BG$2,J19,0)+IF($D$3=BG$2,F19,0)</f>
        <v>5131.1200000000008</v>
      </c>
      <c r="BJ19" s="130">
        <f t="shared" ref="BJ19:BJ35" si="39">BG19+BF19</f>
        <v>528938.19961560599</v>
      </c>
      <c r="BK19" s="130">
        <f t="shared" ref="BK19:BK35" si="40">IF($AV$3=BK$2,AY19,0)+IF($AR$3=BK$2,AU19,0)+IF($AN$3=BK$2,AQ19,0)+IF($AJ$3=BK$2,AM19,0)+IF($AF$3=BK$2,AI19,0)+IF($AB$3=BK$2,AE19,0)+IF($X$3=BK$2,AA19,0)+IF($T$3=BK$2,W19,0)+IF($P$3=BK$2,S19,0)+IF($L$3=BK$2,O19,0)+IF($H$3=BK$2,K19,0)+IF($D$3=BK$2,G19,0)</f>
        <v>-20718.232044198896</v>
      </c>
      <c r="BL19" s="94">
        <f t="shared" ref="BL19:BL35" si="41">IF($AV$3=BK$2,AX19,0)+IF($AR$3=BK$2,AT19,0)+IF($AN$3=BK$2,AP19,0)+IF($AJ$3=BK$2,AL19,0)+IF($AF$3=BK$2,AH19,0)+IF($AB$3=BK$2,AD19,0)+IF($X$3=BK$2,Z19,0)+IF($T$3=BK$2,V19,0)+IF($P$3=BK$2,R19,0)+IF($L$3=BK$2,N19,0)+IF($H$3=BK$2,J19,0)+IF($D$3=BK$2,F19,0)</f>
        <v>0</v>
      </c>
      <c r="BM19" s="127">
        <f t="shared" ref="BM19:BM35" si="42">AY19+AU19+AQ19+AM19+AI19+AE19+AA19+W19+S19+O19+K19+G19</f>
        <v>206941.63371506843</v>
      </c>
      <c r="BN19" s="127"/>
      <c r="BO19" s="127">
        <f t="shared" ref="BO19:BO35" si="43">BK19+BJ19</f>
        <v>508219.96757140709</v>
      </c>
      <c r="BP19" s="91"/>
      <c r="BQ19" s="91"/>
      <c r="BR19" s="17">
        <f t="shared" ref="BR19:BR35" si="44">ROUND(BM19-SUM(BK19,BG19,BC19,AZ19), 5)</f>
        <v>0</v>
      </c>
      <c r="BS19" s="17">
        <f t="shared" ref="BS19:BS35" si="45">ROUND(BM19+C19-BO19,5)</f>
        <v>0</v>
      </c>
    </row>
    <row r="20" spans="1:71" ht="13">
      <c r="A20" s="89" t="s">
        <v>169</v>
      </c>
      <c r="B20" s="121"/>
      <c r="C20" s="121" t="e">
        <f ca="1">'PS Model 2024'!BO35</f>
        <v>#REF!</v>
      </c>
      <c r="D20" s="122">
        <f t="shared" si="6"/>
        <v>125</v>
      </c>
      <c r="E20" s="123">
        <f t="shared" si="7"/>
        <v>31998.826530612245</v>
      </c>
      <c r="F20" s="124"/>
      <c r="G20" s="123">
        <f t="shared" si="8"/>
        <v>31998.826530612245</v>
      </c>
      <c r="H20" s="122">
        <f t="shared" si="9"/>
        <v>125</v>
      </c>
      <c r="I20" s="123">
        <f t="shared" si="10"/>
        <v>21642.182282003712</v>
      </c>
      <c r="J20" s="124"/>
      <c r="K20" s="123">
        <f t="shared" si="11"/>
        <v>21642.182282003712</v>
      </c>
      <c r="L20" s="122">
        <f>H$20</f>
        <v>125</v>
      </c>
      <c r="M20" s="123">
        <f t="shared" si="12"/>
        <v>28638.65259740259</v>
      </c>
      <c r="N20" s="124"/>
      <c r="O20" s="123">
        <f t="shared" si="13"/>
        <v>28638.65259740259</v>
      </c>
      <c r="P20" s="122">
        <f>L$20</f>
        <v>125</v>
      </c>
      <c r="Q20" s="123">
        <f t="shared" si="14"/>
        <v>51651.496771217709</v>
      </c>
      <c r="R20" s="124"/>
      <c r="S20" s="123">
        <f>Q20-R20</f>
        <v>51651.496771217709</v>
      </c>
      <c r="T20" s="122">
        <f>P$20</f>
        <v>125</v>
      </c>
      <c r="U20" s="123">
        <f t="shared" si="15"/>
        <v>60548.673892988932</v>
      </c>
      <c r="V20" s="124"/>
      <c r="W20" s="123">
        <f t="shared" si="16"/>
        <v>60548.673892988932</v>
      </c>
      <c r="X20" s="122">
        <f>T$20</f>
        <v>125</v>
      </c>
      <c r="Y20" s="123">
        <f t="shared" si="17"/>
        <v>33569.534132841327</v>
      </c>
      <c r="Z20" s="124"/>
      <c r="AA20" s="123">
        <f t="shared" si="18"/>
        <v>33569.534132841327</v>
      </c>
      <c r="AB20" s="122">
        <f>X$20</f>
        <v>125</v>
      </c>
      <c r="AC20" s="123">
        <f t="shared" si="19"/>
        <v>15406.376845018447</v>
      </c>
      <c r="AD20" s="124"/>
      <c r="AE20" s="123">
        <f t="shared" si="20"/>
        <v>15406.376845018447</v>
      </c>
      <c r="AF20" s="122">
        <f>AB$20</f>
        <v>125</v>
      </c>
      <c r="AG20" s="123">
        <f t="shared" si="21"/>
        <v>23197.325046040514</v>
      </c>
      <c r="AH20" s="124"/>
      <c r="AI20" s="123">
        <f t="shared" si="22"/>
        <v>23197.325046040514</v>
      </c>
      <c r="AJ20" s="122">
        <f>AF$20</f>
        <v>125</v>
      </c>
      <c r="AK20" s="123">
        <f t="shared" si="23"/>
        <v>5729.3876611418027</v>
      </c>
      <c r="AL20" s="124"/>
      <c r="AM20" s="123">
        <f t="shared" si="24"/>
        <v>5729.3876611418027</v>
      </c>
      <c r="AN20" s="122">
        <f>AJ$20</f>
        <v>125</v>
      </c>
      <c r="AO20" s="123">
        <f t="shared" si="25"/>
        <v>-6906.0773480662983</v>
      </c>
      <c r="AP20" s="124"/>
      <c r="AQ20" s="123">
        <f t="shared" si="26"/>
        <v>-6906.0773480662983</v>
      </c>
      <c r="AR20" s="122">
        <f>AN$20</f>
        <v>125</v>
      </c>
      <c r="AS20" s="123">
        <f t="shared" si="27"/>
        <v>-6906.0773480662983</v>
      </c>
      <c r="AT20" s="124"/>
      <c r="AU20" s="123">
        <f t="shared" si="28"/>
        <v>-6906.0773480662983</v>
      </c>
      <c r="AV20" s="122">
        <f>AR$20</f>
        <v>125</v>
      </c>
      <c r="AW20" s="123">
        <f t="shared" si="29"/>
        <v>-6906.0773480662983</v>
      </c>
      <c r="AX20" s="124"/>
      <c r="AY20" s="126">
        <f t="shared" si="30"/>
        <v>-6906.0773480662983</v>
      </c>
      <c r="AZ20" s="127">
        <f t="shared" si="31"/>
        <v>82279.661410018554</v>
      </c>
      <c r="BA20" s="94">
        <f t="shared" si="32"/>
        <v>0</v>
      </c>
      <c r="BB20" s="128" t="e">
        <f t="shared" ca="1" si="33"/>
        <v>#REF!</v>
      </c>
      <c r="BC20" s="127">
        <f t="shared" si="34"/>
        <v>145769.70479704798</v>
      </c>
      <c r="BD20" s="127"/>
      <c r="BE20" s="94">
        <f t="shared" si="35"/>
        <v>0</v>
      </c>
      <c r="BF20" s="128" t="e">
        <f t="shared" ca="1" si="36"/>
        <v>#REF!</v>
      </c>
      <c r="BG20" s="127">
        <f t="shared" si="37"/>
        <v>44333.089552200763</v>
      </c>
      <c r="BH20" s="129"/>
      <c r="BI20" s="94">
        <f t="shared" si="38"/>
        <v>0</v>
      </c>
      <c r="BJ20" s="130" t="e">
        <f t="shared" ca="1" si="39"/>
        <v>#REF!</v>
      </c>
      <c r="BK20" s="130">
        <f t="shared" si="40"/>
        <v>-20718.232044198896</v>
      </c>
      <c r="BL20" s="94">
        <f t="shared" si="41"/>
        <v>0</v>
      </c>
      <c r="BM20" s="127">
        <f t="shared" si="42"/>
        <v>251664.22371506839</v>
      </c>
      <c r="BN20" s="127"/>
      <c r="BO20" s="127" t="e">
        <f t="shared" ca="1" si="43"/>
        <v>#REF!</v>
      </c>
      <c r="BP20" s="91"/>
      <c r="BQ20" s="91"/>
      <c r="BR20" s="17">
        <f t="shared" si="44"/>
        <v>0</v>
      </c>
      <c r="BS20" s="17" t="e">
        <f t="shared" ca="1" si="45"/>
        <v>#REF!</v>
      </c>
    </row>
    <row r="21" spans="1:71" ht="13">
      <c r="A21" s="89" t="s">
        <v>170</v>
      </c>
      <c r="B21" s="121"/>
      <c r="C21" s="121" t="e">
        <f ca="1">'PS Model 2024'!BO36</f>
        <v>#REF!</v>
      </c>
      <c r="D21" s="122">
        <f t="shared" si="6"/>
        <v>125</v>
      </c>
      <c r="E21" s="123">
        <f t="shared" si="7"/>
        <v>31998.826530612245</v>
      </c>
      <c r="F21" s="124"/>
      <c r="G21" s="126">
        <f t="shared" si="8"/>
        <v>31998.826530612245</v>
      </c>
      <c r="H21" s="122">
        <f t="shared" si="9"/>
        <v>125</v>
      </c>
      <c r="I21" s="123">
        <f t="shared" si="10"/>
        <v>21642.182282003712</v>
      </c>
      <c r="J21" s="124"/>
      <c r="K21" s="126">
        <f t="shared" si="11"/>
        <v>21642.182282003712</v>
      </c>
      <c r="L21" s="122">
        <f>H$21</f>
        <v>125</v>
      </c>
      <c r="M21" s="123">
        <f t="shared" si="12"/>
        <v>28638.65259740259</v>
      </c>
      <c r="N21" s="124"/>
      <c r="O21" s="126">
        <f t="shared" si="13"/>
        <v>28638.65259740259</v>
      </c>
      <c r="P21" s="122">
        <f>L$21</f>
        <v>125</v>
      </c>
      <c r="Q21" s="123">
        <f t="shared" si="14"/>
        <v>51651.496771217709</v>
      </c>
      <c r="R21" s="124"/>
      <c r="S21" s="126">
        <f>Q21-R21+Q40</f>
        <v>51751.496771217709</v>
      </c>
      <c r="T21" s="122">
        <f>P$21</f>
        <v>125</v>
      </c>
      <c r="U21" s="123">
        <f t="shared" si="15"/>
        <v>60548.673892988932</v>
      </c>
      <c r="V21" s="124"/>
      <c r="W21" s="126">
        <f t="shared" si="16"/>
        <v>60548.673892988932</v>
      </c>
      <c r="X21" s="122">
        <f>T$21</f>
        <v>125</v>
      </c>
      <c r="Y21" s="123">
        <f t="shared" si="17"/>
        <v>33569.534132841327</v>
      </c>
      <c r="Z21" s="124"/>
      <c r="AA21" s="126">
        <f t="shared" si="18"/>
        <v>33569.534132841327</v>
      </c>
      <c r="AB21" s="122">
        <f>X$21</f>
        <v>125</v>
      </c>
      <c r="AC21" s="123">
        <f t="shared" si="19"/>
        <v>15406.376845018447</v>
      </c>
      <c r="AD21" s="124"/>
      <c r="AE21" s="126">
        <f t="shared" si="20"/>
        <v>15406.376845018447</v>
      </c>
      <c r="AF21" s="122">
        <f>AB$21</f>
        <v>125</v>
      </c>
      <c r="AG21" s="123">
        <f t="shared" si="21"/>
        <v>23197.325046040514</v>
      </c>
      <c r="AH21" s="124"/>
      <c r="AI21" s="126">
        <f t="shared" si="22"/>
        <v>23197.325046040514</v>
      </c>
      <c r="AJ21" s="122">
        <f>AF$21</f>
        <v>125</v>
      </c>
      <c r="AK21" s="123">
        <f t="shared" si="23"/>
        <v>5729.3876611418027</v>
      </c>
      <c r="AL21" s="124"/>
      <c r="AM21" s="126">
        <f t="shared" si="24"/>
        <v>5729.3876611418027</v>
      </c>
      <c r="AN21" s="122">
        <f>AJ$21</f>
        <v>125</v>
      </c>
      <c r="AO21" s="123">
        <f t="shared" si="25"/>
        <v>-6906.0773480662983</v>
      </c>
      <c r="AP21" s="124"/>
      <c r="AQ21" s="126">
        <f t="shared" si="26"/>
        <v>-6906.0773480662983</v>
      </c>
      <c r="AR21" s="122">
        <f>AN$21</f>
        <v>125</v>
      </c>
      <c r="AS21" s="123">
        <f t="shared" si="27"/>
        <v>-6906.0773480662983</v>
      </c>
      <c r="AT21" s="124"/>
      <c r="AU21" s="126">
        <f t="shared" si="28"/>
        <v>-6906.0773480662983</v>
      </c>
      <c r="AV21" s="122">
        <f>AR$21</f>
        <v>125</v>
      </c>
      <c r="AW21" s="123">
        <f t="shared" si="29"/>
        <v>-6906.0773480662983</v>
      </c>
      <c r="AX21" s="124"/>
      <c r="AY21" s="126">
        <f t="shared" si="30"/>
        <v>-6906.0773480662983</v>
      </c>
      <c r="AZ21" s="127">
        <f t="shared" si="31"/>
        <v>82279.661410018554</v>
      </c>
      <c r="BA21" s="94">
        <f t="shared" si="32"/>
        <v>0</v>
      </c>
      <c r="BB21" s="128" t="e">
        <f t="shared" ca="1" si="33"/>
        <v>#REF!</v>
      </c>
      <c r="BC21" s="127">
        <f t="shared" si="34"/>
        <v>145869.70479704798</v>
      </c>
      <c r="BD21" s="127"/>
      <c r="BE21" s="94">
        <f t="shared" si="35"/>
        <v>0</v>
      </c>
      <c r="BF21" s="128" t="e">
        <f t="shared" ca="1" si="36"/>
        <v>#REF!</v>
      </c>
      <c r="BG21" s="127">
        <f t="shared" si="37"/>
        <v>44333.089552200763</v>
      </c>
      <c r="BH21" s="129"/>
      <c r="BI21" s="94">
        <f t="shared" si="38"/>
        <v>0</v>
      </c>
      <c r="BJ21" s="130" t="e">
        <f t="shared" ca="1" si="39"/>
        <v>#REF!</v>
      </c>
      <c r="BK21" s="130">
        <f t="shared" si="40"/>
        <v>-20718.232044198896</v>
      </c>
      <c r="BL21" s="94">
        <f t="shared" si="41"/>
        <v>0</v>
      </c>
      <c r="BM21" s="127">
        <f t="shared" si="42"/>
        <v>251764.22371506839</v>
      </c>
      <c r="BN21" s="127"/>
      <c r="BO21" s="127" t="e">
        <f t="shared" ca="1" si="43"/>
        <v>#REF!</v>
      </c>
      <c r="BP21" s="91"/>
      <c r="BQ21" s="91"/>
      <c r="BR21" s="17">
        <f t="shared" si="44"/>
        <v>0</v>
      </c>
      <c r="BS21" s="17" t="e">
        <f t="shared" ca="1" si="45"/>
        <v>#REF!</v>
      </c>
    </row>
    <row r="22" spans="1:71" ht="13">
      <c r="A22" s="89" t="s">
        <v>171</v>
      </c>
      <c r="B22" s="121"/>
      <c r="C22" s="121">
        <f>'PS Model 2024'!BO37</f>
        <v>353227.34959351242</v>
      </c>
      <c r="D22" s="122">
        <f t="shared" si="6"/>
        <v>125</v>
      </c>
      <c r="E22" s="123">
        <f t="shared" si="7"/>
        <v>31998.826530612245</v>
      </c>
      <c r="F22" s="124"/>
      <c r="G22" s="126">
        <f t="shared" si="8"/>
        <v>31998.826530612245</v>
      </c>
      <c r="H22" s="122">
        <f t="shared" si="9"/>
        <v>125</v>
      </c>
      <c r="I22" s="123">
        <f t="shared" si="10"/>
        <v>21642.182282003712</v>
      </c>
      <c r="J22" s="124"/>
      <c r="K22" s="126">
        <f t="shared" si="11"/>
        <v>21642.182282003712</v>
      </c>
      <c r="L22" s="122">
        <f>H$22</f>
        <v>125</v>
      </c>
      <c r="M22" s="123">
        <f t="shared" si="12"/>
        <v>28638.65259740259</v>
      </c>
      <c r="N22" s="124"/>
      <c r="O22" s="126">
        <f t="shared" si="13"/>
        <v>28638.65259740259</v>
      </c>
      <c r="P22" s="122">
        <f>L$22</f>
        <v>125</v>
      </c>
      <c r="Q22" s="123">
        <f t="shared" si="14"/>
        <v>51651.496771217709</v>
      </c>
      <c r="R22" s="124"/>
      <c r="S22" s="126">
        <f t="shared" ref="S22:S35" si="46">Q22-R22</f>
        <v>51651.496771217709</v>
      </c>
      <c r="T22" s="122">
        <f>P$22</f>
        <v>125</v>
      </c>
      <c r="U22" s="123">
        <f t="shared" si="15"/>
        <v>60548.673892988932</v>
      </c>
      <c r="V22" s="124"/>
      <c r="W22" s="126">
        <f t="shared" si="16"/>
        <v>60548.673892988932</v>
      </c>
      <c r="X22" s="122">
        <f>T$22</f>
        <v>125</v>
      </c>
      <c r="Y22" s="123">
        <f t="shared" si="17"/>
        <v>33569.534132841327</v>
      </c>
      <c r="Z22" s="124"/>
      <c r="AA22" s="126">
        <f t="shared" si="18"/>
        <v>33569.534132841327</v>
      </c>
      <c r="AB22" s="122">
        <f>X$22</f>
        <v>125</v>
      </c>
      <c r="AC22" s="123">
        <f t="shared" si="19"/>
        <v>15406.376845018447</v>
      </c>
      <c r="AD22" s="124"/>
      <c r="AE22" s="126">
        <f t="shared" si="20"/>
        <v>15406.376845018447</v>
      </c>
      <c r="AF22" s="122">
        <f>AB$22</f>
        <v>125</v>
      </c>
      <c r="AG22" s="123">
        <f t="shared" si="21"/>
        <v>23197.325046040514</v>
      </c>
      <c r="AH22" s="124"/>
      <c r="AI22" s="126">
        <f t="shared" si="22"/>
        <v>23197.325046040514</v>
      </c>
      <c r="AJ22" s="122">
        <f>AF$22</f>
        <v>125</v>
      </c>
      <c r="AK22" s="123">
        <f t="shared" si="23"/>
        <v>5729.3876611418027</v>
      </c>
      <c r="AL22" s="124"/>
      <c r="AM22" s="126">
        <f t="shared" si="24"/>
        <v>5729.3876611418027</v>
      </c>
      <c r="AN22" s="122">
        <f>AJ$22</f>
        <v>125</v>
      </c>
      <c r="AO22" s="123">
        <f t="shared" si="25"/>
        <v>-6906.0773480662983</v>
      </c>
      <c r="AP22" s="124"/>
      <c r="AQ22" s="126">
        <f t="shared" si="26"/>
        <v>-6906.0773480662983</v>
      </c>
      <c r="AR22" s="122">
        <f>AN$22</f>
        <v>125</v>
      </c>
      <c r="AS22" s="123">
        <f t="shared" si="27"/>
        <v>-6906.0773480662983</v>
      </c>
      <c r="AT22" s="124"/>
      <c r="AU22" s="126">
        <f t="shared" si="28"/>
        <v>-6906.0773480662983</v>
      </c>
      <c r="AV22" s="122">
        <f>AR$22</f>
        <v>125</v>
      </c>
      <c r="AW22" s="123">
        <f t="shared" si="29"/>
        <v>-6906.0773480662983</v>
      </c>
      <c r="AX22" s="124"/>
      <c r="AY22" s="126">
        <f t="shared" si="30"/>
        <v>-6906.0773480662983</v>
      </c>
      <c r="AZ22" s="127">
        <f t="shared" si="31"/>
        <v>82279.661410018554</v>
      </c>
      <c r="BA22" s="94">
        <f t="shared" si="32"/>
        <v>0</v>
      </c>
      <c r="BB22" s="128">
        <f t="shared" si="33"/>
        <v>435507.01100353099</v>
      </c>
      <c r="BC22" s="127">
        <f t="shared" si="34"/>
        <v>145769.70479704798</v>
      </c>
      <c r="BD22" s="127"/>
      <c r="BE22" s="94">
        <f t="shared" si="35"/>
        <v>0</v>
      </c>
      <c r="BF22" s="128">
        <f t="shared" si="36"/>
        <v>581276.71580057894</v>
      </c>
      <c r="BG22" s="127">
        <f t="shared" si="37"/>
        <v>44333.089552200763</v>
      </c>
      <c r="BH22" s="129"/>
      <c r="BI22" s="94">
        <f t="shared" si="38"/>
        <v>0</v>
      </c>
      <c r="BJ22" s="130">
        <f t="shared" si="39"/>
        <v>625609.80535277969</v>
      </c>
      <c r="BK22" s="130">
        <f t="shared" si="40"/>
        <v>-20718.232044198896</v>
      </c>
      <c r="BL22" s="94">
        <f t="shared" si="41"/>
        <v>0</v>
      </c>
      <c r="BM22" s="127">
        <f t="shared" si="42"/>
        <v>251664.22371506839</v>
      </c>
      <c r="BN22" s="127"/>
      <c r="BO22" s="127">
        <f t="shared" si="43"/>
        <v>604891.57330858079</v>
      </c>
      <c r="BP22" s="91"/>
      <c r="BQ22" s="91"/>
      <c r="BR22" s="17">
        <f t="shared" si="44"/>
        <v>0</v>
      </c>
      <c r="BS22" s="17">
        <f t="shared" si="45"/>
        <v>0</v>
      </c>
    </row>
    <row r="23" spans="1:71" ht="13">
      <c r="A23" s="89" t="s">
        <v>172</v>
      </c>
      <c r="B23" s="121"/>
      <c r="C23" s="121">
        <f>'PS Model 2024'!BO38</f>
        <v>-88.11818938889337</v>
      </c>
      <c r="D23" s="131">
        <v>7</v>
      </c>
      <c r="E23" s="123">
        <f t="shared" si="7"/>
        <v>1791.9342857142858</v>
      </c>
      <c r="F23" s="124"/>
      <c r="G23" s="126">
        <f t="shared" si="8"/>
        <v>1791.9342857142858</v>
      </c>
      <c r="H23" s="122">
        <f t="shared" si="9"/>
        <v>7</v>
      </c>
      <c r="I23" s="123">
        <f t="shared" si="10"/>
        <v>1211.9622077922079</v>
      </c>
      <c r="J23" s="124"/>
      <c r="K23" s="126">
        <f t="shared" si="11"/>
        <v>1211.9622077922079</v>
      </c>
      <c r="L23" s="122">
        <f t="shared" ref="L23:L35" si="47">H23</f>
        <v>7</v>
      </c>
      <c r="M23" s="123">
        <f t="shared" si="12"/>
        <v>1603.764545454545</v>
      </c>
      <c r="N23" s="124"/>
      <c r="O23" s="126">
        <f t="shared" si="13"/>
        <v>1603.764545454545</v>
      </c>
      <c r="P23" s="122">
        <f t="shared" ref="P23:P26" si="48">L23</f>
        <v>7</v>
      </c>
      <c r="Q23" s="123">
        <f t="shared" si="14"/>
        <v>2892.4838191881918</v>
      </c>
      <c r="R23" s="124"/>
      <c r="S23" s="126">
        <f t="shared" si="46"/>
        <v>2892.4838191881918</v>
      </c>
      <c r="T23" s="122">
        <f t="shared" ref="T23:T35" si="49">P23</f>
        <v>7</v>
      </c>
      <c r="U23" s="123">
        <f t="shared" si="15"/>
        <v>3390.7257380073797</v>
      </c>
      <c r="V23" s="124"/>
      <c r="W23" s="126">
        <f t="shared" si="16"/>
        <v>3390.7257380073797</v>
      </c>
      <c r="X23" s="122">
        <f t="shared" ref="X23:X35" si="50">T23</f>
        <v>7</v>
      </c>
      <c r="Y23" s="123">
        <f t="shared" si="17"/>
        <v>1879.8939114391144</v>
      </c>
      <c r="Z23" s="124"/>
      <c r="AA23" s="126">
        <f t="shared" si="18"/>
        <v>1879.8939114391144</v>
      </c>
      <c r="AB23" s="122">
        <f t="shared" ref="AB23:AB35" si="51">X23</f>
        <v>7</v>
      </c>
      <c r="AC23" s="123">
        <f t="shared" si="19"/>
        <v>862.75710332103301</v>
      </c>
      <c r="AD23" s="124"/>
      <c r="AE23" s="126">
        <f t="shared" si="20"/>
        <v>862.75710332103301</v>
      </c>
      <c r="AF23" s="122">
        <f t="shared" ref="AF23:AF28" si="52">AB23</f>
        <v>7</v>
      </c>
      <c r="AG23" s="123">
        <f t="shared" si="21"/>
        <v>1299.0502025782689</v>
      </c>
      <c r="AH23" s="124"/>
      <c r="AI23" s="126">
        <f t="shared" si="22"/>
        <v>1299.0502025782689</v>
      </c>
      <c r="AJ23" s="122">
        <f t="shared" ref="AJ23:AJ35" si="53">AF23</f>
        <v>7</v>
      </c>
      <c r="AK23" s="123">
        <f t="shared" si="23"/>
        <v>320.84570902394097</v>
      </c>
      <c r="AL23" s="124"/>
      <c r="AM23" s="126">
        <f t="shared" si="24"/>
        <v>320.84570902394097</v>
      </c>
      <c r="AN23" s="122">
        <f t="shared" ref="AN23:AN35" si="54">AJ23</f>
        <v>7</v>
      </c>
      <c r="AO23" s="123">
        <f t="shared" si="25"/>
        <v>-386.74033149171271</v>
      </c>
      <c r="AP23" s="124"/>
      <c r="AQ23" s="126">
        <f t="shared" si="26"/>
        <v>-386.74033149171271</v>
      </c>
      <c r="AR23" s="122">
        <f t="shared" ref="AR23:AR35" si="55">AN23</f>
        <v>7</v>
      </c>
      <c r="AS23" s="123">
        <f t="shared" si="27"/>
        <v>-386.74033149171271</v>
      </c>
      <c r="AT23" s="124"/>
      <c r="AU23" s="126">
        <f t="shared" si="28"/>
        <v>-386.74033149171271</v>
      </c>
      <c r="AV23" s="122">
        <f t="shared" ref="AV23:AV35" si="56">AR23</f>
        <v>7</v>
      </c>
      <c r="AW23" s="123">
        <f t="shared" si="29"/>
        <v>-386.74033149171271</v>
      </c>
      <c r="AX23" s="124"/>
      <c r="AY23" s="126">
        <f t="shared" si="30"/>
        <v>-386.74033149171271</v>
      </c>
      <c r="AZ23" s="127">
        <f t="shared" si="31"/>
        <v>4607.6610389610387</v>
      </c>
      <c r="BA23" s="94">
        <f t="shared" si="32"/>
        <v>0</v>
      </c>
      <c r="BB23" s="128">
        <f t="shared" si="33"/>
        <v>4519.5428495721453</v>
      </c>
      <c r="BC23" s="127">
        <f t="shared" si="34"/>
        <v>8163.1034686346857</v>
      </c>
      <c r="BD23" s="127"/>
      <c r="BE23" s="94">
        <f t="shared" si="35"/>
        <v>0</v>
      </c>
      <c r="BF23" s="128">
        <f t="shared" si="36"/>
        <v>12682.646318206831</v>
      </c>
      <c r="BG23" s="127">
        <f t="shared" si="37"/>
        <v>2482.6530149232431</v>
      </c>
      <c r="BH23" s="129"/>
      <c r="BI23" s="94">
        <f t="shared" si="38"/>
        <v>0</v>
      </c>
      <c r="BJ23" s="130">
        <f t="shared" si="39"/>
        <v>15165.299333130075</v>
      </c>
      <c r="BK23" s="130">
        <f t="shared" si="40"/>
        <v>-1160.220994475138</v>
      </c>
      <c r="BL23" s="94">
        <f t="shared" si="41"/>
        <v>0</v>
      </c>
      <c r="BM23" s="127">
        <f t="shared" si="42"/>
        <v>14093.196528043831</v>
      </c>
      <c r="BN23" s="127"/>
      <c r="BO23" s="127">
        <f t="shared" si="43"/>
        <v>14005.078338654937</v>
      </c>
      <c r="BP23" s="91"/>
      <c r="BQ23" s="91"/>
      <c r="BR23" s="17">
        <f t="shared" si="44"/>
        <v>0</v>
      </c>
      <c r="BS23" s="17">
        <f t="shared" si="45"/>
        <v>0</v>
      </c>
    </row>
    <row r="24" spans="1:71" ht="13">
      <c r="A24" s="132" t="s">
        <v>173</v>
      </c>
      <c r="B24" s="121"/>
      <c r="C24" s="121">
        <f>'PS Model 2024'!BO39</f>
        <v>-37.765606267792464</v>
      </c>
      <c r="D24" s="133">
        <v>3</v>
      </c>
      <c r="E24" s="134">
        <f t="shared" si="7"/>
        <v>767.97183673469385</v>
      </c>
      <c r="F24" s="135"/>
      <c r="G24" s="136">
        <f t="shared" si="8"/>
        <v>767.97183673469385</v>
      </c>
      <c r="H24" s="122">
        <f t="shared" si="9"/>
        <v>3</v>
      </c>
      <c r="I24" s="134">
        <f t="shared" si="10"/>
        <v>519.41237476808908</v>
      </c>
      <c r="J24" s="135"/>
      <c r="K24" s="136">
        <f t="shared" si="11"/>
        <v>519.41237476808908</v>
      </c>
      <c r="L24" s="122">
        <f t="shared" si="47"/>
        <v>3</v>
      </c>
      <c r="M24" s="134">
        <f t="shared" si="12"/>
        <v>687.3276623376621</v>
      </c>
      <c r="N24" s="135"/>
      <c r="O24" s="136">
        <f t="shared" si="13"/>
        <v>687.3276623376621</v>
      </c>
      <c r="P24" s="122">
        <f t="shared" si="48"/>
        <v>3</v>
      </c>
      <c r="Q24" s="134">
        <f t="shared" si="14"/>
        <v>1239.6359225092251</v>
      </c>
      <c r="R24" s="135"/>
      <c r="S24" s="136">
        <f t="shared" si="46"/>
        <v>1239.6359225092251</v>
      </c>
      <c r="T24" s="122">
        <f t="shared" si="49"/>
        <v>3</v>
      </c>
      <c r="U24" s="134">
        <f t="shared" si="15"/>
        <v>1453.1681734317342</v>
      </c>
      <c r="V24" s="135"/>
      <c r="W24" s="136">
        <f t="shared" si="16"/>
        <v>1453.1681734317342</v>
      </c>
      <c r="X24" s="122">
        <f t="shared" si="50"/>
        <v>3</v>
      </c>
      <c r="Y24" s="123">
        <f t="shared" si="17"/>
        <v>805.66881918819183</v>
      </c>
      <c r="Z24" s="135"/>
      <c r="AA24" s="136">
        <f t="shared" si="18"/>
        <v>805.66881918819183</v>
      </c>
      <c r="AB24" s="122">
        <f t="shared" si="51"/>
        <v>3</v>
      </c>
      <c r="AC24" s="134">
        <f t="shared" si="19"/>
        <v>369.75304428044274</v>
      </c>
      <c r="AD24" s="135"/>
      <c r="AE24" s="136">
        <f t="shared" si="20"/>
        <v>369.75304428044274</v>
      </c>
      <c r="AF24" s="122">
        <f t="shared" si="52"/>
        <v>3</v>
      </c>
      <c r="AG24" s="134">
        <f t="shared" si="21"/>
        <v>556.73580110497232</v>
      </c>
      <c r="AH24" s="135"/>
      <c r="AI24" s="136">
        <f t="shared" si="22"/>
        <v>556.73580110497232</v>
      </c>
      <c r="AJ24" s="122">
        <f t="shared" si="53"/>
        <v>3</v>
      </c>
      <c r="AK24" s="134">
        <f t="shared" si="23"/>
        <v>137.50530386740326</v>
      </c>
      <c r="AL24" s="135"/>
      <c r="AM24" s="136">
        <f t="shared" si="24"/>
        <v>137.50530386740326</v>
      </c>
      <c r="AN24" s="122">
        <f t="shared" si="54"/>
        <v>3</v>
      </c>
      <c r="AO24" s="134">
        <f t="shared" si="25"/>
        <v>-165.74585635359117</v>
      </c>
      <c r="AP24" s="135"/>
      <c r="AQ24" s="136">
        <f t="shared" si="26"/>
        <v>-165.74585635359117</v>
      </c>
      <c r="AR24" s="122">
        <f t="shared" si="55"/>
        <v>3</v>
      </c>
      <c r="AS24" s="134">
        <f t="shared" si="27"/>
        <v>-165.74585635359117</v>
      </c>
      <c r="AT24" s="135"/>
      <c r="AU24" s="136">
        <f t="shared" si="28"/>
        <v>-165.74585635359117</v>
      </c>
      <c r="AV24" s="122">
        <f t="shared" si="56"/>
        <v>3</v>
      </c>
      <c r="AW24" s="134">
        <f t="shared" si="29"/>
        <v>-165.74585635359117</v>
      </c>
      <c r="AX24" s="135"/>
      <c r="AY24" s="136">
        <f t="shared" si="30"/>
        <v>-165.74585635359117</v>
      </c>
      <c r="AZ24" s="127">
        <f t="shared" si="31"/>
        <v>1974.7118738404449</v>
      </c>
      <c r="BA24" s="94">
        <f t="shared" si="32"/>
        <v>0</v>
      </c>
      <c r="BB24" s="137">
        <f t="shared" si="33"/>
        <v>1936.9462675726525</v>
      </c>
      <c r="BC24" s="127">
        <f t="shared" si="34"/>
        <v>3498.4729151291513</v>
      </c>
      <c r="BD24" s="138"/>
      <c r="BE24" s="94">
        <f t="shared" si="35"/>
        <v>0</v>
      </c>
      <c r="BF24" s="128">
        <f t="shared" si="36"/>
        <v>5435.4191827018039</v>
      </c>
      <c r="BG24" s="127">
        <f t="shared" si="37"/>
        <v>1063.9941492528183</v>
      </c>
      <c r="BH24" s="139"/>
      <c r="BI24" s="94">
        <f t="shared" si="38"/>
        <v>0</v>
      </c>
      <c r="BJ24" s="130">
        <f t="shared" si="39"/>
        <v>6499.4133319546218</v>
      </c>
      <c r="BK24" s="130">
        <f t="shared" si="40"/>
        <v>-497.23756906077347</v>
      </c>
      <c r="BL24" s="94">
        <f t="shared" si="41"/>
        <v>0</v>
      </c>
      <c r="BM24" s="138">
        <f t="shared" si="42"/>
        <v>6039.941369161641</v>
      </c>
      <c r="BN24" s="127"/>
      <c r="BO24" s="127">
        <f t="shared" si="43"/>
        <v>6002.1757628938485</v>
      </c>
      <c r="BP24" s="140"/>
      <c r="BQ24" s="140"/>
      <c r="BR24" s="17">
        <f t="shared" si="44"/>
        <v>0</v>
      </c>
      <c r="BS24" s="17">
        <f t="shared" si="45"/>
        <v>0</v>
      </c>
    </row>
    <row r="25" spans="1:71" ht="13">
      <c r="A25" s="132" t="s">
        <v>174</v>
      </c>
      <c r="B25" s="121"/>
      <c r="C25" s="121">
        <f>'PS Model 2024'!BO40</f>
        <v>-62.935557548040379</v>
      </c>
      <c r="D25" s="133">
        <v>5</v>
      </c>
      <c r="E25" s="134">
        <f t="shared" si="7"/>
        <v>1279.9530612244896</v>
      </c>
      <c r="F25" s="135"/>
      <c r="G25" s="136">
        <f t="shared" si="8"/>
        <v>1279.9530612244896</v>
      </c>
      <c r="H25" s="122">
        <f t="shared" si="9"/>
        <v>5</v>
      </c>
      <c r="I25" s="134">
        <f t="shared" si="10"/>
        <v>865.68729128014832</v>
      </c>
      <c r="J25" s="135"/>
      <c r="K25" s="136">
        <f t="shared" si="11"/>
        <v>865.68729128014832</v>
      </c>
      <c r="L25" s="122">
        <f t="shared" si="47"/>
        <v>5</v>
      </c>
      <c r="M25" s="134">
        <f t="shared" si="12"/>
        <v>1145.5461038961037</v>
      </c>
      <c r="N25" s="135"/>
      <c r="O25" s="136">
        <f t="shared" si="13"/>
        <v>1145.5461038961037</v>
      </c>
      <c r="P25" s="122">
        <f t="shared" si="48"/>
        <v>5</v>
      </c>
      <c r="Q25" s="134">
        <f t="shared" si="14"/>
        <v>2066.0598708487087</v>
      </c>
      <c r="R25" s="135"/>
      <c r="S25" s="136">
        <f t="shared" si="46"/>
        <v>2066.0598708487087</v>
      </c>
      <c r="T25" s="122">
        <f t="shared" si="49"/>
        <v>5</v>
      </c>
      <c r="U25" s="134">
        <f t="shared" si="15"/>
        <v>2421.9469557195571</v>
      </c>
      <c r="V25" s="135"/>
      <c r="W25" s="136">
        <f t="shared" si="16"/>
        <v>2421.9469557195571</v>
      </c>
      <c r="X25" s="122">
        <f t="shared" si="50"/>
        <v>5</v>
      </c>
      <c r="Y25" s="123">
        <f t="shared" si="17"/>
        <v>1342.7813653136532</v>
      </c>
      <c r="Z25" s="135"/>
      <c r="AA25" s="136">
        <f t="shared" si="18"/>
        <v>1342.7813653136532</v>
      </c>
      <c r="AB25" s="122">
        <f t="shared" si="51"/>
        <v>5</v>
      </c>
      <c r="AC25" s="134">
        <f t="shared" si="19"/>
        <v>616.25507380073793</v>
      </c>
      <c r="AD25" s="135"/>
      <c r="AE25" s="136">
        <f t="shared" si="20"/>
        <v>616.25507380073793</v>
      </c>
      <c r="AF25" s="122">
        <f t="shared" si="52"/>
        <v>5</v>
      </c>
      <c r="AG25" s="134">
        <f t="shared" si="21"/>
        <v>927.89300184162062</v>
      </c>
      <c r="AH25" s="135"/>
      <c r="AI25" s="136">
        <f t="shared" si="22"/>
        <v>927.89300184162062</v>
      </c>
      <c r="AJ25" s="122">
        <f t="shared" si="53"/>
        <v>5</v>
      </c>
      <c r="AK25" s="134">
        <f t="shared" si="23"/>
        <v>229.17550644567211</v>
      </c>
      <c r="AL25" s="135"/>
      <c r="AM25" s="136">
        <f t="shared" si="24"/>
        <v>229.17550644567211</v>
      </c>
      <c r="AN25" s="122">
        <f t="shared" si="54"/>
        <v>5</v>
      </c>
      <c r="AO25" s="134">
        <f t="shared" si="25"/>
        <v>-276.24309392265195</v>
      </c>
      <c r="AP25" s="135"/>
      <c r="AQ25" s="136">
        <f t="shared" si="26"/>
        <v>-276.24309392265195</v>
      </c>
      <c r="AR25" s="122">
        <f t="shared" si="55"/>
        <v>5</v>
      </c>
      <c r="AS25" s="134">
        <f t="shared" si="27"/>
        <v>-276.24309392265195</v>
      </c>
      <c r="AT25" s="135"/>
      <c r="AU25" s="136">
        <f t="shared" si="28"/>
        <v>-276.24309392265195</v>
      </c>
      <c r="AV25" s="122">
        <f t="shared" si="56"/>
        <v>5</v>
      </c>
      <c r="AW25" s="134">
        <f t="shared" si="29"/>
        <v>-276.24309392265195</v>
      </c>
      <c r="AX25" s="135"/>
      <c r="AY25" s="136">
        <f t="shared" si="30"/>
        <v>-276.24309392265195</v>
      </c>
      <c r="AZ25" s="127">
        <f t="shared" si="31"/>
        <v>3291.1864564007419</v>
      </c>
      <c r="BA25" s="94">
        <f t="shared" si="32"/>
        <v>0</v>
      </c>
      <c r="BB25" s="137">
        <f t="shared" si="33"/>
        <v>3228.2508988527015</v>
      </c>
      <c r="BC25" s="127">
        <f t="shared" si="34"/>
        <v>5830.7881918819185</v>
      </c>
      <c r="BD25" s="138"/>
      <c r="BE25" s="94">
        <f t="shared" si="35"/>
        <v>0</v>
      </c>
      <c r="BF25" s="128">
        <f t="shared" si="36"/>
        <v>9059.0390907346191</v>
      </c>
      <c r="BG25" s="127">
        <f t="shared" si="37"/>
        <v>1773.3235820880309</v>
      </c>
      <c r="BH25" s="139"/>
      <c r="BI25" s="94">
        <f t="shared" si="38"/>
        <v>0</v>
      </c>
      <c r="BJ25" s="130">
        <f t="shared" si="39"/>
        <v>10832.36267282265</v>
      </c>
      <c r="BK25" s="130">
        <f t="shared" si="40"/>
        <v>-828.72928176795585</v>
      </c>
      <c r="BL25" s="94">
        <f t="shared" si="41"/>
        <v>0</v>
      </c>
      <c r="BM25" s="138">
        <f t="shared" si="42"/>
        <v>10066.568948602735</v>
      </c>
      <c r="BN25" s="127"/>
      <c r="BO25" s="127">
        <f t="shared" si="43"/>
        <v>10003.633391054695</v>
      </c>
      <c r="BP25" s="140"/>
      <c r="BQ25" s="140"/>
      <c r="BR25" s="17">
        <f t="shared" si="44"/>
        <v>0</v>
      </c>
      <c r="BS25" s="17">
        <f t="shared" si="45"/>
        <v>0</v>
      </c>
    </row>
    <row r="26" spans="1:71" ht="13">
      <c r="A26" s="132" t="s">
        <v>175</v>
      </c>
      <c r="B26" s="121"/>
      <c r="C26" s="121">
        <f>'PS Model 2024'!BO41</f>
        <v>-50.353960919044766</v>
      </c>
      <c r="D26" s="133">
        <v>7</v>
      </c>
      <c r="E26" s="134">
        <f t="shared" si="7"/>
        <v>1791.9342857142858</v>
      </c>
      <c r="F26" s="135"/>
      <c r="G26" s="136">
        <f t="shared" si="8"/>
        <v>1791.9342857142858</v>
      </c>
      <c r="H26" s="122">
        <f t="shared" si="9"/>
        <v>7</v>
      </c>
      <c r="I26" s="134">
        <f t="shared" si="10"/>
        <v>1211.9622077922079</v>
      </c>
      <c r="J26" s="135"/>
      <c r="K26" s="136">
        <f t="shared" si="11"/>
        <v>1211.9622077922079</v>
      </c>
      <c r="L26" s="122">
        <f t="shared" si="47"/>
        <v>7</v>
      </c>
      <c r="M26" s="134">
        <f t="shared" si="12"/>
        <v>1603.764545454545</v>
      </c>
      <c r="N26" s="135"/>
      <c r="O26" s="136">
        <f t="shared" si="13"/>
        <v>1603.764545454545</v>
      </c>
      <c r="P26" s="122">
        <f t="shared" si="48"/>
        <v>7</v>
      </c>
      <c r="Q26" s="134">
        <f t="shared" si="14"/>
        <v>2892.4838191881918</v>
      </c>
      <c r="R26" s="135"/>
      <c r="S26" s="136">
        <f t="shared" si="46"/>
        <v>2892.4838191881918</v>
      </c>
      <c r="T26" s="122">
        <f t="shared" si="49"/>
        <v>7</v>
      </c>
      <c r="U26" s="134">
        <f t="shared" si="15"/>
        <v>3390.7257380073797</v>
      </c>
      <c r="V26" s="135"/>
      <c r="W26" s="136">
        <f t="shared" si="16"/>
        <v>3390.7257380073797</v>
      </c>
      <c r="X26" s="122">
        <f t="shared" si="50"/>
        <v>7</v>
      </c>
      <c r="Y26" s="123">
        <f t="shared" si="17"/>
        <v>1879.8939114391144</v>
      </c>
      <c r="Z26" s="135"/>
      <c r="AA26" s="136">
        <f t="shared" si="18"/>
        <v>1879.8939114391144</v>
      </c>
      <c r="AB26" s="122">
        <f t="shared" si="51"/>
        <v>7</v>
      </c>
      <c r="AC26" s="134">
        <f t="shared" si="19"/>
        <v>862.75710332103301</v>
      </c>
      <c r="AD26" s="135"/>
      <c r="AE26" s="136">
        <f t="shared" si="20"/>
        <v>862.75710332103301</v>
      </c>
      <c r="AF26" s="122">
        <f t="shared" si="52"/>
        <v>7</v>
      </c>
      <c r="AG26" s="134">
        <f t="shared" si="21"/>
        <v>1299.0502025782689</v>
      </c>
      <c r="AH26" s="135"/>
      <c r="AI26" s="136">
        <f t="shared" si="22"/>
        <v>1299.0502025782689</v>
      </c>
      <c r="AJ26" s="122">
        <f t="shared" si="53"/>
        <v>7</v>
      </c>
      <c r="AK26" s="134">
        <f t="shared" si="23"/>
        <v>320.84570902394097</v>
      </c>
      <c r="AL26" s="135"/>
      <c r="AM26" s="136">
        <f t="shared" si="24"/>
        <v>320.84570902394097</v>
      </c>
      <c r="AN26" s="122">
        <f t="shared" si="54"/>
        <v>7</v>
      </c>
      <c r="AO26" s="134">
        <f t="shared" si="25"/>
        <v>-386.74033149171271</v>
      </c>
      <c r="AP26" s="135"/>
      <c r="AQ26" s="136">
        <f t="shared" si="26"/>
        <v>-386.74033149171271</v>
      </c>
      <c r="AR26" s="122">
        <f t="shared" si="55"/>
        <v>7</v>
      </c>
      <c r="AS26" s="134">
        <f t="shared" si="27"/>
        <v>-386.74033149171271</v>
      </c>
      <c r="AT26" s="135"/>
      <c r="AU26" s="136">
        <f t="shared" si="28"/>
        <v>-386.74033149171271</v>
      </c>
      <c r="AV26" s="122">
        <f t="shared" si="56"/>
        <v>7</v>
      </c>
      <c r="AW26" s="134">
        <f t="shared" si="29"/>
        <v>-386.74033149171271</v>
      </c>
      <c r="AX26" s="135"/>
      <c r="AY26" s="136">
        <f t="shared" si="30"/>
        <v>-386.74033149171271</v>
      </c>
      <c r="AZ26" s="127">
        <f t="shared" si="31"/>
        <v>4607.6610389610387</v>
      </c>
      <c r="BA26" s="94">
        <f t="shared" si="32"/>
        <v>0</v>
      </c>
      <c r="BB26" s="137">
        <f t="shared" si="33"/>
        <v>4557.3070780419939</v>
      </c>
      <c r="BC26" s="127">
        <f t="shared" si="34"/>
        <v>8163.1034686346857</v>
      </c>
      <c r="BD26" s="138"/>
      <c r="BE26" s="94">
        <f t="shared" si="35"/>
        <v>0</v>
      </c>
      <c r="BF26" s="128">
        <f t="shared" si="36"/>
        <v>12720.41054667668</v>
      </c>
      <c r="BG26" s="127">
        <f t="shared" si="37"/>
        <v>2482.6530149232431</v>
      </c>
      <c r="BH26" s="139"/>
      <c r="BI26" s="94">
        <f t="shared" si="38"/>
        <v>0</v>
      </c>
      <c r="BJ26" s="130">
        <f t="shared" si="39"/>
        <v>15203.063561599924</v>
      </c>
      <c r="BK26" s="130">
        <f t="shared" si="40"/>
        <v>-1160.220994475138</v>
      </c>
      <c r="BL26" s="94">
        <f t="shared" si="41"/>
        <v>0</v>
      </c>
      <c r="BM26" s="138">
        <f t="shared" si="42"/>
        <v>14093.196528043831</v>
      </c>
      <c r="BN26" s="127"/>
      <c r="BO26" s="127">
        <f t="shared" si="43"/>
        <v>14042.842567124786</v>
      </c>
      <c r="BP26" s="140"/>
      <c r="BQ26" s="140"/>
      <c r="BR26" s="17">
        <f t="shared" si="44"/>
        <v>0</v>
      </c>
      <c r="BS26" s="17">
        <f t="shared" si="45"/>
        <v>0</v>
      </c>
    </row>
    <row r="27" spans="1:71" ht="13">
      <c r="A27" s="132" t="s">
        <v>176</v>
      </c>
      <c r="B27" s="121"/>
      <c r="C27" s="121">
        <f>'PS Model 2024'!BO42</f>
        <v>-62.935557548040379</v>
      </c>
      <c r="D27" s="133">
        <v>5</v>
      </c>
      <c r="E27" s="134">
        <f t="shared" si="7"/>
        <v>1279.9530612244896</v>
      </c>
      <c r="F27" s="135"/>
      <c r="G27" s="136">
        <f t="shared" si="8"/>
        <v>1279.9530612244896</v>
      </c>
      <c r="H27" s="122">
        <f t="shared" si="9"/>
        <v>5</v>
      </c>
      <c r="I27" s="134">
        <f t="shared" si="10"/>
        <v>865.68729128014832</v>
      </c>
      <c r="J27" s="135"/>
      <c r="K27" s="136">
        <f t="shared" si="11"/>
        <v>865.68729128014832</v>
      </c>
      <c r="L27" s="122">
        <f t="shared" si="47"/>
        <v>5</v>
      </c>
      <c r="M27" s="134">
        <f t="shared" si="12"/>
        <v>1145.5461038961037</v>
      </c>
      <c r="N27" s="135"/>
      <c r="O27" s="136">
        <f t="shared" si="13"/>
        <v>1145.5461038961037</v>
      </c>
      <c r="P27" s="122">
        <v>0</v>
      </c>
      <c r="Q27" s="134">
        <f t="shared" si="14"/>
        <v>0</v>
      </c>
      <c r="R27" s="135"/>
      <c r="S27" s="136">
        <f t="shared" si="46"/>
        <v>0</v>
      </c>
      <c r="T27" s="122">
        <f t="shared" si="49"/>
        <v>0</v>
      </c>
      <c r="U27" s="134">
        <f t="shared" si="15"/>
        <v>0</v>
      </c>
      <c r="V27" s="135"/>
      <c r="W27" s="136">
        <f t="shared" si="16"/>
        <v>0</v>
      </c>
      <c r="X27" s="122">
        <f t="shared" si="50"/>
        <v>0</v>
      </c>
      <c r="Y27" s="123">
        <f t="shared" si="17"/>
        <v>0</v>
      </c>
      <c r="Z27" s="135"/>
      <c r="AA27" s="136">
        <f t="shared" si="18"/>
        <v>0</v>
      </c>
      <c r="AB27" s="122">
        <f t="shared" si="51"/>
        <v>0</v>
      </c>
      <c r="AC27" s="134">
        <f t="shared" si="19"/>
        <v>0</v>
      </c>
      <c r="AD27" s="135"/>
      <c r="AE27" s="136">
        <f t="shared" si="20"/>
        <v>0</v>
      </c>
      <c r="AF27" s="122">
        <f t="shared" si="52"/>
        <v>0</v>
      </c>
      <c r="AG27" s="134">
        <f t="shared" si="21"/>
        <v>0</v>
      </c>
      <c r="AH27" s="135"/>
      <c r="AI27" s="136">
        <f t="shared" si="22"/>
        <v>0</v>
      </c>
      <c r="AJ27" s="122">
        <f t="shared" si="53"/>
        <v>0</v>
      </c>
      <c r="AK27" s="134">
        <f t="shared" si="23"/>
        <v>0</v>
      </c>
      <c r="AL27" s="135"/>
      <c r="AM27" s="136">
        <f t="shared" si="24"/>
        <v>0</v>
      </c>
      <c r="AN27" s="122">
        <f t="shared" si="54"/>
        <v>0</v>
      </c>
      <c r="AO27" s="134">
        <f t="shared" si="25"/>
        <v>0</v>
      </c>
      <c r="AP27" s="135"/>
      <c r="AQ27" s="136">
        <f t="shared" si="26"/>
        <v>0</v>
      </c>
      <c r="AR27" s="122">
        <f t="shared" si="55"/>
        <v>0</v>
      </c>
      <c r="AS27" s="134">
        <f t="shared" si="27"/>
        <v>0</v>
      </c>
      <c r="AT27" s="135"/>
      <c r="AU27" s="136">
        <f t="shared" si="28"/>
        <v>0</v>
      </c>
      <c r="AV27" s="122">
        <f t="shared" si="56"/>
        <v>0</v>
      </c>
      <c r="AW27" s="134">
        <f t="shared" si="29"/>
        <v>0</v>
      </c>
      <c r="AX27" s="135"/>
      <c r="AY27" s="136">
        <f t="shared" si="30"/>
        <v>0</v>
      </c>
      <c r="AZ27" s="127">
        <f t="shared" si="31"/>
        <v>3291.1864564007419</v>
      </c>
      <c r="BA27" s="94">
        <f t="shared" si="32"/>
        <v>0</v>
      </c>
      <c r="BB27" s="137">
        <f t="shared" si="33"/>
        <v>3228.2508988527015</v>
      </c>
      <c r="BC27" s="127">
        <f t="shared" si="34"/>
        <v>0</v>
      </c>
      <c r="BD27" s="138"/>
      <c r="BE27" s="94">
        <f t="shared" si="35"/>
        <v>0</v>
      </c>
      <c r="BF27" s="128">
        <f t="shared" si="36"/>
        <v>3228.2508988527015</v>
      </c>
      <c r="BG27" s="127">
        <f t="shared" si="37"/>
        <v>0</v>
      </c>
      <c r="BH27" s="139"/>
      <c r="BI27" s="94">
        <f t="shared" si="38"/>
        <v>0</v>
      </c>
      <c r="BJ27" s="130">
        <f t="shared" si="39"/>
        <v>3228.2508988527015</v>
      </c>
      <c r="BK27" s="130">
        <f t="shared" si="40"/>
        <v>0</v>
      </c>
      <c r="BL27" s="94">
        <f t="shared" si="41"/>
        <v>0</v>
      </c>
      <c r="BM27" s="138">
        <f t="shared" si="42"/>
        <v>3291.1864564007419</v>
      </c>
      <c r="BN27" s="127"/>
      <c r="BO27" s="127">
        <f t="shared" si="43"/>
        <v>3228.2508988527015</v>
      </c>
      <c r="BP27" s="140"/>
      <c r="BQ27" s="140"/>
      <c r="BR27" s="17">
        <f t="shared" si="44"/>
        <v>0</v>
      </c>
      <c r="BS27" s="17">
        <f t="shared" si="45"/>
        <v>0</v>
      </c>
    </row>
    <row r="28" spans="1:71" ht="13">
      <c r="A28" s="132" t="s">
        <v>177</v>
      </c>
      <c r="B28" s="121"/>
      <c r="C28" s="121">
        <f>'PS Model 2024'!BO43</f>
        <v>-25.178603773585564</v>
      </c>
      <c r="D28" s="133">
        <v>2</v>
      </c>
      <c r="E28" s="134">
        <f t="shared" si="7"/>
        <v>511.98122448979592</v>
      </c>
      <c r="F28" s="135"/>
      <c r="G28" s="136">
        <f t="shared" si="8"/>
        <v>511.98122448979592</v>
      </c>
      <c r="H28" s="122">
        <f t="shared" si="9"/>
        <v>2</v>
      </c>
      <c r="I28" s="134">
        <f t="shared" si="10"/>
        <v>346.27491651205935</v>
      </c>
      <c r="J28" s="135"/>
      <c r="K28" s="136">
        <f t="shared" si="11"/>
        <v>346.27491651205935</v>
      </c>
      <c r="L28" s="122">
        <f t="shared" si="47"/>
        <v>2</v>
      </c>
      <c r="M28" s="134">
        <f t="shared" si="12"/>
        <v>458.21844155844144</v>
      </c>
      <c r="N28" s="135"/>
      <c r="O28" s="136">
        <f t="shared" si="13"/>
        <v>458.21844155844144</v>
      </c>
      <c r="P28" s="122">
        <v>3</v>
      </c>
      <c r="Q28" s="134">
        <f t="shared" si="14"/>
        <v>1239.6359225092251</v>
      </c>
      <c r="R28" s="135"/>
      <c r="S28" s="136">
        <f t="shared" si="46"/>
        <v>1239.6359225092251</v>
      </c>
      <c r="T28" s="122">
        <f t="shared" si="49"/>
        <v>3</v>
      </c>
      <c r="U28" s="134">
        <f t="shared" si="15"/>
        <v>1453.1681734317342</v>
      </c>
      <c r="V28" s="135"/>
      <c r="W28" s="136">
        <f t="shared" si="16"/>
        <v>1453.1681734317342</v>
      </c>
      <c r="X28" s="122">
        <f t="shared" si="50"/>
        <v>3</v>
      </c>
      <c r="Y28" s="123">
        <f t="shared" si="17"/>
        <v>805.66881918819183</v>
      </c>
      <c r="Z28" s="135"/>
      <c r="AA28" s="136">
        <f t="shared" si="18"/>
        <v>805.66881918819183</v>
      </c>
      <c r="AB28" s="122">
        <f t="shared" si="51"/>
        <v>3</v>
      </c>
      <c r="AC28" s="134">
        <f t="shared" si="19"/>
        <v>369.75304428044274</v>
      </c>
      <c r="AD28" s="135"/>
      <c r="AE28" s="136">
        <f t="shared" si="20"/>
        <v>369.75304428044274</v>
      </c>
      <c r="AF28" s="122">
        <f t="shared" si="52"/>
        <v>3</v>
      </c>
      <c r="AG28" s="134">
        <f t="shared" si="21"/>
        <v>556.73580110497232</v>
      </c>
      <c r="AH28" s="135"/>
      <c r="AI28" s="136">
        <f t="shared" si="22"/>
        <v>556.73580110497232</v>
      </c>
      <c r="AJ28" s="122">
        <f t="shared" si="53"/>
        <v>3</v>
      </c>
      <c r="AK28" s="134">
        <f t="shared" si="23"/>
        <v>137.50530386740326</v>
      </c>
      <c r="AL28" s="135"/>
      <c r="AM28" s="136">
        <f t="shared" si="24"/>
        <v>137.50530386740326</v>
      </c>
      <c r="AN28" s="122">
        <f t="shared" si="54"/>
        <v>3</v>
      </c>
      <c r="AO28" s="134">
        <f t="shared" si="25"/>
        <v>-165.74585635359117</v>
      </c>
      <c r="AP28" s="135"/>
      <c r="AQ28" s="136">
        <f t="shared" si="26"/>
        <v>-165.74585635359117</v>
      </c>
      <c r="AR28" s="122">
        <f t="shared" si="55"/>
        <v>3</v>
      </c>
      <c r="AS28" s="134">
        <f t="shared" si="27"/>
        <v>-165.74585635359117</v>
      </c>
      <c r="AT28" s="135"/>
      <c r="AU28" s="136">
        <f t="shared" si="28"/>
        <v>-165.74585635359117</v>
      </c>
      <c r="AV28" s="122">
        <f t="shared" si="56"/>
        <v>3</v>
      </c>
      <c r="AW28" s="134">
        <f t="shared" si="29"/>
        <v>-165.74585635359117</v>
      </c>
      <c r="AX28" s="135"/>
      <c r="AY28" s="136">
        <f t="shared" si="30"/>
        <v>-165.74585635359117</v>
      </c>
      <c r="AZ28" s="127">
        <f t="shared" si="31"/>
        <v>1316.4745825602968</v>
      </c>
      <c r="BA28" s="94">
        <f t="shared" si="32"/>
        <v>0</v>
      </c>
      <c r="BB28" s="137">
        <f t="shared" si="33"/>
        <v>1291.2959787867112</v>
      </c>
      <c r="BC28" s="127">
        <f t="shared" si="34"/>
        <v>3498.4729151291513</v>
      </c>
      <c r="BD28" s="138"/>
      <c r="BE28" s="94">
        <f t="shared" si="35"/>
        <v>0</v>
      </c>
      <c r="BF28" s="128">
        <f t="shared" si="36"/>
        <v>4789.7688939158625</v>
      </c>
      <c r="BG28" s="127">
        <f t="shared" si="37"/>
        <v>1063.9941492528183</v>
      </c>
      <c r="BH28" s="139"/>
      <c r="BI28" s="94">
        <f t="shared" si="38"/>
        <v>0</v>
      </c>
      <c r="BJ28" s="130">
        <f t="shared" si="39"/>
        <v>5853.7630431686812</v>
      </c>
      <c r="BK28" s="130">
        <f t="shared" si="40"/>
        <v>-497.23756906077347</v>
      </c>
      <c r="BL28" s="94">
        <f t="shared" si="41"/>
        <v>0</v>
      </c>
      <c r="BM28" s="138">
        <f t="shared" si="42"/>
        <v>5381.7040778814926</v>
      </c>
      <c r="BN28" s="127"/>
      <c r="BO28" s="127">
        <f t="shared" si="43"/>
        <v>5356.5254741079079</v>
      </c>
      <c r="BP28" s="140"/>
      <c r="BQ28" s="140"/>
      <c r="BR28" s="17">
        <f t="shared" si="44"/>
        <v>0</v>
      </c>
      <c r="BS28" s="17">
        <f t="shared" si="45"/>
        <v>0</v>
      </c>
    </row>
    <row r="29" spans="1:71" ht="13">
      <c r="A29" s="141" t="s">
        <v>178</v>
      </c>
      <c r="B29" s="142"/>
      <c r="C29" s="142">
        <f>'PS Model 2024'!BO44</f>
        <v>-25.178603773585564</v>
      </c>
      <c r="D29" s="143">
        <v>2</v>
      </c>
      <c r="E29" s="144">
        <f t="shared" si="7"/>
        <v>511.98122448979592</v>
      </c>
      <c r="F29" s="145"/>
      <c r="G29" s="146">
        <f t="shared" si="8"/>
        <v>511.98122448979592</v>
      </c>
      <c r="H29" s="147">
        <f t="shared" si="9"/>
        <v>2</v>
      </c>
      <c r="I29" s="144">
        <f t="shared" si="10"/>
        <v>346.27491651205935</v>
      </c>
      <c r="J29" s="145"/>
      <c r="K29" s="146">
        <f t="shared" si="11"/>
        <v>346.27491651205935</v>
      </c>
      <c r="L29" s="147">
        <f t="shared" si="47"/>
        <v>2</v>
      </c>
      <c r="M29" s="144">
        <f t="shared" si="12"/>
        <v>458.21844155844144</v>
      </c>
      <c r="N29" s="145"/>
      <c r="O29" s="146">
        <f t="shared" si="13"/>
        <v>458.21844155844144</v>
      </c>
      <c r="P29" s="147">
        <v>4</v>
      </c>
      <c r="Q29" s="144">
        <f t="shared" si="14"/>
        <v>1652.8478966789669</v>
      </c>
      <c r="R29" s="145"/>
      <c r="S29" s="146">
        <f t="shared" si="46"/>
        <v>1652.8478966789669</v>
      </c>
      <c r="T29" s="122">
        <f t="shared" si="49"/>
        <v>4</v>
      </c>
      <c r="U29" s="134">
        <f t="shared" si="15"/>
        <v>1937.5575645756458</v>
      </c>
      <c r="V29" s="135"/>
      <c r="W29" s="136">
        <f t="shared" si="16"/>
        <v>1937.5575645756458</v>
      </c>
      <c r="X29" s="122">
        <f t="shared" si="50"/>
        <v>4</v>
      </c>
      <c r="Y29" s="123">
        <f t="shared" si="17"/>
        <v>1074.2250922509224</v>
      </c>
      <c r="Z29" s="135"/>
      <c r="AA29" s="136">
        <f t="shared" si="18"/>
        <v>1074.2250922509224</v>
      </c>
      <c r="AB29" s="122">
        <f t="shared" si="51"/>
        <v>4</v>
      </c>
      <c r="AC29" s="134">
        <f t="shared" si="19"/>
        <v>493.00405904059033</v>
      </c>
      <c r="AD29" s="135"/>
      <c r="AE29" s="136">
        <f t="shared" si="20"/>
        <v>493.00405904059033</v>
      </c>
      <c r="AF29" s="122">
        <v>5</v>
      </c>
      <c r="AG29" s="134">
        <f t="shared" si="21"/>
        <v>927.89300184162062</v>
      </c>
      <c r="AH29" s="135"/>
      <c r="AI29" s="136">
        <f t="shared" si="22"/>
        <v>927.89300184162062</v>
      </c>
      <c r="AJ29" s="122">
        <f t="shared" si="53"/>
        <v>5</v>
      </c>
      <c r="AK29" s="134">
        <f t="shared" si="23"/>
        <v>229.17550644567211</v>
      </c>
      <c r="AL29" s="135"/>
      <c r="AM29" s="136">
        <f t="shared" si="24"/>
        <v>229.17550644567211</v>
      </c>
      <c r="AN29" s="122">
        <f t="shared" si="54"/>
        <v>5</v>
      </c>
      <c r="AO29" s="134">
        <f t="shared" si="25"/>
        <v>-276.24309392265195</v>
      </c>
      <c r="AP29" s="135"/>
      <c r="AQ29" s="136">
        <f t="shared" si="26"/>
        <v>-276.24309392265195</v>
      </c>
      <c r="AR29" s="122">
        <f t="shared" si="55"/>
        <v>5</v>
      </c>
      <c r="AS29" s="134">
        <f t="shared" si="27"/>
        <v>-276.24309392265195</v>
      </c>
      <c r="AT29" s="135"/>
      <c r="AU29" s="136">
        <f t="shared" si="28"/>
        <v>-276.24309392265195</v>
      </c>
      <c r="AV29" s="122">
        <f t="shared" si="56"/>
        <v>5</v>
      </c>
      <c r="AW29" s="134">
        <f t="shared" si="29"/>
        <v>-276.24309392265195</v>
      </c>
      <c r="AX29" s="135"/>
      <c r="AY29" s="136">
        <f t="shared" si="30"/>
        <v>-276.24309392265195</v>
      </c>
      <c r="AZ29" s="127">
        <f t="shared" si="31"/>
        <v>1316.4745825602968</v>
      </c>
      <c r="BA29" s="94">
        <f t="shared" si="32"/>
        <v>0</v>
      </c>
      <c r="BB29" s="137">
        <f t="shared" si="33"/>
        <v>1291.2959787867112</v>
      </c>
      <c r="BC29" s="127">
        <f t="shared" si="34"/>
        <v>4664.6305535055353</v>
      </c>
      <c r="BD29" s="138"/>
      <c r="BE29" s="94">
        <f t="shared" si="35"/>
        <v>0</v>
      </c>
      <c r="BF29" s="128">
        <f t="shared" si="36"/>
        <v>5955.9265322922465</v>
      </c>
      <c r="BG29" s="127">
        <f t="shared" si="37"/>
        <v>1650.0725673278832</v>
      </c>
      <c r="BH29" s="139"/>
      <c r="BI29" s="94">
        <f t="shared" si="38"/>
        <v>0</v>
      </c>
      <c r="BJ29" s="130">
        <f t="shared" si="39"/>
        <v>7605.9990996201295</v>
      </c>
      <c r="BK29" s="130">
        <f t="shared" si="40"/>
        <v>-828.72928176795585</v>
      </c>
      <c r="BL29" s="94">
        <f t="shared" si="41"/>
        <v>0</v>
      </c>
      <c r="BM29" s="138">
        <f t="shared" si="42"/>
        <v>6802.4484216257588</v>
      </c>
      <c r="BN29" s="127"/>
      <c r="BO29" s="127">
        <f t="shared" si="43"/>
        <v>6777.2698178521732</v>
      </c>
      <c r="BP29" s="140"/>
      <c r="BQ29" s="140"/>
      <c r="BR29" s="17">
        <f t="shared" si="44"/>
        <v>0</v>
      </c>
      <c r="BS29" s="17">
        <f t="shared" si="45"/>
        <v>0</v>
      </c>
    </row>
    <row r="30" spans="1:71" ht="13">
      <c r="A30" s="132" t="s">
        <v>179</v>
      </c>
      <c r="B30" s="121"/>
      <c r="C30" s="121">
        <f>'PS Model 2024'!BO45</f>
        <v>-25.178603773585564</v>
      </c>
      <c r="D30" s="133">
        <v>2</v>
      </c>
      <c r="E30" s="134">
        <f t="shared" si="7"/>
        <v>511.98122448979592</v>
      </c>
      <c r="F30" s="135"/>
      <c r="G30" s="136">
        <f t="shared" si="8"/>
        <v>511.98122448979592</v>
      </c>
      <c r="H30" s="122">
        <f t="shared" si="9"/>
        <v>2</v>
      </c>
      <c r="I30" s="134">
        <f t="shared" si="10"/>
        <v>346.27491651205935</v>
      </c>
      <c r="J30" s="135"/>
      <c r="K30" s="136">
        <f t="shared" si="11"/>
        <v>346.27491651205935</v>
      </c>
      <c r="L30" s="122">
        <f t="shared" si="47"/>
        <v>2</v>
      </c>
      <c r="M30" s="134">
        <f t="shared" si="12"/>
        <v>458.21844155844144</v>
      </c>
      <c r="N30" s="135"/>
      <c r="O30" s="136">
        <f t="shared" si="13"/>
        <v>458.21844155844144</v>
      </c>
      <c r="P30" s="122">
        <v>3</v>
      </c>
      <c r="Q30" s="134">
        <f t="shared" si="14"/>
        <v>1239.6359225092251</v>
      </c>
      <c r="R30" s="135"/>
      <c r="S30" s="136">
        <f t="shared" si="46"/>
        <v>1239.6359225092251</v>
      </c>
      <c r="T30" s="122">
        <f t="shared" si="49"/>
        <v>3</v>
      </c>
      <c r="U30" s="134">
        <f t="shared" si="15"/>
        <v>1453.1681734317342</v>
      </c>
      <c r="V30" s="135"/>
      <c r="W30" s="136">
        <f t="shared" si="16"/>
        <v>1453.1681734317342</v>
      </c>
      <c r="X30" s="122">
        <f t="shared" si="50"/>
        <v>3</v>
      </c>
      <c r="Y30" s="123">
        <f t="shared" si="17"/>
        <v>805.66881918819183</v>
      </c>
      <c r="Z30" s="135"/>
      <c r="AA30" s="136">
        <f t="shared" si="18"/>
        <v>805.66881918819183</v>
      </c>
      <c r="AB30" s="122">
        <f t="shared" si="51"/>
        <v>3</v>
      </c>
      <c r="AC30" s="134">
        <f t="shared" si="19"/>
        <v>369.75304428044274</v>
      </c>
      <c r="AD30" s="135"/>
      <c r="AE30" s="136">
        <f t="shared" si="20"/>
        <v>369.75304428044274</v>
      </c>
      <c r="AF30" s="122">
        <f t="shared" ref="AF30:AF35" si="57">AB30</f>
        <v>3</v>
      </c>
      <c r="AG30" s="134">
        <f t="shared" si="21"/>
        <v>556.73580110497232</v>
      </c>
      <c r="AH30" s="135"/>
      <c r="AI30" s="136">
        <f t="shared" si="22"/>
        <v>556.73580110497232</v>
      </c>
      <c r="AJ30" s="122">
        <f t="shared" si="53"/>
        <v>3</v>
      </c>
      <c r="AK30" s="134">
        <f t="shared" si="23"/>
        <v>137.50530386740326</v>
      </c>
      <c r="AL30" s="135"/>
      <c r="AM30" s="136">
        <f t="shared" si="24"/>
        <v>137.50530386740326</v>
      </c>
      <c r="AN30" s="122">
        <f t="shared" si="54"/>
        <v>3</v>
      </c>
      <c r="AO30" s="134">
        <f t="shared" si="25"/>
        <v>-165.74585635359117</v>
      </c>
      <c r="AP30" s="135"/>
      <c r="AQ30" s="136">
        <f t="shared" si="26"/>
        <v>-165.74585635359117</v>
      </c>
      <c r="AR30" s="122">
        <f t="shared" si="55"/>
        <v>3</v>
      </c>
      <c r="AS30" s="134">
        <f t="shared" si="27"/>
        <v>-165.74585635359117</v>
      </c>
      <c r="AT30" s="135"/>
      <c r="AU30" s="136">
        <f t="shared" si="28"/>
        <v>-165.74585635359117</v>
      </c>
      <c r="AV30" s="122">
        <f t="shared" si="56"/>
        <v>3</v>
      </c>
      <c r="AW30" s="134">
        <f t="shared" si="29"/>
        <v>-165.74585635359117</v>
      </c>
      <c r="AX30" s="135"/>
      <c r="AY30" s="136">
        <f t="shared" si="30"/>
        <v>-165.74585635359117</v>
      </c>
      <c r="AZ30" s="127">
        <f t="shared" si="31"/>
        <v>1316.4745825602968</v>
      </c>
      <c r="BA30" s="94">
        <f t="shared" si="32"/>
        <v>0</v>
      </c>
      <c r="BB30" s="137">
        <f t="shared" si="33"/>
        <v>1291.2959787867112</v>
      </c>
      <c r="BC30" s="127">
        <f t="shared" si="34"/>
        <v>3498.4729151291513</v>
      </c>
      <c r="BD30" s="138"/>
      <c r="BE30" s="94">
        <f t="shared" si="35"/>
        <v>0</v>
      </c>
      <c r="BF30" s="128">
        <f t="shared" si="36"/>
        <v>4789.7688939158625</v>
      </c>
      <c r="BG30" s="127">
        <f t="shared" si="37"/>
        <v>1063.9941492528183</v>
      </c>
      <c r="BH30" s="139"/>
      <c r="BI30" s="94">
        <f t="shared" si="38"/>
        <v>0</v>
      </c>
      <c r="BJ30" s="130">
        <f t="shared" si="39"/>
        <v>5853.7630431686812</v>
      </c>
      <c r="BK30" s="130">
        <f t="shared" si="40"/>
        <v>-497.23756906077347</v>
      </c>
      <c r="BL30" s="94">
        <f t="shared" si="41"/>
        <v>0</v>
      </c>
      <c r="BM30" s="138">
        <f t="shared" si="42"/>
        <v>5381.7040778814926</v>
      </c>
      <c r="BN30" s="127"/>
      <c r="BO30" s="127">
        <f t="shared" si="43"/>
        <v>5356.5254741079079</v>
      </c>
      <c r="BP30" s="140"/>
      <c r="BQ30" s="140"/>
      <c r="BR30" s="17">
        <f t="shared" si="44"/>
        <v>0</v>
      </c>
      <c r="BS30" s="17">
        <f t="shared" si="45"/>
        <v>0</v>
      </c>
    </row>
    <row r="31" spans="1:71" ht="13">
      <c r="A31" s="132" t="s">
        <v>180</v>
      </c>
      <c r="B31" s="121"/>
      <c r="C31" s="121">
        <v>0</v>
      </c>
      <c r="D31" s="133">
        <v>2</v>
      </c>
      <c r="E31" s="134">
        <f t="shared" si="7"/>
        <v>511.98122448979592</v>
      </c>
      <c r="F31" s="135"/>
      <c r="G31" s="136">
        <f t="shared" si="8"/>
        <v>511.98122448979592</v>
      </c>
      <c r="H31" s="122">
        <f t="shared" si="9"/>
        <v>2</v>
      </c>
      <c r="I31" s="134">
        <f t="shared" si="10"/>
        <v>346.27491651205935</v>
      </c>
      <c r="J31" s="135"/>
      <c r="K31" s="136">
        <f t="shared" si="11"/>
        <v>346.27491651205935</v>
      </c>
      <c r="L31" s="122">
        <f t="shared" si="47"/>
        <v>2</v>
      </c>
      <c r="M31" s="134">
        <f t="shared" si="12"/>
        <v>458.21844155844144</v>
      </c>
      <c r="N31" s="135"/>
      <c r="O31" s="136">
        <f t="shared" si="13"/>
        <v>458.21844155844144</v>
      </c>
      <c r="P31" s="122">
        <f t="shared" ref="P31:P33" si="58">L31</f>
        <v>2</v>
      </c>
      <c r="Q31" s="134">
        <f t="shared" si="14"/>
        <v>826.42394833948345</v>
      </c>
      <c r="R31" s="135"/>
      <c r="S31" s="136">
        <f t="shared" si="46"/>
        <v>826.42394833948345</v>
      </c>
      <c r="T31" s="122">
        <f t="shared" si="49"/>
        <v>2</v>
      </c>
      <c r="U31" s="134">
        <f t="shared" si="15"/>
        <v>968.77878228782288</v>
      </c>
      <c r="V31" s="135"/>
      <c r="W31" s="136">
        <f t="shared" si="16"/>
        <v>968.77878228782288</v>
      </c>
      <c r="X31" s="122">
        <f t="shared" si="50"/>
        <v>2</v>
      </c>
      <c r="Y31" s="123">
        <f t="shared" si="17"/>
        <v>537.11254612546122</v>
      </c>
      <c r="Z31" s="135"/>
      <c r="AA31" s="136">
        <f t="shared" si="18"/>
        <v>537.11254612546122</v>
      </c>
      <c r="AB31" s="122">
        <f t="shared" si="51"/>
        <v>2</v>
      </c>
      <c r="AC31" s="134">
        <f t="shared" si="19"/>
        <v>246.50202952029517</v>
      </c>
      <c r="AD31" s="135"/>
      <c r="AE31" s="136">
        <f t="shared" si="20"/>
        <v>246.50202952029517</v>
      </c>
      <c r="AF31" s="122">
        <f t="shared" si="57"/>
        <v>2</v>
      </c>
      <c r="AG31" s="134">
        <f t="shared" si="21"/>
        <v>371.15720073664824</v>
      </c>
      <c r="AH31" s="135"/>
      <c r="AI31" s="136">
        <f t="shared" si="22"/>
        <v>371.15720073664824</v>
      </c>
      <c r="AJ31" s="122">
        <f t="shared" si="53"/>
        <v>2</v>
      </c>
      <c r="AK31" s="134">
        <f t="shared" si="23"/>
        <v>91.670202578268842</v>
      </c>
      <c r="AL31" s="135"/>
      <c r="AM31" s="136">
        <f t="shared" si="24"/>
        <v>91.670202578268842</v>
      </c>
      <c r="AN31" s="122">
        <f t="shared" si="54"/>
        <v>2</v>
      </c>
      <c r="AO31" s="134">
        <f t="shared" si="25"/>
        <v>-110.49723756906077</v>
      </c>
      <c r="AP31" s="135"/>
      <c r="AQ31" s="136">
        <f t="shared" si="26"/>
        <v>-110.49723756906077</v>
      </c>
      <c r="AR31" s="122">
        <f t="shared" si="55"/>
        <v>2</v>
      </c>
      <c r="AS31" s="134">
        <f t="shared" si="27"/>
        <v>-110.49723756906077</v>
      </c>
      <c r="AT31" s="135"/>
      <c r="AU31" s="136">
        <f t="shared" si="28"/>
        <v>-110.49723756906077</v>
      </c>
      <c r="AV31" s="122">
        <f t="shared" si="56"/>
        <v>2</v>
      </c>
      <c r="AW31" s="134">
        <f t="shared" si="29"/>
        <v>-110.49723756906077</v>
      </c>
      <c r="AX31" s="135"/>
      <c r="AY31" s="136">
        <f t="shared" si="30"/>
        <v>-110.49723756906077</v>
      </c>
      <c r="AZ31" s="127">
        <f t="shared" si="31"/>
        <v>1316.4745825602968</v>
      </c>
      <c r="BA31" s="94">
        <f t="shared" si="32"/>
        <v>0</v>
      </c>
      <c r="BB31" s="137">
        <f t="shared" si="33"/>
        <v>1316.4745825602968</v>
      </c>
      <c r="BC31" s="127">
        <f t="shared" si="34"/>
        <v>2332.3152767527677</v>
      </c>
      <c r="BD31" s="138"/>
      <c r="BE31" s="94">
        <f t="shared" si="35"/>
        <v>0</v>
      </c>
      <c r="BF31" s="128">
        <f t="shared" si="36"/>
        <v>3648.7898593130644</v>
      </c>
      <c r="BG31" s="127">
        <f t="shared" si="37"/>
        <v>709.32943283521229</v>
      </c>
      <c r="BH31" s="139"/>
      <c r="BI31" s="94">
        <f t="shared" si="38"/>
        <v>0</v>
      </c>
      <c r="BJ31" s="130">
        <f t="shared" si="39"/>
        <v>4358.1192921482771</v>
      </c>
      <c r="BK31" s="130">
        <f t="shared" si="40"/>
        <v>-331.49171270718233</v>
      </c>
      <c r="BL31" s="94">
        <f t="shared" si="41"/>
        <v>0</v>
      </c>
      <c r="BM31" s="138">
        <f t="shared" si="42"/>
        <v>4026.6275794410944</v>
      </c>
      <c r="BN31" s="127"/>
      <c r="BO31" s="127">
        <f t="shared" si="43"/>
        <v>4026.6275794410949</v>
      </c>
      <c r="BP31" s="140"/>
      <c r="BQ31" s="140"/>
      <c r="BR31" s="17">
        <f t="shared" si="44"/>
        <v>0</v>
      </c>
      <c r="BS31" s="17">
        <f t="shared" si="45"/>
        <v>0</v>
      </c>
    </row>
    <row r="32" spans="1:71" ht="13">
      <c r="A32" s="132" t="s">
        <v>181</v>
      </c>
      <c r="B32" s="121"/>
      <c r="C32" s="121">
        <v>0</v>
      </c>
      <c r="D32" s="133">
        <v>2</v>
      </c>
      <c r="E32" s="134">
        <f t="shared" si="7"/>
        <v>511.98122448979592</v>
      </c>
      <c r="F32" s="135"/>
      <c r="G32" s="136">
        <f t="shared" si="8"/>
        <v>511.98122448979592</v>
      </c>
      <c r="H32" s="122">
        <f t="shared" si="9"/>
        <v>2</v>
      </c>
      <c r="I32" s="134">
        <f t="shared" si="10"/>
        <v>346.27491651205935</v>
      </c>
      <c r="J32" s="135"/>
      <c r="K32" s="136">
        <f t="shared" si="11"/>
        <v>346.27491651205935</v>
      </c>
      <c r="L32" s="122">
        <f t="shared" si="47"/>
        <v>2</v>
      </c>
      <c r="M32" s="134">
        <f t="shared" si="12"/>
        <v>458.21844155844144</v>
      </c>
      <c r="N32" s="135"/>
      <c r="O32" s="136">
        <f t="shared" si="13"/>
        <v>458.21844155844144</v>
      </c>
      <c r="P32" s="122">
        <f t="shared" si="58"/>
        <v>2</v>
      </c>
      <c r="Q32" s="134">
        <f t="shared" si="14"/>
        <v>826.42394833948345</v>
      </c>
      <c r="R32" s="135"/>
      <c r="S32" s="136">
        <f t="shared" si="46"/>
        <v>826.42394833948345</v>
      </c>
      <c r="T32" s="122">
        <f t="shared" si="49"/>
        <v>2</v>
      </c>
      <c r="U32" s="134">
        <f t="shared" si="15"/>
        <v>968.77878228782288</v>
      </c>
      <c r="V32" s="135"/>
      <c r="W32" s="136">
        <f t="shared" si="16"/>
        <v>968.77878228782288</v>
      </c>
      <c r="X32" s="122">
        <f t="shared" si="50"/>
        <v>2</v>
      </c>
      <c r="Y32" s="123">
        <f t="shared" si="17"/>
        <v>537.11254612546122</v>
      </c>
      <c r="Z32" s="135"/>
      <c r="AA32" s="136">
        <f t="shared" si="18"/>
        <v>537.11254612546122</v>
      </c>
      <c r="AB32" s="122">
        <f t="shared" si="51"/>
        <v>2</v>
      </c>
      <c r="AC32" s="134">
        <f t="shared" si="19"/>
        <v>246.50202952029517</v>
      </c>
      <c r="AD32" s="135"/>
      <c r="AE32" s="136">
        <f t="shared" si="20"/>
        <v>246.50202952029517</v>
      </c>
      <c r="AF32" s="122">
        <f t="shared" si="57"/>
        <v>2</v>
      </c>
      <c r="AG32" s="134">
        <f t="shared" si="21"/>
        <v>371.15720073664824</v>
      </c>
      <c r="AH32" s="135"/>
      <c r="AI32" s="136">
        <f t="shared" si="22"/>
        <v>371.15720073664824</v>
      </c>
      <c r="AJ32" s="122">
        <f t="shared" si="53"/>
        <v>2</v>
      </c>
      <c r="AK32" s="134">
        <f t="shared" si="23"/>
        <v>91.670202578268842</v>
      </c>
      <c r="AL32" s="135"/>
      <c r="AM32" s="136">
        <f t="shared" si="24"/>
        <v>91.670202578268842</v>
      </c>
      <c r="AN32" s="122">
        <f t="shared" si="54"/>
        <v>2</v>
      </c>
      <c r="AO32" s="134">
        <f t="shared" si="25"/>
        <v>-110.49723756906077</v>
      </c>
      <c r="AP32" s="135"/>
      <c r="AQ32" s="136">
        <f t="shared" si="26"/>
        <v>-110.49723756906077</v>
      </c>
      <c r="AR32" s="122">
        <f t="shared" si="55"/>
        <v>2</v>
      </c>
      <c r="AS32" s="134">
        <f t="shared" si="27"/>
        <v>-110.49723756906077</v>
      </c>
      <c r="AT32" s="135"/>
      <c r="AU32" s="136">
        <f t="shared" si="28"/>
        <v>-110.49723756906077</v>
      </c>
      <c r="AV32" s="122">
        <f t="shared" si="56"/>
        <v>2</v>
      </c>
      <c r="AW32" s="134">
        <f t="shared" si="29"/>
        <v>-110.49723756906077</v>
      </c>
      <c r="AX32" s="135"/>
      <c r="AY32" s="136">
        <f t="shared" si="30"/>
        <v>-110.49723756906077</v>
      </c>
      <c r="AZ32" s="127">
        <f t="shared" si="31"/>
        <v>1316.4745825602968</v>
      </c>
      <c r="BA32" s="94">
        <f t="shared" si="32"/>
        <v>0</v>
      </c>
      <c r="BB32" s="137">
        <f t="shared" si="33"/>
        <v>1316.4745825602968</v>
      </c>
      <c r="BC32" s="127">
        <f t="shared" si="34"/>
        <v>2332.3152767527677</v>
      </c>
      <c r="BD32" s="138"/>
      <c r="BE32" s="94">
        <f t="shared" si="35"/>
        <v>0</v>
      </c>
      <c r="BF32" s="128">
        <f t="shared" si="36"/>
        <v>3648.7898593130644</v>
      </c>
      <c r="BG32" s="127">
        <f t="shared" si="37"/>
        <v>709.32943283521229</v>
      </c>
      <c r="BH32" s="139"/>
      <c r="BI32" s="94">
        <f t="shared" si="38"/>
        <v>0</v>
      </c>
      <c r="BJ32" s="130">
        <f t="shared" si="39"/>
        <v>4358.1192921482771</v>
      </c>
      <c r="BK32" s="130">
        <f t="shared" si="40"/>
        <v>-331.49171270718233</v>
      </c>
      <c r="BL32" s="94">
        <f t="shared" si="41"/>
        <v>0</v>
      </c>
      <c r="BM32" s="138">
        <f t="shared" si="42"/>
        <v>4026.6275794410944</v>
      </c>
      <c r="BN32" s="127"/>
      <c r="BO32" s="127">
        <f t="shared" si="43"/>
        <v>4026.6275794410949</v>
      </c>
      <c r="BP32" s="140"/>
      <c r="BQ32" s="140"/>
      <c r="BR32" s="17">
        <f t="shared" si="44"/>
        <v>0</v>
      </c>
      <c r="BS32" s="17">
        <f t="shared" si="45"/>
        <v>0</v>
      </c>
    </row>
    <row r="33" spans="1:71" ht="13">
      <c r="A33" s="132" t="s">
        <v>182</v>
      </c>
      <c r="B33" s="121"/>
      <c r="C33" s="121">
        <v>0</v>
      </c>
      <c r="D33" s="133">
        <v>2</v>
      </c>
      <c r="E33" s="134">
        <f t="shared" si="7"/>
        <v>511.98122448979592</v>
      </c>
      <c r="F33" s="135"/>
      <c r="G33" s="136">
        <f t="shared" si="8"/>
        <v>511.98122448979592</v>
      </c>
      <c r="H33" s="122">
        <f t="shared" si="9"/>
        <v>2</v>
      </c>
      <c r="I33" s="134">
        <f t="shared" si="10"/>
        <v>346.27491651205935</v>
      </c>
      <c r="J33" s="135"/>
      <c r="K33" s="136">
        <f t="shared" si="11"/>
        <v>346.27491651205935</v>
      </c>
      <c r="L33" s="122">
        <f t="shared" si="47"/>
        <v>2</v>
      </c>
      <c r="M33" s="134">
        <f t="shared" si="12"/>
        <v>458.21844155844144</v>
      </c>
      <c r="N33" s="135"/>
      <c r="O33" s="136">
        <f t="shared" si="13"/>
        <v>458.21844155844144</v>
      </c>
      <c r="P33" s="122">
        <f t="shared" si="58"/>
        <v>2</v>
      </c>
      <c r="Q33" s="134">
        <f t="shared" si="14"/>
        <v>826.42394833948345</v>
      </c>
      <c r="R33" s="135"/>
      <c r="S33" s="136">
        <f t="shared" si="46"/>
        <v>826.42394833948345</v>
      </c>
      <c r="T33" s="122">
        <f t="shared" si="49"/>
        <v>2</v>
      </c>
      <c r="U33" s="134">
        <f t="shared" si="15"/>
        <v>968.77878228782288</v>
      </c>
      <c r="V33" s="135"/>
      <c r="W33" s="136">
        <f t="shared" si="16"/>
        <v>968.77878228782288</v>
      </c>
      <c r="X33" s="122">
        <f t="shared" si="50"/>
        <v>2</v>
      </c>
      <c r="Y33" s="123">
        <f t="shared" si="17"/>
        <v>537.11254612546122</v>
      </c>
      <c r="Z33" s="135"/>
      <c r="AA33" s="136">
        <f t="shared" si="18"/>
        <v>537.11254612546122</v>
      </c>
      <c r="AB33" s="122">
        <f t="shared" si="51"/>
        <v>2</v>
      </c>
      <c r="AC33" s="134">
        <f t="shared" si="19"/>
        <v>246.50202952029517</v>
      </c>
      <c r="AD33" s="135"/>
      <c r="AE33" s="136">
        <f t="shared" si="20"/>
        <v>246.50202952029517</v>
      </c>
      <c r="AF33" s="122">
        <f t="shared" si="57"/>
        <v>2</v>
      </c>
      <c r="AG33" s="134">
        <f t="shared" si="21"/>
        <v>371.15720073664824</v>
      </c>
      <c r="AH33" s="135"/>
      <c r="AI33" s="136">
        <f t="shared" si="22"/>
        <v>371.15720073664824</v>
      </c>
      <c r="AJ33" s="122">
        <f t="shared" si="53"/>
        <v>2</v>
      </c>
      <c r="AK33" s="134">
        <f t="shared" si="23"/>
        <v>91.670202578268842</v>
      </c>
      <c r="AL33" s="135"/>
      <c r="AM33" s="136">
        <f t="shared" si="24"/>
        <v>91.670202578268842</v>
      </c>
      <c r="AN33" s="122">
        <f t="shared" si="54"/>
        <v>2</v>
      </c>
      <c r="AO33" s="134">
        <f t="shared" si="25"/>
        <v>-110.49723756906077</v>
      </c>
      <c r="AP33" s="135"/>
      <c r="AQ33" s="136">
        <f t="shared" si="26"/>
        <v>-110.49723756906077</v>
      </c>
      <c r="AR33" s="122">
        <f t="shared" si="55"/>
        <v>2</v>
      </c>
      <c r="AS33" s="134">
        <f t="shared" si="27"/>
        <v>-110.49723756906077</v>
      </c>
      <c r="AT33" s="135"/>
      <c r="AU33" s="136">
        <f t="shared" si="28"/>
        <v>-110.49723756906077</v>
      </c>
      <c r="AV33" s="122">
        <f t="shared" si="56"/>
        <v>2</v>
      </c>
      <c r="AW33" s="134">
        <f t="shared" si="29"/>
        <v>-110.49723756906077</v>
      </c>
      <c r="AX33" s="135"/>
      <c r="AY33" s="136">
        <f t="shared" si="30"/>
        <v>-110.49723756906077</v>
      </c>
      <c r="AZ33" s="127">
        <f t="shared" si="31"/>
        <v>1316.4745825602968</v>
      </c>
      <c r="BA33" s="94">
        <f t="shared" si="32"/>
        <v>0</v>
      </c>
      <c r="BB33" s="137">
        <f t="shared" si="33"/>
        <v>1316.4745825602968</v>
      </c>
      <c r="BC33" s="127">
        <f t="shared" si="34"/>
        <v>2332.3152767527677</v>
      </c>
      <c r="BD33" s="138"/>
      <c r="BE33" s="94">
        <f t="shared" si="35"/>
        <v>0</v>
      </c>
      <c r="BF33" s="128">
        <f t="shared" si="36"/>
        <v>3648.7898593130644</v>
      </c>
      <c r="BG33" s="127">
        <f t="shared" si="37"/>
        <v>709.32943283521229</v>
      </c>
      <c r="BH33" s="139"/>
      <c r="BI33" s="94">
        <f t="shared" si="38"/>
        <v>0</v>
      </c>
      <c r="BJ33" s="130">
        <f t="shared" si="39"/>
        <v>4358.1192921482771</v>
      </c>
      <c r="BK33" s="130">
        <f t="shared" si="40"/>
        <v>-331.49171270718233</v>
      </c>
      <c r="BL33" s="94">
        <f t="shared" si="41"/>
        <v>0</v>
      </c>
      <c r="BM33" s="138">
        <f t="shared" si="42"/>
        <v>4026.6275794410944</v>
      </c>
      <c r="BN33" s="127"/>
      <c r="BO33" s="127">
        <f t="shared" si="43"/>
        <v>4026.6275794410949</v>
      </c>
      <c r="BP33" s="140"/>
      <c r="BQ33" s="140"/>
      <c r="BR33" s="17">
        <f t="shared" si="44"/>
        <v>0</v>
      </c>
      <c r="BS33" s="17">
        <f t="shared" si="45"/>
        <v>0</v>
      </c>
    </row>
    <row r="34" spans="1:71" ht="13">
      <c r="A34" s="132" t="s">
        <v>183</v>
      </c>
      <c r="B34" s="121"/>
      <c r="C34" s="121">
        <v>0</v>
      </c>
      <c r="D34" s="133">
        <v>0</v>
      </c>
      <c r="E34" s="134">
        <f t="shared" si="7"/>
        <v>0</v>
      </c>
      <c r="F34" s="135"/>
      <c r="G34" s="136">
        <f t="shared" si="8"/>
        <v>0</v>
      </c>
      <c r="H34" s="122">
        <f t="shared" si="9"/>
        <v>0</v>
      </c>
      <c r="I34" s="134">
        <f t="shared" si="10"/>
        <v>0</v>
      </c>
      <c r="J34" s="135"/>
      <c r="K34" s="136">
        <f t="shared" si="11"/>
        <v>0</v>
      </c>
      <c r="L34" s="122">
        <f t="shared" si="47"/>
        <v>0</v>
      </c>
      <c r="M34" s="134">
        <f t="shared" si="12"/>
        <v>0</v>
      </c>
      <c r="N34" s="135"/>
      <c r="O34" s="136">
        <f t="shared" si="13"/>
        <v>0</v>
      </c>
      <c r="P34" s="122">
        <v>2</v>
      </c>
      <c r="Q34" s="134">
        <f t="shared" si="14"/>
        <v>826.42394833948345</v>
      </c>
      <c r="R34" s="135"/>
      <c r="S34" s="136">
        <f t="shared" si="46"/>
        <v>826.42394833948345</v>
      </c>
      <c r="T34" s="122">
        <f t="shared" si="49"/>
        <v>2</v>
      </c>
      <c r="U34" s="134">
        <f t="shared" si="15"/>
        <v>968.77878228782288</v>
      </c>
      <c r="V34" s="135"/>
      <c r="W34" s="136">
        <f t="shared" si="16"/>
        <v>968.77878228782288</v>
      </c>
      <c r="X34" s="122">
        <f t="shared" si="50"/>
        <v>2</v>
      </c>
      <c r="Y34" s="123">
        <f t="shared" si="17"/>
        <v>537.11254612546122</v>
      </c>
      <c r="Z34" s="135"/>
      <c r="AA34" s="136">
        <f t="shared" si="18"/>
        <v>537.11254612546122</v>
      </c>
      <c r="AB34" s="122">
        <f t="shared" si="51"/>
        <v>2</v>
      </c>
      <c r="AC34" s="134">
        <f t="shared" si="19"/>
        <v>246.50202952029517</v>
      </c>
      <c r="AD34" s="135"/>
      <c r="AE34" s="136">
        <f t="shared" si="20"/>
        <v>246.50202952029517</v>
      </c>
      <c r="AF34" s="122">
        <f t="shared" si="57"/>
        <v>2</v>
      </c>
      <c r="AG34" s="134">
        <f t="shared" si="21"/>
        <v>371.15720073664824</v>
      </c>
      <c r="AH34" s="135"/>
      <c r="AI34" s="136">
        <f t="shared" si="22"/>
        <v>371.15720073664824</v>
      </c>
      <c r="AJ34" s="122">
        <f t="shared" si="53"/>
        <v>2</v>
      </c>
      <c r="AK34" s="134">
        <f t="shared" si="23"/>
        <v>91.670202578268842</v>
      </c>
      <c r="AL34" s="135"/>
      <c r="AM34" s="136">
        <f t="shared" si="24"/>
        <v>91.670202578268842</v>
      </c>
      <c r="AN34" s="122">
        <f t="shared" si="54"/>
        <v>2</v>
      </c>
      <c r="AO34" s="134">
        <f t="shared" si="25"/>
        <v>-110.49723756906077</v>
      </c>
      <c r="AP34" s="135"/>
      <c r="AQ34" s="136">
        <f t="shared" si="26"/>
        <v>-110.49723756906077</v>
      </c>
      <c r="AR34" s="122">
        <f t="shared" si="55"/>
        <v>2</v>
      </c>
      <c r="AS34" s="134">
        <f t="shared" si="27"/>
        <v>-110.49723756906077</v>
      </c>
      <c r="AT34" s="135"/>
      <c r="AU34" s="136">
        <f t="shared" si="28"/>
        <v>-110.49723756906077</v>
      </c>
      <c r="AV34" s="122">
        <f t="shared" si="56"/>
        <v>2</v>
      </c>
      <c r="AW34" s="134">
        <f t="shared" si="29"/>
        <v>-110.49723756906077</v>
      </c>
      <c r="AX34" s="135"/>
      <c r="AY34" s="136">
        <f t="shared" si="30"/>
        <v>-110.49723756906077</v>
      </c>
      <c r="AZ34" s="127">
        <f t="shared" si="31"/>
        <v>0</v>
      </c>
      <c r="BA34" s="94">
        <f t="shared" si="32"/>
        <v>0</v>
      </c>
      <c r="BB34" s="137">
        <f t="shared" si="33"/>
        <v>0</v>
      </c>
      <c r="BC34" s="127">
        <f t="shared" si="34"/>
        <v>2332.3152767527677</v>
      </c>
      <c r="BD34" s="138"/>
      <c r="BE34" s="94">
        <f t="shared" si="35"/>
        <v>0</v>
      </c>
      <c r="BF34" s="128">
        <f t="shared" si="36"/>
        <v>2332.3152767527677</v>
      </c>
      <c r="BG34" s="127">
        <f t="shared" si="37"/>
        <v>709.32943283521229</v>
      </c>
      <c r="BH34" s="139"/>
      <c r="BI34" s="94">
        <f t="shared" si="38"/>
        <v>0</v>
      </c>
      <c r="BJ34" s="130">
        <f t="shared" si="39"/>
        <v>3041.6447095879798</v>
      </c>
      <c r="BK34" s="130">
        <f t="shared" si="40"/>
        <v>-331.49171270718233</v>
      </c>
      <c r="BL34" s="94">
        <f t="shared" si="41"/>
        <v>0</v>
      </c>
      <c r="BM34" s="138">
        <f t="shared" si="42"/>
        <v>2710.1529968807977</v>
      </c>
      <c r="BN34" s="127"/>
      <c r="BO34" s="127">
        <f t="shared" si="43"/>
        <v>2710.1529968807977</v>
      </c>
      <c r="BP34" s="140"/>
      <c r="BQ34" s="140"/>
      <c r="BR34" s="17">
        <f t="shared" si="44"/>
        <v>0</v>
      </c>
      <c r="BS34" s="17">
        <f t="shared" si="45"/>
        <v>0</v>
      </c>
    </row>
    <row r="35" spans="1:71" ht="13">
      <c r="A35" s="132" t="s">
        <v>184</v>
      </c>
      <c r="B35" s="121"/>
      <c r="C35" s="121">
        <v>0</v>
      </c>
      <c r="D35" s="133">
        <v>0</v>
      </c>
      <c r="E35" s="134">
        <f t="shared" si="7"/>
        <v>0</v>
      </c>
      <c r="F35" s="135"/>
      <c r="G35" s="136">
        <f t="shared" si="8"/>
        <v>0</v>
      </c>
      <c r="H35" s="122">
        <f t="shared" si="9"/>
        <v>0</v>
      </c>
      <c r="I35" s="134">
        <f t="shared" si="10"/>
        <v>0</v>
      </c>
      <c r="J35" s="135"/>
      <c r="K35" s="136">
        <f t="shared" si="11"/>
        <v>0</v>
      </c>
      <c r="L35" s="122">
        <f t="shared" si="47"/>
        <v>0</v>
      </c>
      <c r="M35" s="134">
        <f t="shared" si="12"/>
        <v>0</v>
      </c>
      <c r="N35" s="135"/>
      <c r="O35" s="136">
        <f t="shared" si="13"/>
        <v>0</v>
      </c>
      <c r="P35" s="122">
        <v>2</v>
      </c>
      <c r="Q35" s="134">
        <f t="shared" si="14"/>
        <v>826.42394833948345</v>
      </c>
      <c r="R35" s="135"/>
      <c r="S35" s="136">
        <f t="shared" si="46"/>
        <v>826.42394833948345</v>
      </c>
      <c r="T35" s="122">
        <f t="shared" si="49"/>
        <v>2</v>
      </c>
      <c r="U35" s="134">
        <f t="shared" si="15"/>
        <v>968.77878228782288</v>
      </c>
      <c r="V35" s="135"/>
      <c r="W35" s="136">
        <f t="shared" si="16"/>
        <v>968.77878228782288</v>
      </c>
      <c r="X35" s="122">
        <f t="shared" si="50"/>
        <v>2</v>
      </c>
      <c r="Y35" s="123">
        <f t="shared" si="17"/>
        <v>537.11254612546122</v>
      </c>
      <c r="Z35" s="135"/>
      <c r="AA35" s="136">
        <f t="shared" si="18"/>
        <v>537.11254612546122</v>
      </c>
      <c r="AB35" s="122">
        <f t="shared" si="51"/>
        <v>2</v>
      </c>
      <c r="AC35" s="134">
        <f t="shared" si="19"/>
        <v>246.50202952029517</v>
      </c>
      <c r="AD35" s="135"/>
      <c r="AE35" s="136">
        <f t="shared" si="20"/>
        <v>246.50202952029517</v>
      </c>
      <c r="AF35" s="122">
        <f t="shared" si="57"/>
        <v>2</v>
      </c>
      <c r="AG35" s="134">
        <f t="shared" si="21"/>
        <v>371.15720073664824</v>
      </c>
      <c r="AH35" s="135"/>
      <c r="AI35" s="136">
        <f t="shared" si="22"/>
        <v>371.15720073664824</v>
      </c>
      <c r="AJ35" s="122">
        <f t="shared" si="53"/>
        <v>2</v>
      </c>
      <c r="AK35" s="134">
        <f t="shared" si="23"/>
        <v>91.670202578268842</v>
      </c>
      <c r="AL35" s="135"/>
      <c r="AM35" s="136">
        <f t="shared" si="24"/>
        <v>91.670202578268842</v>
      </c>
      <c r="AN35" s="122">
        <f t="shared" si="54"/>
        <v>2</v>
      </c>
      <c r="AO35" s="134">
        <f t="shared" si="25"/>
        <v>-110.49723756906077</v>
      </c>
      <c r="AP35" s="135"/>
      <c r="AQ35" s="136">
        <f t="shared" si="26"/>
        <v>-110.49723756906077</v>
      </c>
      <c r="AR35" s="122">
        <f t="shared" si="55"/>
        <v>2</v>
      </c>
      <c r="AS35" s="134">
        <f t="shared" si="27"/>
        <v>-110.49723756906077</v>
      </c>
      <c r="AT35" s="135"/>
      <c r="AU35" s="136">
        <f t="shared" si="28"/>
        <v>-110.49723756906077</v>
      </c>
      <c r="AV35" s="122">
        <f t="shared" si="56"/>
        <v>2</v>
      </c>
      <c r="AW35" s="134">
        <f t="shared" si="29"/>
        <v>-110.49723756906077</v>
      </c>
      <c r="AX35" s="135"/>
      <c r="AY35" s="136">
        <f t="shared" si="30"/>
        <v>-110.49723756906077</v>
      </c>
      <c r="AZ35" s="127">
        <f t="shared" si="31"/>
        <v>0</v>
      </c>
      <c r="BA35" s="94">
        <f t="shared" si="32"/>
        <v>0</v>
      </c>
      <c r="BB35" s="137">
        <f t="shared" si="33"/>
        <v>0</v>
      </c>
      <c r="BC35" s="127">
        <f t="shared" si="34"/>
        <v>2332.3152767527677</v>
      </c>
      <c r="BD35" s="138"/>
      <c r="BE35" s="94">
        <f t="shared" si="35"/>
        <v>0</v>
      </c>
      <c r="BF35" s="128">
        <f t="shared" si="36"/>
        <v>2332.3152767527677</v>
      </c>
      <c r="BG35" s="127">
        <f t="shared" si="37"/>
        <v>709.32943283521229</v>
      </c>
      <c r="BH35" s="139"/>
      <c r="BI35" s="94">
        <f t="shared" si="38"/>
        <v>0</v>
      </c>
      <c r="BJ35" s="130">
        <f t="shared" si="39"/>
        <v>3041.6447095879798</v>
      </c>
      <c r="BK35" s="130">
        <f t="shared" si="40"/>
        <v>-331.49171270718233</v>
      </c>
      <c r="BL35" s="94">
        <f t="shared" si="41"/>
        <v>0</v>
      </c>
      <c r="BM35" s="138">
        <f t="shared" si="42"/>
        <v>2710.1529968807977</v>
      </c>
      <c r="BN35" s="127"/>
      <c r="BO35" s="127">
        <f t="shared" si="43"/>
        <v>2710.1529968807977</v>
      </c>
      <c r="BP35" s="140"/>
      <c r="BQ35" s="140"/>
      <c r="BR35" s="17">
        <f t="shared" si="44"/>
        <v>0</v>
      </c>
      <c r="BS35" s="17">
        <f t="shared" si="45"/>
        <v>0</v>
      </c>
    </row>
    <row r="36" spans="1:71" ht="12" customHeight="1">
      <c r="A36" s="89"/>
      <c r="C36" s="61"/>
      <c r="D36" s="148">
        <f t="shared" ref="D36:E36" si="59">SUM(D19:D35)</f>
        <v>539</v>
      </c>
      <c r="E36" s="149">
        <f t="shared" si="59"/>
        <v>137978.94000000006</v>
      </c>
      <c r="F36" s="91"/>
      <c r="G36" s="91"/>
      <c r="H36" s="148">
        <f t="shared" ref="H36:I36" si="60">SUM(H19:H35)</f>
        <v>539</v>
      </c>
      <c r="I36" s="149">
        <f t="shared" si="60"/>
        <v>93321.090000000026</v>
      </c>
      <c r="J36" s="91"/>
      <c r="K36" s="91"/>
      <c r="L36" s="148">
        <f t="shared" ref="L36:M36" si="61">SUM(L19:L35)</f>
        <v>539</v>
      </c>
      <c r="M36" s="149">
        <f t="shared" si="61"/>
        <v>123489.86999999992</v>
      </c>
      <c r="N36" s="91"/>
      <c r="O36" s="91"/>
      <c r="P36" s="148">
        <f t="shared" ref="P36:Q36" si="62">SUM(P19:P35)</f>
        <v>542</v>
      </c>
      <c r="Q36" s="149">
        <f t="shared" si="62"/>
        <v>223960.88999999996</v>
      </c>
      <c r="R36" s="91"/>
      <c r="S36" s="91"/>
      <c r="T36" s="148">
        <f t="shared" ref="T36:U36" si="63">SUM(T19:T35)</f>
        <v>542</v>
      </c>
      <c r="U36" s="149">
        <f t="shared" si="63"/>
        <v>262539.05</v>
      </c>
      <c r="V36" s="91"/>
      <c r="W36" s="91"/>
      <c r="X36" s="148">
        <f t="shared" ref="X36:Y36" si="64">SUM(X19:X35)</f>
        <v>542</v>
      </c>
      <c r="Y36" s="149">
        <f t="shared" si="64"/>
        <v>145557.49999999997</v>
      </c>
      <c r="Z36" s="91"/>
      <c r="AA36" s="92"/>
      <c r="AB36" s="148">
        <f t="shared" ref="AB36:AC36" si="65">SUM(AB19:AB35)</f>
        <v>542</v>
      </c>
      <c r="AC36" s="149">
        <f t="shared" si="65"/>
        <v>66802.050000000017</v>
      </c>
      <c r="AD36" s="91"/>
      <c r="AE36" s="92"/>
      <c r="AF36" s="148">
        <f t="shared" ref="AF36:AG36" si="66">SUM(AF19:AF35)</f>
        <v>543</v>
      </c>
      <c r="AG36" s="149">
        <f t="shared" si="66"/>
        <v>100769.17999999995</v>
      </c>
      <c r="AH36" s="91"/>
      <c r="AI36" s="91"/>
      <c r="AJ36" s="148">
        <f t="shared" ref="AJ36:AK36" si="67">SUM(AJ19:AJ35)</f>
        <v>543</v>
      </c>
      <c r="AK36" s="149">
        <f t="shared" si="67"/>
        <v>24888.460000000003</v>
      </c>
      <c r="AL36" s="91"/>
      <c r="AM36" s="91"/>
      <c r="AN36" s="148">
        <f t="shared" ref="AN36:AO36" si="68">SUM(AN19:AN35)</f>
        <v>543</v>
      </c>
      <c r="AO36" s="149">
        <f t="shared" si="68"/>
        <v>-29999.999999999993</v>
      </c>
      <c r="AP36" s="91"/>
      <c r="AQ36" s="91"/>
      <c r="AR36" s="148">
        <f t="shared" ref="AR36:AS36" si="69">SUM(AR19:AR35)</f>
        <v>543</v>
      </c>
      <c r="AS36" s="149">
        <f t="shared" si="69"/>
        <v>-29999.999999999993</v>
      </c>
      <c r="AT36" s="91"/>
      <c r="AU36" s="91"/>
      <c r="AV36" s="148">
        <f t="shared" ref="AV36:AW36" si="70">SUM(AV19:AV35)</f>
        <v>543</v>
      </c>
      <c r="AW36" s="149">
        <f t="shared" si="70"/>
        <v>-29999.999999999993</v>
      </c>
      <c r="AX36" s="124"/>
      <c r="AY36" s="92"/>
      <c r="AZ36" s="91"/>
      <c r="BA36" s="124"/>
      <c r="BB36" s="150"/>
      <c r="BC36" s="91"/>
      <c r="BD36" s="91"/>
      <c r="BE36" s="124"/>
      <c r="BF36" s="150"/>
      <c r="BG36" s="127"/>
      <c r="BJ36" s="61"/>
      <c r="BK36" s="61"/>
    </row>
    <row r="37" spans="1:71" ht="13">
      <c r="A37" s="89"/>
      <c r="B37" s="5"/>
      <c r="C37" s="61"/>
      <c r="D37" s="100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124"/>
      <c r="AW37" s="151"/>
      <c r="AX37" s="124"/>
      <c r="BR37" s="152"/>
    </row>
    <row r="38" spans="1:71" ht="28">
      <c r="A38" s="89" t="s">
        <v>185</v>
      </c>
      <c r="B38" s="5"/>
      <c r="C38" s="61">
        <f>'PS Model 2024'!AV6*-1</f>
        <v>319000</v>
      </c>
      <c r="D38" s="100"/>
      <c r="E38" s="91"/>
      <c r="F38" s="124"/>
      <c r="G38" s="91"/>
      <c r="H38" s="91"/>
      <c r="I38" s="91"/>
      <c r="J38" s="124"/>
      <c r="K38" s="91"/>
      <c r="L38" s="91"/>
      <c r="M38" s="91"/>
      <c r="N38" s="124"/>
      <c r="O38" s="91"/>
      <c r="P38" s="91"/>
      <c r="Q38" s="91"/>
      <c r="R38" s="124"/>
      <c r="S38" s="91"/>
      <c r="T38" s="91"/>
      <c r="U38" s="91"/>
      <c r="V38" s="124"/>
      <c r="W38" s="91"/>
      <c r="X38" s="91"/>
      <c r="Y38" s="91"/>
      <c r="Z38" s="124"/>
      <c r="AA38" s="91"/>
      <c r="AB38" s="91"/>
      <c r="AC38" s="91"/>
      <c r="AD38" s="124"/>
      <c r="AE38" s="91"/>
      <c r="AF38" s="91"/>
      <c r="AG38" s="91"/>
      <c r="AH38" s="153" t="s">
        <v>186</v>
      </c>
      <c r="AI38" s="135" t="s">
        <v>187</v>
      </c>
      <c r="AJ38" s="91"/>
      <c r="AK38" s="91"/>
      <c r="AL38" s="124" t="s">
        <v>186</v>
      </c>
      <c r="AM38" s="91" t="s">
        <v>187</v>
      </c>
      <c r="AN38" s="91"/>
      <c r="AO38" s="91"/>
      <c r="AP38" s="124"/>
      <c r="AQ38" s="91"/>
      <c r="AR38" s="91"/>
      <c r="AS38" s="91"/>
      <c r="AT38" s="91"/>
      <c r="AW38" s="91"/>
      <c r="AY38" s="92"/>
      <c r="AZ38" s="154" t="str">
        <f>"Adj. Paid for "&amp;AZ2</f>
        <v>Adj. Paid for 1Q</v>
      </c>
      <c r="BA38" s="155" t="str">
        <f>"Total paid "&amp;AZ2</f>
        <v>Total paid 1Q</v>
      </c>
      <c r="BB38" s="156" t="str">
        <f>"Still owed for "&amp;AZ2</f>
        <v>Still owed for 1Q</v>
      </c>
      <c r="BC38" s="154" t="str">
        <f>"Adj. Paid for "&amp;BC2</f>
        <v>Adj. Paid for 2Q</v>
      </c>
      <c r="BD38" s="154" t="s">
        <v>188</v>
      </c>
      <c r="BE38" s="155" t="s">
        <v>189</v>
      </c>
      <c r="BF38" s="156" t="s">
        <v>190</v>
      </c>
      <c r="BG38" s="157" t="str">
        <f>"Adj. Paid for "&amp;BG2</f>
        <v>Adj. Paid for 3Q</v>
      </c>
      <c r="BH38" s="158" t="s">
        <v>191</v>
      </c>
      <c r="BI38" s="158" t="s">
        <v>192</v>
      </c>
      <c r="BJ38" s="158" t="s">
        <v>193</v>
      </c>
      <c r="BK38" s="157" t="str">
        <f>"Adj. Paid for "&amp;BK2</f>
        <v>Adj. Paid for 4Q</v>
      </c>
      <c r="BL38" s="154" t="s">
        <v>194</v>
      </c>
      <c r="BM38" s="154" t="s">
        <v>195</v>
      </c>
      <c r="BN38" s="155" t="s">
        <v>196</v>
      </c>
      <c r="BO38" s="156" t="s">
        <v>197</v>
      </c>
      <c r="BP38" s="152"/>
      <c r="BQ38" s="152"/>
      <c r="BR38" s="19"/>
    </row>
    <row r="39" spans="1:71" ht="13">
      <c r="A39" s="89" t="s">
        <v>198</v>
      </c>
      <c r="B39" s="5"/>
      <c r="C39" s="92">
        <f>C38-D6-H6-L6</f>
        <v>0</v>
      </c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159">
        <v>3052.76</v>
      </c>
      <c r="AI39" s="91">
        <v>5258.46</v>
      </c>
      <c r="AJ39" s="91"/>
      <c r="AK39" s="91"/>
      <c r="AL39" s="159">
        <v>0</v>
      </c>
      <c r="AM39" s="125">
        <v>7593.42</v>
      </c>
      <c r="AN39" s="91"/>
      <c r="AP39" s="91"/>
      <c r="AQ39" s="91"/>
      <c r="AR39" s="91"/>
      <c r="AS39" s="91"/>
      <c r="AT39" s="91"/>
      <c r="AU39" s="91"/>
      <c r="AV39" s="91"/>
      <c r="AW39" s="91"/>
      <c r="AY39" s="160" t="str">
        <f t="shared" ref="AY39:AY55" si="71">A19</f>
        <v>Colin Strasser</v>
      </c>
      <c r="AZ39" s="161">
        <f>AZ16</f>
        <v>13038.05</v>
      </c>
      <c r="BA39" s="161">
        <f t="shared" ref="BA39:BA55" si="72">AZ39+BA19</f>
        <v>24915.969999999998</v>
      </c>
      <c r="BB39" s="162">
        <f>BB19-AZ39+AX67</f>
        <v>358642.02526635729</v>
      </c>
      <c r="BC39" s="161">
        <f>BC16</f>
        <v>77825.23</v>
      </c>
      <c r="BD39" s="161">
        <f t="shared" ref="BD39:BD55" si="73">AZ39+BC39</f>
        <v>90863.28</v>
      </c>
      <c r="BE39" s="163">
        <f t="shared" ref="BE39:BE55" si="74">BA39+BC39+BE19</f>
        <v>130354.75</v>
      </c>
      <c r="BF39" s="164">
        <f t="shared" ref="BF39:BF55" si="75">BF19-BD39</f>
        <v>398872.95006340521</v>
      </c>
      <c r="BG39" s="161">
        <f>BG16</f>
        <v>166838.56999999998</v>
      </c>
      <c r="BH39" s="161">
        <f t="shared" ref="BH39:BH55" si="76">BG39+BD39</f>
        <v>257701.84999999998</v>
      </c>
      <c r="BI39" s="163">
        <f t="shared" ref="BI39:BI55" si="77">BE39+BG39+BI19</f>
        <v>302324.43999999994</v>
      </c>
      <c r="BJ39" s="164">
        <f t="shared" ref="BJ39:BJ55" si="78">BJ19-BH39</f>
        <v>271236.34961560601</v>
      </c>
      <c r="BK39" s="161">
        <f>BK16</f>
        <v>-90000</v>
      </c>
      <c r="BL39" s="161">
        <f t="shared" ref="BL39:BL42" si="79">BK39+BG39</f>
        <v>76838.569999999978</v>
      </c>
      <c r="BM39" s="161">
        <f t="shared" ref="BM39:BM55" si="80">BL39+BC39+AZ39</f>
        <v>167701.84999999998</v>
      </c>
      <c r="BN39" s="163">
        <f t="shared" ref="BN39:BN55" si="81">BE39+BL39+BI19+BL19</f>
        <v>212324.43999999997</v>
      </c>
      <c r="BO39" s="164">
        <f t="shared" ref="BO39:BO55" si="82">BO19-BM39</f>
        <v>340518.11757140711</v>
      </c>
      <c r="BP39" s="19"/>
      <c r="BQ39" s="19"/>
      <c r="BR39" s="19"/>
    </row>
    <row r="40" spans="1:71" ht="42">
      <c r="A40" s="89"/>
      <c r="B40" s="5"/>
      <c r="C40" s="61"/>
      <c r="D40" s="100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 t="s">
        <v>199</v>
      </c>
      <c r="Q40" s="17">
        <v>100</v>
      </c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P40" s="91"/>
      <c r="AQ40" s="91"/>
      <c r="AR40" s="91"/>
      <c r="AS40" s="124"/>
      <c r="AT40" s="91"/>
      <c r="AU40" s="91"/>
      <c r="AV40" s="91"/>
      <c r="AW40" s="91"/>
      <c r="AY40" s="160" t="str">
        <f t="shared" si="71"/>
        <v>Michal Fronczyk</v>
      </c>
      <c r="AZ40" s="165">
        <v>0</v>
      </c>
      <c r="BA40" s="161">
        <f t="shared" si="72"/>
        <v>0</v>
      </c>
      <c r="BB40" s="162" t="e">
        <f ca="1">BB20-AZ40-AX66</f>
        <v>#REF!</v>
      </c>
      <c r="BC40" s="165">
        <v>0</v>
      </c>
      <c r="BD40" s="161">
        <f t="shared" si="73"/>
        <v>0</v>
      </c>
      <c r="BE40" s="163">
        <f t="shared" si="74"/>
        <v>0</v>
      </c>
      <c r="BF40" s="164" t="e">
        <f t="shared" ca="1" si="75"/>
        <v>#REF!</v>
      </c>
      <c r="BG40" s="165">
        <v>0</v>
      </c>
      <c r="BH40" s="161">
        <f t="shared" si="76"/>
        <v>0</v>
      </c>
      <c r="BI40" s="163">
        <f t="shared" si="77"/>
        <v>0</v>
      </c>
      <c r="BJ40" s="164" t="e">
        <f t="shared" ca="1" si="78"/>
        <v>#REF!</v>
      </c>
      <c r="BK40" s="165">
        <v>0</v>
      </c>
      <c r="BL40" s="161">
        <f t="shared" si="79"/>
        <v>0</v>
      </c>
      <c r="BM40" s="161">
        <f t="shared" si="80"/>
        <v>0</v>
      </c>
      <c r="BN40" s="163">
        <f t="shared" si="81"/>
        <v>0</v>
      </c>
      <c r="BO40" s="164" t="e">
        <f t="shared" ca="1" si="82"/>
        <v>#REF!</v>
      </c>
      <c r="BP40" s="19" t="str">
        <f t="shared" ref="BP40:BP46" si="83">AY40</f>
        <v>Michal Fronczyk</v>
      </c>
      <c r="BQ40" s="19"/>
      <c r="BR40" s="19"/>
    </row>
    <row r="41" spans="1:71" ht="14">
      <c r="A41" s="89"/>
      <c r="B41" s="5"/>
      <c r="C41" s="61"/>
      <c r="D41" s="100"/>
      <c r="E41" s="91"/>
      <c r="F41" s="91"/>
      <c r="G41" s="91">
        <f>G29*3.9</f>
        <v>1996.7267755102041</v>
      </c>
      <c r="H41" s="91"/>
      <c r="I41" s="91"/>
      <c r="J41" s="91"/>
      <c r="K41" s="91">
        <f>K29*3.9</f>
        <v>1350.4721743970315</v>
      </c>
      <c r="L41" s="91"/>
      <c r="M41" s="91"/>
      <c r="N41" s="91"/>
      <c r="O41" s="91">
        <f>O29*3.9</f>
        <v>1787.0519220779215</v>
      </c>
      <c r="P41" s="91"/>
      <c r="Q41" s="91"/>
      <c r="R41" s="91"/>
      <c r="S41" s="91">
        <f>S29*3.8</f>
        <v>6280.822007380074</v>
      </c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P41" s="91"/>
      <c r="AQ41" s="91"/>
      <c r="AR41" s="91"/>
      <c r="AS41" s="91"/>
      <c r="AT41" s="91"/>
      <c r="AU41" s="91"/>
      <c r="AV41" s="91"/>
      <c r="AW41" s="91"/>
      <c r="AY41" s="160" t="str">
        <f t="shared" si="71"/>
        <v>Miroslaw Syzdek</v>
      </c>
      <c r="AZ41" s="165">
        <v>0</v>
      </c>
      <c r="BA41" s="161">
        <f t="shared" si="72"/>
        <v>0</v>
      </c>
      <c r="BB41" s="162" t="e">
        <f t="shared" ref="BB41:BB42" ca="1" si="84">BB21-AZ41-AX64</f>
        <v>#REF!</v>
      </c>
      <c r="BC41" s="165">
        <v>0</v>
      </c>
      <c r="BD41" s="161">
        <f t="shared" si="73"/>
        <v>0</v>
      </c>
      <c r="BE41" s="163">
        <f t="shared" si="74"/>
        <v>0</v>
      </c>
      <c r="BF41" s="164" t="e">
        <f t="shared" ca="1" si="75"/>
        <v>#REF!</v>
      </c>
      <c r="BG41" s="165">
        <v>0</v>
      </c>
      <c r="BH41" s="161">
        <f t="shared" si="76"/>
        <v>0</v>
      </c>
      <c r="BI41" s="163">
        <f t="shared" si="77"/>
        <v>0</v>
      </c>
      <c r="BJ41" s="164" t="e">
        <f t="shared" ca="1" si="78"/>
        <v>#REF!</v>
      </c>
      <c r="BK41" s="165">
        <v>0</v>
      </c>
      <c r="BL41" s="161">
        <f t="shared" si="79"/>
        <v>0</v>
      </c>
      <c r="BM41" s="161">
        <f t="shared" si="80"/>
        <v>0</v>
      </c>
      <c r="BN41" s="163">
        <f t="shared" si="81"/>
        <v>0</v>
      </c>
      <c r="BO41" s="164" t="e">
        <f t="shared" ca="1" si="82"/>
        <v>#REF!</v>
      </c>
      <c r="BP41" s="19" t="str">
        <f t="shared" si="83"/>
        <v>Miroslaw Syzdek</v>
      </c>
      <c r="BQ41" s="19"/>
      <c r="BR41" s="19"/>
    </row>
    <row r="42" spans="1:71" ht="14">
      <c r="A42" s="89"/>
      <c r="B42" s="5"/>
      <c r="C42" s="61"/>
      <c r="D42" s="100"/>
      <c r="E42" s="91"/>
      <c r="F42" s="91"/>
      <c r="G42" s="91">
        <f>G41/168</f>
        <v>11.885278425655978</v>
      </c>
      <c r="H42" s="91"/>
      <c r="I42" s="91"/>
      <c r="J42" s="91"/>
      <c r="K42" s="91">
        <f>K41/168</f>
        <v>8.0385248476013782</v>
      </c>
      <c r="L42" s="91"/>
      <c r="M42" s="91"/>
      <c r="N42" s="91"/>
      <c r="O42" s="91">
        <f>O41/168</f>
        <v>10.63721382189239</v>
      </c>
      <c r="P42" s="91"/>
      <c r="Q42" s="91"/>
      <c r="R42" s="91"/>
      <c r="S42" s="91">
        <f>S41/168</f>
        <v>37.385845282024249</v>
      </c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P42" s="91"/>
      <c r="AQ42" s="91"/>
      <c r="AR42" s="91"/>
      <c r="AS42" s="91"/>
      <c r="AT42" s="91"/>
      <c r="AU42" s="91"/>
      <c r="AV42" s="91"/>
      <c r="AW42" s="91"/>
      <c r="AY42" s="160" t="str">
        <f t="shared" si="71"/>
        <v>Marek Krzynowek</v>
      </c>
      <c r="AZ42" s="165">
        <v>0</v>
      </c>
      <c r="BA42" s="161">
        <f t="shared" si="72"/>
        <v>0</v>
      </c>
      <c r="BB42" s="166">
        <f t="shared" si="84"/>
        <v>435507.01100353099</v>
      </c>
      <c r="BC42" s="165">
        <v>0</v>
      </c>
      <c r="BD42" s="161">
        <f t="shared" si="73"/>
        <v>0</v>
      </c>
      <c r="BE42" s="163">
        <f t="shared" si="74"/>
        <v>0</v>
      </c>
      <c r="BF42" s="164">
        <f t="shared" si="75"/>
        <v>581276.71580057894</v>
      </c>
      <c r="BG42" s="165">
        <v>0</v>
      </c>
      <c r="BH42" s="161">
        <f t="shared" si="76"/>
        <v>0</v>
      </c>
      <c r="BI42" s="163">
        <f t="shared" si="77"/>
        <v>0</v>
      </c>
      <c r="BJ42" s="164">
        <f t="shared" si="78"/>
        <v>625609.80535277969</v>
      </c>
      <c r="BK42" s="165">
        <v>0</v>
      </c>
      <c r="BL42" s="161">
        <f t="shared" si="79"/>
        <v>0</v>
      </c>
      <c r="BM42" s="161">
        <f t="shared" si="80"/>
        <v>0</v>
      </c>
      <c r="BN42" s="163">
        <f t="shared" si="81"/>
        <v>0</v>
      </c>
      <c r="BO42" s="164">
        <f t="shared" si="82"/>
        <v>604891.57330858079</v>
      </c>
      <c r="BP42" s="19" t="str">
        <f t="shared" si="83"/>
        <v>Marek Krzynowek</v>
      </c>
      <c r="BQ42" s="19"/>
      <c r="BR42" s="19"/>
    </row>
    <row r="43" spans="1:71" ht="14">
      <c r="A43" s="89"/>
      <c r="B43" s="5"/>
      <c r="C43" s="61"/>
      <c r="D43" s="100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P43" s="91"/>
      <c r="AQ43" s="91"/>
      <c r="AR43" s="91"/>
      <c r="AS43" s="91"/>
      <c r="AT43" s="91"/>
      <c r="AU43" s="91"/>
      <c r="AV43" s="91"/>
      <c r="AW43" s="91"/>
      <c r="AY43" s="160" t="str">
        <f t="shared" si="71"/>
        <v>Filip Korski</v>
      </c>
      <c r="AZ43" s="165">
        <v>4551.04</v>
      </c>
      <c r="BA43" s="161">
        <f t="shared" si="72"/>
        <v>4551.04</v>
      </c>
      <c r="BB43" s="167">
        <f t="shared" ref="BB43:BB55" si="85">BB23-AZ43</f>
        <v>-31.497150427854649</v>
      </c>
      <c r="BC43" s="165"/>
      <c r="BD43" s="161">
        <f t="shared" si="73"/>
        <v>4551.04</v>
      </c>
      <c r="BE43" s="163">
        <f t="shared" si="74"/>
        <v>4551.04</v>
      </c>
      <c r="BF43" s="164">
        <f t="shared" si="75"/>
        <v>8131.606318206831</v>
      </c>
      <c r="BG43" s="161">
        <v>0</v>
      </c>
      <c r="BH43" s="161">
        <f t="shared" si="76"/>
        <v>4551.04</v>
      </c>
      <c r="BI43" s="163">
        <f t="shared" si="77"/>
        <v>4551.04</v>
      </c>
      <c r="BJ43" s="164">
        <f t="shared" si="78"/>
        <v>10614.259333130074</v>
      </c>
      <c r="BK43" s="168">
        <v>0</v>
      </c>
      <c r="BL43" s="169">
        <v>0</v>
      </c>
      <c r="BM43" s="161">
        <f t="shared" si="80"/>
        <v>4551.04</v>
      </c>
      <c r="BN43" s="163">
        <f t="shared" si="81"/>
        <v>4551.04</v>
      </c>
      <c r="BO43" s="164">
        <f t="shared" si="82"/>
        <v>9454.0383386549365</v>
      </c>
      <c r="BP43" s="19" t="str">
        <f t="shared" si="83"/>
        <v>Filip Korski</v>
      </c>
      <c r="BQ43" s="164">
        <f t="shared" ref="BQ43:BQ46" si="86">BF43</f>
        <v>8131.606318206831</v>
      </c>
      <c r="BR43" s="19" t="str">
        <f t="shared" ref="BR43:BR46" si="87">BP43&amp;" "&amp; DOLLAR(BQ43)</f>
        <v>Filip Korski $8,131.61</v>
      </c>
    </row>
    <row r="44" spans="1:71" ht="14">
      <c r="B44" s="5"/>
      <c r="C44" s="61"/>
      <c r="D44" s="62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P44" s="91"/>
      <c r="AQ44" s="91"/>
      <c r="AR44" s="91"/>
      <c r="AS44" s="91"/>
      <c r="AT44" s="91"/>
      <c r="AU44" s="91"/>
      <c r="AV44" s="91"/>
      <c r="AW44" s="91"/>
      <c r="AY44" s="160" t="str">
        <f t="shared" si="71"/>
        <v>Maria Gacek</v>
      </c>
      <c r="AZ44" s="165">
        <v>1964.73</v>
      </c>
      <c r="BA44" s="161">
        <f t="shared" si="72"/>
        <v>1964.73</v>
      </c>
      <c r="BB44" s="167">
        <f t="shared" si="85"/>
        <v>-27.783732427347559</v>
      </c>
      <c r="BC44" s="165"/>
      <c r="BD44" s="161">
        <f t="shared" si="73"/>
        <v>1964.73</v>
      </c>
      <c r="BE44" s="163">
        <f t="shared" si="74"/>
        <v>1964.73</v>
      </c>
      <c r="BF44" s="164">
        <f t="shared" si="75"/>
        <v>3470.6891827018039</v>
      </c>
      <c r="BG44" s="161">
        <v>0</v>
      </c>
      <c r="BH44" s="161">
        <f t="shared" si="76"/>
        <v>1964.73</v>
      </c>
      <c r="BI44" s="163">
        <f t="shared" si="77"/>
        <v>1964.73</v>
      </c>
      <c r="BJ44" s="164">
        <f t="shared" si="78"/>
        <v>4534.6833319546222</v>
      </c>
      <c r="BK44" s="168">
        <v>0</v>
      </c>
      <c r="BL44" s="169">
        <v>0</v>
      </c>
      <c r="BM44" s="161">
        <f t="shared" si="80"/>
        <v>1964.73</v>
      </c>
      <c r="BN44" s="163">
        <f t="shared" si="81"/>
        <v>1964.73</v>
      </c>
      <c r="BO44" s="164">
        <f t="shared" si="82"/>
        <v>4037.4457628938485</v>
      </c>
      <c r="BP44" s="19" t="str">
        <f t="shared" si="83"/>
        <v>Maria Gacek</v>
      </c>
      <c r="BQ44" s="164">
        <f t="shared" si="86"/>
        <v>3470.6891827018039</v>
      </c>
      <c r="BR44" s="19" t="str">
        <f t="shared" si="87"/>
        <v>Maria Gacek $3,470.69</v>
      </c>
    </row>
    <row r="45" spans="1:71" ht="14">
      <c r="B45" s="5"/>
      <c r="C45" s="61"/>
      <c r="D45" s="62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P45" s="91"/>
      <c r="AQ45" s="91"/>
      <c r="AR45" s="91"/>
      <c r="AS45" s="91"/>
      <c r="AT45" s="91"/>
      <c r="AU45" s="91"/>
      <c r="AV45" s="91"/>
      <c r="AW45" s="91"/>
      <c r="AY45" s="160" t="str">
        <f t="shared" si="71"/>
        <v>Piotr Pilip</v>
      </c>
      <c r="AZ45" s="165">
        <v>3257.89</v>
      </c>
      <c r="BA45" s="161">
        <f t="shared" si="72"/>
        <v>3257.89</v>
      </c>
      <c r="BB45" s="167">
        <f t="shared" si="85"/>
        <v>-29.639101147298334</v>
      </c>
      <c r="BC45" s="165"/>
      <c r="BD45" s="161">
        <f t="shared" si="73"/>
        <v>3257.89</v>
      </c>
      <c r="BE45" s="163">
        <f t="shared" si="74"/>
        <v>3257.89</v>
      </c>
      <c r="BF45" s="164">
        <f t="shared" si="75"/>
        <v>5801.1490907346197</v>
      </c>
      <c r="BG45" s="161">
        <v>0</v>
      </c>
      <c r="BH45" s="161">
        <f t="shared" si="76"/>
        <v>3257.89</v>
      </c>
      <c r="BI45" s="163">
        <f t="shared" si="77"/>
        <v>3257.89</v>
      </c>
      <c r="BJ45" s="164">
        <f t="shared" si="78"/>
        <v>7574.4726728226506</v>
      </c>
      <c r="BK45" s="168">
        <v>0</v>
      </c>
      <c r="BL45" s="169">
        <v>0</v>
      </c>
      <c r="BM45" s="161">
        <f t="shared" si="80"/>
        <v>3257.89</v>
      </c>
      <c r="BN45" s="163">
        <f t="shared" si="81"/>
        <v>3257.89</v>
      </c>
      <c r="BO45" s="164">
        <f t="shared" si="82"/>
        <v>6745.7433910546952</v>
      </c>
      <c r="BP45" s="19" t="str">
        <f t="shared" si="83"/>
        <v>Piotr Pilip</v>
      </c>
      <c r="BQ45" s="164">
        <f t="shared" si="86"/>
        <v>5801.1490907346197</v>
      </c>
      <c r="BR45" s="19" t="str">
        <f t="shared" si="87"/>
        <v>Piotr Pilip $5,801.15</v>
      </c>
    </row>
    <row r="46" spans="1:71" ht="14">
      <c r="B46" s="5"/>
      <c r="C46" s="61"/>
      <c r="D46" s="62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170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P46" s="91"/>
      <c r="AQ46" s="91"/>
      <c r="AR46" s="91"/>
      <c r="AS46" s="91"/>
      <c r="AT46" s="91"/>
      <c r="AU46" s="91"/>
      <c r="AW46" s="91"/>
      <c r="AY46" s="160" t="str">
        <f t="shared" si="71"/>
        <v xml:space="preserve">Olha Hnatiuk </v>
      </c>
      <c r="AZ46" s="165">
        <v>4588.8</v>
      </c>
      <c r="BA46" s="161">
        <f t="shared" si="72"/>
        <v>4588.8</v>
      </c>
      <c r="BB46" s="167">
        <f t="shared" si="85"/>
        <v>-31.492921958006264</v>
      </c>
      <c r="BC46" s="165"/>
      <c r="BD46" s="161">
        <f t="shared" si="73"/>
        <v>4588.8</v>
      </c>
      <c r="BE46" s="163">
        <f t="shared" si="74"/>
        <v>4588.8</v>
      </c>
      <c r="BF46" s="164">
        <f t="shared" si="75"/>
        <v>8131.6105466766794</v>
      </c>
      <c r="BG46" s="161">
        <v>0</v>
      </c>
      <c r="BH46" s="161">
        <f t="shared" si="76"/>
        <v>4588.8</v>
      </c>
      <c r="BI46" s="163">
        <f t="shared" si="77"/>
        <v>4588.8</v>
      </c>
      <c r="BJ46" s="164">
        <f t="shared" si="78"/>
        <v>10614.263561599924</v>
      </c>
      <c r="BK46" s="168">
        <v>0</v>
      </c>
      <c r="BL46" s="169">
        <v>0</v>
      </c>
      <c r="BM46" s="161">
        <f t="shared" si="80"/>
        <v>4588.8</v>
      </c>
      <c r="BN46" s="163">
        <f t="shared" si="81"/>
        <v>4588.8</v>
      </c>
      <c r="BO46" s="164">
        <f t="shared" si="82"/>
        <v>9454.0425671247867</v>
      </c>
      <c r="BP46" s="19" t="str">
        <f t="shared" si="83"/>
        <v xml:space="preserve">Olha Hnatiuk </v>
      </c>
      <c r="BQ46" s="164">
        <f t="shared" si="86"/>
        <v>8131.6105466766794</v>
      </c>
      <c r="BR46" s="19" t="str">
        <f t="shared" si="87"/>
        <v>Olha Hnatiuk  $8,131.61</v>
      </c>
    </row>
    <row r="47" spans="1:71" ht="13">
      <c r="B47" s="5"/>
      <c r="C47" s="61"/>
      <c r="D47" s="62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P47" s="91"/>
      <c r="AQ47" s="91"/>
      <c r="AR47" s="91"/>
      <c r="AS47" s="91"/>
      <c r="AT47" s="91"/>
      <c r="AU47" s="91"/>
      <c r="AV47" s="91"/>
      <c r="AW47" s="91"/>
      <c r="AY47" s="160" t="str">
        <f t="shared" si="71"/>
        <v>Krzysztof Biedron</v>
      </c>
      <c r="AZ47" s="165">
        <v>3257.89</v>
      </c>
      <c r="BA47" s="161">
        <f t="shared" si="72"/>
        <v>3257.89</v>
      </c>
      <c r="BB47" s="167">
        <f t="shared" si="85"/>
        <v>-29.639101147298334</v>
      </c>
      <c r="BC47" s="165"/>
      <c r="BD47" s="161">
        <f t="shared" si="73"/>
        <v>3257.89</v>
      </c>
      <c r="BE47" s="163">
        <f t="shared" si="74"/>
        <v>3257.89</v>
      </c>
      <c r="BF47" s="164">
        <f t="shared" si="75"/>
        <v>-29.639101147298334</v>
      </c>
      <c r="BG47" s="161">
        <v>0</v>
      </c>
      <c r="BH47" s="161">
        <f t="shared" si="76"/>
        <v>3257.89</v>
      </c>
      <c r="BI47" s="163">
        <f t="shared" si="77"/>
        <v>3257.89</v>
      </c>
      <c r="BJ47" s="164">
        <f t="shared" si="78"/>
        <v>-29.639101147298334</v>
      </c>
      <c r="BK47" s="168">
        <v>0</v>
      </c>
      <c r="BL47" s="169">
        <v>0</v>
      </c>
      <c r="BM47" s="161">
        <f t="shared" si="80"/>
        <v>3257.89</v>
      </c>
      <c r="BN47" s="163">
        <f t="shared" si="81"/>
        <v>3257.89</v>
      </c>
      <c r="BO47" s="164">
        <f t="shared" si="82"/>
        <v>-29.639101147298334</v>
      </c>
      <c r="BP47" s="19"/>
      <c r="BQ47" s="164"/>
      <c r="BR47" s="19"/>
    </row>
    <row r="48" spans="1:71" ht="28">
      <c r="B48" s="5"/>
      <c r="C48" s="61"/>
      <c r="D48" s="62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P48" s="91"/>
      <c r="AQ48" s="91"/>
      <c r="AR48" s="91"/>
      <c r="AS48" s="91"/>
      <c r="AT48" s="91"/>
      <c r="AU48" s="91"/>
      <c r="AV48" s="91"/>
      <c r="AW48" s="91"/>
      <c r="AY48" s="160" t="str">
        <f t="shared" si="71"/>
        <v>Dominika Szczygiel</v>
      </c>
      <c r="AZ48" s="165">
        <v>1293.1500000000001</v>
      </c>
      <c r="BA48" s="161">
        <f t="shared" si="72"/>
        <v>1293.1500000000001</v>
      </c>
      <c r="BB48" s="167">
        <f t="shared" si="85"/>
        <v>-1.8540212132888882</v>
      </c>
      <c r="BC48" s="165"/>
      <c r="BD48" s="161">
        <f t="shared" si="73"/>
        <v>1293.1500000000001</v>
      </c>
      <c r="BE48" s="163">
        <f t="shared" si="74"/>
        <v>1293.1500000000001</v>
      </c>
      <c r="BF48" s="164">
        <f t="shared" si="75"/>
        <v>3496.6188939158624</v>
      </c>
      <c r="BG48" s="161">
        <v>0</v>
      </c>
      <c r="BH48" s="161">
        <f t="shared" si="76"/>
        <v>1293.1500000000001</v>
      </c>
      <c r="BI48" s="163">
        <f t="shared" si="77"/>
        <v>1293.1500000000001</v>
      </c>
      <c r="BJ48" s="164">
        <f t="shared" si="78"/>
        <v>4560.6130431686815</v>
      </c>
      <c r="BK48" s="168">
        <v>0</v>
      </c>
      <c r="BL48" s="169">
        <v>0</v>
      </c>
      <c r="BM48" s="161">
        <f t="shared" si="80"/>
        <v>1293.1500000000001</v>
      </c>
      <c r="BN48" s="163">
        <f t="shared" si="81"/>
        <v>1293.1500000000001</v>
      </c>
      <c r="BO48" s="164">
        <f t="shared" si="82"/>
        <v>4063.3754741079078</v>
      </c>
      <c r="BP48" s="19" t="str">
        <f t="shared" ref="BP48:BP55" si="88">AY48</f>
        <v>Dominika Szczygiel</v>
      </c>
      <c r="BQ48" s="164">
        <f t="shared" ref="BQ48:BQ55" si="89">BF48</f>
        <v>3496.6188939158624</v>
      </c>
      <c r="BR48" s="19" t="str">
        <f t="shared" ref="BR48:BR55" si="90">BP48&amp;" "&amp; DOLLAR(BQ48)</f>
        <v>Dominika Szczygiel $3,496.62</v>
      </c>
    </row>
    <row r="49" spans="1:70" ht="28">
      <c r="B49" s="5"/>
      <c r="C49" s="61"/>
      <c r="D49" s="62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P49" s="91"/>
      <c r="AQ49" s="91"/>
      <c r="AR49" s="91"/>
      <c r="AS49" s="91"/>
      <c r="AT49" s="91"/>
      <c r="AU49" s="91"/>
      <c r="AV49" s="91"/>
      <c r="AW49" s="91"/>
      <c r="AY49" s="160" t="str">
        <f t="shared" si="71"/>
        <v>Karol Kucharczyk</v>
      </c>
      <c r="AZ49" s="165">
        <v>1293.1500000000001</v>
      </c>
      <c r="BA49" s="161">
        <f t="shared" si="72"/>
        <v>1293.1500000000001</v>
      </c>
      <c r="BB49" s="167">
        <f t="shared" si="85"/>
        <v>-1.8540212132888882</v>
      </c>
      <c r="BC49" s="165"/>
      <c r="BD49" s="161">
        <f t="shared" si="73"/>
        <v>1293.1500000000001</v>
      </c>
      <c r="BE49" s="163">
        <f t="shared" si="74"/>
        <v>1293.1500000000001</v>
      </c>
      <c r="BF49" s="164">
        <f t="shared" si="75"/>
        <v>4662.776532292246</v>
      </c>
      <c r="BG49" s="161">
        <v>0</v>
      </c>
      <c r="BH49" s="161">
        <f t="shared" si="76"/>
        <v>1293.1500000000001</v>
      </c>
      <c r="BI49" s="163">
        <f t="shared" si="77"/>
        <v>1293.1500000000001</v>
      </c>
      <c r="BJ49" s="164">
        <f t="shared" si="78"/>
        <v>6312.849099620129</v>
      </c>
      <c r="BK49" s="168">
        <v>0</v>
      </c>
      <c r="BL49" s="169">
        <v>0</v>
      </c>
      <c r="BM49" s="161">
        <f t="shared" si="80"/>
        <v>1293.1500000000001</v>
      </c>
      <c r="BN49" s="163">
        <f t="shared" si="81"/>
        <v>1293.1500000000001</v>
      </c>
      <c r="BO49" s="164">
        <f t="shared" si="82"/>
        <v>5484.1198178521736</v>
      </c>
      <c r="BP49" s="19" t="str">
        <f t="shared" si="88"/>
        <v>Karol Kucharczyk</v>
      </c>
      <c r="BQ49" s="164">
        <f t="shared" si="89"/>
        <v>4662.776532292246</v>
      </c>
      <c r="BR49" s="19" t="str">
        <f t="shared" si="90"/>
        <v>Karol Kucharczyk $4,662.78</v>
      </c>
    </row>
    <row r="50" spans="1:70" ht="14">
      <c r="B50" s="5"/>
      <c r="C50" s="61"/>
      <c r="D50" s="62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P50" s="91"/>
      <c r="AQ50" s="91"/>
      <c r="AR50" s="91"/>
      <c r="AS50" s="91"/>
      <c r="AT50" s="91"/>
      <c r="AU50" s="91"/>
      <c r="AV50" s="91"/>
      <c r="AW50" s="91"/>
      <c r="AY50" s="160" t="str">
        <f t="shared" si="71"/>
        <v>Adrian Szyndler</v>
      </c>
      <c r="AZ50" s="165">
        <v>1293.1500000000001</v>
      </c>
      <c r="BA50" s="161">
        <f t="shared" si="72"/>
        <v>1293.1500000000001</v>
      </c>
      <c r="BB50" s="167">
        <f t="shared" si="85"/>
        <v>-1.8540212132888882</v>
      </c>
      <c r="BC50" s="165"/>
      <c r="BD50" s="161">
        <f t="shared" si="73"/>
        <v>1293.1500000000001</v>
      </c>
      <c r="BE50" s="163">
        <f t="shared" si="74"/>
        <v>1293.1500000000001</v>
      </c>
      <c r="BF50" s="164">
        <f t="shared" si="75"/>
        <v>3496.6188939158624</v>
      </c>
      <c r="BG50" s="161">
        <v>0</v>
      </c>
      <c r="BH50" s="161">
        <f t="shared" si="76"/>
        <v>1293.1500000000001</v>
      </c>
      <c r="BI50" s="163">
        <f t="shared" si="77"/>
        <v>1293.1500000000001</v>
      </c>
      <c r="BJ50" s="164">
        <f t="shared" si="78"/>
        <v>4560.6130431686815</v>
      </c>
      <c r="BK50" s="168">
        <v>0</v>
      </c>
      <c r="BL50" s="169">
        <v>0</v>
      </c>
      <c r="BM50" s="161">
        <f t="shared" si="80"/>
        <v>1293.1500000000001</v>
      </c>
      <c r="BN50" s="163">
        <f t="shared" si="81"/>
        <v>1293.1500000000001</v>
      </c>
      <c r="BO50" s="164">
        <f t="shared" si="82"/>
        <v>4063.3754741079078</v>
      </c>
      <c r="BP50" s="19" t="str">
        <f t="shared" si="88"/>
        <v>Adrian Szyndler</v>
      </c>
      <c r="BQ50" s="164">
        <f t="shared" si="89"/>
        <v>3496.6188939158624</v>
      </c>
      <c r="BR50" s="19" t="str">
        <f t="shared" si="90"/>
        <v>Adrian Szyndler $3,496.62</v>
      </c>
    </row>
    <row r="51" spans="1:70" ht="28">
      <c r="C51" s="61"/>
      <c r="D51" s="62"/>
      <c r="R51" s="91"/>
      <c r="AY51" s="160" t="str">
        <f t="shared" si="71"/>
        <v>Michał  Grudziński</v>
      </c>
      <c r="AZ51" s="165">
        <v>1318.33</v>
      </c>
      <c r="BA51" s="161">
        <f t="shared" si="72"/>
        <v>1318.33</v>
      </c>
      <c r="BB51" s="167">
        <f t="shared" si="85"/>
        <v>-1.8554174397031602</v>
      </c>
      <c r="BC51" s="165"/>
      <c r="BD51" s="161">
        <f t="shared" si="73"/>
        <v>1318.33</v>
      </c>
      <c r="BE51" s="163">
        <f t="shared" si="74"/>
        <v>1318.33</v>
      </c>
      <c r="BF51" s="164">
        <f t="shared" si="75"/>
        <v>2330.4598593130645</v>
      </c>
      <c r="BG51" s="161">
        <v>0</v>
      </c>
      <c r="BH51" s="161">
        <f t="shared" si="76"/>
        <v>1318.33</v>
      </c>
      <c r="BI51" s="163">
        <f t="shared" si="77"/>
        <v>1318.33</v>
      </c>
      <c r="BJ51" s="164">
        <f t="shared" si="78"/>
        <v>3039.7892921482771</v>
      </c>
      <c r="BK51" s="168">
        <v>0</v>
      </c>
      <c r="BL51" s="169">
        <v>0</v>
      </c>
      <c r="BM51" s="161">
        <f t="shared" si="80"/>
        <v>1318.33</v>
      </c>
      <c r="BN51" s="163">
        <f t="shared" si="81"/>
        <v>1318.33</v>
      </c>
      <c r="BO51" s="164">
        <f t="shared" si="82"/>
        <v>2708.297579441095</v>
      </c>
      <c r="BP51" s="19" t="str">
        <f t="shared" si="88"/>
        <v>Michał  Grudziński</v>
      </c>
      <c r="BQ51" s="164">
        <f t="shared" si="89"/>
        <v>2330.4598593130645</v>
      </c>
      <c r="BR51" s="19" t="str">
        <f t="shared" si="90"/>
        <v>Michał  Grudziński $2,330.46</v>
      </c>
    </row>
    <row r="52" spans="1:70" ht="14">
      <c r="C52" s="61"/>
      <c r="D52" s="62"/>
      <c r="R52" s="91"/>
      <c r="AY52" s="160" t="str">
        <f t="shared" si="71"/>
        <v>Dawid Tan</v>
      </c>
      <c r="AZ52" s="165">
        <v>1318.33</v>
      </c>
      <c r="BA52" s="161">
        <f t="shared" si="72"/>
        <v>1318.33</v>
      </c>
      <c r="BB52" s="167">
        <f t="shared" si="85"/>
        <v>-1.8554174397031602</v>
      </c>
      <c r="BC52" s="165"/>
      <c r="BD52" s="161">
        <f t="shared" si="73"/>
        <v>1318.33</v>
      </c>
      <c r="BE52" s="163">
        <f t="shared" si="74"/>
        <v>1318.33</v>
      </c>
      <c r="BF52" s="164">
        <f t="shared" si="75"/>
        <v>2330.4598593130645</v>
      </c>
      <c r="BG52" s="161">
        <v>0</v>
      </c>
      <c r="BH52" s="161">
        <f t="shared" si="76"/>
        <v>1318.33</v>
      </c>
      <c r="BI52" s="163">
        <f t="shared" si="77"/>
        <v>1318.33</v>
      </c>
      <c r="BJ52" s="164">
        <f t="shared" si="78"/>
        <v>3039.7892921482771</v>
      </c>
      <c r="BK52" s="168">
        <v>0</v>
      </c>
      <c r="BL52" s="169">
        <v>0</v>
      </c>
      <c r="BM52" s="161">
        <f t="shared" si="80"/>
        <v>1318.33</v>
      </c>
      <c r="BN52" s="163">
        <f t="shared" si="81"/>
        <v>1318.33</v>
      </c>
      <c r="BO52" s="164">
        <f t="shared" si="82"/>
        <v>2708.297579441095</v>
      </c>
      <c r="BP52" s="19" t="str">
        <f t="shared" si="88"/>
        <v>Dawid Tan</v>
      </c>
      <c r="BQ52" s="164">
        <f t="shared" si="89"/>
        <v>2330.4598593130645</v>
      </c>
      <c r="BR52" s="19" t="str">
        <f t="shared" si="90"/>
        <v>Dawid Tan $2,330.46</v>
      </c>
    </row>
    <row r="53" spans="1:70" ht="14">
      <c r="C53" s="61"/>
      <c r="D53" s="62"/>
      <c r="R53" s="91"/>
      <c r="AY53" s="160" t="str">
        <f t="shared" si="71"/>
        <v>Alicja Brajner</v>
      </c>
      <c r="AZ53" s="165">
        <v>1318.33</v>
      </c>
      <c r="BA53" s="161">
        <f t="shared" si="72"/>
        <v>1318.33</v>
      </c>
      <c r="BB53" s="167">
        <f t="shared" si="85"/>
        <v>-1.8554174397031602</v>
      </c>
      <c r="BC53" s="165"/>
      <c r="BD53" s="161">
        <f t="shared" si="73"/>
        <v>1318.33</v>
      </c>
      <c r="BE53" s="163">
        <f t="shared" si="74"/>
        <v>1318.33</v>
      </c>
      <c r="BF53" s="164">
        <f t="shared" si="75"/>
        <v>2330.4598593130645</v>
      </c>
      <c r="BG53" s="161">
        <v>0</v>
      </c>
      <c r="BH53" s="161">
        <f t="shared" si="76"/>
        <v>1318.33</v>
      </c>
      <c r="BI53" s="163">
        <f t="shared" si="77"/>
        <v>1318.33</v>
      </c>
      <c r="BJ53" s="164">
        <f t="shared" si="78"/>
        <v>3039.7892921482771</v>
      </c>
      <c r="BK53" s="168">
        <v>0</v>
      </c>
      <c r="BL53" s="169">
        <v>0</v>
      </c>
      <c r="BM53" s="161">
        <f t="shared" si="80"/>
        <v>1318.33</v>
      </c>
      <c r="BN53" s="163">
        <f t="shared" si="81"/>
        <v>1318.33</v>
      </c>
      <c r="BO53" s="164">
        <f t="shared" si="82"/>
        <v>2708.297579441095</v>
      </c>
      <c r="BP53" s="19" t="str">
        <f t="shared" si="88"/>
        <v>Alicja Brajner</v>
      </c>
      <c r="BQ53" s="164">
        <f t="shared" si="89"/>
        <v>2330.4598593130645</v>
      </c>
      <c r="BR53" s="19" t="str">
        <f t="shared" si="90"/>
        <v>Alicja Brajner $2,330.46</v>
      </c>
    </row>
    <row r="54" spans="1:70" ht="14">
      <c r="C54" s="61"/>
      <c r="D54" s="62"/>
      <c r="R54" s="91"/>
      <c r="AY54" s="160" t="str">
        <f t="shared" si="71"/>
        <v>Maciej Zarych</v>
      </c>
      <c r="AZ54" s="165">
        <v>0</v>
      </c>
      <c r="BA54" s="161">
        <f t="shared" si="72"/>
        <v>0</v>
      </c>
      <c r="BB54" s="167">
        <f t="shared" si="85"/>
        <v>0</v>
      </c>
      <c r="BC54" s="165"/>
      <c r="BD54" s="161">
        <f t="shared" si="73"/>
        <v>0</v>
      </c>
      <c r="BE54" s="163">
        <f t="shared" si="74"/>
        <v>0</v>
      </c>
      <c r="BF54" s="164">
        <f t="shared" si="75"/>
        <v>2332.3152767527677</v>
      </c>
      <c r="BG54" s="161">
        <v>0</v>
      </c>
      <c r="BH54" s="161">
        <f t="shared" si="76"/>
        <v>0</v>
      </c>
      <c r="BI54" s="163">
        <f t="shared" si="77"/>
        <v>0</v>
      </c>
      <c r="BJ54" s="164">
        <f t="shared" si="78"/>
        <v>3041.6447095879798</v>
      </c>
      <c r="BK54" s="168">
        <v>0</v>
      </c>
      <c r="BL54" s="169">
        <v>0</v>
      </c>
      <c r="BM54" s="161">
        <f t="shared" si="80"/>
        <v>0</v>
      </c>
      <c r="BN54" s="163">
        <f t="shared" si="81"/>
        <v>0</v>
      </c>
      <c r="BO54" s="164">
        <f t="shared" si="82"/>
        <v>2710.1529968807977</v>
      </c>
      <c r="BP54" s="19" t="str">
        <f t="shared" si="88"/>
        <v>Maciej Zarych</v>
      </c>
      <c r="BQ54" s="164">
        <f t="shared" si="89"/>
        <v>2332.3152767527677</v>
      </c>
      <c r="BR54" s="19" t="str">
        <f t="shared" si="90"/>
        <v>Maciej Zarych $2,332.32</v>
      </c>
    </row>
    <row r="55" spans="1:70" ht="28">
      <c r="C55" s="61"/>
      <c r="D55" s="62"/>
      <c r="R55" s="91"/>
      <c r="AY55" s="160" t="str">
        <f t="shared" si="71"/>
        <v>Radosław Gasiorek</v>
      </c>
      <c r="AZ55" s="165">
        <v>0</v>
      </c>
      <c r="BA55" s="161">
        <f t="shared" si="72"/>
        <v>0</v>
      </c>
      <c r="BB55" s="167">
        <f t="shared" si="85"/>
        <v>0</v>
      </c>
      <c r="BC55" s="165"/>
      <c r="BD55" s="161">
        <f t="shared" si="73"/>
        <v>0</v>
      </c>
      <c r="BE55" s="163">
        <f t="shared" si="74"/>
        <v>0</v>
      </c>
      <c r="BF55" s="164">
        <f t="shared" si="75"/>
        <v>2332.3152767527677</v>
      </c>
      <c r="BG55" s="161">
        <v>0</v>
      </c>
      <c r="BH55" s="161">
        <f t="shared" si="76"/>
        <v>0</v>
      </c>
      <c r="BI55" s="163">
        <f t="shared" si="77"/>
        <v>0</v>
      </c>
      <c r="BJ55" s="164">
        <f t="shared" si="78"/>
        <v>3041.6447095879798</v>
      </c>
      <c r="BK55" s="168">
        <v>0</v>
      </c>
      <c r="BL55" s="169">
        <v>0</v>
      </c>
      <c r="BM55" s="161">
        <f t="shared" si="80"/>
        <v>0</v>
      </c>
      <c r="BN55" s="163">
        <f t="shared" si="81"/>
        <v>0</v>
      </c>
      <c r="BO55" s="164">
        <f t="shared" si="82"/>
        <v>2710.1529968807977</v>
      </c>
      <c r="BP55" s="19" t="str">
        <f t="shared" si="88"/>
        <v>Radosław Gasiorek</v>
      </c>
      <c r="BQ55" s="164">
        <f t="shared" si="89"/>
        <v>2332.3152767527677</v>
      </c>
      <c r="BR55" s="19" t="str">
        <f t="shared" si="90"/>
        <v>Radosław Gasiorek $2,332.32</v>
      </c>
    </row>
    <row r="56" spans="1:70" ht="13">
      <c r="C56" s="61"/>
      <c r="D56" s="62"/>
      <c r="R56" s="91"/>
      <c r="AY56" s="1"/>
      <c r="AZ56" s="152"/>
    </row>
    <row r="57" spans="1:70" ht="13">
      <c r="C57" s="61"/>
      <c r="D57" s="62"/>
      <c r="R57" s="91"/>
      <c r="AY57" s="1"/>
      <c r="AZ57" s="152"/>
    </row>
    <row r="58" spans="1:70" ht="14">
      <c r="A58" s="89"/>
      <c r="C58" s="61"/>
      <c r="D58" s="62"/>
      <c r="AY58" s="171" t="s">
        <v>200</v>
      </c>
      <c r="AZ58" s="152"/>
      <c r="BA58" s="152"/>
      <c r="BB58" s="152"/>
      <c r="BC58" s="152"/>
      <c r="BD58" s="152"/>
      <c r="BE58" s="91"/>
      <c r="BF58" s="91"/>
      <c r="BG58" s="91"/>
      <c r="BH58" s="1"/>
      <c r="BI58" s="1"/>
      <c r="BJ58" s="17">
        <f>BB48*3</f>
        <v>-5.5620636398666647</v>
      </c>
      <c r="BK58" s="1"/>
      <c r="BL58" s="17"/>
      <c r="BQ58" s="17">
        <f>SUM(BQ40:BQ51)</f>
        <v>39521.529317756969</v>
      </c>
    </row>
    <row r="59" spans="1:70" ht="13">
      <c r="A59" s="89"/>
      <c r="C59" s="61"/>
      <c r="D59" s="62"/>
      <c r="BE59" s="91"/>
      <c r="BF59" s="91"/>
      <c r="BH59" s="91"/>
      <c r="BI59" s="91"/>
      <c r="BJ59" s="91"/>
      <c r="BK59" s="91"/>
      <c r="BL59" s="17"/>
      <c r="BM59" s="91"/>
      <c r="BN59" s="91"/>
      <c r="BO59" s="91"/>
      <c r="BP59" s="91"/>
      <c r="BQ59" s="91"/>
      <c r="BR59" s="91"/>
    </row>
    <row r="60" spans="1:70" ht="14">
      <c r="A60" s="89" t="s">
        <v>201</v>
      </c>
      <c r="C60" s="61"/>
      <c r="D60" s="62"/>
      <c r="G60" s="1"/>
      <c r="H60" s="1"/>
      <c r="AN60" s="1" t="s">
        <v>148</v>
      </c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"/>
      <c r="BM60" s="172"/>
      <c r="BN60" s="172"/>
      <c r="BO60" s="172"/>
      <c r="BP60" s="172"/>
      <c r="BQ60" s="172"/>
      <c r="BR60" s="172"/>
    </row>
    <row r="61" spans="1:70" ht="13">
      <c r="A61" s="89"/>
      <c r="C61" s="61"/>
      <c r="D61" s="6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"/>
      <c r="BL61" s="17"/>
      <c r="BM61" s="172"/>
      <c r="BN61" s="172"/>
      <c r="BO61" s="172"/>
      <c r="BP61" s="172"/>
      <c r="BQ61" s="172"/>
      <c r="BR61" s="172"/>
    </row>
    <row r="62" spans="1:70" ht="13">
      <c r="A62" s="89"/>
      <c r="C62" s="61"/>
      <c r="D62" s="62"/>
      <c r="E62" s="1"/>
      <c r="F62" s="1"/>
      <c r="G62" s="1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"/>
      <c r="BL62" s="17"/>
      <c r="BM62" s="172"/>
      <c r="BN62" s="172"/>
      <c r="BO62" s="172"/>
      <c r="BP62" s="172"/>
      <c r="BQ62" s="172"/>
      <c r="BR62" s="172"/>
    </row>
    <row r="63" spans="1:70" ht="13">
      <c r="A63" s="89"/>
      <c r="C63" s="61"/>
      <c r="D63" s="62"/>
      <c r="AZ63" s="17">
        <v>13038.05</v>
      </c>
      <c r="BA63" s="17">
        <v>24915.969999999998</v>
      </c>
      <c r="BB63" s="17">
        <v>372203.84706388612</v>
      </c>
      <c r="BC63" s="17">
        <v>-60000</v>
      </c>
      <c r="BD63" s="17">
        <v>-46961.95</v>
      </c>
      <c r="BE63" s="17">
        <v>-35084.03</v>
      </c>
      <c r="BF63" s="17">
        <v>410539.17686954647</v>
      </c>
      <c r="BG63" s="17">
        <v>-90000</v>
      </c>
      <c r="BH63" s="17">
        <v>-136961.95000000001</v>
      </c>
      <c r="BI63" s="17">
        <v>-125084.03</v>
      </c>
      <c r="BJ63" s="17">
        <v>479312.76177520683</v>
      </c>
      <c r="BK63" s="17">
        <v>-90000</v>
      </c>
      <c r="BL63" s="17">
        <v>-180000</v>
      </c>
      <c r="BM63" s="17">
        <v>-226961.95</v>
      </c>
      <c r="BN63" s="17">
        <v>-215084.03</v>
      </c>
      <c r="BO63" s="17">
        <v>548086.34668086725</v>
      </c>
      <c r="BP63" s="172"/>
      <c r="BQ63" s="172"/>
      <c r="BR63" s="172"/>
    </row>
    <row r="64" spans="1:70" ht="13">
      <c r="A64" s="89"/>
      <c r="C64" s="61"/>
      <c r="D64" s="62"/>
      <c r="AV64" s="173"/>
      <c r="AX64" s="17"/>
      <c r="AZ64" s="17">
        <v>0</v>
      </c>
      <c r="BA64" s="17">
        <v>0</v>
      </c>
      <c r="BB64" s="17">
        <v>91417.082637058717</v>
      </c>
      <c r="BC64" s="17">
        <v>0</v>
      </c>
      <c r="BD64" s="17">
        <v>0</v>
      </c>
      <c r="BE64" s="17">
        <v>0</v>
      </c>
      <c r="BF64" s="17">
        <v>70588.907542719098</v>
      </c>
      <c r="BG64" s="17">
        <v>0</v>
      </c>
      <c r="BH64" s="17">
        <v>0</v>
      </c>
      <c r="BI64" s="17">
        <v>0</v>
      </c>
      <c r="BJ64" s="17">
        <v>49362.492448379475</v>
      </c>
      <c r="BK64" s="17">
        <v>0</v>
      </c>
      <c r="BL64" s="17">
        <v>0</v>
      </c>
      <c r="BM64" s="17">
        <v>0</v>
      </c>
      <c r="BN64" s="17">
        <v>0</v>
      </c>
      <c r="BO64" s="17">
        <v>28136.077354039851</v>
      </c>
      <c r="BP64" s="172"/>
      <c r="BQ64" s="172"/>
      <c r="BR64" s="172"/>
    </row>
    <row r="65" spans="1:70" ht="13">
      <c r="A65" s="89"/>
      <c r="C65" s="61"/>
      <c r="D65" s="62"/>
      <c r="AV65" s="173"/>
      <c r="AX65" s="17"/>
      <c r="AZ65" s="17">
        <v>0</v>
      </c>
      <c r="BA65" s="17">
        <v>0</v>
      </c>
      <c r="BB65" s="17">
        <v>92323.332669613112</v>
      </c>
      <c r="BC65" s="17">
        <v>0</v>
      </c>
      <c r="BD65" s="17">
        <v>0</v>
      </c>
      <c r="BE65" s="17">
        <v>0</v>
      </c>
      <c r="BF65" s="17">
        <v>70688.912675273488</v>
      </c>
      <c r="BG65" s="17">
        <v>0</v>
      </c>
      <c r="BH65" s="17">
        <v>0</v>
      </c>
      <c r="BI65" s="17">
        <v>0</v>
      </c>
      <c r="BJ65" s="17">
        <v>49462.497580933865</v>
      </c>
      <c r="BK65" s="17">
        <v>0</v>
      </c>
      <c r="BL65" s="19">
        <v>0</v>
      </c>
      <c r="BM65" s="17">
        <v>0</v>
      </c>
      <c r="BN65" s="17">
        <v>0</v>
      </c>
      <c r="BO65" s="17">
        <v>28236.082486594241</v>
      </c>
      <c r="BP65" s="172"/>
      <c r="BQ65" s="172"/>
      <c r="BR65" s="172"/>
    </row>
    <row r="66" spans="1:70" ht="13">
      <c r="A66" s="89"/>
      <c r="C66" s="61"/>
      <c r="D66" s="62"/>
      <c r="AV66" s="173"/>
      <c r="AX66" s="17"/>
      <c r="AZ66" s="17">
        <v>0</v>
      </c>
      <c r="BA66" s="17">
        <v>0</v>
      </c>
      <c r="BB66" s="17">
        <v>91367.307769613108</v>
      </c>
      <c r="BC66" s="17">
        <v>0</v>
      </c>
      <c r="BD66" s="17">
        <v>0</v>
      </c>
      <c r="BE66" s="17">
        <v>0</v>
      </c>
      <c r="BF66" s="17">
        <v>70588.912675273488</v>
      </c>
      <c r="BG66" s="17">
        <v>0</v>
      </c>
      <c r="BH66" s="17">
        <v>0</v>
      </c>
      <c r="BI66" s="17">
        <v>0</v>
      </c>
      <c r="BJ66" s="17">
        <v>49362.497580933865</v>
      </c>
      <c r="BK66" s="17">
        <v>0</v>
      </c>
      <c r="BL66" s="174">
        <v>0</v>
      </c>
      <c r="BM66" s="17">
        <v>0</v>
      </c>
      <c r="BN66" s="17">
        <v>0</v>
      </c>
      <c r="BO66" s="17">
        <v>28136.082486594241</v>
      </c>
      <c r="BP66" s="172"/>
      <c r="BQ66" s="172"/>
      <c r="BR66" s="172"/>
    </row>
    <row r="67" spans="1:70" ht="13">
      <c r="A67" s="89"/>
      <c r="C67" s="61"/>
      <c r="D67" s="62"/>
      <c r="AZ67" s="17">
        <v>8190.58</v>
      </c>
      <c r="BA67" s="17">
        <v>8190.58</v>
      </c>
      <c r="BB67" s="17">
        <v>-1591.1398497662494</v>
      </c>
      <c r="BC67" s="17">
        <v>3916.23</v>
      </c>
      <c r="BD67" s="17">
        <v>12106.81</v>
      </c>
      <c r="BE67" s="17">
        <v>12106.81</v>
      </c>
      <c r="BF67" s="17">
        <v>-6696.0490950492676</v>
      </c>
      <c r="BG67" s="17">
        <v>0</v>
      </c>
      <c r="BH67" s="17">
        <v>12106.81</v>
      </c>
      <c r="BI67" s="17">
        <v>12106.81</v>
      </c>
      <c r="BJ67" s="17">
        <v>-7884.7283403322863</v>
      </c>
      <c r="BK67" s="17">
        <v>0</v>
      </c>
      <c r="BL67" s="17">
        <v>0</v>
      </c>
      <c r="BM67" s="17">
        <v>12106.81</v>
      </c>
      <c r="BN67" s="17">
        <v>12106.81</v>
      </c>
      <c r="BO67" s="17">
        <v>-9073.4075856153049</v>
      </c>
      <c r="BP67" s="172"/>
      <c r="BQ67" s="172"/>
      <c r="BR67" s="172"/>
    </row>
    <row r="68" spans="1:70" ht="13">
      <c r="A68" s="89"/>
      <c r="C68" s="61"/>
      <c r="D68" s="62"/>
      <c r="AZ68" s="17">
        <v>3478.31</v>
      </c>
      <c r="BA68" s="17">
        <v>3478.31</v>
      </c>
      <c r="BB68" s="17">
        <v>-681.91488928665785</v>
      </c>
      <c r="BC68" s="17">
        <v>1678.39</v>
      </c>
      <c r="BD68" s="17">
        <v>5156.7</v>
      </c>
      <c r="BE68" s="17">
        <v>5156.7</v>
      </c>
      <c r="BF68" s="17">
        <v>-2869.7388515508087</v>
      </c>
      <c r="BG68" s="17">
        <v>0</v>
      </c>
      <c r="BH68" s="17">
        <v>5156.7</v>
      </c>
      <c r="BI68" s="17">
        <v>5156.7</v>
      </c>
      <c r="BJ68" s="17">
        <v>-3379.1728138149597</v>
      </c>
      <c r="BK68" s="17">
        <v>0</v>
      </c>
      <c r="BL68" s="17">
        <v>0</v>
      </c>
      <c r="BM68" s="17">
        <v>5156.7</v>
      </c>
      <c r="BN68" s="17">
        <v>5156.7</v>
      </c>
      <c r="BO68" s="17">
        <v>-3888.6067760791107</v>
      </c>
      <c r="BP68" s="172"/>
      <c r="BQ68" s="172"/>
      <c r="BR68" s="172"/>
    </row>
    <row r="69" spans="1:70" ht="13">
      <c r="A69" s="89"/>
      <c r="C69" s="61"/>
      <c r="D69" s="62"/>
      <c r="AZ69" s="17">
        <v>5772.67</v>
      </c>
      <c r="BA69" s="17">
        <v>5772.67</v>
      </c>
      <c r="BB69" s="17">
        <v>-1136.531029246149</v>
      </c>
      <c r="BC69" s="17">
        <v>2797.31</v>
      </c>
      <c r="BD69" s="17">
        <v>8569.98</v>
      </c>
      <c r="BE69" s="17">
        <v>8569.98</v>
      </c>
      <c r="BF69" s="17">
        <v>-4782.8976330197329</v>
      </c>
      <c r="BG69" s="17">
        <v>0</v>
      </c>
      <c r="BH69" s="17">
        <v>8569.98</v>
      </c>
      <c r="BI69" s="17">
        <v>8569.98</v>
      </c>
      <c r="BJ69" s="17">
        <v>-5631.9542367933182</v>
      </c>
      <c r="BK69" s="17">
        <v>0</v>
      </c>
      <c r="BL69" s="17">
        <v>0</v>
      </c>
      <c r="BM69" s="17">
        <v>8569.98</v>
      </c>
      <c r="BN69" s="17">
        <v>8569.98</v>
      </c>
      <c r="BO69" s="17">
        <v>-6481.0108405669034</v>
      </c>
    </row>
    <row r="70" spans="1:70" ht="13">
      <c r="A70" s="89"/>
      <c r="C70" s="61"/>
      <c r="D70" s="62"/>
      <c r="AZ70" s="17">
        <v>4440.1400000000003</v>
      </c>
      <c r="BA70" s="17">
        <v>4440.1400000000003</v>
      </c>
      <c r="BB70" s="17">
        <v>-909.22633827753452</v>
      </c>
      <c r="BC70" s="17">
        <v>2237.84</v>
      </c>
      <c r="BD70" s="17">
        <v>6677.9800000000005</v>
      </c>
      <c r="BE70" s="17">
        <v>6677.9800000000005</v>
      </c>
      <c r="BF70" s="17">
        <v>-3826.3116212964023</v>
      </c>
      <c r="BG70" s="17">
        <v>0</v>
      </c>
      <c r="BH70" s="17">
        <v>6677.9800000000005</v>
      </c>
      <c r="BI70" s="17">
        <v>6677.9800000000005</v>
      </c>
      <c r="BJ70" s="17">
        <v>-4505.55690431527</v>
      </c>
      <c r="BK70" s="17">
        <v>0</v>
      </c>
      <c r="BL70" s="17">
        <v>0</v>
      </c>
      <c r="BM70" s="17">
        <v>6677.9800000000005</v>
      </c>
      <c r="BN70" s="17">
        <v>6677.9800000000005</v>
      </c>
      <c r="BO70" s="17">
        <v>-5184.8021873341377</v>
      </c>
    </row>
    <row r="71" spans="1:70" ht="13">
      <c r="A71" s="89"/>
      <c r="C71" s="61"/>
      <c r="AZ71" s="17">
        <v>5772.67</v>
      </c>
      <c r="BA71" s="17">
        <v>5772.67</v>
      </c>
      <c r="BB71" s="17">
        <v>-1136.531029246149</v>
      </c>
      <c r="BC71" s="17">
        <v>2797.31</v>
      </c>
      <c r="BD71" s="17">
        <v>8569.98</v>
      </c>
      <c r="BE71" s="17">
        <v>8569.98</v>
      </c>
      <c r="BF71" s="17">
        <v>-4782.8976330197329</v>
      </c>
      <c r="BG71" s="17">
        <v>0</v>
      </c>
      <c r="BH71" s="17">
        <v>8569.98</v>
      </c>
      <c r="BI71" s="17">
        <v>8569.98</v>
      </c>
      <c r="BJ71" s="17">
        <v>-5631.9542367933182</v>
      </c>
      <c r="BK71" s="17">
        <v>0</v>
      </c>
      <c r="BL71" s="17">
        <v>0</v>
      </c>
      <c r="BM71" s="17">
        <v>8569.98</v>
      </c>
      <c r="BN71" s="17">
        <v>8569.98</v>
      </c>
      <c r="BO71" s="17">
        <v>-6481.0108405669034</v>
      </c>
    </row>
    <row r="72" spans="1:70" ht="13">
      <c r="A72" s="89"/>
      <c r="C72" s="61"/>
      <c r="AZ72" s="17">
        <v>1923.66</v>
      </c>
      <c r="BA72" s="17">
        <v>1923.66</v>
      </c>
      <c r="BB72" s="17">
        <v>-454.61479245283022</v>
      </c>
      <c r="BC72" s="17">
        <v>1118.92</v>
      </c>
      <c r="BD72" s="17">
        <v>3042.58</v>
      </c>
      <c r="BE72" s="17">
        <v>3042.58</v>
      </c>
      <c r="BF72" s="17">
        <v>-1913.1574339622639</v>
      </c>
      <c r="BG72" s="17">
        <v>0</v>
      </c>
      <c r="BH72" s="17">
        <v>3042.58</v>
      </c>
      <c r="BI72" s="17">
        <v>3042.58</v>
      </c>
      <c r="BJ72" s="17">
        <v>-2252.7800754716977</v>
      </c>
      <c r="BK72" s="17">
        <v>0</v>
      </c>
      <c r="BL72" s="17">
        <v>0</v>
      </c>
      <c r="BM72" s="17">
        <v>3042.58</v>
      </c>
      <c r="BN72" s="17">
        <v>3042.58</v>
      </c>
      <c r="BO72" s="17">
        <v>-2592.4027169811316</v>
      </c>
    </row>
    <row r="73" spans="1:70" ht="13">
      <c r="A73" s="89"/>
      <c r="C73" s="61"/>
      <c r="AZ73" s="17">
        <v>1923.66</v>
      </c>
      <c r="BA73" s="17">
        <v>1923.66</v>
      </c>
      <c r="BB73" s="17">
        <v>-454.61479245283022</v>
      </c>
      <c r="BC73" s="17">
        <v>1118.92</v>
      </c>
      <c r="BD73" s="17">
        <v>3042.58</v>
      </c>
      <c r="BE73" s="17">
        <v>3042.58</v>
      </c>
      <c r="BF73" s="17">
        <v>-1913.1574339622639</v>
      </c>
      <c r="BG73" s="17">
        <v>0</v>
      </c>
      <c r="BH73" s="17">
        <v>3042.58</v>
      </c>
      <c r="BI73" s="17">
        <v>3042.58</v>
      </c>
      <c r="BJ73" s="17">
        <v>-2252.7800754716977</v>
      </c>
      <c r="BK73" s="17">
        <v>0</v>
      </c>
      <c r="BL73" s="17">
        <v>0</v>
      </c>
      <c r="BM73" s="17">
        <v>3042.58</v>
      </c>
      <c r="BN73" s="17">
        <v>3042.58</v>
      </c>
      <c r="BO73" s="17">
        <v>-2592.4027169811316</v>
      </c>
    </row>
    <row r="74" spans="1:70" ht="13">
      <c r="A74" s="89"/>
      <c r="C74" s="61"/>
      <c r="AY74" s="17"/>
      <c r="AZ74" s="17">
        <v>1923.66</v>
      </c>
      <c r="BA74" s="17">
        <v>1923.66</v>
      </c>
      <c r="BB74" s="17">
        <v>-454.61479245283022</v>
      </c>
      <c r="BC74" s="17">
        <v>1118.92</v>
      </c>
      <c r="BD74" s="17">
        <v>3042.58</v>
      </c>
      <c r="BE74" s="17">
        <v>3042.58</v>
      </c>
      <c r="BF74" s="17">
        <v>-1913.1574339622639</v>
      </c>
      <c r="BG74" s="17">
        <v>0</v>
      </c>
      <c r="BH74" s="17">
        <v>3042.58</v>
      </c>
      <c r="BI74" s="17">
        <v>3042.58</v>
      </c>
      <c r="BJ74" s="17">
        <v>-2252.7800754716977</v>
      </c>
      <c r="BK74" s="17">
        <v>0</v>
      </c>
      <c r="BL74" s="17">
        <v>0</v>
      </c>
      <c r="BM74" s="17">
        <v>3042.58</v>
      </c>
      <c r="BN74" s="17">
        <v>3042.58</v>
      </c>
      <c r="BO74" s="17">
        <v>-2592.4027169811316</v>
      </c>
    </row>
    <row r="75" spans="1:70" ht="13">
      <c r="A75" s="89"/>
      <c r="C75" s="61"/>
    </row>
    <row r="76" spans="1:70" ht="13">
      <c r="A76" s="89"/>
      <c r="C76" s="61"/>
    </row>
    <row r="77" spans="1:70" ht="13">
      <c r="A77" s="89"/>
      <c r="C77" s="61"/>
    </row>
    <row r="78" spans="1:70" ht="13">
      <c r="A78" s="89"/>
      <c r="C78" s="61"/>
      <c r="AZ78" s="17">
        <f t="shared" ref="AZ78:AZ89" si="91">AZ39-AZ63</f>
        <v>0</v>
      </c>
      <c r="BB78" s="17">
        <f t="shared" ref="BB78:BD78" si="92">BB39-BB63</f>
        <v>-13561.821797528828</v>
      </c>
      <c r="BC78" s="17">
        <f t="shared" si="92"/>
        <v>137825.22999999998</v>
      </c>
      <c r="BD78" s="17">
        <f t="shared" si="92"/>
        <v>137825.22999999998</v>
      </c>
      <c r="BF78" s="17">
        <f t="shared" ref="BF78:BH78" si="93">BF39-BF63</f>
        <v>-11666.226806141261</v>
      </c>
      <c r="BG78" s="17">
        <f t="shared" si="93"/>
        <v>256838.56999999998</v>
      </c>
      <c r="BH78" s="17">
        <f t="shared" si="93"/>
        <v>394663.8</v>
      </c>
      <c r="BJ78" s="17">
        <f t="shared" ref="BJ78:BM78" si="94">BJ39-BJ63</f>
        <v>-208076.41215960082</v>
      </c>
      <c r="BK78" s="17">
        <f t="shared" si="94"/>
        <v>0</v>
      </c>
      <c r="BL78" s="17">
        <f t="shared" si="94"/>
        <v>256838.56999999998</v>
      </c>
      <c r="BM78" s="17">
        <f t="shared" si="94"/>
        <v>394663.8</v>
      </c>
      <c r="BO78" s="17">
        <f t="shared" ref="BO78:BO89" si="95">BO39-BO63</f>
        <v>-207568.22910946014</v>
      </c>
    </row>
    <row r="79" spans="1:70" ht="13">
      <c r="A79" s="89"/>
      <c r="C79" s="61"/>
      <c r="AS79" s="17"/>
      <c r="AZ79" s="17">
        <f t="shared" si="91"/>
        <v>0</v>
      </c>
      <c r="BB79" s="17" t="e">
        <f t="shared" ref="BB79:BD79" ca="1" si="96">BB40-BB64</f>
        <v>#REF!</v>
      </c>
      <c r="BC79" s="17">
        <f t="shared" si="96"/>
        <v>0</v>
      </c>
      <c r="BD79" s="17">
        <f t="shared" si="96"/>
        <v>0</v>
      </c>
      <c r="BF79" s="17" t="e">
        <f t="shared" ref="BF79:BH79" ca="1" si="97">BF40-BF64</f>
        <v>#REF!</v>
      </c>
      <c r="BG79" s="17">
        <f t="shared" si="97"/>
        <v>0</v>
      </c>
      <c r="BH79" s="17">
        <f t="shared" si="97"/>
        <v>0</v>
      </c>
      <c r="BJ79" s="17" t="e">
        <f t="shared" ref="BJ79:BM79" ca="1" si="98">BJ40-BJ64</f>
        <v>#REF!</v>
      </c>
      <c r="BK79" s="17">
        <f t="shared" si="98"/>
        <v>0</v>
      </c>
      <c r="BL79" s="17">
        <f t="shared" si="98"/>
        <v>0</v>
      </c>
      <c r="BM79" s="17">
        <f t="shared" si="98"/>
        <v>0</v>
      </c>
      <c r="BO79" s="17" t="e">
        <f t="shared" ca="1" si="95"/>
        <v>#REF!</v>
      </c>
    </row>
    <row r="80" spans="1:70" ht="13">
      <c r="A80" s="89"/>
      <c r="C80" s="61"/>
      <c r="AS80" s="17"/>
      <c r="AZ80" s="17">
        <f t="shared" si="91"/>
        <v>0</v>
      </c>
      <c r="BB80" s="17" t="e">
        <f t="shared" ref="BB80:BD80" ca="1" si="99">BB41-BB65</f>
        <v>#REF!</v>
      </c>
      <c r="BC80" s="17">
        <f t="shared" si="99"/>
        <v>0</v>
      </c>
      <c r="BD80" s="17">
        <f t="shared" si="99"/>
        <v>0</v>
      </c>
      <c r="BF80" s="17" t="e">
        <f t="shared" ref="BF80:BH80" ca="1" si="100">BF41-BF65</f>
        <v>#REF!</v>
      </c>
      <c r="BG80" s="17">
        <f t="shared" si="100"/>
        <v>0</v>
      </c>
      <c r="BH80" s="17">
        <f t="shared" si="100"/>
        <v>0</v>
      </c>
      <c r="BJ80" s="17" t="e">
        <f t="shared" ref="BJ80:BM80" ca="1" si="101">BJ41-BJ65</f>
        <v>#REF!</v>
      </c>
      <c r="BK80" s="17">
        <f t="shared" si="101"/>
        <v>0</v>
      </c>
      <c r="BL80" s="17">
        <f t="shared" si="101"/>
        <v>0</v>
      </c>
      <c r="BM80" s="17">
        <f t="shared" si="101"/>
        <v>0</v>
      </c>
      <c r="BO80" s="17" t="e">
        <f t="shared" ca="1" si="95"/>
        <v>#REF!</v>
      </c>
    </row>
    <row r="81" spans="1:67" ht="13">
      <c r="A81" s="89"/>
      <c r="C81" s="61"/>
      <c r="AS81" s="17"/>
      <c r="AZ81" s="17">
        <f t="shared" si="91"/>
        <v>0</v>
      </c>
      <c r="BB81" s="17">
        <f t="shared" ref="BB81:BD81" si="102">BB42-BB66</f>
        <v>344139.70323391788</v>
      </c>
      <c r="BC81" s="17">
        <f t="shared" si="102"/>
        <v>0</v>
      </c>
      <c r="BD81" s="17">
        <f t="shared" si="102"/>
        <v>0</v>
      </c>
      <c r="BF81" s="17">
        <f t="shared" ref="BF81:BH81" si="103">BF42-BF66</f>
        <v>510687.80312530545</v>
      </c>
      <c r="BG81" s="17">
        <f t="shared" si="103"/>
        <v>0</v>
      </c>
      <c r="BH81" s="17">
        <f t="shared" si="103"/>
        <v>0</v>
      </c>
      <c r="BJ81" s="17">
        <f t="shared" ref="BJ81:BM81" si="104">BJ42-BJ66</f>
        <v>576247.30777184584</v>
      </c>
      <c r="BK81" s="17">
        <f t="shared" si="104"/>
        <v>0</v>
      </c>
      <c r="BL81" s="17">
        <f t="shared" si="104"/>
        <v>0</v>
      </c>
      <c r="BM81" s="17">
        <f t="shared" si="104"/>
        <v>0</v>
      </c>
      <c r="BO81" s="17">
        <f t="shared" si="95"/>
        <v>576755.49082198658</v>
      </c>
    </row>
    <row r="82" spans="1:67" ht="13">
      <c r="A82" s="89"/>
      <c r="AS82" s="17"/>
      <c r="AZ82" s="17">
        <f t="shared" si="91"/>
        <v>-3639.54</v>
      </c>
      <c r="BB82" s="17">
        <f t="shared" ref="BB82:BD82" si="105">BB43-BB67</f>
        <v>1559.6426993383948</v>
      </c>
      <c r="BC82" s="17">
        <f t="shared" si="105"/>
        <v>-3916.23</v>
      </c>
      <c r="BD82" s="17">
        <f t="shared" si="105"/>
        <v>-7555.7699999999995</v>
      </c>
      <c r="BF82" s="17">
        <f t="shared" ref="BF82:BH82" si="106">BF43-BF67</f>
        <v>14827.6554132561</v>
      </c>
      <c r="BG82" s="17">
        <f t="shared" si="106"/>
        <v>0</v>
      </c>
      <c r="BH82" s="17">
        <f t="shared" si="106"/>
        <v>-7555.7699999999995</v>
      </c>
      <c r="BJ82" s="17">
        <f t="shared" ref="BJ82:BM82" si="107">BJ43-BJ67</f>
        <v>18498.987673462361</v>
      </c>
      <c r="BK82" s="17">
        <f t="shared" si="107"/>
        <v>0</v>
      </c>
      <c r="BL82" s="17">
        <f t="shared" si="107"/>
        <v>0</v>
      </c>
      <c r="BM82" s="17">
        <f t="shared" si="107"/>
        <v>-7555.7699999999995</v>
      </c>
      <c r="BO82" s="17">
        <f t="shared" si="95"/>
        <v>18527.445924270243</v>
      </c>
    </row>
    <row r="83" spans="1:67" ht="13">
      <c r="A83" s="89"/>
      <c r="AZ83" s="17">
        <f t="shared" si="91"/>
        <v>-1513.58</v>
      </c>
      <c r="BB83" s="17">
        <f t="shared" ref="BB83:BD83" si="108">BB44-BB68</f>
        <v>654.13115685931029</v>
      </c>
      <c r="BC83" s="17">
        <f t="shared" si="108"/>
        <v>-1678.39</v>
      </c>
      <c r="BD83" s="17">
        <f t="shared" si="108"/>
        <v>-3191.97</v>
      </c>
      <c r="BF83" s="17">
        <f t="shared" ref="BF83:BH83" si="109">BF44-BF68</f>
        <v>6340.4280342526126</v>
      </c>
      <c r="BG83" s="17">
        <f t="shared" si="109"/>
        <v>0</v>
      </c>
      <c r="BH83" s="17">
        <f t="shared" si="109"/>
        <v>-3191.97</v>
      </c>
      <c r="BJ83" s="17">
        <f t="shared" ref="BJ83:BM83" si="110">BJ44-BJ68</f>
        <v>7913.8561457695814</v>
      </c>
      <c r="BK83" s="17">
        <f t="shared" si="110"/>
        <v>0</v>
      </c>
      <c r="BL83" s="17">
        <f t="shared" si="110"/>
        <v>0</v>
      </c>
      <c r="BM83" s="17">
        <f t="shared" si="110"/>
        <v>-3191.97</v>
      </c>
      <c r="BO83" s="17">
        <f t="shared" si="95"/>
        <v>7926.0525389729592</v>
      </c>
    </row>
    <row r="84" spans="1:67" ht="13">
      <c r="A84" s="89"/>
      <c r="AZ84" s="17">
        <f t="shared" si="91"/>
        <v>-2514.7800000000002</v>
      </c>
      <c r="BB84" s="17">
        <f t="shared" ref="BB84:BD84" si="111">BB45-BB69</f>
        <v>1106.8919280988507</v>
      </c>
      <c r="BC84" s="17">
        <f t="shared" si="111"/>
        <v>-2797.31</v>
      </c>
      <c r="BD84" s="17">
        <f t="shared" si="111"/>
        <v>-5312.09</v>
      </c>
      <c r="BF84" s="17">
        <f t="shared" ref="BF84:BH84" si="112">BF45-BF69</f>
        <v>10584.046723754353</v>
      </c>
      <c r="BG84" s="17">
        <f t="shared" si="112"/>
        <v>0</v>
      </c>
      <c r="BH84" s="17">
        <f t="shared" si="112"/>
        <v>-5312.09</v>
      </c>
      <c r="BJ84" s="17">
        <f t="shared" ref="BJ84:BM84" si="113">BJ45-BJ69</f>
        <v>13206.42690961597</v>
      </c>
      <c r="BK84" s="17">
        <f t="shared" si="113"/>
        <v>0</v>
      </c>
      <c r="BL84" s="17">
        <f t="shared" si="113"/>
        <v>0</v>
      </c>
      <c r="BM84" s="17">
        <f t="shared" si="113"/>
        <v>-5312.09</v>
      </c>
      <c r="BO84" s="17">
        <f t="shared" si="95"/>
        <v>13226.754231621599</v>
      </c>
    </row>
    <row r="85" spans="1:67" ht="13">
      <c r="A85" s="89"/>
      <c r="AZ85" s="17">
        <f t="shared" si="91"/>
        <v>148.65999999999985</v>
      </c>
      <c r="BB85" s="17">
        <f t="shared" ref="BB85:BD85" si="114">BB46-BB70</f>
        <v>877.73341631952826</v>
      </c>
      <c r="BC85" s="17">
        <f t="shared" si="114"/>
        <v>-2237.84</v>
      </c>
      <c r="BD85" s="17">
        <f t="shared" si="114"/>
        <v>-2089.1800000000003</v>
      </c>
      <c r="BF85" s="17">
        <f t="shared" ref="BF85:BH85" si="115">BF46-BF70</f>
        <v>11957.922167973082</v>
      </c>
      <c r="BG85" s="17">
        <f t="shared" si="115"/>
        <v>0</v>
      </c>
      <c r="BH85" s="17">
        <f t="shared" si="115"/>
        <v>-2089.1800000000003</v>
      </c>
      <c r="BJ85" s="17">
        <f t="shared" ref="BJ85:BM85" si="116">BJ46-BJ70</f>
        <v>15119.820465915194</v>
      </c>
      <c r="BK85" s="17">
        <f t="shared" si="116"/>
        <v>0</v>
      </c>
      <c r="BL85" s="17">
        <f t="shared" si="116"/>
        <v>0</v>
      </c>
      <c r="BM85" s="17">
        <f t="shared" si="116"/>
        <v>-2089.1800000000003</v>
      </c>
      <c r="BO85" s="17">
        <f t="shared" si="95"/>
        <v>14638.844754458925</v>
      </c>
    </row>
    <row r="86" spans="1:67" ht="13">
      <c r="A86" s="89"/>
      <c r="AZ86" s="17">
        <f t="shared" si="91"/>
        <v>-2514.7800000000002</v>
      </c>
      <c r="BB86" s="17">
        <f t="shared" ref="BB86:BD86" si="117">BB47-BB71</f>
        <v>1106.8919280988507</v>
      </c>
      <c r="BC86" s="17">
        <f t="shared" si="117"/>
        <v>-2797.31</v>
      </c>
      <c r="BD86" s="17">
        <f t="shared" si="117"/>
        <v>-5312.09</v>
      </c>
      <c r="BF86" s="17">
        <f t="shared" ref="BF86:BH86" si="118">BF47-BF71</f>
        <v>4753.2585318724341</v>
      </c>
      <c r="BG86" s="17">
        <f t="shared" si="118"/>
        <v>0</v>
      </c>
      <c r="BH86" s="17">
        <f t="shared" si="118"/>
        <v>-5312.09</v>
      </c>
      <c r="BJ86" s="17">
        <f t="shared" ref="BJ86:BM86" si="119">BJ47-BJ71</f>
        <v>5602.3151356460203</v>
      </c>
      <c r="BK86" s="17">
        <f t="shared" si="119"/>
        <v>0</v>
      </c>
      <c r="BL86" s="17">
        <f t="shared" si="119"/>
        <v>0</v>
      </c>
      <c r="BM86" s="17">
        <f t="shared" si="119"/>
        <v>-5312.09</v>
      </c>
      <c r="BO86" s="17">
        <f t="shared" si="95"/>
        <v>6451.3717394196046</v>
      </c>
    </row>
    <row r="87" spans="1:67" ht="13">
      <c r="A87" s="89"/>
      <c r="AZ87" s="17">
        <f t="shared" si="91"/>
        <v>-630.51</v>
      </c>
      <c r="BB87" s="17">
        <f t="shared" ref="BB87:BD87" si="120">BB48-BB72</f>
        <v>452.76077123954133</v>
      </c>
      <c r="BC87" s="17">
        <f t="shared" si="120"/>
        <v>-1118.92</v>
      </c>
      <c r="BD87" s="17">
        <f t="shared" si="120"/>
        <v>-1749.4299999999998</v>
      </c>
      <c r="BF87" s="17">
        <f t="shared" ref="BF87:BH87" si="121">BF48-BF72</f>
        <v>5409.7763278781258</v>
      </c>
      <c r="BG87" s="17">
        <f t="shared" si="121"/>
        <v>0</v>
      </c>
      <c r="BH87" s="17">
        <f t="shared" si="121"/>
        <v>-1749.4299999999998</v>
      </c>
      <c r="BJ87" s="17">
        <f t="shared" ref="BJ87:BM87" si="122">BJ48-BJ72</f>
        <v>6813.3931186403788</v>
      </c>
      <c r="BK87" s="17">
        <f t="shared" si="122"/>
        <v>0</v>
      </c>
      <c r="BL87" s="17">
        <f t="shared" si="122"/>
        <v>0</v>
      </c>
      <c r="BM87" s="17">
        <f t="shared" si="122"/>
        <v>-1749.4299999999998</v>
      </c>
      <c r="BO87" s="17">
        <f t="shared" si="95"/>
        <v>6655.778191089039</v>
      </c>
    </row>
    <row r="88" spans="1:67" ht="13">
      <c r="A88" s="89"/>
      <c r="AZ88" s="17">
        <f t="shared" si="91"/>
        <v>-630.51</v>
      </c>
      <c r="BB88" s="17">
        <f t="shared" ref="BB88:BD88" si="123">BB49-BB73</f>
        <v>452.76077123954133</v>
      </c>
      <c r="BC88" s="17">
        <f t="shared" si="123"/>
        <v>-1118.92</v>
      </c>
      <c r="BD88" s="17">
        <f t="shared" si="123"/>
        <v>-1749.4299999999998</v>
      </c>
      <c r="BF88" s="17">
        <f t="shared" ref="BF88:BH88" si="124">BF49-BF73</f>
        <v>6575.9339662545099</v>
      </c>
      <c r="BG88" s="17">
        <f t="shared" si="124"/>
        <v>0</v>
      </c>
      <c r="BH88" s="17">
        <f t="shared" si="124"/>
        <v>-1749.4299999999998</v>
      </c>
      <c r="BJ88" s="17">
        <f t="shared" ref="BJ88:BM88" si="125">BJ49-BJ73</f>
        <v>8565.6291750918263</v>
      </c>
      <c r="BK88" s="17">
        <f t="shared" si="125"/>
        <v>0</v>
      </c>
      <c r="BL88" s="17">
        <f t="shared" si="125"/>
        <v>0</v>
      </c>
      <c r="BM88" s="17">
        <f t="shared" si="125"/>
        <v>-1749.4299999999998</v>
      </c>
      <c r="BO88" s="17">
        <f t="shared" si="95"/>
        <v>8076.5225348333051</v>
      </c>
    </row>
    <row r="89" spans="1:67" ht="13">
      <c r="A89" s="89"/>
      <c r="AZ89" s="17">
        <f t="shared" si="91"/>
        <v>-630.51</v>
      </c>
      <c r="BB89" s="17">
        <f t="shared" ref="BB89:BD89" si="126">BB50-BB74</f>
        <v>452.76077123954133</v>
      </c>
      <c r="BC89" s="17">
        <f t="shared" si="126"/>
        <v>-1118.92</v>
      </c>
      <c r="BD89" s="17">
        <f t="shared" si="126"/>
        <v>-1749.4299999999998</v>
      </c>
      <c r="BF89" s="17">
        <f t="shared" ref="BF89:BH89" si="127">BF50-BF74</f>
        <v>5409.7763278781258</v>
      </c>
      <c r="BG89" s="17">
        <f t="shared" si="127"/>
        <v>0</v>
      </c>
      <c r="BH89" s="17">
        <f t="shared" si="127"/>
        <v>-1749.4299999999998</v>
      </c>
      <c r="BJ89" s="17">
        <f t="shared" ref="BJ89:BM89" si="128">BJ50-BJ74</f>
        <v>6813.3931186403788</v>
      </c>
      <c r="BK89" s="17">
        <f t="shared" si="128"/>
        <v>0</v>
      </c>
      <c r="BL89" s="17">
        <f t="shared" si="128"/>
        <v>0</v>
      </c>
      <c r="BM89" s="17">
        <f t="shared" si="128"/>
        <v>-1749.4299999999998</v>
      </c>
      <c r="BO89" s="17">
        <f t="shared" si="95"/>
        <v>6655.778191089039</v>
      </c>
    </row>
    <row r="90" spans="1:67" ht="13">
      <c r="A90" s="89"/>
    </row>
  </sheetData>
  <mergeCells count="2">
    <mergeCell ref="Y5:AA5"/>
    <mergeCell ref="AC5:AE5"/>
  </mergeCells>
  <conditionalFormatting sqref="A38:C39">
    <cfRule type="expression" dxfId="27" priority="3">
      <formula>$C$39&lt;&gt;0</formula>
    </cfRule>
    <cfRule type="expression" dxfId="26" priority="4">
      <formula>$C$39=0</formula>
    </cfRule>
  </conditionalFormatting>
  <conditionalFormatting sqref="BR19:BS35">
    <cfRule type="cellIs" dxfId="25" priority="1" operator="equal">
      <formula>0</formula>
    </cfRule>
    <cfRule type="cellIs" dxfId="24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S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5" width="10.1640625" customWidth="1"/>
    <col min="6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24" width="15.1640625" customWidth="1"/>
    <col min="25" max="25" width="17.83203125" customWidth="1"/>
    <col min="26" max="26" width="10.1640625" customWidth="1"/>
    <col min="27" max="28" width="15.1640625" customWidth="1"/>
    <col min="29" max="29" width="18.1640625" customWidth="1"/>
    <col min="30" max="30" width="10.6640625" customWidth="1"/>
    <col min="31" max="46" width="15.1640625" customWidth="1"/>
    <col min="47" max="47" width="16.1640625" customWidth="1"/>
    <col min="48" max="48" width="15.1640625" customWidth="1"/>
    <col min="49" max="49" width="15" customWidth="1"/>
    <col min="50" max="50" width="14.1640625" customWidth="1"/>
    <col min="51" max="51" width="26.5" customWidth="1"/>
    <col min="52" max="52" width="15.1640625" customWidth="1"/>
    <col min="53" max="53" width="12" customWidth="1"/>
    <col min="54" max="54" width="16" customWidth="1"/>
    <col min="55" max="55" width="18.5" customWidth="1"/>
    <col min="56" max="56" width="15.1640625" customWidth="1"/>
    <col min="57" max="57" width="14.33203125" customWidth="1"/>
    <col min="58" max="58" width="18.6640625" customWidth="1"/>
    <col min="59" max="59" width="15.1640625" customWidth="1"/>
    <col min="60" max="60" width="19.33203125" customWidth="1"/>
    <col min="61" max="61" width="15.5" customWidth="1"/>
    <col min="62" max="62" width="23.33203125" customWidth="1"/>
    <col min="63" max="63" width="15.1640625" customWidth="1"/>
    <col min="64" max="65" width="18" customWidth="1"/>
    <col min="66" max="67" width="19.1640625" customWidth="1"/>
    <col min="68" max="71" width="15.1640625" customWidth="1"/>
  </cols>
  <sheetData>
    <row r="1" spans="1:71" ht="42.75" customHeight="1">
      <c r="A1" s="5" t="s">
        <v>130</v>
      </c>
      <c r="B1" s="1">
        <v>2024</v>
      </c>
      <c r="C1" s="58" t="s">
        <v>131</v>
      </c>
      <c r="D1" s="59">
        <f>EOMONTH(DATE(B1,1,1),0)</f>
        <v>45322</v>
      </c>
      <c r="E1" s="60"/>
      <c r="F1" s="60"/>
      <c r="G1" s="61"/>
      <c r="H1" s="59">
        <f>EOMONTH(DATE(B1,2,1),0)</f>
        <v>45351</v>
      </c>
      <c r="I1" s="60"/>
      <c r="J1" s="60"/>
      <c r="K1" s="61"/>
      <c r="L1" s="59">
        <f>EOMONTH(DATE(B1,3,1),0)</f>
        <v>45382</v>
      </c>
      <c r="M1" s="60"/>
      <c r="N1" s="60"/>
      <c r="O1" s="61"/>
      <c r="P1" s="59">
        <f>EOMONTH(DATE(B1,4,1),0)</f>
        <v>45412</v>
      </c>
      <c r="Q1" s="60"/>
      <c r="R1" s="60"/>
      <c r="S1" s="61"/>
      <c r="T1" s="59">
        <f>EOMONTH(DATE(B1,5,1),0)</f>
        <v>45443</v>
      </c>
      <c r="U1" s="60"/>
      <c r="V1" s="60"/>
      <c r="W1" s="61"/>
      <c r="X1" s="59">
        <f>EOMONTH(DATE(B1,6,1),0)</f>
        <v>45473</v>
      </c>
      <c r="Y1" s="60"/>
      <c r="Z1" s="60"/>
      <c r="AA1" s="61"/>
      <c r="AB1" s="59">
        <f>EOMONTH(DATE(B1,7,1),0)</f>
        <v>45504</v>
      </c>
      <c r="AC1" s="60"/>
      <c r="AD1" s="60"/>
      <c r="AE1" s="61"/>
      <c r="AF1" s="59">
        <f>EOMONTH(DATE(B1,8,1),0)</f>
        <v>45535</v>
      </c>
      <c r="AG1" s="60"/>
      <c r="AH1" s="60"/>
      <c r="AI1" s="61"/>
      <c r="AJ1" s="59">
        <f>EOMONTH(DATE(B1,9,1),0)</f>
        <v>45565</v>
      </c>
      <c r="AK1" s="60"/>
      <c r="AL1" s="60"/>
      <c r="AM1" s="61"/>
      <c r="AN1" s="59">
        <f>EOMONTH(DATE(B1,10,1),0)</f>
        <v>45596</v>
      </c>
      <c r="AO1" s="60"/>
      <c r="AP1" s="60"/>
      <c r="AQ1" s="61"/>
      <c r="AR1" s="59">
        <f>EOMONTH(DATE(B1,11,1),0)</f>
        <v>45626</v>
      </c>
      <c r="AS1" s="60"/>
      <c r="AT1" s="60"/>
      <c r="AU1" s="61"/>
      <c r="AV1" s="59">
        <f>EOMONTH(DATE(B1,12,1),0)</f>
        <v>45657</v>
      </c>
      <c r="AW1" s="60"/>
      <c r="AX1" s="60"/>
      <c r="BC1" s="62"/>
      <c r="BF1" s="61"/>
      <c r="BJ1" s="61"/>
      <c r="BK1" s="61"/>
    </row>
    <row r="2" spans="1:71" ht="14">
      <c r="A2" s="5"/>
      <c r="C2" s="61"/>
      <c r="D2" s="62">
        <f>YEAR(D1)</f>
        <v>2024</v>
      </c>
      <c r="G2" s="61"/>
      <c r="H2" s="62">
        <f>YEAR(H1)</f>
        <v>2024</v>
      </c>
      <c r="K2" s="61"/>
      <c r="L2" s="62">
        <f>YEAR(L1)</f>
        <v>2024</v>
      </c>
      <c r="O2" s="61"/>
      <c r="P2" s="62">
        <f>YEAR(P1)</f>
        <v>2024</v>
      </c>
      <c r="S2" s="61"/>
      <c r="T2" s="62">
        <f>YEAR(T1)</f>
        <v>2024</v>
      </c>
      <c r="W2" s="61"/>
      <c r="X2" s="62">
        <f>YEAR(X1)</f>
        <v>2024</v>
      </c>
      <c r="AA2" s="61"/>
      <c r="AB2" s="62">
        <f>YEAR(AB1)</f>
        <v>2024</v>
      </c>
      <c r="AE2" s="61"/>
      <c r="AF2" s="62">
        <f>YEAR(AF1)</f>
        <v>2024</v>
      </c>
      <c r="AI2" s="61"/>
      <c r="AJ2" s="62">
        <f>YEAR(AJ1)</f>
        <v>2024</v>
      </c>
      <c r="AM2" s="61"/>
      <c r="AN2" s="62">
        <f>YEAR(AN1)</f>
        <v>2024</v>
      </c>
      <c r="AQ2" s="61"/>
      <c r="AR2" s="62">
        <f>YEAR(AR1)</f>
        <v>2024</v>
      </c>
      <c r="AU2" s="61"/>
      <c r="AV2" s="62">
        <f>YEAR(AV1)</f>
        <v>2024</v>
      </c>
      <c r="AY2" s="61"/>
      <c r="AZ2" s="63" t="s">
        <v>132</v>
      </c>
      <c r="BC2" s="64" t="s">
        <v>133</v>
      </c>
      <c r="BD2" s="65"/>
      <c r="BG2" s="66" t="s">
        <v>134</v>
      </c>
      <c r="BH2" s="67"/>
      <c r="BK2" s="68" t="s">
        <v>135</v>
      </c>
      <c r="BL2" s="66"/>
      <c r="BM2" s="66">
        <f>B1</f>
        <v>2024</v>
      </c>
      <c r="BP2" s="67"/>
      <c r="BQ2" s="67"/>
      <c r="BR2" s="67"/>
      <c r="BS2" s="67"/>
    </row>
    <row r="3" spans="1:71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0"/>
      <c r="BC3" s="71"/>
      <c r="BD3" s="70"/>
      <c r="BF3" s="61"/>
      <c r="BH3" s="72"/>
      <c r="BI3" s="72"/>
      <c r="BJ3" s="73"/>
      <c r="BK3" s="73"/>
      <c r="BL3" s="72"/>
      <c r="BM3" s="72"/>
      <c r="BN3" s="72"/>
      <c r="BO3" s="72"/>
      <c r="BP3" s="72"/>
      <c r="BQ3" s="72"/>
      <c r="BR3" s="72"/>
      <c r="BS3" s="72"/>
    </row>
    <row r="4" spans="1:71" ht="14">
      <c r="A4" s="5"/>
      <c r="C4" s="61"/>
      <c r="D4" s="69" t="str">
        <f>IF(MONTH(D1)&lt;7,"1H","2H")</f>
        <v>1H</v>
      </c>
      <c r="E4" s="74"/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0"/>
      <c r="BC4" s="71"/>
      <c r="BD4" s="70"/>
      <c r="BF4" s="61"/>
      <c r="BH4" s="72"/>
      <c r="BI4" s="72"/>
      <c r="BJ4" s="73"/>
      <c r="BK4" s="73"/>
      <c r="BL4" s="72"/>
      <c r="BM4" s="72"/>
      <c r="BN4" s="72"/>
      <c r="BO4" s="72"/>
      <c r="BP4" s="72"/>
      <c r="BQ4" s="72"/>
      <c r="BR4" s="72"/>
      <c r="BS4" s="72"/>
    </row>
    <row r="5" spans="1:71" ht="13">
      <c r="A5" s="75" t="s">
        <v>136</v>
      </c>
      <c r="B5" s="31"/>
      <c r="C5" s="76"/>
      <c r="D5" s="77">
        <v>404295.73</v>
      </c>
      <c r="E5" s="31"/>
      <c r="F5" s="78"/>
      <c r="G5" s="79"/>
      <c r="H5" s="77">
        <v>387644.15999999997</v>
      </c>
      <c r="I5" s="31"/>
      <c r="J5" s="80"/>
      <c r="K5" s="79"/>
      <c r="L5" s="77">
        <v>-46867.94</v>
      </c>
      <c r="M5" s="31"/>
      <c r="N5" s="80"/>
      <c r="O5" s="79"/>
      <c r="P5" s="77">
        <v>83981.49</v>
      </c>
      <c r="Q5" s="81" t="s">
        <v>202</v>
      </c>
      <c r="R5" s="80"/>
      <c r="S5" s="79"/>
      <c r="T5" s="77">
        <v>157330.9</v>
      </c>
      <c r="U5" s="77"/>
      <c r="V5" s="80"/>
      <c r="W5" s="79"/>
      <c r="X5" s="77">
        <v>124934.57</v>
      </c>
      <c r="Y5" s="318" t="s">
        <v>203</v>
      </c>
      <c r="Z5" s="319"/>
      <c r="AA5" s="319"/>
      <c r="AB5" s="77">
        <v>33673.660000000003</v>
      </c>
      <c r="AC5" s="320" t="s">
        <v>204</v>
      </c>
      <c r="AD5" s="319"/>
      <c r="AE5" s="321"/>
      <c r="AF5" s="77">
        <v>195133.54</v>
      </c>
      <c r="AG5" s="77"/>
      <c r="AH5" s="80"/>
      <c r="AI5" s="79"/>
      <c r="AJ5" s="77">
        <v>-153851.92000000001</v>
      </c>
      <c r="AK5" s="80"/>
      <c r="AL5" s="80"/>
      <c r="AM5" s="77"/>
      <c r="AN5" s="77">
        <v>221343.27</v>
      </c>
      <c r="AO5" s="80"/>
      <c r="AP5" s="80"/>
      <c r="AQ5" s="77"/>
      <c r="AR5" s="77">
        <v>188428.23</v>
      </c>
      <c r="AS5" s="80"/>
      <c r="AT5" s="80"/>
      <c r="AU5" s="77"/>
      <c r="AV5" s="77">
        <v>-190223.01</v>
      </c>
      <c r="AW5" s="83"/>
      <c r="AX5" s="175">
        <f>AW5-AV5</f>
        <v>190223.01</v>
      </c>
      <c r="AY5" s="77"/>
      <c r="AZ5" s="85">
        <f t="shared" ref="AZ5:AZ16" si="0">SUMIF($D$3:$AY$3,AZ$2,$D5:$AY5)</f>
        <v>745071.95</v>
      </c>
      <c r="BA5" s="80"/>
      <c r="BB5" s="79"/>
      <c r="BC5" s="85">
        <f t="shared" ref="BC5:BC16" si="1">SUMIF($D$3:$AY$3,BC$2,$D5:$AY5)</f>
        <v>366246.96</v>
      </c>
      <c r="BD5" s="86"/>
      <c r="BE5" s="80"/>
      <c r="BF5" s="79"/>
      <c r="BG5" s="35">
        <f t="shared" ref="BG5:BG16" si="2">SUMIF($D$3:$AY$3,BG$2,$D5:$AY5)</f>
        <v>74955.28</v>
      </c>
      <c r="BH5" s="87"/>
      <c r="BI5" s="87"/>
      <c r="BJ5" s="88"/>
      <c r="BK5" s="88">
        <f t="shared" ref="BK5:BK16" si="3">SUMIF($D$3:$AY$3,BK$2,$D5:$AY5)</f>
        <v>219548.49</v>
      </c>
      <c r="BL5" s="86"/>
      <c r="BM5" s="86">
        <f t="shared" ref="BM5:BM9" si="4">SUMIF($D$2:$AY$2,$BM$2,$D5:$AY5)</f>
        <v>1405822.68</v>
      </c>
      <c r="BN5" s="86"/>
      <c r="BO5" s="86"/>
      <c r="BP5" s="86"/>
      <c r="BQ5" s="86"/>
      <c r="BR5" s="86"/>
      <c r="BS5" s="86"/>
    </row>
    <row r="6" spans="1:71" ht="13">
      <c r="A6" s="89" t="s">
        <v>137</v>
      </c>
      <c r="C6" s="61"/>
      <c r="D6" s="90">
        <v>170000</v>
      </c>
      <c r="E6" s="91"/>
      <c r="F6" s="91"/>
      <c r="G6" s="92"/>
      <c r="H6" s="90">
        <v>170000</v>
      </c>
      <c r="I6" s="91"/>
      <c r="J6" s="91"/>
      <c r="K6" s="92"/>
      <c r="L6" s="90">
        <v>140000</v>
      </c>
      <c r="M6" s="91"/>
      <c r="N6" s="91"/>
      <c r="O6" s="92"/>
      <c r="P6" s="90"/>
      <c r="Q6" s="91"/>
      <c r="R6" s="91"/>
      <c r="S6" s="92"/>
      <c r="T6" s="90"/>
      <c r="U6" s="91"/>
      <c r="V6" s="91"/>
      <c r="W6" s="92"/>
      <c r="X6" s="90"/>
      <c r="Y6" s="91"/>
      <c r="Z6" s="91"/>
      <c r="AA6" s="91"/>
      <c r="AB6" s="90"/>
      <c r="AC6" s="91"/>
      <c r="AD6" s="91"/>
      <c r="AE6" s="92"/>
      <c r="AF6" s="90"/>
      <c r="AG6" s="91"/>
      <c r="AH6" s="91"/>
      <c r="AI6" s="92"/>
      <c r="AJ6" s="90"/>
      <c r="AK6" s="91"/>
      <c r="AL6" s="91"/>
      <c r="AM6" s="91"/>
      <c r="AN6" s="90"/>
      <c r="AO6" s="91"/>
      <c r="AP6" s="91"/>
      <c r="AQ6" s="91"/>
      <c r="AR6" s="90"/>
      <c r="AS6" s="91"/>
      <c r="AT6" s="91"/>
      <c r="AU6" s="91"/>
      <c r="AV6" s="176">
        <v>-319000</v>
      </c>
      <c r="AW6" s="91"/>
      <c r="AX6" s="91"/>
      <c r="AY6" s="91"/>
      <c r="AZ6" s="93">
        <f t="shared" si="0"/>
        <v>480000</v>
      </c>
      <c r="BA6" s="91"/>
      <c r="BB6" s="92"/>
      <c r="BC6" s="93">
        <f t="shared" si="1"/>
        <v>0</v>
      </c>
      <c r="BD6" s="94"/>
      <c r="BE6" s="91"/>
      <c r="BF6" s="92"/>
      <c r="BG6" s="17">
        <f t="shared" si="2"/>
        <v>0</v>
      </c>
      <c r="BH6" s="95"/>
      <c r="BI6" s="95"/>
      <c r="BJ6" s="96"/>
      <c r="BK6" s="96">
        <f t="shared" si="3"/>
        <v>-319000</v>
      </c>
      <c r="BL6" s="94"/>
      <c r="BM6" s="94">
        <f t="shared" si="4"/>
        <v>161000</v>
      </c>
      <c r="BN6" s="94"/>
      <c r="BO6" s="94"/>
      <c r="BP6" s="94"/>
      <c r="BQ6" s="94"/>
      <c r="BR6" s="94"/>
      <c r="BS6" s="94"/>
    </row>
    <row r="7" spans="1:71" ht="14">
      <c r="A7" s="89" t="s">
        <v>138</v>
      </c>
      <c r="C7" s="61"/>
      <c r="D7" s="90"/>
      <c r="E7" s="97"/>
      <c r="F7" s="91"/>
      <c r="G7" s="92"/>
      <c r="H7" s="90">
        <v>3220</v>
      </c>
      <c r="I7" s="91" t="s">
        <v>205</v>
      </c>
      <c r="J7" s="91"/>
      <c r="K7" s="92"/>
      <c r="L7" s="90">
        <v>4275</v>
      </c>
      <c r="M7" s="91" t="s">
        <v>205</v>
      </c>
      <c r="N7" s="91"/>
      <c r="O7" s="92"/>
      <c r="P7" s="90">
        <f>687.5</f>
        <v>687.5</v>
      </c>
      <c r="Q7" s="91" t="s">
        <v>206</v>
      </c>
      <c r="R7" s="91"/>
      <c r="S7" s="92"/>
      <c r="T7" s="91">
        <v>21896.17</v>
      </c>
      <c r="U7" s="177" t="s">
        <v>206</v>
      </c>
      <c r="V7" s="91"/>
      <c r="W7" s="92"/>
      <c r="X7" s="91">
        <v>11078.33</v>
      </c>
      <c r="Y7" s="177" t="s">
        <v>206</v>
      </c>
      <c r="Z7" s="91"/>
      <c r="AA7" s="92"/>
      <c r="AB7" s="91">
        <v>0</v>
      </c>
      <c r="AC7" s="91"/>
      <c r="AD7" s="91"/>
      <c r="AE7" s="92"/>
      <c r="AF7" s="91">
        <v>1430</v>
      </c>
      <c r="AG7" s="91" t="s">
        <v>206</v>
      </c>
      <c r="AH7" s="91"/>
      <c r="AI7" s="92"/>
      <c r="AJ7" s="90">
        <v>0</v>
      </c>
      <c r="AK7" s="91"/>
      <c r="AL7" s="91"/>
      <c r="AM7" s="92"/>
      <c r="AN7" s="90">
        <v>0</v>
      </c>
      <c r="AO7" s="91"/>
      <c r="AP7" s="91"/>
      <c r="AQ7" s="92"/>
      <c r="AR7" s="90">
        <v>0</v>
      </c>
      <c r="AS7" s="91"/>
      <c r="AT7" s="91"/>
      <c r="AU7" s="92"/>
      <c r="AV7" s="90">
        <v>0</v>
      </c>
      <c r="AW7" s="91"/>
      <c r="AX7" s="91"/>
      <c r="AY7" s="92"/>
      <c r="AZ7" s="93">
        <f t="shared" si="0"/>
        <v>7495</v>
      </c>
      <c r="BA7" s="91"/>
      <c r="BB7" s="92"/>
      <c r="BC7" s="93">
        <f t="shared" si="1"/>
        <v>33662</v>
      </c>
      <c r="BD7" s="94"/>
      <c r="BE7" s="91"/>
      <c r="BF7" s="92"/>
      <c r="BG7" s="17">
        <f t="shared" si="2"/>
        <v>1430</v>
      </c>
      <c r="BH7" s="95"/>
      <c r="BI7" s="95"/>
      <c r="BJ7" s="96"/>
      <c r="BK7" s="96">
        <f t="shared" si="3"/>
        <v>0</v>
      </c>
      <c r="BL7" s="94"/>
      <c r="BM7" s="94">
        <f t="shared" si="4"/>
        <v>42587</v>
      </c>
      <c r="BN7" s="94"/>
      <c r="BO7" s="94"/>
      <c r="BP7" s="94"/>
      <c r="BQ7" s="94"/>
      <c r="BR7" s="94"/>
      <c r="BS7" s="94"/>
    </row>
    <row r="8" spans="1:71" ht="14">
      <c r="A8" s="89" t="s">
        <v>142</v>
      </c>
      <c r="C8" s="61"/>
      <c r="D8" s="98">
        <v>0</v>
      </c>
      <c r="E8" s="91"/>
      <c r="F8" s="91" t="s">
        <v>207</v>
      </c>
      <c r="G8" s="92">
        <f>D8</f>
        <v>0</v>
      </c>
      <c r="H8" s="98">
        <v>0</v>
      </c>
      <c r="I8" s="91"/>
      <c r="J8" s="91" t="s">
        <v>207</v>
      </c>
      <c r="K8" s="92">
        <f>H8</f>
        <v>0</v>
      </c>
      <c r="L8" s="98">
        <v>16345</v>
      </c>
      <c r="M8" s="91" t="s">
        <v>208</v>
      </c>
      <c r="N8" s="91" t="s">
        <v>207</v>
      </c>
      <c r="O8" s="92">
        <f>L8-SUM('PS Model 2023'!AR7,'PS Model 2023'!AV7)</f>
        <v>0</v>
      </c>
      <c r="P8" s="98">
        <v>0</v>
      </c>
      <c r="Q8" s="91"/>
      <c r="R8" s="91" t="s">
        <v>207</v>
      </c>
      <c r="S8" s="92">
        <f>P8</f>
        <v>0</v>
      </c>
      <c r="T8" s="98">
        <v>0</v>
      </c>
      <c r="U8" s="91"/>
      <c r="V8" s="91" t="s">
        <v>207</v>
      </c>
      <c r="W8" s="92">
        <f>T8</f>
        <v>0</v>
      </c>
      <c r="X8" s="98">
        <v>0</v>
      </c>
      <c r="Y8" s="91"/>
      <c r="Z8" s="91" t="s">
        <v>207</v>
      </c>
      <c r="AA8" s="92">
        <f>X8</f>
        <v>0</v>
      </c>
      <c r="AB8" s="98">
        <v>0</v>
      </c>
      <c r="AC8" s="91"/>
      <c r="AD8" s="91" t="s">
        <v>207</v>
      </c>
      <c r="AE8" s="92">
        <f>AB8</f>
        <v>0</v>
      </c>
      <c r="AF8" s="98">
        <v>0</v>
      </c>
      <c r="AG8" s="91"/>
      <c r="AH8" s="91" t="s">
        <v>207</v>
      </c>
      <c r="AI8" s="92">
        <f>AF8</f>
        <v>0</v>
      </c>
      <c r="AJ8" s="98">
        <v>0</v>
      </c>
      <c r="AK8" s="91"/>
      <c r="AL8" s="91" t="s">
        <v>207</v>
      </c>
      <c r="AM8" s="92">
        <f>AJ8</f>
        <v>0</v>
      </c>
      <c r="AN8" s="98">
        <v>0</v>
      </c>
      <c r="AO8" s="91"/>
      <c r="AP8" s="91" t="s">
        <v>207</v>
      </c>
      <c r="AQ8" s="92">
        <f>AN8</f>
        <v>0</v>
      </c>
      <c r="AR8" s="98">
        <v>0</v>
      </c>
      <c r="AS8" s="91"/>
      <c r="AT8" s="91" t="s">
        <v>207</v>
      </c>
      <c r="AU8" s="92">
        <f>AR8</f>
        <v>0</v>
      </c>
      <c r="AV8" s="98">
        <v>0</v>
      </c>
      <c r="AW8" s="91"/>
      <c r="AX8" s="91" t="s">
        <v>207</v>
      </c>
      <c r="AY8" s="92">
        <f>AV8</f>
        <v>0</v>
      </c>
      <c r="AZ8" s="93">
        <f t="shared" si="0"/>
        <v>16345</v>
      </c>
      <c r="BA8" s="91"/>
      <c r="BB8" s="92"/>
      <c r="BC8" s="93">
        <f t="shared" si="1"/>
        <v>0</v>
      </c>
      <c r="BD8" s="94"/>
      <c r="BE8" s="91"/>
      <c r="BF8" s="92"/>
      <c r="BG8" s="17">
        <f t="shared" si="2"/>
        <v>0</v>
      </c>
      <c r="BH8" s="95"/>
      <c r="BI8" s="95"/>
      <c r="BJ8" s="96"/>
      <c r="BK8" s="96">
        <f t="shared" si="3"/>
        <v>0</v>
      </c>
      <c r="BL8" s="94"/>
      <c r="BM8" s="94">
        <f t="shared" si="4"/>
        <v>16345</v>
      </c>
      <c r="BN8" s="94"/>
      <c r="BO8" s="94"/>
      <c r="BP8" s="94"/>
      <c r="BQ8" s="94"/>
      <c r="BR8" s="94"/>
      <c r="BS8" s="94"/>
    </row>
    <row r="9" spans="1:71" ht="13">
      <c r="A9" s="89" t="s">
        <v>143</v>
      </c>
      <c r="B9" s="99">
        <v>30000</v>
      </c>
      <c r="C9" s="61"/>
      <c r="D9" s="100">
        <f>'PS Model 2024'!ColinSalary</f>
        <v>30000</v>
      </c>
      <c r="E9" s="91"/>
      <c r="F9" s="91"/>
      <c r="G9" s="92"/>
      <c r="H9" s="100">
        <f>'PS Model 2024'!ColinSalary</f>
        <v>30000</v>
      </c>
      <c r="I9" s="91"/>
      <c r="J9" s="91"/>
      <c r="K9" s="92"/>
      <c r="L9" s="100">
        <f>'PS Model 2024'!ColinSalary</f>
        <v>30000</v>
      </c>
      <c r="M9" s="91"/>
      <c r="N9" s="91"/>
      <c r="O9" s="92"/>
      <c r="P9" s="100">
        <f>'PS Model 2024'!ColinSalary</f>
        <v>30000</v>
      </c>
      <c r="Q9" s="91"/>
      <c r="R9" s="91"/>
      <c r="S9" s="92"/>
      <c r="T9" s="100">
        <f>'PS Model 2024'!ColinSalary</f>
        <v>30000</v>
      </c>
      <c r="U9" s="91"/>
      <c r="V9" s="91"/>
      <c r="W9" s="92"/>
      <c r="X9" s="100">
        <f>'PS Model 2024'!ColinSalary</f>
        <v>30000</v>
      </c>
      <c r="Y9" s="91"/>
      <c r="Z9" s="91"/>
      <c r="AA9" s="92"/>
      <c r="AB9" s="100">
        <f>'PS Model 2024'!ColinSalary</f>
        <v>30000</v>
      </c>
      <c r="AC9" s="91"/>
      <c r="AD9" s="91"/>
      <c r="AE9" s="92"/>
      <c r="AF9" s="100">
        <f>'PS Model 2024'!ColinSalary</f>
        <v>30000</v>
      </c>
      <c r="AG9" s="91"/>
      <c r="AH9" s="91"/>
      <c r="AI9" s="92"/>
      <c r="AJ9" s="100">
        <f>'PS Model 2024'!ColinSalary</f>
        <v>30000</v>
      </c>
      <c r="AK9" s="91"/>
      <c r="AL9" s="91"/>
      <c r="AM9" s="92"/>
      <c r="AN9" s="100">
        <f>'PS Model 2024'!ColinSalary</f>
        <v>30000</v>
      </c>
      <c r="AO9" s="91"/>
      <c r="AP9" s="91"/>
      <c r="AQ9" s="92"/>
      <c r="AR9" s="100">
        <f>'PS Model 2024'!ColinSalary</f>
        <v>30000</v>
      </c>
      <c r="AS9" s="91"/>
      <c r="AT9" s="91"/>
      <c r="AU9" s="92"/>
      <c r="AV9" s="100">
        <f>'PS Model 2024'!ColinSalary</f>
        <v>30000</v>
      </c>
      <c r="AW9" s="91"/>
      <c r="AX9" s="91"/>
      <c r="AY9" s="92"/>
      <c r="AZ9" s="93">
        <f t="shared" si="0"/>
        <v>90000</v>
      </c>
      <c r="BA9" s="91"/>
      <c r="BB9" s="92"/>
      <c r="BC9" s="93">
        <f t="shared" si="1"/>
        <v>90000</v>
      </c>
      <c r="BD9" s="94"/>
      <c r="BE9" s="91"/>
      <c r="BF9" s="92"/>
      <c r="BG9" s="17">
        <f t="shared" si="2"/>
        <v>90000</v>
      </c>
      <c r="BH9" s="95"/>
      <c r="BI9" s="95"/>
      <c r="BJ9" s="96"/>
      <c r="BK9" s="96">
        <f t="shared" si="3"/>
        <v>90000</v>
      </c>
      <c r="BL9" s="94"/>
      <c r="BM9" s="94">
        <f t="shared" si="4"/>
        <v>360000</v>
      </c>
      <c r="BN9" s="94"/>
      <c r="BO9" s="94"/>
      <c r="BP9" s="94"/>
      <c r="BQ9" s="94"/>
      <c r="BR9" s="94"/>
      <c r="BS9" s="94"/>
    </row>
    <row r="10" spans="1:71" ht="13">
      <c r="A10" s="89" t="s">
        <v>144</v>
      </c>
      <c r="B10" s="101"/>
      <c r="C10" s="102"/>
      <c r="D10" s="103">
        <v>0</v>
      </c>
      <c r="E10" s="91"/>
      <c r="F10" s="91"/>
      <c r="G10" s="92"/>
      <c r="H10" s="103">
        <v>0</v>
      </c>
      <c r="I10" s="91"/>
      <c r="J10" s="91"/>
      <c r="K10" s="92"/>
      <c r="L10" s="103">
        <v>322551.58</v>
      </c>
      <c r="M10" s="91"/>
      <c r="N10" s="91"/>
      <c r="O10" s="92"/>
      <c r="P10" s="103"/>
      <c r="Q10" s="91"/>
      <c r="R10" s="91"/>
      <c r="S10" s="92"/>
      <c r="T10" s="103"/>
      <c r="U10" s="91"/>
      <c r="V10" s="91"/>
      <c r="W10" s="92"/>
      <c r="X10" s="103"/>
      <c r="Y10" s="103"/>
      <c r="Z10" s="91"/>
      <c r="AA10" s="92"/>
      <c r="AB10" s="103">
        <v>163425.35</v>
      </c>
      <c r="AC10" s="91"/>
      <c r="AD10" s="91"/>
      <c r="AE10" s="92"/>
      <c r="AF10" s="103">
        <v>0</v>
      </c>
      <c r="AG10" s="91"/>
      <c r="AH10" s="91"/>
      <c r="AI10" s="92"/>
      <c r="AJ10" s="103">
        <v>162543.9</v>
      </c>
      <c r="AK10" s="91"/>
      <c r="AL10" s="91"/>
      <c r="AM10" s="92"/>
      <c r="AN10" s="103">
        <v>16783.84</v>
      </c>
      <c r="AO10" s="91"/>
      <c r="AP10" s="91"/>
      <c r="AQ10" s="92"/>
      <c r="AR10" s="103"/>
      <c r="AS10" s="91"/>
      <c r="AT10" s="91"/>
      <c r="AU10" s="92"/>
      <c r="AV10" s="103">
        <v>52679.81</v>
      </c>
      <c r="AW10" s="91"/>
      <c r="AX10" s="91"/>
      <c r="AY10" s="92"/>
      <c r="AZ10" s="95">
        <f t="shared" si="0"/>
        <v>322551.58</v>
      </c>
      <c r="BA10" s="91"/>
      <c r="BB10" s="92"/>
      <c r="BC10" s="93">
        <f t="shared" si="1"/>
        <v>0</v>
      </c>
      <c r="BD10" s="94"/>
      <c r="BE10" s="91"/>
      <c r="BF10" s="92"/>
      <c r="BG10" s="95">
        <f t="shared" si="2"/>
        <v>325969.25</v>
      </c>
      <c r="BH10" s="95"/>
      <c r="BI10" s="95"/>
      <c r="BJ10" s="96"/>
      <c r="BK10" s="96">
        <f t="shared" si="3"/>
        <v>69463.649999999994</v>
      </c>
      <c r="BL10" s="94"/>
      <c r="BM10" s="94"/>
      <c r="BN10" s="94"/>
      <c r="BO10" s="94"/>
      <c r="BP10" s="94"/>
      <c r="BQ10" s="94"/>
      <c r="BR10" s="94"/>
      <c r="BS10" s="94"/>
    </row>
    <row r="11" spans="1:71" ht="13">
      <c r="A11" s="89" t="s">
        <v>145</v>
      </c>
      <c r="B11" s="101"/>
      <c r="C11" s="102"/>
      <c r="D11" s="104">
        <f>SUM(F19:F30)</f>
        <v>4420.0200000000004</v>
      </c>
      <c r="E11" s="91"/>
      <c r="F11" s="91"/>
      <c r="G11" s="92"/>
      <c r="H11" s="104">
        <f>SUM(J19:J30)</f>
        <v>10454.120000000001</v>
      </c>
      <c r="I11" s="91"/>
      <c r="J11" s="91"/>
      <c r="K11" s="92"/>
      <c r="L11" s="104">
        <f>SUM(N19:N30)</f>
        <v>15682.1</v>
      </c>
      <c r="M11" s="91"/>
      <c r="N11" s="91"/>
      <c r="O11" s="92"/>
      <c r="P11" s="104">
        <f>SUM(R19:R30)</f>
        <v>28859.9</v>
      </c>
      <c r="Q11" s="91"/>
      <c r="R11" s="91"/>
      <c r="S11" s="92"/>
      <c r="T11" s="104">
        <f>SUM(V19:V30)</f>
        <v>8248.6299999999992</v>
      </c>
      <c r="U11" s="91"/>
      <c r="V11" s="91"/>
      <c r="W11" s="92"/>
      <c r="X11" s="104">
        <f>SUM(Z19:Z30)</f>
        <v>11803.39</v>
      </c>
      <c r="Y11" s="91"/>
      <c r="Z11" s="91"/>
      <c r="AA11" s="92"/>
      <c r="AB11" s="104">
        <f>SUM(AD19:AD30)</f>
        <v>11885.55</v>
      </c>
      <c r="AC11" s="91"/>
      <c r="AD11" s="91"/>
      <c r="AE11" s="92"/>
      <c r="AF11" s="104">
        <f>SUM(AH19:AH30)</f>
        <v>10512.72</v>
      </c>
      <c r="AG11" s="91"/>
      <c r="AH11" s="91"/>
      <c r="AI11" s="92"/>
      <c r="AJ11" s="104">
        <f>SUM(AL19:AL30)</f>
        <v>4356.2700000000004</v>
      </c>
      <c r="AK11" s="91"/>
      <c r="AL11" s="91"/>
      <c r="AM11" s="92"/>
      <c r="AN11" s="104">
        <f>SUM(AP19:AP30)</f>
        <v>18974.560000000001</v>
      </c>
      <c r="AO11" s="91"/>
      <c r="AP11" s="91"/>
      <c r="AQ11" s="92"/>
      <c r="AR11" s="104">
        <f>SUM(AT19:AT30)</f>
        <v>23637.279999999999</v>
      </c>
      <c r="AS11" s="91"/>
      <c r="AT11" s="91"/>
      <c r="AU11" s="92"/>
      <c r="AV11" s="104">
        <f>SUM(AX19:AX30)</f>
        <v>4889.0200000000004</v>
      </c>
      <c r="AW11" s="91"/>
      <c r="AX11" s="91"/>
      <c r="AY11" s="92"/>
      <c r="AZ11" s="93">
        <f t="shared" si="0"/>
        <v>30556.240000000002</v>
      </c>
      <c r="BA11" s="91"/>
      <c r="BB11" s="92"/>
      <c r="BC11" s="93">
        <f t="shared" si="1"/>
        <v>48911.92</v>
      </c>
      <c r="BD11" s="94"/>
      <c r="BE11" s="91"/>
      <c r="BF11" s="92"/>
      <c r="BG11" s="17">
        <f t="shared" si="2"/>
        <v>26754.539999999997</v>
      </c>
      <c r="BH11" s="95"/>
      <c r="BI11" s="95"/>
      <c r="BJ11" s="96"/>
      <c r="BK11" s="96">
        <f t="shared" si="3"/>
        <v>47500.86</v>
      </c>
      <c r="BL11" s="94"/>
      <c r="BM11" s="94">
        <f t="shared" ref="BM11:BM16" si="5">SUMIF($D$2:$AY$2,$BM$2,$D11:$AY11)</f>
        <v>153723.56</v>
      </c>
      <c r="BN11" s="94"/>
      <c r="BO11" s="94"/>
      <c r="BP11" s="94"/>
      <c r="BQ11" s="94"/>
      <c r="BR11" s="105"/>
      <c r="BS11" s="94"/>
    </row>
    <row r="12" spans="1:71" ht="13">
      <c r="A12" s="106" t="s">
        <v>146</v>
      </c>
      <c r="B12" s="13"/>
      <c r="C12" s="107"/>
      <c r="D12" s="108">
        <f>D5-D7-D9+D11+D10-D6+D8</f>
        <v>208715.75</v>
      </c>
      <c r="E12" s="109"/>
      <c r="F12" s="109"/>
      <c r="G12" s="110"/>
      <c r="H12" s="108">
        <f>H5-H7-H9+H11+H10-H6+H8</f>
        <v>194878.27999999997</v>
      </c>
      <c r="I12" s="109"/>
      <c r="J12" s="109"/>
      <c r="K12" s="110"/>
      <c r="L12" s="108">
        <f>L5-L7-L9+L11+L10-L6+L8</f>
        <v>133435.74000000002</v>
      </c>
      <c r="M12" s="109"/>
      <c r="N12" s="109"/>
      <c r="O12" s="110"/>
      <c r="P12" s="108">
        <f>P5-P7-P9+P11+P10-P6+P8</f>
        <v>82153.890000000014</v>
      </c>
      <c r="Q12" s="109"/>
      <c r="R12" s="109"/>
      <c r="S12" s="110"/>
      <c r="T12" s="108">
        <f>T5-T7-T9+T11+T10-T6+T8</f>
        <v>113683.35999999999</v>
      </c>
      <c r="U12" s="109"/>
      <c r="V12" s="109"/>
      <c r="W12" s="110"/>
      <c r="X12" s="108">
        <f>X5-X7-X9+X11+X10-X6+X8</f>
        <v>95659.63</v>
      </c>
      <c r="Y12" s="109"/>
      <c r="Z12" s="109"/>
      <c r="AA12" s="110"/>
      <c r="AB12" s="108">
        <f>AB5-AB7-AB9+AB11+AB10-AB6+AB8</f>
        <v>178984.56</v>
      </c>
      <c r="AC12" s="111"/>
      <c r="AD12" s="109"/>
      <c r="AE12" s="109"/>
      <c r="AF12" s="108">
        <f>AF5-AF7-AF9+AF11+AF10-AF6+AF8</f>
        <v>174216.26</v>
      </c>
      <c r="AG12" s="109"/>
      <c r="AH12" s="109"/>
      <c r="AI12" s="110"/>
      <c r="AJ12" s="108">
        <f>AJ5-AJ7-AJ9+AJ11+AJ10-AJ6+AJ8</f>
        <v>-16951.750000000029</v>
      </c>
      <c r="AK12" s="109"/>
      <c r="AL12" s="109"/>
      <c r="AM12" s="110"/>
      <c r="AN12" s="108">
        <f>AN5-AN7-AN9+AN11+AN10-AN6+AN8</f>
        <v>227101.66999999998</v>
      </c>
      <c r="AO12" s="109"/>
      <c r="AP12" s="109"/>
      <c r="AQ12" s="110"/>
      <c r="AR12" s="108">
        <f>AR5-AR7-AR9+AR11+AR10-AR6+AR8</f>
        <v>182065.51</v>
      </c>
      <c r="AS12" s="109"/>
      <c r="AT12" s="109"/>
      <c r="AU12" s="110"/>
      <c r="AV12" s="108">
        <f>AV5-AV7-AV9+AV11+AV10-AV6+AV8</f>
        <v>156345.81999999998</v>
      </c>
      <c r="AW12" s="109"/>
      <c r="AX12" s="109"/>
      <c r="AY12" s="110"/>
      <c r="AZ12" s="112">
        <f t="shared" si="0"/>
        <v>537029.77</v>
      </c>
      <c r="BA12" s="109"/>
      <c r="BB12" s="110"/>
      <c r="BC12" s="112">
        <f t="shared" si="1"/>
        <v>291496.88</v>
      </c>
      <c r="BD12" s="113"/>
      <c r="BE12" s="109"/>
      <c r="BF12" s="110"/>
      <c r="BG12" s="16">
        <f t="shared" si="2"/>
        <v>336249.06999999995</v>
      </c>
      <c r="BH12" s="114"/>
      <c r="BI12" s="114"/>
      <c r="BJ12" s="115"/>
      <c r="BK12" s="115">
        <f t="shared" si="3"/>
        <v>565513</v>
      </c>
      <c r="BL12" s="113"/>
      <c r="BM12" s="113">
        <f t="shared" si="5"/>
        <v>1730288.72</v>
      </c>
      <c r="BN12" s="94"/>
      <c r="BO12" s="94">
        <f>BM12/530/12</f>
        <v>272.05797484276729</v>
      </c>
      <c r="BP12" s="94"/>
      <c r="BQ12" s="94"/>
      <c r="BR12" s="94"/>
      <c r="BS12" s="94"/>
    </row>
    <row r="13" spans="1:71" ht="14">
      <c r="A13" s="89" t="s">
        <v>147</v>
      </c>
      <c r="C13" s="61"/>
      <c r="D13" s="90">
        <v>45000</v>
      </c>
      <c r="E13" s="91"/>
      <c r="F13" s="91"/>
      <c r="G13" s="92"/>
      <c r="H13" s="90">
        <v>30051</v>
      </c>
      <c r="I13" s="91"/>
      <c r="J13" s="91"/>
      <c r="K13" s="92"/>
      <c r="L13" s="90">
        <v>45000</v>
      </c>
      <c r="M13" s="91" t="s">
        <v>148</v>
      </c>
      <c r="N13" s="91"/>
      <c r="O13" s="92"/>
      <c r="P13" s="90">
        <v>230000</v>
      </c>
      <c r="Q13" s="91"/>
      <c r="R13" s="91"/>
      <c r="S13" s="92"/>
      <c r="T13" s="90">
        <v>59202.37</v>
      </c>
      <c r="U13" s="91"/>
      <c r="V13" s="91"/>
      <c r="W13" s="92"/>
      <c r="X13" s="90">
        <v>0</v>
      </c>
      <c r="Y13" s="91"/>
      <c r="Z13" s="91"/>
      <c r="AA13" s="92"/>
      <c r="AB13" s="90">
        <v>30000</v>
      </c>
      <c r="AC13" s="91"/>
      <c r="AD13" s="91"/>
      <c r="AE13" s="92"/>
      <c r="AF13" s="90">
        <v>65000</v>
      </c>
      <c r="AG13" s="91"/>
      <c r="AH13" s="91"/>
      <c r="AI13" s="92"/>
      <c r="AJ13" s="90">
        <v>30000</v>
      </c>
      <c r="AK13" s="91"/>
      <c r="AL13" s="91"/>
      <c r="AM13" s="92"/>
      <c r="AN13" s="90">
        <v>60000</v>
      </c>
      <c r="AO13" s="91"/>
      <c r="AP13" s="91"/>
      <c r="AQ13" s="92"/>
      <c r="AR13" s="90">
        <v>0</v>
      </c>
      <c r="AS13" s="91"/>
      <c r="AT13" s="91"/>
      <c r="AU13" s="92"/>
      <c r="AV13" s="90">
        <v>30000</v>
      </c>
      <c r="AW13" s="91"/>
      <c r="AX13" s="91"/>
      <c r="AY13" s="92"/>
      <c r="AZ13" s="93">
        <f t="shared" si="0"/>
        <v>120051</v>
      </c>
      <c r="BA13" s="91"/>
      <c r="BB13" s="92"/>
      <c r="BC13" s="93">
        <f t="shared" si="1"/>
        <v>289202.37</v>
      </c>
      <c r="BD13" s="94"/>
      <c r="BE13" s="91"/>
      <c r="BF13" s="92"/>
      <c r="BG13" s="17">
        <f t="shared" si="2"/>
        <v>125000</v>
      </c>
      <c r="BH13" s="95"/>
      <c r="BI13" s="95"/>
      <c r="BJ13" s="96"/>
      <c r="BK13" s="96">
        <f t="shared" si="3"/>
        <v>90000</v>
      </c>
      <c r="BL13" s="94"/>
      <c r="BM13" s="94">
        <f t="shared" si="5"/>
        <v>624253.37</v>
      </c>
      <c r="BN13" s="94"/>
      <c r="BO13" s="94"/>
      <c r="BP13" s="94"/>
      <c r="BQ13" s="94"/>
      <c r="BR13" s="94"/>
      <c r="BS13" s="94"/>
    </row>
    <row r="14" spans="1:71" ht="14">
      <c r="A14" s="5" t="s">
        <v>149</v>
      </c>
      <c r="C14" s="61"/>
      <c r="D14" s="98"/>
      <c r="E14" s="91"/>
      <c r="F14" s="91"/>
      <c r="G14" s="92"/>
      <c r="H14" s="98"/>
      <c r="I14" s="91"/>
      <c r="J14" s="91"/>
      <c r="K14" s="92"/>
      <c r="L14" s="98"/>
      <c r="M14" s="91"/>
      <c r="N14" s="91"/>
      <c r="O14" s="92"/>
      <c r="P14" s="98"/>
      <c r="Q14" s="91"/>
      <c r="R14" s="91"/>
      <c r="S14" s="92"/>
      <c r="T14" s="98"/>
      <c r="U14" s="91"/>
      <c r="V14" s="91"/>
      <c r="W14" s="92"/>
      <c r="X14" s="98"/>
      <c r="Y14" s="91"/>
      <c r="Z14" s="91"/>
      <c r="AA14" s="92"/>
      <c r="AB14" s="98"/>
      <c r="AC14" s="91"/>
      <c r="AD14" s="91"/>
      <c r="AE14" s="92"/>
      <c r="AF14" s="98"/>
      <c r="AG14" s="91"/>
      <c r="AH14" s="91"/>
      <c r="AI14" s="92"/>
      <c r="AJ14" s="98"/>
      <c r="AK14" s="91"/>
      <c r="AL14" s="91"/>
      <c r="AM14" s="92"/>
      <c r="AN14" s="98"/>
      <c r="AO14" s="91"/>
      <c r="AP14" s="91"/>
      <c r="AQ14" s="92"/>
      <c r="AR14" s="98"/>
      <c r="AS14" s="91"/>
      <c r="AT14" s="91"/>
      <c r="AU14" s="92"/>
      <c r="AV14" s="98"/>
      <c r="AW14" s="91"/>
      <c r="AX14" s="91"/>
      <c r="AY14" s="92"/>
      <c r="AZ14" s="93">
        <f t="shared" si="0"/>
        <v>0</v>
      </c>
      <c r="BA14" s="91"/>
      <c r="BB14" s="92"/>
      <c r="BC14" s="93">
        <f t="shared" si="1"/>
        <v>0</v>
      </c>
      <c r="BD14" s="94"/>
      <c r="BE14" s="91"/>
      <c r="BF14" s="92"/>
      <c r="BG14" s="17">
        <f t="shared" si="2"/>
        <v>0</v>
      </c>
      <c r="BH14" s="95"/>
      <c r="BI14" s="95"/>
      <c r="BJ14" s="96"/>
      <c r="BK14" s="96">
        <f t="shared" si="3"/>
        <v>0</v>
      </c>
      <c r="BL14" s="94"/>
      <c r="BM14" s="94">
        <f t="shared" si="5"/>
        <v>0</v>
      </c>
      <c r="BN14" s="94"/>
      <c r="BO14" s="94"/>
      <c r="BP14" s="94"/>
      <c r="BQ14" s="94"/>
      <c r="BR14" s="94"/>
      <c r="BS14" s="94"/>
    </row>
    <row r="15" spans="1:71" ht="14">
      <c r="A15" s="5" t="s">
        <v>150</v>
      </c>
      <c r="C15" s="61"/>
      <c r="D15" s="100"/>
      <c r="E15" s="91"/>
      <c r="F15" s="91"/>
      <c r="G15" s="92"/>
      <c r="H15" s="100"/>
      <c r="I15" s="91"/>
      <c r="J15" s="91"/>
      <c r="K15" s="92"/>
      <c r="L15" s="100">
        <v>0</v>
      </c>
      <c r="M15" s="91"/>
      <c r="N15" s="91"/>
      <c r="O15" s="92"/>
      <c r="P15" s="100">
        <v>0</v>
      </c>
      <c r="Q15" s="91"/>
      <c r="R15" s="91"/>
      <c r="S15" s="92"/>
      <c r="T15" s="100"/>
      <c r="U15" s="91"/>
      <c r="V15" s="91"/>
      <c r="W15" s="92"/>
      <c r="X15" s="100">
        <v>0</v>
      </c>
      <c r="Y15" s="91"/>
      <c r="Z15" s="91"/>
      <c r="AA15" s="92"/>
      <c r="AB15" s="100"/>
      <c r="AC15" s="91"/>
      <c r="AD15" s="91"/>
      <c r="AE15" s="92"/>
      <c r="AF15" s="100"/>
      <c r="AG15" s="91"/>
      <c r="AH15" s="91"/>
      <c r="AI15" s="92"/>
      <c r="AJ15" s="100"/>
      <c r="AK15" s="91"/>
      <c r="AL15" s="91"/>
      <c r="AM15" s="92"/>
      <c r="AN15" s="100"/>
      <c r="AO15" s="91"/>
      <c r="AP15" s="91"/>
      <c r="AQ15" s="92"/>
      <c r="AR15" s="100"/>
      <c r="AS15" s="91"/>
      <c r="AT15" s="91"/>
      <c r="AU15" s="92"/>
      <c r="AV15" s="100"/>
      <c r="AW15" s="91"/>
      <c r="AX15" s="91"/>
      <c r="AY15" s="92"/>
      <c r="AZ15" s="93">
        <f t="shared" si="0"/>
        <v>0</v>
      </c>
      <c r="BA15" s="91"/>
      <c r="BB15" s="92"/>
      <c r="BC15" s="93">
        <f t="shared" si="1"/>
        <v>0</v>
      </c>
      <c r="BD15" s="94"/>
      <c r="BE15" s="91"/>
      <c r="BF15" s="92"/>
      <c r="BG15" s="17">
        <f t="shared" si="2"/>
        <v>0</v>
      </c>
      <c r="BH15" s="95"/>
      <c r="BI15" s="95"/>
      <c r="BJ15" s="96"/>
      <c r="BK15" s="96">
        <f t="shared" si="3"/>
        <v>0</v>
      </c>
      <c r="BL15" s="94"/>
      <c r="BM15" s="94">
        <f t="shared" si="5"/>
        <v>0</v>
      </c>
      <c r="BN15" s="94"/>
      <c r="BO15" s="94"/>
      <c r="BP15" s="94"/>
      <c r="BQ15" s="94"/>
      <c r="BR15" s="94"/>
      <c r="BS15" s="94"/>
    </row>
    <row r="16" spans="1:71" ht="14">
      <c r="A16" s="5" t="s">
        <v>151</v>
      </c>
      <c r="C16" s="61"/>
      <c r="D16" s="100">
        <f>D13+D14+D15-D9</f>
        <v>15000</v>
      </c>
      <c r="E16" s="91"/>
      <c r="F16" s="91"/>
      <c r="G16" s="92"/>
      <c r="H16" s="100">
        <f>H13+H14+H15-H9</f>
        <v>51</v>
      </c>
      <c r="I16" s="91"/>
      <c r="J16" s="91"/>
      <c r="K16" s="92"/>
      <c r="L16" s="100">
        <f>L13+L14+L15-L9</f>
        <v>15000</v>
      </c>
      <c r="M16" s="91"/>
      <c r="N16" s="91"/>
      <c r="O16" s="92"/>
      <c r="P16" s="100">
        <f>P13+P14+P15-P9</f>
        <v>200000</v>
      </c>
      <c r="Q16" s="91"/>
      <c r="R16" s="91"/>
      <c r="S16" s="92"/>
      <c r="T16" s="100">
        <f>T13+T14+T15-T9</f>
        <v>29202.370000000003</v>
      </c>
      <c r="U16" s="91"/>
      <c r="V16" s="91"/>
      <c r="W16" s="92"/>
      <c r="X16" s="100">
        <f>X13+X14+X15-X9</f>
        <v>-30000</v>
      </c>
      <c r="Y16" s="91"/>
      <c r="Z16" s="91"/>
      <c r="AA16" s="92"/>
      <c r="AB16" s="100">
        <f>AB13+AB14+AB15-AB9</f>
        <v>0</v>
      </c>
      <c r="AC16" s="91"/>
      <c r="AD16" s="91"/>
      <c r="AE16" s="92"/>
      <c r="AF16" s="100">
        <f>AF13+AF14+AF15-AF9</f>
        <v>35000</v>
      </c>
      <c r="AG16" s="91"/>
      <c r="AH16" s="91"/>
      <c r="AI16" s="92"/>
      <c r="AJ16" s="100">
        <f>AJ13+AJ14+AJ15-AJ9</f>
        <v>0</v>
      </c>
      <c r="AK16" s="91"/>
      <c r="AL16" s="91"/>
      <c r="AM16" s="92"/>
      <c r="AN16" s="100">
        <f>AN13+AN14+AN15-AN9</f>
        <v>30000</v>
      </c>
      <c r="AO16" s="91"/>
      <c r="AP16" s="91"/>
      <c r="AQ16" s="92"/>
      <c r="AR16" s="100">
        <f>AR13+AR14+AR15-AR9</f>
        <v>-30000</v>
      </c>
      <c r="AS16" s="91"/>
      <c r="AT16" s="91"/>
      <c r="AU16" s="92"/>
      <c r="AV16" s="100">
        <f>AV13+AV14+AV15-AV9</f>
        <v>0</v>
      </c>
      <c r="AW16" s="91"/>
      <c r="AX16" s="91"/>
      <c r="AY16" s="92"/>
      <c r="AZ16" s="93">
        <f t="shared" si="0"/>
        <v>30051</v>
      </c>
      <c r="BA16" s="91"/>
      <c r="BB16" s="92"/>
      <c r="BC16" s="93">
        <f t="shared" si="1"/>
        <v>199202.37</v>
      </c>
      <c r="BD16" s="94"/>
      <c r="BE16" s="91"/>
      <c r="BF16" s="92"/>
      <c r="BG16" s="17">
        <f t="shared" si="2"/>
        <v>35000</v>
      </c>
      <c r="BH16" s="95"/>
      <c r="BI16" s="95"/>
      <c r="BJ16" s="96"/>
      <c r="BK16" s="96">
        <f t="shared" si="3"/>
        <v>0</v>
      </c>
      <c r="BL16" s="94"/>
      <c r="BM16" s="94">
        <f t="shared" si="5"/>
        <v>264253.37</v>
      </c>
      <c r="BN16" s="94"/>
      <c r="BO16" s="94"/>
      <c r="BP16" s="94"/>
      <c r="BQ16" s="94"/>
      <c r="BR16" s="94"/>
      <c r="BS16" s="94"/>
    </row>
    <row r="17" spans="1:71" ht="13">
      <c r="A17" s="5"/>
      <c r="C17" s="61"/>
      <c r="D17" s="100"/>
      <c r="E17" s="91"/>
      <c r="F17" s="91"/>
      <c r="G17" s="92"/>
      <c r="H17" s="100"/>
      <c r="I17" s="91"/>
      <c r="J17" s="91"/>
      <c r="K17" s="92"/>
      <c r="L17" s="100"/>
      <c r="M17" s="91"/>
      <c r="N17" s="91"/>
      <c r="O17" s="92"/>
      <c r="P17" s="100"/>
      <c r="Q17" s="91"/>
      <c r="R17" s="91"/>
      <c r="S17" s="92"/>
      <c r="T17" s="100"/>
      <c r="U17" s="91"/>
      <c r="V17" s="91"/>
      <c r="W17" s="92"/>
      <c r="X17" s="100"/>
      <c r="Y17" s="91"/>
      <c r="Z17" s="91"/>
      <c r="AA17" s="92"/>
      <c r="AB17" s="100"/>
      <c r="AC17" s="91"/>
      <c r="AD17" s="91"/>
      <c r="AE17" s="92"/>
      <c r="AF17" s="100"/>
      <c r="AG17" s="91"/>
      <c r="AH17" s="91"/>
      <c r="AI17" s="92"/>
      <c r="AJ17" s="100"/>
      <c r="AK17" s="91"/>
      <c r="AL17" s="91"/>
      <c r="AM17" s="92"/>
      <c r="AN17" s="100"/>
      <c r="AO17" s="91"/>
      <c r="AP17" s="91"/>
      <c r="AQ17" s="92"/>
      <c r="AR17" s="100"/>
      <c r="AS17" s="91"/>
      <c r="AT17" s="91"/>
      <c r="AU17" s="92"/>
      <c r="AV17" s="100"/>
      <c r="AW17" s="91"/>
      <c r="AX17" s="91"/>
      <c r="AY17" s="92"/>
      <c r="AZ17" s="100"/>
      <c r="BA17" s="91"/>
      <c r="BB17" s="92"/>
      <c r="BC17" s="100"/>
      <c r="BD17" s="91"/>
      <c r="BE17" s="91"/>
      <c r="BF17" s="92"/>
      <c r="BG17" s="17"/>
      <c r="BH17" s="17"/>
      <c r="BI17" s="17"/>
      <c r="BJ17" s="116"/>
      <c r="BK17" s="116"/>
      <c r="BL17" s="91"/>
      <c r="BM17" s="91"/>
      <c r="BN17" s="91"/>
      <c r="BO17" s="91"/>
      <c r="BP17" s="91"/>
      <c r="BQ17" s="91"/>
      <c r="BR17" s="91"/>
      <c r="BS17" s="91"/>
    </row>
    <row r="18" spans="1:71" ht="28">
      <c r="A18" s="5"/>
      <c r="B18" s="5"/>
      <c r="C18" s="5"/>
      <c r="D18" s="117" t="s">
        <v>152</v>
      </c>
      <c r="E18" s="118" t="s">
        <v>153</v>
      </c>
      <c r="F18" s="118" t="s">
        <v>154</v>
      </c>
      <c r="G18" s="118" t="s">
        <v>155</v>
      </c>
      <c r="H18" s="117" t="s">
        <v>152</v>
      </c>
      <c r="I18" s="118" t="s">
        <v>153</v>
      </c>
      <c r="J18" s="118" t="s">
        <v>154</v>
      </c>
      <c r="K18" s="118" t="s">
        <v>155</v>
      </c>
      <c r="L18" s="117" t="s">
        <v>152</v>
      </c>
      <c r="M18" s="118" t="s">
        <v>153</v>
      </c>
      <c r="N18" s="118" t="s">
        <v>154</v>
      </c>
      <c r="O18" s="118" t="s">
        <v>155</v>
      </c>
      <c r="P18" s="117" t="s">
        <v>152</v>
      </c>
      <c r="Q18" s="118" t="s">
        <v>153</v>
      </c>
      <c r="R18" s="118" t="s">
        <v>154</v>
      </c>
      <c r="S18" s="118" t="s">
        <v>155</v>
      </c>
      <c r="T18" s="117" t="s">
        <v>152</v>
      </c>
      <c r="U18" s="118" t="s">
        <v>153</v>
      </c>
      <c r="V18" s="118" t="s">
        <v>154</v>
      </c>
      <c r="W18" s="118" t="s">
        <v>155</v>
      </c>
      <c r="X18" s="117" t="s">
        <v>152</v>
      </c>
      <c r="Y18" s="118" t="s">
        <v>153</v>
      </c>
      <c r="Z18" s="118" t="s">
        <v>154</v>
      </c>
      <c r="AA18" s="118" t="s">
        <v>155</v>
      </c>
      <c r="AB18" s="117" t="s">
        <v>152</v>
      </c>
      <c r="AC18" s="118" t="s">
        <v>153</v>
      </c>
      <c r="AD18" s="118" t="s">
        <v>154</v>
      </c>
      <c r="AE18" s="118" t="s">
        <v>155</v>
      </c>
      <c r="AF18" s="117" t="s">
        <v>152</v>
      </c>
      <c r="AG18" s="118" t="s">
        <v>153</v>
      </c>
      <c r="AH18" s="118" t="s">
        <v>154</v>
      </c>
      <c r="AI18" s="118" t="s">
        <v>155</v>
      </c>
      <c r="AJ18" s="117" t="s">
        <v>152</v>
      </c>
      <c r="AK18" s="118" t="s">
        <v>153</v>
      </c>
      <c r="AL18" s="118" t="s">
        <v>154</v>
      </c>
      <c r="AM18" s="118" t="s">
        <v>155</v>
      </c>
      <c r="AN18" s="117" t="s">
        <v>152</v>
      </c>
      <c r="AO18" s="118" t="s">
        <v>153</v>
      </c>
      <c r="AP18" s="118" t="s">
        <v>154</v>
      </c>
      <c r="AQ18" s="118" t="s">
        <v>155</v>
      </c>
      <c r="AR18" s="117" t="s">
        <v>152</v>
      </c>
      <c r="AS18" s="118" t="s">
        <v>153</v>
      </c>
      <c r="AT18" s="118" t="s">
        <v>154</v>
      </c>
      <c r="AU18" s="118" t="s">
        <v>155</v>
      </c>
      <c r="AV18" s="117" t="s">
        <v>152</v>
      </c>
      <c r="AW18" s="118" t="s">
        <v>153</v>
      </c>
      <c r="AX18" s="118" t="s">
        <v>154</v>
      </c>
      <c r="AY18" s="118" t="s">
        <v>155</v>
      </c>
      <c r="AZ18" s="119" t="s">
        <v>156</v>
      </c>
      <c r="BA18" s="119" t="s">
        <v>157</v>
      </c>
      <c r="BB18" s="119" t="s">
        <v>158</v>
      </c>
      <c r="BC18" s="119" t="s">
        <v>159</v>
      </c>
      <c r="BD18" s="119"/>
      <c r="BE18" s="119" t="s">
        <v>160</v>
      </c>
      <c r="BF18" s="119" t="s">
        <v>161</v>
      </c>
      <c r="BG18" s="119" t="s">
        <v>162</v>
      </c>
      <c r="BH18" s="119"/>
      <c r="BI18" s="119" t="s">
        <v>163</v>
      </c>
      <c r="BJ18" s="119" t="s">
        <v>164</v>
      </c>
      <c r="BK18" s="119" t="s">
        <v>165</v>
      </c>
      <c r="BL18" s="119" t="s">
        <v>166</v>
      </c>
      <c r="BM18" s="119"/>
      <c r="BN18" s="120"/>
      <c r="BO18" s="120" t="str">
        <f>B1&amp;" + carryover"</f>
        <v>2024 + carryover</v>
      </c>
      <c r="BP18" s="91"/>
      <c r="BQ18" s="91"/>
      <c r="BR18" s="91" t="s">
        <v>167</v>
      </c>
      <c r="BS18" s="91" t="s">
        <v>167</v>
      </c>
    </row>
    <row r="19" spans="1:71" ht="13">
      <c r="A19" s="89" t="s">
        <v>83</v>
      </c>
      <c r="B19" s="121"/>
      <c r="C19" s="121">
        <f>'PS Model 2023'!BK30</f>
        <v>304966.23649218795</v>
      </c>
      <c r="D19" s="122">
        <f>300-175</f>
        <v>125</v>
      </c>
      <c r="E19" s="123">
        <f t="shared" ref="E19:E30" si="6">D$12*D19/D$31</f>
        <v>49225.412735849044</v>
      </c>
      <c r="F19" s="124">
        <v>4420.0200000000004</v>
      </c>
      <c r="G19" s="123">
        <f t="shared" ref="G19:G30" si="7">E19-F19</f>
        <v>44805.392735849047</v>
      </c>
      <c r="H19" s="122">
        <f>300-175</f>
        <v>125</v>
      </c>
      <c r="I19" s="123">
        <f t="shared" ref="I19:I30" si="8">H$12*H19/H$31</f>
        <v>45961.858490566017</v>
      </c>
      <c r="J19" s="124">
        <v>10454.120000000001</v>
      </c>
      <c r="K19" s="123">
        <f t="shared" ref="K19:K30" si="9">I19-J19</f>
        <v>35507.738490566015</v>
      </c>
      <c r="L19" s="122">
        <f>300-175</f>
        <v>125</v>
      </c>
      <c r="M19" s="123">
        <f t="shared" ref="M19:M30" si="10">L$12*L19/L$31</f>
        <v>31470.693396226412</v>
      </c>
      <c r="N19" s="124">
        <v>15682.1</v>
      </c>
      <c r="O19" s="123">
        <f t="shared" ref="O19:O30" si="11">M19-N19</f>
        <v>15788.593396226412</v>
      </c>
      <c r="P19" s="122">
        <f>300-175</f>
        <v>125</v>
      </c>
      <c r="Q19" s="123">
        <f t="shared" ref="Q19:Q30" si="12">P$12*P19/P$31</f>
        <v>19375.917452830188</v>
      </c>
      <c r="R19" s="124">
        <v>28859.9</v>
      </c>
      <c r="S19" s="123">
        <f t="shared" ref="S19:S30" si="13">Q19-R19</f>
        <v>-9483.9825471698132</v>
      </c>
      <c r="T19" s="122">
        <f>300-175</f>
        <v>125</v>
      </c>
      <c r="U19" s="123">
        <f t="shared" ref="U19:U30" si="14">T$12*T19/T$31</f>
        <v>26812.113207547161</v>
      </c>
      <c r="V19" s="124">
        <v>8248.6299999999992</v>
      </c>
      <c r="W19" s="123">
        <f t="shared" ref="W19:W30" si="15">U19-V19</f>
        <v>18563.483207547164</v>
      </c>
      <c r="X19" s="122">
        <f>300-175</f>
        <v>125</v>
      </c>
      <c r="Y19" s="123">
        <f t="shared" ref="Y19:Y30" si="16">X$12*X19/X$31</f>
        <v>22561.233490566032</v>
      </c>
      <c r="Z19" s="124">
        <v>5939.58</v>
      </c>
      <c r="AA19" s="123">
        <f t="shared" ref="AA19:AA30" si="17">Y19-Z19</f>
        <v>16621.65349056603</v>
      </c>
      <c r="AB19" s="122">
        <f>300-175</f>
        <v>125</v>
      </c>
      <c r="AC19" s="123">
        <f t="shared" ref="AC19:AC30" si="18">AB$12*AB19/AB$31</f>
        <v>42213.339622641499</v>
      </c>
      <c r="AD19" s="124">
        <v>11885.55</v>
      </c>
      <c r="AE19" s="123">
        <f t="shared" ref="AE19:AE30" si="19">AC19-AD19</f>
        <v>30327.7896226415</v>
      </c>
      <c r="AF19" s="122">
        <f>300-175</f>
        <v>125</v>
      </c>
      <c r="AG19" s="123">
        <f t="shared" ref="AG19:AG30" si="20">AF$12*AF19/AF$31</f>
        <v>41088.740566037726</v>
      </c>
      <c r="AH19" s="124">
        <v>10512.72</v>
      </c>
      <c r="AI19" s="123">
        <f t="shared" ref="AI19:AI30" si="21">AG19-AH19</f>
        <v>30576.020566037725</v>
      </c>
      <c r="AJ19" s="122">
        <f>300-175</f>
        <v>125</v>
      </c>
      <c r="AK19" s="123">
        <f t="shared" ref="AK19:AK30" si="22">AJ$12*AJ19/AJ$31</f>
        <v>-3998.054245283025</v>
      </c>
      <c r="AL19" s="124">
        <v>4356.2700000000004</v>
      </c>
      <c r="AM19" s="123">
        <f t="shared" ref="AM19:AM30" si="23">AK19-AL19</f>
        <v>-8354.3242452830254</v>
      </c>
      <c r="AN19" s="122">
        <f>300-175</f>
        <v>125</v>
      </c>
      <c r="AO19" s="123">
        <f t="shared" ref="AO19:AO30" si="24">AN$12*AN19/AN$31</f>
        <v>53561.714622641492</v>
      </c>
      <c r="AP19" s="124">
        <v>18974.560000000001</v>
      </c>
      <c r="AQ19" s="123">
        <f t="shared" ref="AQ19:AQ30" si="25">AO19-AP19</f>
        <v>34587.154622641494</v>
      </c>
      <c r="AR19" s="122">
        <f>300-175</f>
        <v>125</v>
      </c>
      <c r="AS19" s="123">
        <f t="shared" ref="AS19:AS30" si="26">AR$12*AR19/AR$31</f>
        <v>42939.978773584895</v>
      </c>
      <c r="AT19" s="124">
        <v>23637.279999999999</v>
      </c>
      <c r="AU19" s="123">
        <f t="shared" ref="AU19:AU30" si="27">AS19-AT19</f>
        <v>19302.698773584896</v>
      </c>
      <c r="AV19" s="122">
        <f>300-175</f>
        <v>125</v>
      </c>
      <c r="AW19" s="123">
        <f>AV$12*AV19/AV$31+AX56</f>
        <v>37212.269250943384</v>
      </c>
      <c r="AX19" s="124">
        <v>4889.0200000000004</v>
      </c>
      <c r="AY19" s="126">
        <f t="shared" ref="AY19:AY30" si="28">AW19-AX19</f>
        <v>32323.249250943383</v>
      </c>
      <c r="AZ19" s="127">
        <f t="shared" ref="AZ19:AZ30" si="29">IF($AV$3=AZ$2,AY19,0)+IF($AR$3=AZ$2,AU19,0)+IF($AN$3=AZ$2,AQ19,0)+IF($AJ$3=AZ$2,AM19,0)+IF($AF$3=AZ$2,AI19,0)+IF($AB$3=AZ$2,AE19,0)+IF($X$3=AZ$2,AA19,0)+IF($T$3=AZ$2,W19,0)+IF($P$3=AZ$2,S19,0)+IF($L$3=AZ$2,O19,0)+IF($H$3=AZ$2,K19,0)+IF($D$3=AZ$2,G19,0)</f>
        <v>96101.724622641472</v>
      </c>
      <c r="BA19" s="94">
        <f t="shared" ref="BA19:BA30" si="30">IF($AV$3=AZ$2,AX19,0)+IF($AR$3=AZ$2,AT19,0)+IF($AN$3=AZ$2,AP19,0)+IF($AJ$3=AZ$2,AL19,0)+IF($AF$3=AZ$2,AH19,0)+IF($AB$3=AZ$2,AD19,0)+IF($X$3=AZ$2,Z19,0)+IF($T$3=AZ$2,V19,0)+IF($P$3=AZ$2,R19,0)+IF($L$3=AZ$2,N19,0)+IF($H$3=AZ$2,J19,0)+IF($D$3=AZ$2,F19,0)</f>
        <v>30556.240000000002</v>
      </c>
      <c r="BB19" s="128">
        <f t="shared" ref="BB19:BB30" si="31">AZ19+$C19</f>
        <v>401067.96111482941</v>
      </c>
      <c r="BC19" s="127">
        <f t="shared" ref="BC19:BC30" si="32">IF($AV$3=BC$2,AY19,0)+IF($AR$3=BC$2,AU19,0)+IF($AN$3=BC$2,AQ19,0)+IF($AJ$3=BC$2,AM19,0)+IF($AF$3=BC$2,AI19,0)+IF($AB$3=BC$2,AE19,0)+IF($X$3=BC$2,AA19,0)+IF($T$3=BC$2,W19,0)+IF($P$3=BC$2,S19,0)+IF($L$3=BC$2,O19,0)+IF($H$3=BC$2,K19,0)+IF($D$3=BC$2,G19,0)</f>
        <v>25701.154150943381</v>
      </c>
      <c r="BD19" s="127"/>
      <c r="BE19" s="94">
        <f t="shared" ref="BE19:BE30" si="33">IF($AV$3=BC$2,AX19,0)+IF($AR$3=BC$2,AT19,0)+IF($AN$3=BC$2,AP19,0)+IF($AJ$3=BC$2,AL19,0)+IF($AF$3=BC$2,AH19,0)+IF($AB$3=BC$2,AD19,0)+IF($X$3=BC$2,Z19,0)+IF($T$3=BC$2,V19,0)+IF($P$3=BC$2,R19,0)+IF($L$3=BC$2,N19,0)+IF($H$3=BC$2,J19,0)+IF($D$3=BC$2,F19,0)</f>
        <v>43048.11</v>
      </c>
      <c r="BF19" s="128">
        <f t="shared" ref="BF19:BF30" si="34">BC19+BB19</f>
        <v>426769.11526577279</v>
      </c>
      <c r="BG19" s="127">
        <f t="shared" ref="BG19:BG30" si="35">IF($AV$3=BG$2,AY19,0)+IF($AR$3=BG$2,AU19,0)+IF($AN$3=BG$2,AQ19,0)+IF($AJ$3=BG$2,AM19,0)+IF($AF$3=BG$2,AI19,0)+IF($AB$3=BG$2,AE19,0)+IF($X$3=BG$2,AA19,0)+IF($T$3=BG$2,W19,0)+IF($P$3=BG$2,S19,0)+IF($L$3=BG$2,O19,0)+IF($H$3=BG$2,K19,0)+IF($D$3=BG$2,G19,0)</f>
        <v>52549.485943396197</v>
      </c>
      <c r="BH19" s="129"/>
      <c r="BI19" s="94">
        <f t="shared" ref="BI19:BI30" si="36">IF($AV$3=BG$2,AX19,0)+IF($AR$3=BG$2,AT19,0)+IF($AN$3=BG$2,AP19,0)+IF($AJ$3=BG$2,AL19,0)+IF($AF$3=BG$2,AH19,0)+IF($AB$3=BG$2,AD19,0)+IF($X$3=BG$2,Z19,0)+IF($T$3=BG$2,V19,0)+IF($P$3=BG$2,R19,0)+IF($L$3=BG$2,N19,0)+IF($H$3=BG$2,J19,0)+IF($D$3=BG$2,F19,0)</f>
        <v>26754.54</v>
      </c>
      <c r="BJ19" s="130">
        <f t="shared" ref="BJ19:BJ30" si="37">BG19+BF19</f>
        <v>479318.60120916902</v>
      </c>
      <c r="BK19" s="130">
        <f t="shared" ref="BK19:BK30" si="38">IF($AV$3=BK$2,AY19,0)+IF($AR$3=BK$2,AU19,0)+IF($AN$3=BK$2,AQ19,0)+IF($AJ$3=BK$2,AM19,0)+IF($AF$3=BK$2,AI19,0)+IF($AB$3=BK$2,AE19,0)+IF($X$3=BK$2,AA19,0)+IF($T$3=BK$2,W19,0)+IF($P$3=BK$2,S19,0)+IF($L$3=BK$2,O19,0)+IF($H$3=BK$2,K19,0)+IF($D$3=BK$2,G19,0)</f>
        <v>86213.10264716977</v>
      </c>
      <c r="BL19" s="94">
        <f t="shared" ref="BL19:BL30" si="39">IF($AV$3=BK$2,AX19,0)+IF($AR$3=BK$2,AT19,0)+IF($AN$3=BK$2,AP19,0)+IF($AJ$3=BK$2,AL19,0)+IF($AF$3=BK$2,AH19,0)+IF($AB$3=BK$2,AD19,0)+IF($X$3=BK$2,Z19,0)+IF($T$3=BK$2,V19,0)+IF($P$3=BK$2,R19,0)+IF($L$3=BK$2,N19,0)+IF($H$3=BK$2,J19,0)+IF($D$3=BK$2,F19,0)</f>
        <v>47500.86</v>
      </c>
      <c r="BM19" s="127">
        <f t="shared" ref="BM19:BM30" si="40">AY19+AU19+AQ19+AM19+AI19+AE19+AA19+W19+S19+O19+K19+G19</f>
        <v>260565.46736415083</v>
      </c>
      <c r="BN19" s="127"/>
      <c r="BO19" s="127">
        <f t="shared" ref="BO19:BO30" si="41">BK19+BJ19</f>
        <v>565531.70385633875</v>
      </c>
      <c r="BP19" s="91"/>
      <c r="BQ19" s="91"/>
      <c r="BR19" s="17">
        <f t="shared" ref="BR19:BR30" si="42">ROUND(BM19-SUM(BK19,BG19,BC19,AZ19), 5)</f>
        <v>0</v>
      </c>
      <c r="BS19" s="17">
        <f t="shared" ref="BS19:BS30" si="43">ROUND(BM19+C19-BO19,5)</f>
        <v>0</v>
      </c>
    </row>
    <row r="20" spans="1:71" ht="13">
      <c r="A20" s="89" t="s">
        <v>209</v>
      </c>
      <c r="B20" s="121"/>
      <c r="C20" s="121">
        <f>'PS Model 2023'!BK31</f>
        <v>-2.8346393955871463E-3</v>
      </c>
      <c r="D20" s="122">
        <f>100+175/3</f>
        <v>158.33333333333334</v>
      </c>
      <c r="E20" s="123">
        <f t="shared" si="6"/>
        <v>62352.189465408796</v>
      </c>
      <c r="F20" s="124"/>
      <c r="G20" s="123">
        <f t="shared" si="7"/>
        <v>62352.189465408796</v>
      </c>
      <c r="H20" s="122">
        <f>100+175/3</f>
        <v>158.33333333333334</v>
      </c>
      <c r="I20" s="123">
        <f t="shared" si="8"/>
        <v>58218.354088050299</v>
      </c>
      <c r="J20" s="124"/>
      <c r="K20" s="123">
        <f t="shared" si="9"/>
        <v>58218.354088050299</v>
      </c>
      <c r="L20" s="122">
        <f>100+175/3</f>
        <v>158.33333333333334</v>
      </c>
      <c r="M20" s="123">
        <f t="shared" si="10"/>
        <v>39862.878301886791</v>
      </c>
      <c r="N20" s="124"/>
      <c r="O20" s="123">
        <f t="shared" si="11"/>
        <v>39862.878301886791</v>
      </c>
      <c r="P20" s="122">
        <f>100+175/3</f>
        <v>158.33333333333334</v>
      </c>
      <c r="Q20" s="123">
        <f t="shared" si="12"/>
        <v>24542.828773584908</v>
      </c>
      <c r="R20" s="124"/>
      <c r="S20" s="123">
        <f t="shared" si="13"/>
        <v>24542.828773584908</v>
      </c>
      <c r="T20" s="122">
        <f>100+175/3</f>
        <v>158.33333333333334</v>
      </c>
      <c r="U20" s="123">
        <f t="shared" si="14"/>
        <v>33962.010062893074</v>
      </c>
      <c r="V20" s="124"/>
      <c r="W20" s="123">
        <f t="shared" si="15"/>
        <v>33962.010062893074</v>
      </c>
      <c r="X20" s="122">
        <f>100+175/3</f>
        <v>158.33333333333334</v>
      </c>
      <c r="Y20" s="123">
        <f t="shared" si="16"/>
        <v>28577.562421383645</v>
      </c>
      <c r="Z20" s="124"/>
      <c r="AA20" s="123">
        <f t="shared" si="17"/>
        <v>28577.562421383645</v>
      </c>
      <c r="AB20" s="122">
        <f>100+175/3</f>
        <v>158.33333333333334</v>
      </c>
      <c r="AC20" s="123">
        <f t="shared" si="18"/>
        <v>53470.230188679234</v>
      </c>
      <c r="AD20" s="124"/>
      <c r="AE20" s="123">
        <f t="shared" si="19"/>
        <v>53470.230188679234</v>
      </c>
      <c r="AF20" s="122">
        <f>100+175/3</f>
        <v>158.33333333333334</v>
      </c>
      <c r="AG20" s="123">
        <f t="shared" si="20"/>
        <v>52045.738050314467</v>
      </c>
      <c r="AH20" s="124"/>
      <c r="AI20" s="123">
        <f t="shared" si="21"/>
        <v>52045.738050314467</v>
      </c>
      <c r="AJ20" s="122">
        <f>100+175/3</f>
        <v>158.33333333333334</v>
      </c>
      <c r="AK20" s="123">
        <f t="shared" si="22"/>
        <v>-5064.2020440251654</v>
      </c>
      <c r="AL20" s="124"/>
      <c r="AM20" s="123">
        <f t="shared" si="23"/>
        <v>-5064.2020440251654</v>
      </c>
      <c r="AN20" s="122">
        <f>100+175/3</f>
        <v>158.33333333333334</v>
      </c>
      <c r="AO20" s="123">
        <f t="shared" si="24"/>
        <v>67844.838522012564</v>
      </c>
      <c r="AP20" s="124"/>
      <c r="AQ20" s="123">
        <f t="shared" si="25"/>
        <v>67844.838522012564</v>
      </c>
      <c r="AR20" s="122">
        <f>100+175/3</f>
        <v>158.33333333333334</v>
      </c>
      <c r="AS20" s="123">
        <f t="shared" si="26"/>
        <v>54390.639779874204</v>
      </c>
      <c r="AT20" s="124"/>
      <c r="AU20" s="123">
        <f t="shared" si="27"/>
        <v>54390.639779874204</v>
      </c>
      <c r="AV20" s="122">
        <f>100+175/3</f>
        <v>158.33333333333334</v>
      </c>
      <c r="AW20" s="123">
        <f>AV$12*AV20/AV$31-AX55</f>
        <v>46308.84459119496</v>
      </c>
      <c r="AX20" s="124"/>
      <c r="AY20" s="126">
        <f t="shared" si="28"/>
        <v>46308.84459119496</v>
      </c>
      <c r="AZ20" s="127">
        <f t="shared" si="29"/>
        <v>160433.42185534589</v>
      </c>
      <c r="BA20" s="94">
        <f t="shared" si="30"/>
        <v>0</v>
      </c>
      <c r="BB20" s="128">
        <f t="shared" si="31"/>
        <v>160433.4190207065</v>
      </c>
      <c r="BC20" s="127">
        <f t="shared" si="32"/>
        <v>87082.401257861638</v>
      </c>
      <c r="BD20" s="127"/>
      <c r="BE20" s="94">
        <f t="shared" si="33"/>
        <v>0</v>
      </c>
      <c r="BF20" s="128">
        <f t="shared" si="34"/>
        <v>247515.82027856814</v>
      </c>
      <c r="BG20" s="127">
        <f t="shared" si="35"/>
        <v>100451.76619496854</v>
      </c>
      <c r="BH20" s="129"/>
      <c r="BI20" s="94">
        <f t="shared" si="36"/>
        <v>0</v>
      </c>
      <c r="BJ20" s="130">
        <f t="shared" si="37"/>
        <v>347967.58647353668</v>
      </c>
      <c r="BK20" s="130">
        <f t="shared" si="38"/>
        <v>168544.32289308173</v>
      </c>
      <c r="BL20" s="94">
        <f t="shared" si="39"/>
        <v>0</v>
      </c>
      <c r="BM20" s="127">
        <f t="shared" si="40"/>
        <v>516511.91220125783</v>
      </c>
      <c r="BN20" s="127"/>
      <c r="BO20" s="127">
        <f t="shared" si="41"/>
        <v>516511.90936661838</v>
      </c>
      <c r="BP20" s="91"/>
      <c r="BQ20" s="91"/>
      <c r="BR20" s="17">
        <f t="shared" si="42"/>
        <v>0</v>
      </c>
      <c r="BS20" s="17">
        <f t="shared" si="43"/>
        <v>0</v>
      </c>
    </row>
    <row r="21" spans="1:71" ht="13">
      <c r="A21" s="89" t="s">
        <v>61</v>
      </c>
      <c r="B21" s="121"/>
      <c r="C21" s="121">
        <f>'PS Model 2023'!BK32</f>
        <v>2.2979149944148958E-3</v>
      </c>
      <c r="D21" s="131">
        <f t="shared" ref="D21:D22" si="44">50+175/3</f>
        <v>108.33333333333334</v>
      </c>
      <c r="E21" s="123">
        <f t="shared" si="6"/>
        <v>42662.024371069172</v>
      </c>
      <c r="F21" s="124"/>
      <c r="G21" s="126">
        <f t="shared" si="7"/>
        <v>42662.024371069172</v>
      </c>
      <c r="H21" s="131">
        <f t="shared" ref="H21:H22" si="45">50+175/3</f>
        <v>108.33333333333334</v>
      </c>
      <c r="I21" s="123">
        <f t="shared" si="8"/>
        <v>39833.610691823887</v>
      </c>
      <c r="J21" s="124"/>
      <c r="K21" s="126">
        <f t="shared" si="9"/>
        <v>39833.610691823887</v>
      </c>
      <c r="L21" s="131">
        <f t="shared" ref="L21:L22" si="46">50+175/3</f>
        <v>108.33333333333334</v>
      </c>
      <c r="M21" s="123">
        <f t="shared" si="10"/>
        <v>27274.600943396228</v>
      </c>
      <c r="N21" s="124"/>
      <c r="O21" s="126">
        <f t="shared" si="11"/>
        <v>27274.600943396228</v>
      </c>
      <c r="P21" s="131">
        <f t="shared" ref="P21:P22" si="47">50+175/3</f>
        <v>108.33333333333334</v>
      </c>
      <c r="Q21" s="123">
        <f t="shared" si="12"/>
        <v>16792.461792452828</v>
      </c>
      <c r="R21" s="124"/>
      <c r="S21" s="126">
        <f t="shared" si="13"/>
        <v>16792.461792452828</v>
      </c>
      <c r="T21" s="131">
        <f t="shared" ref="T21:T22" si="48">50+175/3</f>
        <v>108.33333333333334</v>
      </c>
      <c r="U21" s="123">
        <f t="shared" si="14"/>
        <v>23237.164779874205</v>
      </c>
      <c r="V21" s="124"/>
      <c r="W21" s="126">
        <f t="shared" si="15"/>
        <v>23237.164779874205</v>
      </c>
      <c r="X21" s="131">
        <f t="shared" ref="X21:X22" si="49">50+175/3</f>
        <v>108.33333333333334</v>
      </c>
      <c r="Y21" s="123">
        <f t="shared" si="16"/>
        <v>19553.06902515723</v>
      </c>
      <c r="Z21" s="124">
        <v>5863.81</v>
      </c>
      <c r="AA21" s="126">
        <f t="shared" si="17"/>
        <v>13689.259025157229</v>
      </c>
      <c r="AB21" s="131">
        <f t="shared" ref="AB21:AB22" si="50">50+175/3</f>
        <v>108.33333333333334</v>
      </c>
      <c r="AC21" s="123">
        <f t="shared" si="18"/>
        <v>36584.894339622631</v>
      </c>
      <c r="AD21" s="124"/>
      <c r="AE21" s="126">
        <f t="shared" si="19"/>
        <v>36584.894339622631</v>
      </c>
      <c r="AF21" s="131">
        <f t="shared" ref="AF21:AF22" si="51">50+175/3</f>
        <v>108.33333333333334</v>
      </c>
      <c r="AG21" s="123">
        <f t="shared" si="20"/>
        <v>35610.241823899363</v>
      </c>
      <c r="AH21" s="124"/>
      <c r="AI21" s="126">
        <f t="shared" si="21"/>
        <v>35610.241823899363</v>
      </c>
      <c r="AJ21" s="131">
        <f t="shared" ref="AJ21:AJ22" si="52">50+175/3</f>
        <v>108.33333333333334</v>
      </c>
      <c r="AK21" s="123">
        <f t="shared" si="22"/>
        <v>-3464.9803459119553</v>
      </c>
      <c r="AL21" s="124"/>
      <c r="AM21" s="126">
        <f t="shared" si="23"/>
        <v>-3464.9803459119553</v>
      </c>
      <c r="AN21" s="131">
        <f t="shared" ref="AN21:AN22" si="53">50+175/3</f>
        <v>108.33333333333334</v>
      </c>
      <c r="AO21" s="123">
        <f t="shared" si="24"/>
        <v>46420.15267295597</v>
      </c>
      <c r="AP21" s="124"/>
      <c r="AQ21" s="126">
        <f t="shared" si="25"/>
        <v>46420.15267295597</v>
      </c>
      <c r="AR21" s="131">
        <f t="shared" ref="AR21:AR22" si="54">50+175/3</f>
        <v>108.33333333333334</v>
      </c>
      <c r="AS21" s="123">
        <f t="shared" si="26"/>
        <v>37214.648270440252</v>
      </c>
      <c r="AT21" s="124"/>
      <c r="AU21" s="126">
        <f t="shared" si="27"/>
        <v>37214.648270440252</v>
      </c>
      <c r="AV21" s="131">
        <f t="shared" ref="AV21:AV22" si="55">50+175/3</f>
        <v>108.33333333333334</v>
      </c>
      <c r="AW21" s="123">
        <f t="shared" ref="AW21:AW22" si="56">AV$12*AV21/AV$31-AX53</f>
        <v>32465.4838308176</v>
      </c>
      <c r="AX21" s="124"/>
      <c r="AY21" s="126">
        <f t="shared" si="28"/>
        <v>32465.4838308176</v>
      </c>
      <c r="AZ21" s="127">
        <f t="shared" si="29"/>
        <v>109770.23600628928</v>
      </c>
      <c r="BA21" s="94">
        <f t="shared" si="30"/>
        <v>0</v>
      </c>
      <c r="BB21" s="128">
        <f t="shared" si="31"/>
        <v>109770.23830420428</v>
      </c>
      <c r="BC21" s="127">
        <f t="shared" si="32"/>
        <v>53718.885597484259</v>
      </c>
      <c r="BD21" s="127"/>
      <c r="BE21" s="94">
        <f t="shared" si="33"/>
        <v>5863.81</v>
      </c>
      <c r="BF21" s="128">
        <f t="shared" si="34"/>
        <v>163489.12390168855</v>
      </c>
      <c r="BG21" s="127">
        <f t="shared" si="35"/>
        <v>68730.155817610037</v>
      </c>
      <c r="BH21" s="129"/>
      <c r="BI21" s="94">
        <f t="shared" si="36"/>
        <v>0</v>
      </c>
      <c r="BJ21" s="130">
        <f t="shared" si="37"/>
        <v>232219.27971929859</v>
      </c>
      <c r="BK21" s="130">
        <f t="shared" si="38"/>
        <v>116100.28477421383</v>
      </c>
      <c r="BL21" s="94">
        <f t="shared" si="39"/>
        <v>0</v>
      </c>
      <c r="BM21" s="127">
        <f t="shared" si="40"/>
        <v>348319.56219559739</v>
      </c>
      <c r="BN21" s="127"/>
      <c r="BO21" s="127">
        <f t="shared" si="41"/>
        <v>348319.56449351239</v>
      </c>
      <c r="BP21" s="91"/>
      <c r="BQ21" s="91"/>
      <c r="BR21" s="17">
        <f t="shared" si="42"/>
        <v>0</v>
      </c>
      <c r="BS21" s="17">
        <f t="shared" si="43"/>
        <v>0</v>
      </c>
    </row>
    <row r="22" spans="1:71" ht="13">
      <c r="A22" s="89" t="s">
        <v>65</v>
      </c>
      <c r="B22" s="121"/>
      <c r="C22" s="121">
        <f>'PS Model 2023'!BK33</f>
        <v>2.2979149944148958E-3</v>
      </c>
      <c r="D22" s="131">
        <f t="shared" si="44"/>
        <v>108.33333333333334</v>
      </c>
      <c r="E22" s="123">
        <f t="shared" si="6"/>
        <v>42662.024371069172</v>
      </c>
      <c r="F22" s="124"/>
      <c r="G22" s="126">
        <f t="shared" si="7"/>
        <v>42662.024371069172</v>
      </c>
      <c r="H22" s="131">
        <f t="shared" si="45"/>
        <v>108.33333333333334</v>
      </c>
      <c r="I22" s="123">
        <f t="shared" si="8"/>
        <v>39833.610691823887</v>
      </c>
      <c r="J22" s="124"/>
      <c r="K22" s="126">
        <f t="shared" si="9"/>
        <v>39833.610691823887</v>
      </c>
      <c r="L22" s="131">
        <f t="shared" si="46"/>
        <v>108.33333333333334</v>
      </c>
      <c r="M22" s="123">
        <f t="shared" si="10"/>
        <v>27274.600943396228</v>
      </c>
      <c r="N22" s="124"/>
      <c r="O22" s="126">
        <f t="shared" si="11"/>
        <v>27274.600943396228</v>
      </c>
      <c r="P22" s="131">
        <f t="shared" si="47"/>
        <v>108.33333333333334</v>
      </c>
      <c r="Q22" s="123">
        <f t="shared" si="12"/>
        <v>16792.461792452828</v>
      </c>
      <c r="R22" s="124"/>
      <c r="S22" s="126">
        <f t="shared" si="13"/>
        <v>16792.461792452828</v>
      </c>
      <c r="T22" s="131">
        <f t="shared" si="48"/>
        <v>108.33333333333334</v>
      </c>
      <c r="U22" s="123">
        <f t="shared" si="14"/>
        <v>23237.164779874205</v>
      </c>
      <c r="V22" s="124"/>
      <c r="W22" s="126">
        <f t="shared" si="15"/>
        <v>23237.164779874205</v>
      </c>
      <c r="X22" s="131">
        <f t="shared" si="49"/>
        <v>108.33333333333334</v>
      </c>
      <c r="Y22" s="123">
        <f t="shared" si="16"/>
        <v>19553.06902515723</v>
      </c>
      <c r="Z22" s="124"/>
      <c r="AA22" s="126">
        <f t="shared" si="17"/>
        <v>19553.06902515723</v>
      </c>
      <c r="AB22" s="131">
        <f t="shared" si="50"/>
        <v>108.33333333333334</v>
      </c>
      <c r="AC22" s="123">
        <f t="shared" si="18"/>
        <v>36584.894339622631</v>
      </c>
      <c r="AD22" s="124"/>
      <c r="AE22" s="126">
        <f t="shared" si="19"/>
        <v>36584.894339622631</v>
      </c>
      <c r="AF22" s="131">
        <f t="shared" si="51"/>
        <v>108.33333333333334</v>
      </c>
      <c r="AG22" s="123">
        <f t="shared" si="20"/>
        <v>35610.241823899363</v>
      </c>
      <c r="AH22" s="124"/>
      <c r="AI22" s="126">
        <f t="shared" si="21"/>
        <v>35610.241823899363</v>
      </c>
      <c r="AJ22" s="131">
        <f t="shared" si="52"/>
        <v>108.33333333333334</v>
      </c>
      <c r="AK22" s="123">
        <f t="shared" si="22"/>
        <v>-3464.9803459119553</v>
      </c>
      <c r="AL22" s="124"/>
      <c r="AM22" s="126">
        <f t="shared" si="23"/>
        <v>-3464.9803459119553</v>
      </c>
      <c r="AN22" s="131">
        <f t="shared" si="53"/>
        <v>108.33333333333334</v>
      </c>
      <c r="AO22" s="123">
        <f t="shared" si="24"/>
        <v>46420.15267295597</v>
      </c>
      <c r="AP22" s="124"/>
      <c r="AQ22" s="126">
        <f t="shared" si="25"/>
        <v>46420.15267295597</v>
      </c>
      <c r="AR22" s="131">
        <f t="shared" si="54"/>
        <v>108.33333333333334</v>
      </c>
      <c r="AS22" s="123">
        <f t="shared" si="26"/>
        <v>37214.648270440252</v>
      </c>
      <c r="AT22" s="124"/>
      <c r="AU22" s="126">
        <f t="shared" si="27"/>
        <v>37214.648270440252</v>
      </c>
      <c r="AV22" s="131">
        <f t="shared" si="55"/>
        <v>108.33333333333334</v>
      </c>
      <c r="AW22" s="123">
        <f t="shared" si="56"/>
        <v>31509.4589308176</v>
      </c>
      <c r="AX22" s="124"/>
      <c r="AY22" s="126">
        <f t="shared" si="28"/>
        <v>31509.4589308176</v>
      </c>
      <c r="AZ22" s="127">
        <f t="shared" si="29"/>
        <v>109770.23600628928</v>
      </c>
      <c r="BA22" s="94">
        <f t="shared" si="30"/>
        <v>0</v>
      </c>
      <c r="BB22" s="128">
        <f t="shared" si="31"/>
        <v>109770.23830420428</v>
      </c>
      <c r="BC22" s="127">
        <f t="shared" si="32"/>
        <v>59582.695597484264</v>
      </c>
      <c r="BD22" s="127"/>
      <c r="BE22" s="94">
        <f t="shared" si="33"/>
        <v>0</v>
      </c>
      <c r="BF22" s="128">
        <f t="shared" si="34"/>
        <v>169352.93390168855</v>
      </c>
      <c r="BG22" s="127">
        <f t="shared" si="35"/>
        <v>68730.155817610037</v>
      </c>
      <c r="BH22" s="129"/>
      <c r="BI22" s="94">
        <f t="shared" si="36"/>
        <v>0</v>
      </c>
      <c r="BJ22" s="130">
        <f t="shared" si="37"/>
        <v>238083.08971929859</v>
      </c>
      <c r="BK22" s="130">
        <f t="shared" si="38"/>
        <v>115144.25987421382</v>
      </c>
      <c r="BL22" s="94">
        <f t="shared" si="39"/>
        <v>0</v>
      </c>
      <c r="BM22" s="127">
        <f t="shared" si="40"/>
        <v>353227.34729559737</v>
      </c>
      <c r="BN22" s="127"/>
      <c r="BO22" s="127">
        <f t="shared" si="41"/>
        <v>353227.34959351242</v>
      </c>
      <c r="BP22" s="91"/>
      <c r="BQ22" s="91"/>
      <c r="BR22" s="17">
        <f t="shared" si="42"/>
        <v>0</v>
      </c>
      <c r="BS22" s="17">
        <f t="shared" si="43"/>
        <v>0</v>
      </c>
    </row>
    <row r="23" spans="1:71" ht="13">
      <c r="A23" s="89" t="s">
        <v>210</v>
      </c>
      <c r="B23" s="121"/>
      <c r="C23" s="121">
        <f>'PS Model 2023'!BK34</f>
        <v>1457.7819238186567</v>
      </c>
      <c r="D23" s="53">
        <v>7</v>
      </c>
      <c r="E23" s="123">
        <f t="shared" si="6"/>
        <v>2756.6231132075468</v>
      </c>
      <c r="F23" s="124"/>
      <c r="G23" s="126">
        <f t="shared" si="7"/>
        <v>2756.6231132075468</v>
      </c>
      <c r="H23" s="53">
        <v>7</v>
      </c>
      <c r="I23" s="123">
        <f t="shared" si="8"/>
        <v>2573.8640754716971</v>
      </c>
      <c r="J23" s="124"/>
      <c r="K23" s="126">
        <f t="shared" si="9"/>
        <v>2573.8640754716971</v>
      </c>
      <c r="L23" s="53">
        <v>7</v>
      </c>
      <c r="M23" s="123">
        <f t="shared" si="10"/>
        <v>1762.3588301886791</v>
      </c>
      <c r="N23" s="124"/>
      <c r="O23" s="126">
        <f t="shared" si="11"/>
        <v>1762.3588301886791</v>
      </c>
      <c r="P23" s="53">
        <v>7</v>
      </c>
      <c r="Q23" s="123">
        <f t="shared" si="12"/>
        <v>1085.0513773584905</v>
      </c>
      <c r="R23" s="124"/>
      <c r="S23" s="126">
        <f t="shared" si="13"/>
        <v>1085.0513773584905</v>
      </c>
      <c r="T23" s="53">
        <v>7</v>
      </c>
      <c r="U23" s="123">
        <f t="shared" si="14"/>
        <v>1501.478339622641</v>
      </c>
      <c r="V23" s="124"/>
      <c r="W23" s="126">
        <f t="shared" si="15"/>
        <v>1501.478339622641</v>
      </c>
      <c r="X23" s="53">
        <v>7</v>
      </c>
      <c r="Y23" s="123">
        <f t="shared" si="16"/>
        <v>1263.4290754716978</v>
      </c>
      <c r="Z23" s="124"/>
      <c r="AA23" s="126">
        <f t="shared" si="17"/>
        <v>1263.4290754716978</v>
      </c>
      <c r="AB23" s="53">
        <v>7</v>
      </c>
      <c r="AC23" s="123">
        <f t="shared" si="18"/>
        <v>2363.9470188679238</v>
      </c>
      <c r="AD23" s="124"/>
      <c r="AE23" s="126">
        <f t="shared" si="19"/>
        <v>2363.9470188679238</v>
      </c>
      <c r="AF23" s="53">
        <v>7</v>
      </c>
      <c r="AG23" s="123">
        <f t="shared" si="20"/>
        <v>2300.969471698113</v>
      </c>
      <c r="AH23" s="124"/>
      <c r="AI23" s="126">
        <f t="shared" si="21"/>
        <v>2300.969471698113</v>
      </c>
      <c r="AJ23" s="53">
        <v>7</v>
      </c>
      <c r="AK23" s="123">
        <f t="shared" si="22"/>
        <v>-223.89103773584938</v>
      </c>
      <c r="AL23" s="124"/>
      <c r="AM23" s="126">
        <f t="shared" si="23"/>
        <v>-223.89103773584938</v>
      </c>
      <c r="AN23" s="53">
        <v>7</v>
      </c>
      <c r="AO23" s="123">
        <f t="shared" si="24"/>
        <v>2999.4560188679238</v>
      </c>
      <c r="AP23" s="124"/>
      <c r="AQ23" s="126">
        <f t="shared" si="25"/>
        <v>2999.4560188679238</v>
      </c>
      <c r="AR23" s="53">
        <v>7</v>
      </c>
      <c r="AS23" s="123">
        <f t="shared" si="26"/>
        <v>2404.6388113207545</v>
      </c>
      <c r="AT23" s="124"/>
      <c r="AU23" s="126">
        <f t="shared" si="27"/>
        <v>2404.6388113207545</v>
      </c>
      <c r="AV23" s="53">
        <v>7</v>
      </c>
      <c r="AW23" s="123">
        <f t="shared" ref="AW23:AW30" si="57">AV$12*AV23/AV$31</f>
        <v>2064.9447924528295</v>
      </c>
      <c r="AX23" s="124"/>
      <c r="AY23" s="126">
        <f t="shared" si="28"/>
        <v>2064.9447924528295</v>
      </c>
      <c r="AZ23" s="127">
        <f t="shared" si="29"/>
        <v>7092.8460188679237</v>
      </c>
      <c r="BA23" s="94">
        <f t="shared" si="30"/>
        <v>0</v>
      </c>
      <c r="BB23" s="128">
        <f t="shared" si="31"/>
        <v>8550.6279426865804</v>
      </c>
      <c r="BC23" s="127">
        <f t="shared" si="32"/>
        <v>3849.9587924528296</v>
      </c>
      <c r="BD23" s="127"/>
      <c r="BE23" s="94">
        <f t="shared" si="33"/>
        <v>0</v>
      </c>
      <c r="BF23" s="128">
        <f t="shared" si="34"/>
        <v>12400.58673513941</v>
      </c>
      <c r="BG23" s="127">
        <f t="shared" si="35"/>
        <v>4441.0254528301875</v>
      </c>
      <c r="BH23" s="129"/>
      <c r="BI23" s="94">
        <f t="shared" si="36"/>
        <v>0</v>
      </c>
      <c r="BJ23" s="130">
        <f t="shared" si="37"/>
        <v>16841.612187969597</v>
      </c>
      <c r="BK23" s="130">
        <f t="shared" si="38"/>
        <v>7469.0396226415087</v>
      </c>
      <c r="BL23" s="94">
        <f t="shared" si="39"/>
        <v>0</v>
      </c>
      <c r="BM23" s="127">
        <f t="shared" si="40"/>
        <v>22852.86988679245</v>
      </c>
      <c r="BN23" s="127"/>
      <c r="BO23" s="127">
        <f t="shared" si="41"/>
        <v>24310.651810611103</v>
      </c>
      <c r="BP23" s="91"/>
      <c r="BQ23" s="91"/>
      <c r="BR23" s="17">
        <f t="shared" si="42"/>
        <v>0</v>
      </c>
      <c r="BS23" s="17">
        <f t="shared" si="43"/>
        <v>0</v>
      </c>
    </row>
    <row r="24" spans="1:71" ht="13">
      <c r="A24" s="132" t="s">
        <v>211</v>
      </c>
      <c r="B24" s="121"/>
      <c r="C24" s="121">
        <f>'PS Model 2023'!BK35</f>
        <v>592.82729939258752</v>
      </c>
      <c r="D24" s="178">
        <v>3</v>
      </c>
      <c r="E24" s="134">
        <f t="shared" si="6"/>
        <v>1181.409905660377</v>
      </c>
      <c r="F24" s="135"/>
      <c r="G24" s="136">
        <f t="shared" si="7"/>
        <v>1181.409905660377</v>
      </c>
      <c r="H24" s="178">
        <v>3</v>
      </c>
      <c r="I24" s="134">
        <f t="shared" si="8"/>
        <v>1103.0846037735844</v>
      </c>
      <c r="J24" s="135"/>
      <c r="K24" s="136">
        <f t="shared" si="9"/>
        <v>1103.0846037735844</v>
      </c>
      <c r="L24" s="178">
        <v>3</v>
      </c>
      <c r="M24" s="134">
        <f t="shared" si="10"/>
        <v>755.29664150943393</v>
      </c>
      <c r="N24" s="135"/>
      <c r="O24" s="136">
        <f t="shared" si="11"/>
        <v>755.29664150943393</v>
      </c>
      <c r="P24" s="178">
        <v>3</v>
      </c>
      <c r="Q24" s="134">
        <f t="shared" si="12"/>
        <v>465.02201886792449</v>
      </c>
      <c r="R24" s="135"/>
      <c r="S24" s="136">
        <f t="shared" si="13"/>
        <v>465.02201886792449</v>
      </c>
      <c r="T24" s="178">
        <v>3</v>
      </c>
      <c r="U24" s="134">
        <f t="shared" si="14"/>
        <v>643.49071698113187</v>
      </c>
      <c r="V24" s="135"/>
      <c r="W24" s="136">
        <f t="shared" si="15"/>
        <v>643.49071698113187</v>
      </c>
      <c r="X24" s="178">
        <v>3</v>
      </c>
      <c r="Y24" s="123">
        <f t="shared" si="16"/>
        <v>541.46960377358482</v>
      </c>
      <c r="Z24" s="135"/>
      <c r="AA24" s="136">
        <f t="shared" si="17"/>
        <v>541.46960377358482</v>
      </c>
      <c r="AB24" s="178">
        <v>3</v>
      </c>
      <c r="AC24" s="134">
        <f t="shared" si="18"/>
        <v>1013.1201509433959</v>
      </c>
      <c r="AD24" s="135"/>
      <c r="AE24" s="136">
        <f t="shared" si="19"/>
        <v>1013.1201509433959</v>
      </c>
      <c r="AF24" s="178">
        <v>3</v>
      </c>
      <c r="AG24" s="134">
        <f t="shared" si="20"/>
        <v>986.12977358490548</v>
      </c>
      <c r="AH24" s="135"/>
      <c r="AI24" s="136">
        <f t="shared" si="21"/>
        <v>986.12977358490548</v>
      </c>
      <c r="AJ24" s="178">
        <v>3</v>
      </c>
      <c r="AK24" s="134">
        <f t="shared" si="22"/>
        <v>-95.953301886792602</v>
      </c>
      <c r="AL24" s="135"/>
      <c r="AM24" s="136">
        <f t="shared" si="23"/>
        <v>-95.953301886792602</v>
      </c>
      <c r="AN24" s="178">
        <v>3</v>
      </c>
      <c r="AO24" s="134">
        <f t="shared" si="24"/>
        <v>1285.481150943396</v>
      </c>
      <c r="AP24" s="135"/>
      <c r="AQ24" s="136">
        <f t="shared" si="25"/>
        <v>1285.481150943396</v>
      </c>
      <c r="AR24" s="178">
        <v>3</v>
      </c>
      <c r="AS24" s="134">
        <f t="shared" si="26"/>
        <v>1030.5594905660375</v>
      </c>
      <c r="AT24" s="135"/>
      <c r="AU24" s="136">
        <f t="shared" si="27"/>
        <v>1030.5594905660375</v>
      </c>
      <c r="AV24" s="178">
        <v>3</v>
      </c>
      <c r="AW24" s="134">
        <f t="shared" si="57"/>
        <v>884.97633962264126</v>
      </c>
      <c r="AX24" s="135"/>
      <c r="AY24" s="136">
        <f t="shared" si="28"/>
        <v>884.97633962264126</v>
      </c>
      <c r="AZ24" s="127">
        <f t="shared" si="29"/>
        <v>3039.7911509433952</v>
      </c>
      <c r="BA24" s="94">
        <f t="shared" si="30"/>
        <v>0</v>
      </c>
      <c r="BB24" s="137">
        <f t="shared" si="31"/>
        <v>3632.6184503359827</v>
      </c>
      <c r="BC24" s="127">
        <f t="shared" si="32"/>
        <v>1649.9823396226411</v>
      </c>
      <c r="BD24" s="138"/>
      <c r="BE24" s="94">
        <f t="shared" si="33"/>
        <v>0</v>
      </c>
      <c r="BF24" s="128">
        <f t="shared" si="34"/>
        <v>5282.6007899586239</v>
      </c>
      <c r="BG24" s="127">
        <f t="shared" si="35"/>
        <v>1903.2966226415087</v>
      </c>
      <c r="BH24" s="139"/>
      <c r="BI24" s="94">
        <f t="shared" si="36"/>
        <v>0</v>
      </c>
      <c r="BJ24" s="130">
        <f t="shared" si="37"/>
        <v>7185.8974126001322</v>
      </c>
      <c r="BK24" s="130">
        <f t="shared" si="38"/>
        <v>3201.0169811320748</v>
      </c>
      <c r="BL24" s="94">
        <f t="shared" si="39"/>
        <v>0</v>
      </c>
      <c r="BM24" s="138">
        <f t="shared" si="40"/>
        <v>9794.0870943396203</v>
      </c>
      <c r="BN24" s="127"/>
      <c r="BO24" s="127">
        <f t="shared" si="41"/>
        <v>10386.914393732208</v>
      </c>
      <c r="BP24" s="140"/>
      <c r="BQ24" s="140"/>
      <c r="BR24" s="17">
        <f t="shared" si="42"/>
        <v>0</v>
      </c>
      <c r="BS24" s="17">
        <f t="shared" si="43"/>
        <v>0</v>
      </c>
    </row>
    <row r="25" spans="1:71" ht="13">
      <c r="A25" s="132" t="s">
        <v>212</v>
      </c>
      <c r="B25" s="121"/>
      <c r="C25" s="121">
        <f>'PS Model 2023'!BK36</f>
        <v>963.52595188592568</v>
      </c>
      <c r="D25" s="178">
        <v>5</v>
      </c>
      <c r="E25" s="134">
        <f t="shared" si="6"/>
        <v>1969.0165094339618</v>
      </c>
      <c r="F25" s="135"/>
      <c r="G25" s="136">
        <f t="shared" si="7"/>
        <v>1969.0165094339618</v>
      </c>
      <c r="H25" s="178">
        <v>5</v>
      </c>
      <c r="I25" s="134">
        <f t="shared" si="8"/>
        <v>1838.4743396226409</v>
      </c>
      <c r="J25" s="135"/>
      <c r="K25" s="136">
        <f t="shared" si="9"/>
        <v>1838.4743396226409</v>
      </c>
      <c r="L25" s="178">
        <v>5</v>
      </c>
      <c r="M25" s="134">
        <f t="shared" si="10"/>
        <v>1258.8277358490564</v>
      </c>
      <c r="N25" s="135"/>
      <c r="O25" s="136">
        <f t="shared" si="11"/>
        <v>1258.8277358490564</v>
      </c>
      <c r="P25" s="178">
        <v>5</v>
      </c>
      <c r="Q25" s="134">
        <f t="shared" si="12"/>
        <v>775.03669811320754</v>
      </c>
      <c r="R25" s="135"/>
      <c r="S25" s="136">
        <f t="shared" si="13"/>
        <v>775.03669811320754</v>
      </c>
      <c r="T25" s="178">
        <v>5</v>
      </c>
      <c r="U25" s="134">
        <f t="shared" si="14"/>
        <v>1072.4845283018865</v>
      </c>
      <c r="V25" s="135"/>
      <c r="W25" s="136">
        <f t="shared" si="15"/>
        <v>1072.4845283018865</v>
      </c>
      <c r="X25" s="178">
        <v>5</v>
      </c>
      <c r="Y25" s="123">
        <f t="shared" si="16"/>
        <v>902.44933962264133</v>
      </c>
      <c r="Z25" s="135"/>
      <c r="AA25" s="136">
        <f t="shared" si="17"/>
        <v>902.44933962264133</v>
      </c>
      <c r="AB25" s="178">
        <v>5</v>
      </c>
      <c r="AC25" s="134">
        <f t="shared" si="18"/>
        <v>1688.5335849056601</v>
      </c>
      <c r="AD25" s="135"/>
      <c r="AE25" s="136">
        <f t="shared" si="19"/>
        <v>1688.5335849056601</v>
      </c>
      <c r="AF25" s="178">
        <v>5</v>
      </c>
      <c r="AG25" s="134">
        <f t="shared" si="20"/>
        <v>1643.5496226415091</v>
      </c>
      <c r="AH25" s="135"/>
      <c r="AI25" s="136">
        <f t="shared" si="21"/>
        <v>1643.5496226415091</v>
      </c>
      <c r="AJ25" s="178">
        <v>5</v>
      </c>
      <c r="AK25" s="134">
        <f t="shared" si="22"/>
        <v>-159.922169811321</v>
      </c>
      <c r="AL25" s="135"/>
      <c r="AM25" s="136">
        <f t="shared" si="23"/>
        <v>-159.922169811321</v>
      </c>
      <c r="AN25" s="178">
        <v>5</v>
      </c>
      <c r="AO25" s="134">
        <f t="shared" si="24"/>
        <v>2142.4685849056596</v>
      </c>
      <c r="AP25" s="135"/>
      <c r="AQ25" s="136">
        <f t="shared" si="25"/>
        <v>2142.4685849056596</v>
      </c>
      <c r="AR25" s="178">
        <v>5</v>
      </c>
      <c r="AS25" s="134">
        <f t="shared" si="26"/>
        <v>1717.5991509433959</v>
      </c>
      <c r="AT25" s="135"/>
      <c r="AU25" s="136">
        <f t="shared" si="27"/>
        <v>1717.5991509433959</v>
      </c>
      <c r="AV25" s="178">
        <v>5</v>
      </c>
      <c r="AW25" s="134">
        <f t="shared" si="57"/>
        <v>1474.9605660377354</v>
      </c>
      <c r="AX25" s="135"/>
      <c r="AY25" s="136">
        <f t="shared" si="28"/>
        <v>1474.9605660377354</v>
      </c>
      <c r="AZ25" s="127">
        <f t="shared" si="29"/>
        <v>5066.318584905659</v>
      </c>
      <c r="BA25" s="94">
        <f t="shared" si="30"/>
        <v>0</v>
      </c>
      <c r="BB25" s="137">
        <f t="shared" si="31"/>
        <v>6029.8445367915847</v>
      </c>
      <c r="BC25" s="127">
        <f t="shared" si="32"/>
        <v>2749.9705660377354</v>
      </c>
      <c r="BD25" s="138"/>
      <c r="BE25" s="94">
        <f t="shared" si="33"/>
        <v>0</v>
      </c>
      <c r="BF25" s="128">
        <f t="shared" si="34"/>
        <v>8779.8151028293196</v>
      </c>
      <c r="BG25" s="127">
        <f t="shared" si="35"/>
        <v>3172.1610377358484</v>
      </c>
      <c r="BH25" s="139"/>
      <c r="BI25" s="94">
        <f t="shared" si="36"/>
        <v>0</v>
      </c>
      <c r="BJ25" s="130">
        <f t="shared" si="37"/>
        <v>11951.976140565168</v>
      </c>
      <c r="BK25" s="130">
        <f t="shared" si="38"/>
        <v>5335.0283018867904</v>
      </c>
      <c r="BL25" s="94">
        <f t="shared" si="39"/>
        <v>0</v>
      </c>
      <c r="BM25" s="138">
        <f t="shared" si="40"/>
        <v>16323.478490566031</v>
      </c>
      <c r="BN25" s="127"/>
      <c r="BO25" s="127">
        <f t="shared" si="41"/>
        <v>17287.004442451958</v>
      </c>
      <c r="BP25" s="140"/>
      <c r="BQ25" s="140"/>
      <c r="BR25" s="17">
        <f t="shared" si="42"/>
        <v>0</v>
      </c>
      <c r="BS25" s="17">
        <f t="shared" si="43"/>
        <v>0</v>
      </c>
    </row>
    <row r="26" spans="1:71" ht="13">
      <c r="A26" s="132" t="s">
        <v>213</v>
      </c>
      <c r="B26" s="121"/>
      <c r="C26" s="121">
        <f>'PS Model 2023'!BK37</f>
        <v>592.82324662812607</v>
      </c>
      <c r="D26" s="178">
        <v>4</v>
      </c>
      <c r="E26" s="134">
        <f t="shared" si="6"/>
        <v>1575.2132075471695</v>
      </c>
      <c r="F26" s="135"/>
      <c r="G26" s="136">
        <f t="shared" si="7"/>
        <v>1575.2132075471695</v>
      </c>
      <c r="H26" s="178">
        <v>4</v>
      </c>
      <c r="I26" s="134">
        <f t="shared" si="8"/>
        <v>1470.7794716981127</v>
      </c>
      <c r="J26" s="135"/>
      <c r="K26" s="136">
        <f t="shared" si="9"/>
        <v>1470.7794716981127</v>
      </c>
      <c r="L26" s="178">
        <v>4</v>
      </c>
      <c r="M26" s="134">
        <f t="shared" si="10"/>
        <v>1007.0621886792452</v>
      </c>
      <c r="N26" s="135"/>
      <c r="O26" s="136">
        <f t="shared" si="11"/>
        <v>1007.0621886792452</v>
      </c>
      <c r="P26" s="178">
        <v>4</v>
      </c>
      <c r="Q26" s="134">
        <f t="shared" si="12"/>
        <v>620.02935849056598</v>
      </c>
      <c r="R26" s="135"/>
      <c r="S26" s="136">
        <f t="shared" si="13"/>
        <v>620.02935849056598</v>
      </c>
      <c r="T26" s="178">
        <v>4</v>
      </c>
      <c r="U26" s="134">
        <f t="shared" si="14"/>
        <v>857.98762264150912</v>
      </c>
      <c r="V26" s="135"/>
      <c r="W26" s="136">
        <f t="shared" si="15"/>
        <v>857.98762264150912</v>
      </c>
      <c r="X26" s="178">
        <v>4</v>
      </c>
      <c r="Y26" s="123">
        <f t="shared" si="16"/>
        <v>721.95947169811313</v>
      </c>
      <c r="Z26" s="135"/>
      <c r="AA26" s="136">
        <f t="shared" si="17"/>
        <v>721.95947169811313</v>
      </c>
      <c r="AB26" s="178">
        <v>4</v>
      </c>
      <c r="AC26" s="134">
        <f t="shared" si="18"/>
        <v>1350.826867924528</v>
      </c>
      <c r="AD26" s="135"/>
      <c r="AE26" s="136">
        <f t="shared" si="19"/>
        <v>1350.826867924528</v>
      </c>
      <c r="AF26" s="178">
        <v>4</v>
      </c>
      <c r="AG26" s="134">
        <f t="shared" si="20"/>
        <v>1314.8396981132073</v>
      </c>
      <c r="AH26" s="135"/>
      <c r="AI26" s="136">
        <f t="shared" si="21"/>
        <v>1314.8396981132073</v>
      </c>
      <c r="AJ26" s="178">
        <v>4</v>
      </c>
      <c r="AK26" s="134">
        <f t="shared" si="22"/>
        <v>-127.93773584905679</v>
      </c>
      <c r="AL26" s="135"/>
      <c r="AM26" s="136">
        <f t="shared" si="23"/>
        <v>-127.93773584905679</v>
      </c>
      <c r="AN26" s="178">
        <v>4</v>
      </c>
      <c r="AO26" s="134">
        <f t="shared" si="24"/>
        <v>1713.9748679245279</v>
      </c>
      <c r="AP26" s="135"/>
      <c r="AQ26" s="136">
        <f t="shared" si="25"/>
        <v>1713.9748679245279</v>
      </c>
      <c r="AR26" s="178">
        <v>4</v>
      </c>
      <c r="AS26" s="134">
        <f t="shared" si="26"/>
        <v>1374.0793207547167</v>
      </c>
      <c r="AT26" s="135"/>
      <c r="AU26" s="136">
        <f t="shared" si="27"/>
        <v>1374.0793207547167</v>
      </c>
      <c r="AV26" s="178">
        <v>4</v>
      </c>
      <c r="AW26" s="134">
        <f t="shared" si="57"/>
        <v>1179.9684528301882</v>
      </c>
      <c r="AX26" s="135"/>
      <c r="AY26" s="136">
        <f t="shared" si="28"/>
        <v>1179.9684528301882</v>
      </c>
      <c r="AZ26" s="127">
        <f t="shared" si="29"/>
        <v>4053.0548679245276</v>
      </c>
      <c r="BA26" s="94">
        <f t="shared" si="30"/>
        <v>0</v>
      </c>
      <c r="BB26" s="137">
        <f t="shared" si="31"/>
        <v>4645.8781145526536</v>
      </c>
      <c r="BC26" s="127">
        <f t="shared" si="32"/>
        <v>2199.9764528301885</v>
      </c>
      <c r="BD26" s="138"/>
      <c r="BE26" s="94">
        <f t="shared" si="33"/>
        <v>0</v>
      </c>
      <c r="BF26" s="128">
        <f t="shared" si="34"/>
        <v>6845.8545673828421</v>
      </c>
      <c r="BG26" s="127">
        <f t="shared" si="35"/>
        <v>2537.7288301886783</v>
      </c>
      <c r="BH26" s="139"/>
      <c r="BI26" s="94">
        <f t="shared" si="36"/>
        <v>0</v>
      </c>
      <c r="BJ26" s="130">
        <f t="shared" si="37"/>
        <v>9383.5833975715213</v>
      </c>
      <c r="BK26" s="130">
        <f t="shared" si="38"/>
        <v>4268.022641509433</v>
      </c>
      <c r="BL26" s="94">
        <f t="shared" si="39"/>
        <v>0</v>
      </c>
      <c r="BM26" s="138">
        <f t="shared" si="40"/>
        <v>13058.782792452828</v>
      </c>
      <c r="BN26" s="127"/>
      <c r="BO26" s="127">
        <f t="shared" si="41"/>
        <v>13651.606039080954</v>
      </c>
      <c r="BP26" s="140"/>
      <c r="BQ26" s="140"/>
      <c r="BR26" s="17">
        <f t="shared" si="42"/>
        <v>0</v>
      </c>
      <c r="BS26" s="17">
        <f t="shared" si="43"/>
        <v>0</v>
      </c>
    </row>
    <row r="27" spans="1:71" ht="13">
      <c r="A27" s="132" t="s">
        <v>214</v>
      </c>
      <c r="B27" s="121"/>
      <c r="C27" s="121">
        <f>'PS Model 2023'!BK38</f>
        <v>963.52595188592568</v>
      </c>
      <c r="D27" s="178">
        <v>5</v>
      </c>
      <c r="E27" s="134">
        <f t="shared" si="6"/>
        <v>1969.0165094339618</v>
      </c>
      <c r="F27" s="135"/>
      <c r="G27" s="136">
        <f t="shared" si="7"/>
        <v>1969.0165094339618</v>
      </c>
      <c r="H27" s="178">
        <v>5</v>
      </c>
      <c r="I27" s="134">
        <f t="shared" si="8"/>
        <v>1838.4743396226409</v>
      </c>
      <c r="J27" s="135"/>
      <c r="K27" s="136">
        <f t="shared" si="9"/>
        <v>1838.4743396226409</v>
      </c>
      <c r="L27" s="178">
        <v>5</v>
      </c>
      <c r="M27" s="134">
        <f t="shared" si="10"/>
        <v>1258.8277358490564</v>
      </c>
      <c r="N27" s="135"/>
      <c r="O27" s="136">
        <f t="shared" si="11"/>
        <v>1258.8277358490564</v>
      </c>
      <c r="P27" s="178">
        <v>5</v>
      </c>
      <c r="Q27" s="134">
        <f t="shared" si="12"/>
        <v>775.03669811320754</v>
      </c>
      <c r="R27" s="135"/>
      <c r="S27" s="136">
        <f t="shared" si="13"/>
        <v>775.03669811320754</v>
      </c>
      <c r="T27" s="178">
        <v>5</v>
      </c>
      <c r="U27" s="134">
        <f t="shared" si="14"/>
        <v>1072.4845283018865</v>
      </c>
      <c r="V27" s="135"/>
      <c r="W27" s="136">
        <f t="shared" si="15"/>
        <v>1072.4845283018865</v>
      </c>
      <c r="X27" s="178">
        <v>5</v>
      </c>
      <c r="Y27" s="123">
        <f t="shared" si="16"/>
        <v>902.44933962264133</v>
      </c>
      <c r="Z27" s="135"/>
      <c r="AA27" s="136">
        <f t="shared" si="17"/>
        <v>902.44933962264133</v>
      </c>
      <c r="AB27" s="178">
        <v>5</v>
      </c>
      <c r="AC27" s="134">
        <f t="shared" si="18"/>
        <v>1688.5335849056601</v>
      </c>
      <c r="AD27" s="135"/>
      <c r="AE27" s="136">
        <f t="shared" si="19"/>
        <v>1688.5335849056601</v>
      </c>
      <c r="AF27" s="178">
        <v>5</v>
      </c>
      <c r="AG27" s="134">
        <f t="shared" si="20"/>
        <v>1643.5496226415091</v>
      </c>
      <c r="AH27" s="135"/>
      <c r="AI27" s="136">
        <f t="shared" si="21"/>
        <v>1643.5496226415091</v>
      </c>
      <c r="AJ27" s="178">
        <v>5</v>
      </c>
      <c r="AK27" s="134">
        <f t="shared" si="22"/>
        <v>-159.922169811321</v>
      </c>
      <c r="AL27" s="135"/>
      <c r="AM27" s="136">
        <f t="shared" si="23"/>
        <v>-159.922169811321</v>
      </c>
      <c r="AN27" s="178">
        <v>5</v>
      </c>
      <c r="AO27" s="134">
        <f t="shared" si="24"/>
        <v>2142.4685849056596</v>
      </c>
      <c r="AP27" s="135"/>
      <c r="AQ27" s="136">
        <f t="shared" si="25"/>
        <v>2142.4685849056596</v>
      </c>
      <c r="AR27" s="178">
        <v>5</v>
      </c>
      <c r="AS27" s="134">
        <f t="shared" si="26"/>
        <v>1717.5991509433959</v>
      </c>
      <c r="AT27" s="135"/>
      <c r="AU27" s="136">
        <f t="shared" si="27"/>
        <v>1717.5991509433959</v>
      </c>
      <c r="AV27" s="178">
        <v>5</v>
      </c>
      <c r="AW27" s="134">
        <f t="shared" si="57"/>
        <v>1474.9605660377354</v>
      </c>
      <c r="AX27" s="135"/>
      <c r="AY27" s="136">
        <f t="shared" si="28"/>
        <v>1474.9605660377354</v>
      </c>
      <c r="AZ27" s="127">
        <f t="shared" si="29"/>
        <v>5066.318584905659</v>
      </c>
      <c r="BA27" s="94">
        <f t="shared" si="30"/>
        <v>0</v>
      </c>
      <c r="BB27" s="137">
        <f t="shared" si="31"/>
        <v>6029.8445367915847</v>
      </c>
      <c r="BC27" s="127">
        <f t="shared" si="32"/>
        <v>2749.9705660377354</v>
      </c>
      <c r="BD27" s="138"/>
      <c r="BE27" s="94">
        <f t="shared" si="33"/>
        <v>0</v>
      </c>
      <c r="BF27" s="128">
        <f t="shared" si="34"/>
        <v>8779.8151028293196</v>
      </c>
      <c r="BG27" s="127">
        <f t="shared" si="35"/>
        <v>3172.1610377358484</v>
      </c>
      <c r="BH27" s="139"/>
      <c r="BI27" s="94">
        <f t="shared" si="36"/>
        <v>0</v>
      </c>
      <c r="BJ27" s="130">
        <f t="shared" si="37"/>
        <v>11951.976140565168</v>
      </c>
      <c r="BK27" s="130">
        <f t="shared" si="38"/>
        <v>5335.0283018867904</v>
      </c>
      <c r="BL27" s="94">
        <f t="shared" si="39"/>
        <v>0</v>
      </c>
      <c r="BM27" s="138">
        <f t="shared" si="40"/>
        <v>16323.478490566031</v>
      </c>
      <c r="BN27" s="127"/>
      <c r="BO27" s="127">
        <f t="shared" si="41"/>
        <v>17287.004442451958</v>
      </c>
      <c r="BP27" s="140"/>
      <c r="BQ27" s="140"/>
      <c r="BR27" s="17">
        <f t="shared" si="42"/>
        <v>0</v>
      </c>
      <c r="BS27" s="17">
        <f t="shared" si="43"/>
        <v>0</v>
      </c>
    </row>
    <row r="28" spans="1:71" ht="13">
      <c r="A28" s="132" t="s">
        <v>215</v>
      </c>
      <c r="B28" s="121"/>
      <c r="C28" s="121">
        <v>0</v>
      </c>
      <c r="D28" s="178">
        <v>2</v>
      </c>
      <c r="E28" s="134">
        <f t="shared" si="6"/>
        <v>787.60660377358477</v>
      </c>
      <c r="F28" s="135"/>
      <c r="G28" s="136">
        <f t="shared" si="7"/>
        <v>787.60660377358477</v>
      </c>
      <c r="H28" s="178">
        <v>2</v>
      </c>
      <c r="I28" s="134">
        <f t="shared" si="8"/>
        <v>735.38973584905636</v>
      </c>
      <c r="J28" s="135"/>
      <c r="K28" s="136">
        <f t="shared" si="9"/>
        <v>735.38973584905636</v>
      </c>
      <c r="L28" s="178">
        <v>2</v>
      </c>
      <c r="M28" s="134">
        <f t="shared" si="10"/>
        <v>503.5310943396226</v>
      </c>
      <c r="N28" s="135"/>
      <c r="O28" s="136">
        <f t="shared" si="11"/>
        <v>503.5310943396226</v>
      </c>
      <c r="P28" s="178">
        <v>2</v>
      </c>
      <c r="Q28" s="134">
        <f t="shared" si="12"/>
        <v>310.01467924528299</v>
      </c>
      <c r="R28" s="135"/>
      <c r="S28" s="136">
        <f t="shared" si="13"/>
        <v>310.01467924528299</v>
      </c>
      <c r="T28" s="178">
        <v>2</v>
      </c>
      <c r="U28" s="134">
        <f t="shared" si="14"/>
        <v>428.99381132075456</v>
      </c>
      <c r="V28" s="135"/>
      <c r="W28" s="136">
        <f t="shared" si="15"/>
        <v>428.99381132075456</v>
      </c>
      <c r="X28" s="178">
        <v>2</v>
      </c>
      <c r="Y28" s="123">
        <f t="shared" si="16"/>
        <v>360.97973584905657</v>
      </c>
      <c r="Z28" s="135"/>
      <c r="AA28" s="136">
        <f t="shared" si="17"/>
        <v>360.97973584905657</v>
      </c>
      <c r="AB28" s="178">
        <v>2</v>
      </c>
      <c r="AC28" s="134">
        <f t="shared" si="18"/>
        <v>675.41343396226398</v>
      </c>
      <c r="AD28" s="135"/>
      <c r="AE28" s="136">
        <f t="shared" si="19"/>
        <v>675.41343396226398</v>
      </c>
      <c r="AF28" s="178">
        <v>2</v>
      </c>
      <c r="AG28" s="134">
        <f t="shared" si="20"/>
        <v>657.41984905660365</v>
      </c>
      <c r="AH28" s="135"/>
      <c r="AI28" s="136">
        <f t="shared" si="21"/>
        <v>657.41984905660365</v>
      </c>
      <c r="AJ28" s="178">
        <v>2</v>
      </c>
      <c r="AK28" s="134">
        <f t="shared" si="22"/>
        <v>-63.968867924528396</v>
      </c>
      <c r="AL28" s="135"/>
      <c r="AM28" s="136">
        <f t="shared" si="23"/>
        <v>-63.968867924528396</v>
      </c>
      <c r="AN28" s="178">
        <v>2</v>
      </c>
      <c r="AO28" s="134">
        <f t="shared" si="24"/>
        <v>856.98743396226394</v>
      </c>
      <c r="AP28" s="135"/>
      <c r="AQ28" s="136">
        <f t="shared" si="25"/>
        <v>856.98743396226394</v>
      </c>
      <c r="AR28" s="178">
        <v>2</v>
      </c>
      <c r="AS28" s="134">
        <f t="shared" si="26"/>
        <v>687.03966037735836</v>
      </c>
      <c r="AT28" s="135"/>
      <c r="AU28" s="136">
        <f t="shared" si="27"/>
        <v>687.03966037735836</v>
      </c>
      <c r="AV28" s="178">
        <v>2</v>
      </c>
      <c r="AW28" s="134">
        <f t="shared" si="57"/>
        <v>589.9842264150941</v>
      </c>
      <c r="AX28" s="135"/>
      <c r="AY28" s="136">
        <f t="shared" si="28"/>
        <v>589.9842264150941</v>
      </c>
      <c r="AZ28" s="127">
        <f t="shared" si="29"/>
        <v>2026.5274339622638</v>
      </c>
      <c r="BA28" s="94">
        <f t="shared" si="30"/>
        <v>0</v>
      </c>
      <c r="BB28" s="137">
        <f t="shared" si="31"/>
        <v>2026.5274339622638</v>
      </c>
      <c r="BC28" s="127">
        <f t="shared" si="32"/>
        <v>1099.9882264150942</v>
      </c>
      <c r="BD28" s="138"/>
      <c r="BE28" s="94">
        <f t="shared" si="33"/>
        <v>0</v>
      </c>
      <c r="BF28" s="128">
        <f t="shared" si="34"/>
        <v>3126.515660377358</v>
      </c>
      <c r="BG28" s="127">
        <f t="shared" si="35"/>
        <v>1268.8644150943392</v>
      </c>
      <c r="BH28" s="139"/>
      <c r="BI28" s="94">
        <f t="shared" si="36"/>
        <v>0</v>
      </c>
      <c r="BJ28" s="130">
        <f t="shared" si="37"/>
        <v>4395.3800754716976</v>
      </c>
      <c r="BK28" s="130">
        <f t="shared" si="38"/>
        <v>2134.0113207547165</v>
      </c>
      <c r="BL28" s="94">
        <f t="shared" si="39"/>
        <v>0</v>
      </c>
      <c r="BM28" s="138">
        <f t="shared" si="40"/>
        <v>6529.3913962264141</v>
      </c>
      <c r="BN28" s="127"/>
      <c r="BO28" s="127">
        <f t="shared" si="41"/>
        <v>6529.3913962264141</v>
      </c>
      <c r="BP28" s="140"/>
      <c r="BQ28" s="140"/>
      <c r="BR28" s="17">
        <f t="shared" si="42"/>
        <v>0</v>
      </c>
      <c r="BS28" s="17">
        <f t="shared" si="43"/>
        <v>0</v>
      </c>
    </row>
    <row r="29" spans="1:71" ht="13">
      <c r="A29" s="132" t="s">
        <v>216</v>
      </c>
      <c r="B29" s="121"/>
      <c r="C29" s="121">
        <v>0</v>
      </c>
      <c r="D29" s="178">
        <v>2</v>
      </c>
      <c r="E29" s="134">
        <f t="shared" si="6"/>
        <v>787.60660377358477</v>
      </c>
      <c r="F29" s="135"/>
      <c r="G29" s="136">
        <f t="shared" si="7"/>
        <v>787.60660377358477</v>
      </c>
      <c r="H29" s="178">
        <v>2</v>
      </c>
      <c r="I29" s="134">
        <f t="shared" si="8"/>
        <v>735.38973584905636</v>
      </c>
      <c r="J29" s="135"/>
      <c r="K29" s="136">
        <f t="shared" si="9"/>
        <v>735.38973584905636</v>
      </c>
      <c r="L29" s="178">
        <v>2</v>
      </c>
      <c r="M29" s="134">
        <f t="shared" si="10"/>
        <v>503.5310943396226</v>
      </c>
      <c r="N29" s="135"/>
      <c r="O29" s="136">
        <f t="shared" si="11"/>
        <v>503.5310943396226</v>
      </c>
      <c r="P29" s="178">
        <v>2</v>
      </c>
      <c r="Q29" s="134">
        <f t="shared" si="12"/>
        <v>310.01467924528299</v>
      </c>
      <c r="R29" s="135"/>
      <c r="S29" s="136">
        <f t="shared" si="13"/>
        <v>310.01467924528299</v>
      </c>
      <c r="T29" s="178">
        <v>2</v>
      </c>
      <c r="U29" s="134">
        <f t="shared" si="14"/>
        <v>428.99381132075456</v>
      </c>
      <c r="V29" s="135"/>
      <c r="W29" s="136">
        <f t="shared" si="15"/>
        <v>428.99381132075456</v>
      </c>
      <c r="X29" s="178">
        <v>2</v>
      </c>
      <c r="Y29" s="123">
        <f t="shared" si="16"/>
        <v>360.97973584905657</v>
      </c>
      <c r="Z29" s="135"/>
      <c r="AA29" s="136">
        <f t="shared" si="17"/>
        <v>360.97973584905657</v>
      </c>
      <c r="AB29" s="178">
        <v>2</v>
      </c>
      <c r="AC29" s="134">
        <f t="shared" si="18"/>
        <v>675.41343396226398</v>
      </c>
      <c r="AD29" s="135"/>
      <c r="AE29" s="136">
        <f t="shared" si="19"/>
        <v>675.41343396226398</v>
      </c>
      <c r="AF29" s="178">
        <v>2</v>
      </c>
      <c r="AG29" s="134">
        <f t="shared" si="20"/>
        <v>657.41984905660365</v>
      </c>
      <c r="AH29" s="135"/>
      <c r="AI29" s="136">
        <f t="shared" si="21"/>
        <v>657.41984905660365</v>
      </c>
      <c r="AJ29" s="178">
        <v>2</v>
      </c>
      <c r="AK29" s="134">
        <f t="shared" si="22"/>
        <v>-63.968867924528396</v>
      </c>
      <c r="AL29" s="135"/>
      <c r="AM29" s="136">
        <f t="shared" si="23"/>
        <v>-63.968867924528396</v>
      </c>
      <c r="AN29" s="178">
        <v>2</v>
      </c>
      <c r="AO29" s="134">
        <f t="shared" si="24"/>
        <v>856.98743396226394</v>
      </c>
      <c r="AP29" s="135"/>
      <c r="AQ29" s="136">
        <f t="shared" si="25"/>
        <v>856.98743396226394</v>
      </c>
      <c r="AR29" s="178">
        <v>2</v>
      </c>
      <c r="AS29" s="134">
        <f t="shared" si="26"/>
        <v>687.03966037735836</v>
      </c>
      <c r="AT29" s="135"/>
      <c r="AU29" s="136">
        <f t="shared" si="27"/>
        <v>687.03966037735836</v>
      </c>
      <c r="AV29" s="178">
        <v>2</v>
      </c>
      <c r="AW29" s="134">
        <f t="shared" si="57"/>
        <v>589.9842264150941</v>
      </c>
      <c r="AX29" s="135"/>
      <c r="AY29" s="136">
        <f t="shared" si="28"/>
        <v>589.9842264150941</v>
      </c>
      <c r="AZ29" s="127">
        <f t="shared" si="29"/>
        <v>2026.5274339622638</v>
      </c>
      <c r="BA29" s="94">
        <f t="shared" si="30"/>
        <v>0</v>
      </c>
      <c r="BB29" s="137">
        <f t="shared" si="31"/>
        <v>2026.5274339622638</v>
      </c>
      <c r="BC29" s="127">
        <f t="shared" si="32"/>
        <v>1099.9882264150942</v>
      </c>
      <c r="BD29" s="138"/>
      <c r="BE29" s="94">
        <f t="shared" si="33"/>
        <v>0</v>
      </c>
      <c r="BF29" s="128">
        <f t="shared" si="34"/>
        <v>3126.515660377358</v>
      </c>
      <c r="BG29" s="127">
        <f t="shared" si="35"/>
        <v>1268.8644150943392</v>
      </c>
      <c r="BH29" s="139"/>
      <c r="BI29" s="94">
        <f t="shared" si="36"/>
        <v>0</v>
      </c>
      <c r="BJ29" s="130">
        <f t="shared" si="37"/>
        <v>4395.3800754716976</v>
      </c>
      <c r="BK29" s="130">
        <f t="shared" si="38"/>
        <v>2134.0113207547165</v>
      </c>
      <c r="BL29" s="94">
        <f t="shared" si="39"/>
        <v>0</v>
      </c>
      <c r="BM29" s="138">
        <f t="shared" si="40"/>
        <v>6529.3913962264141</v>
      </c>
      <c r="BN29" s="127"/>
      <c r="BO29" s="127">
        <f t="shared" si="41"/>
        <v>6529.3913962264141</v>
      </c>
      <c r="BP29" s="140"/>
      <c r="BQ29" s="140"/>
      <c r="BR29" s="17">
        <f t="shared" si="42"/>
        <v>0</v>
      </c>
      <c r="BS29" s="17">
        <f t="shared" si="43"/>
        <v>0</v>
      </c>
    </row>
    <row r="30" spans="1:71" ht="13">
      <c r="A30" s="132" t="s">
        <v>217</v>
      </c>
      <c r="B30" s="121"/>
      <c r="C30" s="121">
        <v>0</v>
      </c>
      <c r="D30" s="178">
        <v>2</v>
      </c>
      <c r="E30" s="134">
        <f t="shared" si="6"/>
        <v>787.60660377358477</v>
      </c>
      <c r="F30" s="135"/>
      <c r="G30" s="136">
        <f t="shared" si="7"/>
        <v>787.60660377358477</v>
      </c>
      <c r="H30" s="178">
        <v>2</v>
      </c>
      <c r="I30" s="134">
        <f t="shared" si="8"/>
        <v>735.38973584905636</v>
      </c>
      <c r="J30" s="135"/>
      <c r="K30" s="136">
        <f t="shared" si="9"/>
        <v>735.38973584905636</v>
      </c>
      <c r="L30" s="178">
        <v>2</v>
      </c>
      <c r="M30" s="134">
        <f t="shared" si="10"/>
        <v>503.5310943396226</v>
      </c>
      <c r="N30" s="135"/>
      <c r="O30" s="136">
        <f t="shared" si="11"/>
        <v>503.5310943396226</v>
      </c>
      <c r="P30" s="178">
        <v>2</v>
      </c>
      <c r="Q30" s="134">
        <f t="shared" si="12"/>
        <v>310.01467924528299</v>
      </c>
      <c r="R30" s="135"/>
      <c r="S30" s="136">
        <f t="shared" si="13"/>
        <v>310.01467924528299</v>
      </c>
      <c r="T30" s="178">
        <v>2</v>
      </c>
      <c r="U30" s="134">
        <f t="shared" si="14"/>
        <v>428.99381132075456</v>
      </c>
      <c r="V30" s="135"/>
      <c r="W30" s="136">
        <f t="shared" si="15"/>
        <v>428.99381132075456</v>
      </c>
      <c r="X30" s="178">
        <v>2</v>
      </c>
      <c r="Y30" s="123">
        <f t="shared" si="16"/>
        <v>360.97973584905657</v>
      </c>
      <c r="Z30" s="135"/>
      <c r="AA30" s="136">
        <f t="shared" si="17"/>
        <v>360.97973584905657</v>
      </c>
      <c r="AB30" s="178">
        <v>2</v>
      </c>
      <c r="AC30" s="134">
        <f t="shared" si="18"/>
        <v>675.41343396226398</v>
      </c>
      <c r="AD30" s="135"/>
      <c r="AE30" s="136">
        <f t="shared" si="19"/>
        <v>675.41343396226398</v>
      </c>
      <c r="AF30" s="178">
        <v>2</v>
      </c>
      <c r="AG30" s="134">
        <f t="shared" si="20"/>
        <v>657.41984905660365</v>
      </c>
      <c r="AH30" s="135"/>
      <c r="AI30" s="136">
        <f t="shared" si="21"/>
        <v>657.41984905660365</v>
      </c>
      <c r="AJ30" s="178">
        <v>2</v>
      </c>
      <c r="AK30" s="134">
        <f t="shared" si="22"/>
        <v>-63.968867924528396</v>
      </c>
      <c r="AL30" s="135"/>
      <c r="AM30" s="136">
        <f t="shared" si="23"/>
        <v>-63.968867924528396</v>
      </c>
      <c r="AN30" s="178">
        <v>2</v>
      </c>
      <c r="AO30" s="134">
        <f t="shared" si="24"/>
        <v>856.98743396226394</v>
      </c>
      <c r="AP30" s="135"/>
      <c r="AQ30" s="136">
        <f t="shared" si="25"/>
        <v>856.98743396226394</v>
      </c>
      <c r="AR30" s="178">
        <v>2</v>
      </c>
      <c r="AS30" s="134">
        <f t="shared" si="26"/>
        <v>687.03966037735836</v>
      </c>
      <c r="AT30" s="135"/>
      <c r="AU30" s="136">
        <f t="shared" si="27"/>
        <v>687.03966037735836</v>
      </c>
      <c r="AV30" s="178">
        <v>2</v>
      </c>
      <c r="AW30" s="134">
        <f t="shared" si="57"/>
        <v>589.9842264150941</v>
      </c>
      <c r="AX30" s="135"/>
      <c r="AY30" s="136">
        <f t="shared" si="28"/>
        <v>589.9842264150941</v>
      </c>
      <c r="AZ30" s="127">
        <f t="shared" si="29"/>
        <v>2026.5274339622638</v>
      </c>
      <c r="BA30" s="94">
        <f t="shared" si="30"/>
        <v>0</v>
      </c>
      <c r="BB30" s="137">
        <f t="shared" si="31"/>
        <v>2026.5274339622638</v>
      </c>
      <c r="BC30" s="127">
        <f t="shared" si="32"/>
        <v>1099.9882264150942</v>
      </c>
      <c r="BD30" s="138"/>
      <c r="BE30" s="94">
        <f t="shared" si="33"/>
        <v>0</v>
      </c>
      <c r="BF30" s="128">
        <f t="shared" si="34"/>
        <v>3126.515660377358</v>
      </c>
      <c r="BG30" s="127">
        <f t="shared" si="35"/>
        <v>1268.8644150943392</v>
      </c>
      <c r="BH30" s="139"/>
      <c r="BI30" s="94">
        <f t="shared" si="36"/>
        <v>0</v>
      </c>
      <c r="BJ30" s="130">
        <f t="shared" si="37"/>
        <v>4395.3800754716976</v>
      </c>
      <c r="BK30" s="130">
        <f t="shared" si="38"/>
        <v>2134.0113207547165</v>
      </c>
      <c r="BL30" s="94">
        <f t="shared" si="39"/>
        <v>0</v>
      </c>
      <c r="BM30" s="138">
        <f t="shared" si="40"/>
        <v>6529.3913962264141</v>
      </c>
      <c r="BN30" s="127"/>
      <c r="BO30" s="127">
        <f t="shared" si="41"/>
        <v>6529.3913962264141</v>
      </c>
      <c r="BP30" s="140"/>
      <c r="BQ30" s="140"/>
      <c r="BR30" s="17">
        <f t="shared" si="42"/>
        <v>0</v>
      </c>
      <c r="BS30" s="17">
        <f t="shared" si="43"/>
        <v>0</v>
      </c>
    </row>
    <row r="31" spans="1:71" ht="12" customHeight="1">
      <c r="A31" s="89"/>
      <c r="C31" s="61"/>
      <c r="D31" s="148">
        <f t="shared" ref="D31:E31" si="58">SUM(D19:D30)</f>
        <v>530.00000000000011</v>
      </c>
      <c r="E31" s="149">
        <f t="shared" si="58"/>
        <v>208715.74999999991</v>
      </c>
      <c r="F31" s="91"/>
      <c r="G31" s="91"/>
      <c r="H31" s="148">
        <f t="shared" ref="H31:I31" si="59">SUM(H19:H30)</f>
        <v>530.00000000000011</v>
      </c>
      <c r="I31" s="149">
        <f t="shared" si="59"/>
        <v>194878.27999999991</v>
      </c>
      <c r="J31" s="91"/>
      <c r="K31" s="91"/>
      <c r="L31" s="148">
        <f t="shared" ref="L31:M31" si="60">SUM(L19:L30)</f>
        <v>530.00000000000011</v>
      </c>
      <c r="M31" s="149">
        <f t="shared" si="60"/>
        <v>133435.74</v>
      </c>
      <c r="N31" s="91"/>
      <c r="O31" s="91"/>
      <c r="P31" s="148">
        <f t="shared" ref="P31:Q31" si="61">SUM(P19:P30)</f>
        <v>530.00000000000011</v>
      </c>
      <c r="Q31" s="149">
        <f t="shared" si="61"/>
        <v>82153.890000000014</v>
      </c>
      <c r="R31" s="91"/>
      <c r="S31" s="91"/>
      <c r="T31" s="148">
        <f t="shared" ref="T31:U31" si="62">SUM(T19:T30)</f>
        <v>530.00000000000011</v>
      </c>
      <c r="U31" s="149">
        <f t="shared" si="62"/>
        <v>113683.35999999997</v>
      </c>
      <c r="V31" s="91"/>
      <c r="W31" s="91"/>
      <c r="X31" s="148">
        <f t="shared" ref="X31:Y31" si="63">SUM(X19:X30)</f>
        <v>530.00000000000011</v>
      </c>
      <c r="Y31" s="149">
        <f t="shared" si="63"/>
        <v>95659.62999999999</v>
      </c>
      <c r="Z31" s="91"/>
      <c r="AA31" s="92"/>
      <c r="AB31" s="148">
        <f>SUM(AB19:AB30)</f>
        <v>530.00000000000011</v>
      </c>
      <c r="AC31" s="149">
        <f>SUM(AC19:AC24)</f>
        <v>172230.42566037731</v>
      </c>
      <c r="AD31" s="91"/>
      <c r="AE31" s="92"/>
      <c r="AF31" s="148">
        <f>SUM(AF19:AF30)</f>
        <v>530.00000000000011</v>
      </c>
      <c r="AG31" s="149">
        <f>SUM(AG19:AG24)</f>
        <v>167642.0615094339</v>
      </c>
      <c r="AH31" s="91"/>
      <c r="AI31" s="91"/>
      <c r="AJ31" s="148">
        <f>SUM(AJ19:AJ30)</f>
        <v>530.00000000000011</v>
      </c>
      <c r="AK31" s="149">
        <f>SUM(AK19:AK24)</f>
        <v>-16312.061320754745</v>
      </c>
      <c r="AL31" s="91"/>
      <c r="AM31" s="91"/>
      <c r="AN31" s="148">
        <f>SUM(AN19:AN30)</f>
        <v>530.00000000000011</v>
      </c>
      <c r="AO31" s="149">
        <f>SUM(AO19:AO24)</f>
        <v>218531.79566037733</v>
      </c>
      <c r="AP31" s="91"/>
      <c r="AQ31" s="91"/>
      <c r="AR31" s="148">
        <f>SUM(AR19:AR30)</f>
        <v>530.00000000000011</v>
      </c>
      <c r="AS31" s="149">
        <f>SUM(AS19:AS24)</f>
        <v>175195.1133962264</v>
      </c>
      <c r="AT31" s="91"/>
      <c r="AU31" s="91"/>
      <c r="AV31" s="148">
        <f>SUM(AV19:AV30)</f>
        <v>530.00000000000011</v>
      </c>
      <c r="AW31" s="149">
        <f>SUM(AW19:AW24)</f>
        <v>150445.97773584901</v>
      </c>
      <c r="AX31" s="124"/>
      <c r="AY31" s="92"/>
      <c r="AZ31" s="91"/>
      <c r="BA31" s="124"/>
      <c r="BB31" s="150"/>
      <c r="BC31" s="91"/>
      <c r="BD31" s="91"/>
      <c r="BE31" s="124"/>
      <c r="BF31" s="150"/>
      <c r="BG31" s="127"/>
      <c r="BJ31" s="61"/>
      <c r="BK31" s="61"/>
    </row>
    <row r="32" spans="1:71" ht="13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124"/>
      <c r="AW32" s="151"/>
      <c r="AX32" s="124"/>
      <c r="BR32" s="152"/>
    </row>
    <row r="33" spans="1:70" ht="28">
      <c r="A33" s="89" t="s">
        <v>185</v>
      </c>
      <c r="B33" s="5"/>
      <c r="C33" s="61">
        <f>'PS Model 2023'!AV6*-1</f>
        <v>480000</v>
      </c>
      <c r="D33" s="100"/>
      <c r="E33" s="91"/>
      <c r="F33" s="124"/>
      <c r="G33" s="91"/>
      <c r="H33" s="91"/>
      <c r="I33" s="91"/>
      <c r="J33" s="124"/>
      <c r="K33" s="91"/>
      <c r="L33" s="91"/>
      <c r="M33" s="91"/>
      <c r="N33" s="124"/>
      <c r="O33" s="91"/>
      <c r="P33" s="91"/>
      <c r="Q33" s="91"/>
      <c r="R33" s="124"/>
      <c r="S33" s="91"/>
      <c r="T33" s="91"/>
      <c r="U33" s="91"/>
      <c r="V33" s="124"/>
      <c r="W33" s="91"/>
      <c r="X33" s="91"/>
      <c r="Y33" s="91"/>
      <c r="Z33" s="124"/>
      <c r="AA33" s="91"/>
      <c r="AB33" s="91"/>
      <c r="AC33" s="91"/>
      <c r="AD33" s="124"/>
      <c r="AE33" s="91"/>
      <c r="AF33" s="91"/>
      <c r="AG33" s="91"/>
      <c r="AH33" s="124"/>
      <c r="AI33" s="91"/>
      <c r="AJ33" s="91"/>
      <c r="AK33" s="91"/>
      <c r="AL33" s="124"/>
      <c r="AM33" s="91"/>
      <c r="AN33" s="91"/>
      <c r="AO33" s="91"/>
      <c r="AP33" s="124"/>
      <c r="AQ33" s="91"/>
      <c r="AR33" s="91"/>
      <c r="AS33" s="91"/>
      <c r="AT33" s="91"/>
      <c r="AU33" s="1"/>
      <c r="AV33" s="179" t="s">
        <v>218</v>
      </c>
      <c r="AW33" s="118" t="s">
        <v>219</v>
      </c>
      <c r="AY33" s="92"/>
      <c r="AZ33" s="154" t="str">
        <f>"Adj. Paid for "&amp;AZ2</f>
        <v>Adj. Paid for 1Q</v>
      </c>
      <c r="BA33" s="155" t="str">
        <f>"Total paid "&amp;AZ2</f>
        <v>Total paid 1Q</v>
      </c>
      <c r="BB33" s="156" t="str">
        <f>"Still owed for "&amp;AZ2</f>
        <v>Still owed for 1Q</v>
      </c>
      <c r="BC33" s="154" t="str">
        <f>"Adj. Paid for "&amp;BC2</f>
        <v>Adj. Paid for 2Q</v>
      </c>
      <c r="BD33" s="154" t="s">
        <v>188</v>
      </c>
      <c r="BE33" s="155" t="s">
        <v>189</v>
      </c>
      <c r="BF33" s="156" t="s">
        <v>190</v>
      </c>
      <c r="BG33" s="157" t="str">
        <f>"Adj. Paid for "&amp;BG2</f>
        <v>Adj. Paid for 3Q</v>
      </c>
      <c r="BH33" s="158" t="s">
        <v>191</v>
      </c>
      <c r="BI33" s="158" t="s">
        <v>192</v>
      </c>
      <c r="BJ33" s="158" t="s">
        <v>193</v>
      </c>
      <c r="BK33" s="157" t="str">
        <f>"Adj. Paid for "&amp;BK2</f>
        <v>Adj. Paid for 4Q</v>
      </c>
      <c r="BL33" s="154" t="s">
        <v>194</v>
      </c>
      <c r="BM33" s="154" t="s">
        <v>195</v>
      </c>
      <c r="BN33" s="155" t="s">
        <v>196</v>
      </c>
      <c r="BO33" s="156" t="s">
        <v>197</v>
      </c>
      <c r="BP33" s="152"/>
      <c r="BQ33" s="152"/>
      <c r="BR33" s="19"/>
    </row>
    <row r="34" spans="1:70" ht="13">
      <c r="A34" s="89" t="s">
        <v>198</v>
      </c>
      <c r="B34" s="5"/>
      <c r="C34" s="92">
        <f>C33-D6-H6-L6</f>
        <v>0</v>
      </c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P34" s="91"/>
      <c r="AQ34" s="91"/>
      <c r="AR34" s="91"/>
      <c r="AS34" s="91"/>
      <c r="AT34" s="91"/>
      <c r="AU34" s="91" t="str">
        <f t="shared" ref="AU34:AU45" si="64">A19</f>
        <v>Colin</v>
      </c>
      <c r="AV34" s="91"/>
      <c r="AW34" s="151">
        <f t="shared" ref="AW34:AW45" si="65">BB34</f>
        <v>371016.96111482941</v>
      </c>
      <c r="AY34" s="160" t="str">
        <f t="shared" ref="AY34:AY45" si="66">A19</f>
        <v>Colin</v>
      </c>
      <c r="AZ34" s="161">
        <f>AZ16</f>
        <v>30051</v>
      </c>
      <c r="BA34" s="161">
        <f>AZ34+BA19</f>
        <v>60607.240000000005</v>
      </c>
      <c r="BB34" s="162">
        <f t="shared" ref="BB34:BB45" si="67">BB19-AZ34</f>
        <v>371016.96111482941</v>
      </c>
      <c r="BC34" s="161">
        <f>BC16</f>
        <v>199202.37</v>
      </c>
      <c r="BD34" s="161">
        <f t="shared" ref="BD34:BD45" si="68">AZ34+BC34</f>
        <v>229253.37</v>
      </c>
      <c r="BE34" s="163">
        <f t="shared" ref="BE34:BE45" si="69">BA34+BC34+BE19</f>
        <v>302857.71999999997</v>
      </c>
      <c r="BF34" s="164">
        <f t="shared" ref="BF34:BF45" si="70">BF19-BD34</f>
        <v>197515.7452657728</v>
      </c>
      <c r="BG34" s="161">
        <f>BG16</f>
        <v>35000</v>
      </c>
      <c r="BH34" s="161">
        <f t="shared" ref="BH34:BH45" si="71">BG34+BD34</f>
        <v>264253.37</v>
      </c>
      <c r="BI34" s="163">
        <f t="shared" ref="BI34:BI45" si="72">BE34+BG34+BI19</f>
        <v>364612.25999999995</v>
      </c>
      <c r="BJ34" s="164">
        <f t="shared" ref="BJ34:BJ45" si="73">BJ19-BH34</f>
        <v>215065.23120916903</v>
      </c>
      <c r="BK34" s="161">
        <f>BK16</f>
        <v>0</v>
      </c>
      <c r="BL34" s="161">
        <f t="shared" ref="BL34:BL37" si="74">BK34+BG34</f>
        <v>35000</v>
      </c>
      <c r="BM34" s="161">
        <f t="shared" ref="BM34:BM45" si="75">BL34+BC34+AZ34</f>
        <v>264253.37</v>
      </c>
      <c r="BN34" s="163">
        <f t="shared" ref="BN34:BN45" si="76">BE34+BL34+BI19+BL19</f>
        <v>412113.11999999994</v>
      </c>
      <c r="BO34" s="164">
        <f t="shared" ref="BO34:BO45" si="77">BO19-BM34</f>
        <v>301278.33385633875</v>
      </c>
      <c r="BP34" s="19"/>
      <c r="BQ34" s="19"/>
      <c r="BR34" s="19"/>
    </row>
    <row r="35" spans="1:70" ht="14">
      <c r="A35" s="89"/>
      <c r="B35" s="5"/>
      <c r="C35" s="61"/>
      <c r="D35" s="100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>
        <v>146.13999999999999</v>
      </c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P35" s="91"/>
      <c r="AQ35" s="91"/>
      <c r="AR35" s="91"/>
      <c r="AS35" s="124"/>
      <c r="AT35" s="91"/>
      <c r="AU35" s="91" t="str">
        <f t="shared" si="64"/>
        <v>Fronczyk</v>
      </c>
      <c r="AV35" s="91"/>
      <c r="AW35" s="151" t="e">
        <f t="shared" ca="1" si="65"/>
        <v>#REF!</v>
      </c>
      <c r="AY35" s="160" t="str">
        <f t="shared" si="66"/>
        <v>Fronczyk</v>
      </c>
      <c r="AZ35" s="161" t="e">
        <f ca="1">BB20-SUM('PMs PS payouts'!AA33:AA35)</f>
        <v>#REF!</v>
      </c>
      <c r="BA35" s="161" t="e">
        <f ca="1">AZ35</f>
        <v>#REF!</v>
      </c>
      <c r="BB35" s="162" t="e">
        <f t="shared" ca="1" si="67"/>
        <v>#REF!</v>
      </c>
      <c r="BC35" s="161" t="e">
        <f ca="1">BC20-SUM('PMs PS payouts'!AA36:AA38)</f>
        <v>#REF!</v>
      </c>
      <c r="BD35" s="161" t="e">
        <f t="shared" ca="1" si="68"/>
        <v>#REF!</v>
      </c>
      <c r="BE35" s="163" t="e">
        <f t="shared" ca="1" si="69"/>
        <v>#REF!</v>
      </c>
      <c r="BF35" s="164" t="e">
        <f t="shared" ca="1" si="70"/>
        <v>#REF!</v>
      </c>
      <c r="BG35" s="161" t="e">
        <f ca="1">BG20-SUM('PMs PS payouts'!AA39:AA41)</f>
        <v>#REF!</v>
      </c>
      <c r="BH35" s="161" t="e">
        <f t="shared" ca="1" si="71"/>
        <v>#REF!</v>
      </c>
      <c r="BI35" s="163" t="e">
        <f t="shared" ca="1" si="72"/>
        <v>#REF!</v>
      </c>
      <c r="BJ35" s="164" t="e">
        <f t="shared" ca="1" si="73"/>
        <v>#REF!</v>
      </c>
      <c r="BK35" s="161" t="e">
        <f ca="1">BK20-SUM('PMs PS payouts'!AA42:AA44)</f>
        <v>#REF!</v>
      </c>
      <c r="BL35" s="161" t="e">
        <f t="shared" ca="1" si="74"/>
        <v>#REF!</v>
      </c>
      <c r="BM35" s="161" t="e">
        <f t="shared" ca="1" si="75"/>
        <v>#REF!</v>
      </c>
      <c r="BN35" s="163" t="e">
        <f t="shared" ca="1" si="76"/>
        <v>#REF!</v>
      </c>
      <c r="BO35" s="164" t="e">
        <f t="shared" ca="1" si="77"/>
        <v>#REF!</v>
      </c>
      <c r="BP35" s="19" t="str">
        <f t="shared" ref="BP35:BP45" si="78">AY35</f>
        <v>Fronczyk</v>
      </c>
      <c r="BQ35" s="19"/>
      <c r="BR35" s="19"/>
    </row>
    <row r="36" spans="1:70" ht="14">
      <c r="A36" s="89"/>
      <c r="B36" s="5"/>
      <c r="C36" s="61"/>
      <c r="D36" s="100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P36" s="91"/>
      <c r="AQ36" s="91"/>
      <c r="AR36" s="91"/>
      <c r="AS36" s="91"/>
      <c r="AT36" s="91"/>
      <c r="AU36" s="91" t="str">
        <f t="shared" si="64"/>
        <v>Mirek</v>
      </c>
      <c r="AV36" s="91"/>
      <c r="AW36" s="151" t="e">
        <f t="shared" ca="1" si="65"/>
        <v>#REF!</v>
      </c>
      <c r="AY36" s="160" t="str">
        <f t="shared" si="66"/>
        <v>Mirek</v>
      </c>
      <c r="AZ36" s="165" t="e">
        <f ca="1">AZ21-SUM('PMs PS payouts'!K33:K35)</f>
        <v>#REF!</v>
      </c>
      <c r="BA36" s="161" t="e">
        <f t="shared" ref="BA36:BA45" ca="1" si="79">AZ36+BA21</f>
        <v>#REF!</v>
      </c>
      <c r="BB36" s="162" t="e">
        <f t="shared" ca="1" si="67"/>
        <v>#REF!</v>
      </c>
      <c r="BC36" s="165" t="e">
        <f ca="1">BC21-SUM('PMs PS payouts'!K36:K38)</f>
        <v>#REF!</v>
      </c>
      <c r="BD36" s="161" t="e">
        <f t="shared" ca="1" si="68"/>
        <v>#REF!</v>
      </c>
      <c r="BE36" s="163" t="e">
        <f t="shared" ca="1" si="69"/>
        <v>#REF!</v>
      </c>
      <c r="BF36" s="164" t="e">
        <f t="shared" ca="1" si="70"/>
        <v>#REF!</v>
      </c>
      <c r="BG36" s="165" t="e">
        <f ca="1">BG21-SUM('PMs PS payouts'!K41:K43)</f>
        <v>#REF!</v>
      </c>
      <c r="BH36" s="161" t="e">
        <f t="shared" ca="1" si="71"/>
        <v>#REF!</v>
      </c>
      <c r="BI36" s="163" t="e">
        <f t="shared" ca="1" si="72"/>
        <v>#REF!</v>
      </c>
      <c r="BJ36" s="164" t="e">
        <f t="shared" ca="1" si="73"/>
        <v>#REF!</v>
      </c>
      <c r="BK36" s="165">
        <v>0</v>
      </c>
      <c r="BL36" s="161" t="e">
        <f t="shared" ca="1" si="74"/>
        <v>#REF!</v>
      </c>
      <c r="BM36" s="161" t="e">
        <f t="shared" ca="1" si="75"/>
        <v>#REF!</v>
      </c>
      <c r="BN36" s="163" t="e">
        <f t="shared" ca="1" si="76"/>
        <v>#REF!</v>
      </c>
      <c r="BO36" s="164" t="e">
        <f t="shared" ca="1" si="77"/>
        <v>#REF!</v>
      </c>
      <c r="BP36" s="19" t="str">
        <f t="shared" si="78"/>
        <v>Mirek</v>
      </c>
      <c r="BQ36" s="19"/>
      <c r="BR36" s="19"/>
    </row>
    <row r="37" spans="1:70" ht="14">
      <c r="A37" s="89"/>
      <c r="B37" s="5"/>
      <c r="C37" s="61"/>
      <c r="D37" s="100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P37" s="91"/>
      <c r="AQ37" s="91"/>
      <c r="AR37" s="91"/>
      <c r="AS37" s="91"/>
      <c r="AT37" s="91"/>
      <c r="AU37" s="91" t="str">
        <f t="shared" si="64"/>
        <v>Marek</v>
      </c>
      <c r="AV37" s="91"/>
      <c r="AW37" s="151">
        <f t="shared" si="65"/>
        <v>109770.23830420428</v>
      </c>
      <c r="AY37" s="160" t="str">
        <f t="shared" si="66"/>
        <v>Marek</v>
      </c>
      <c r="AZ37" s="165">
        <v>0</v>
      </c>
      <c r="BA37" s="161">
        <f t="shared" si="79"/>
        <v>0</v>
      </c>
      <c r="BB37" s="166">
        <f t="shared" si="67"/>
        <v>109770.23830420428</v>
      </c>
      <c r="BC37" s="165">
        <v>0</v>
      </c>
      <c r="BD37" s="161">
        <f t="shared" si="68"/>
        <v>0</v>
      </c>
      <c r="BE37" s="163">
        <f t="shared" si="69"/>
        <v>0</v>
      </c>
      <c r="BF37" s="164">
        <f t="shared" si="70"/>
        <v>169352.93390168855</v>
      </c>
      <c r="BG37" s="165">
        <v>0</v>
      </c>
      <c r="BH37" s="161">
        <f t="shared" si="71"/>
        <v>0</v>
      </c>
      <c r="BI37" s="163">
        <f t="shared" si="72"/>
        <v>0</v>
      </c>
      <c r="BJ37" s="164">
        <f t="shared" si="73"/>
        <v>238083.08971929859</v>
      </c>
      <c r="BK37" s="165">
        <v>0</v>
      </c>
      <c r="BL37" s="161">
        <f t="shared" si="74"/>
        <v>0</v>
      </c>
      <c r="BM37" s="161">
        <f t="shared" si="75"/>
        <v>0</v>
      </c>
      <c r="BN37" s="163">
        <f t="shared" si="76"/>
        <v>0</v>
      </c>
      <c r="BO37" s="164">
        <f t="shared" si="77"/>
        <v>353227.34959351242</v>
      </c>
      <c r="BP37" s="19" t="str">
        <f t="shared" si="78"/>
        <v>Marek</v>
      </c>
      <c r="BQ37" s="19"/>
      <c r="BR37" s="19"/>
    </row>
    <row r="38" spans="1:70" ht="14">
      <c r="A38" s="89"/>
      <c r="B38" s="5"/>
      <c r="C38" s="61"/>
      <c r="D38" s="100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P38" s="91"/>
      <c r="AQ38" s="91"/>
      <c r="AR38" s="91"/>
      <c r="AS38" s="91"/>
      <c r="AT38" s="91"/>
      <c r="AU38" s="91" t="str">
        <f t="shared" si="64"/>
        <v>Filip</v>
      </c>
      <c r="AV38" s="91"/>
      <c r="AW38" s="151">
        <f t="shared" si="65"/>
        <v>360.04794268658043</v>
      </c>
      <c r="AY38" s="160" t="str">
        <f t="shared" si="66"/>
        <v>Filip</v>
      </c>
      <c r="AZ38" s="165">
        <v>8190.58</v>
      </c>
      <c r="BA38" s="161">
        <f t="shared" si="79"/>
        <v>8190.58</v>
      </c>
      <c r="BB38" s="167">
        <f t="shared" si="67"/>
        <v>360.04794268658043</v>
      </c>
      <c r="BC38" s="165">
        <v>3916.23</v>
      </c>
      <c r="BD38" s="161">
        <f t="shared" si="68"/>
        <v>12106.81</v>
      </c>
      <c r="BE38" s="163">
        <f t="shared" si="69"/>
        <v>12106.81</v>
      </c>
      <c r="BF38" s="164">
        <f t="shared" si="70"/>
        <v>293.77673513941045</v>
      </c>
      <c r="BG38" s="161">
        <v>0</v>
      </c>
      <c r="BH38" s="161">
        <f t="shared" si="71"/>
        <v>12106.81</v>
      </c>
      <c r="BI38" s="163">
        <f t="shared" si="72"/>
        <v>12106.81</v>
      </c>
      <c r="BJ38" s="164">
        <f t="shared" si="73"/>
        <v>4734.8021879695971</v>
      </c>
      <c r="BK38" s="168">
        <v>0</v>
      </c>
      <c r="BL38" s="169">
        <v>12291.96</v>
      </c>
      <c r="BM38" s="161">
        <f t="shared" si="75"/>
        <v>24398.769999999997</v>
      </c>
      <c r="BN38" s="163">
        <f t="shared" si="76"/>
        <v>24398.769999999997</v>
      </c>
      <c r="BO38" s="164">
        <f t="shared" si="77"/>
        <v>-88.11818938889337</v>
      </c>
      <c r="BP38" s="19" t="str">
        <f t="shared" si="78"/>
        <v>Filip</v>
      </c>
      <c r="BQ38" s="164">
        <v>12291.955037026199</v>
      </c>
      <c r="BR38" s="19"/>
    </row>
    <row r="39" spans="1:70" ht="14">
      <c r="B39" s="5"/>
      <c r="C39" s="61"/>
      <c r="D39" s="62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P39" s="91"/>
      <c r="AQ39" s="91"/>
      <c r="AR39" s="91"/>
      <c r="AS39" s="91"/>
      <c r="AT39" s="91"/>
      <c r="AU39" s="91" t="str">
        <f t="shared" si="64"/>
        <v>Maria</v>
      </c>
      <c r="AV39" s="91"/>
      <c r="AW39" s="151">
        <f t="shared" si="65"/>
        <v>154.3084503359828</v>
      </c>
      <c r="AY39" s="160" t="str">
        <f t="shared" si="66"/>
        <v>Maria</v>
      </c>
      <c r="AZ39" s="165">
        <v>3478.31</v>
      </c>
      <c r="BA39" s="161">
        <f t="shared" si="79"/>
        <v>3478.31</v>
      </c>
      <c r="BB39" s="167">
        <f t="shared" si="67"/>
        <v>154.3084503359828</v>
      </c>
      <c r="BC39" s="165">
        <v>1678.39</v>
      </c>
      <c r="BD39" s="161">
        <f t="shared" si="68"/>
        <v>5156.7</v>
      </c>
      <c r="BE39" s="163">
        <f t="shared" si="69"/>
        <v>5156.7</v>
      </c>
      <c r="BF39" s="164">
        <f t="shared" si="70"/>
        <v>125.90078995862405</v>
      </c>
      <c r="BG39" s="161">
        <v>0</v>
      </c>
      <c r="BH39" s="161">
        <f t="shared" si="71"/>
        <v>5156.7</v>
      </c>
      <c r="BI39" s="163">
        <f t="shared" si="72"/>
        <v>5156.7</v>
      </c>
      <c r="BJ39" s="164">
        <f t="shared" si="73"/>
        <v>2029.1974126001323</v>
      </c>
      <c r="BK39" s="168">
        <v>0</v>
      </c>
      <c r="BL39" s="169">
        <v>5267.98</v>
      </c>
      <c r="BM39" s="161">
        <f t="shared" si="75"/>
        <v>10424.68</v>
      </c>
      <c r="BN39" s="163">
        <f t="shared" si="76"/>
        <v>10424.68</v>
      </c>
      <c r="BO39" s="164">
        <f t="shared" si="77"/>
        <v>-37.765606267792464</v>
      </c>
      <c r="BP39" s="19" t="str">
        <f t="shared" si="78"/>
        <v>Maria</v>
      </c>
      <c r="BQ39" s="164">
        <v>5267.9772050529618</v>
      </c>
      <c r="BR39" s="19"/>
    </row>
    <row r="40" spans="1:70" ht="14">
      <c r="B40" s="5"/>
      <c r="C40" s="61"/>
      <c r="D40" s="62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P40" s="91"/>
      <c r="AQ40" s="91"/>
      <c r="AR40" s="91"/>
      <c r="AS40" s="91"/>
      <c r="AT40" s="91"/>
      <c r="AU40" s="91" t="str">
        <f t="shared" si="64"/>
        <v>Piotr P.</v>
      </c>
      <c r="AV40" s="91"/>
      <c r="AW40" s="151">
        <f t="shared" si="65"/>
        <v>257.17453679158461</v>
      </c>
      <c r="AY40" s="160" t="str">
        <f t="shared" si="66"/>
        <v>Piotr P.</v>
      </c>
      <c r="AZ40" s="165">
        <v>5772.67</v>
      </c>
      <c r="BA40" s="161">
        <f t="shared" si="79"/>
        <v>5772.67</v>
      </c>
      <c r="BB40" s="167">
        <f t="shared" si="67"/>
        <v>257.17453679158461</v>
      </c>
      <c r="BC40" s="165">
        <v>2797.31</v>
      </c>
      <c r="BD40" s="161">
        <f t="shared" si="68"/>
        <v>8569.98</v>
      </c>
      <c r="BE40" s="163">
        <f t="shared" si="69"/>
        <v>8569.98</v>
      </c>
      <c r="BF40" s="164">
        <f t="shared" si="70"/>
        <v>209.83510282932002</v>
      </c>
      <c r="BG40" s="161">
        <v>0</v>
      </c>
      <c r="BH40" s="161">
        <f t="shared" si="71"/>
        <v>8569.98</v>
      </c>
      <c r="BI40" s="163">
        <f t="shared" si="72"/>
        <v>8569.98</v>
      </c>
      <c r="BJ40" s="164">
        <f t="shared" si="73"/>
        <v>3381.9961405651684</v>
      </c>
      <c r="BK40" s="168">
        <v>0</v>
      </c>
      <c r="BL40" s="169">
        <v>8779.9599999999991</v>
      </c>
      <c r="BM40" s="161">
        <f t="shared" si="75"/>
        <v>17349.939999999999</v>
      </c>
      <c r="BN40" s="163">
        <f t="shared" si="76"/>
        <v>17349.939999999999</v>
      </c>
      <c r="BO40" s="164">
        <f t="shared" si="77"/>
        <v>-62.935557548040379</v>
      </c>
      <c r="BP40" s="19" t="str">
        <f t="shared" si="78"/>
        <v>Piotr P.</v>
      </c>
      <c r="BQ40" s="164">
        <v>8779.9624613198866</v>
      </c>
      <c r="BR40" s="19"/>
    </row>
    <row r="41" spans="1:70" ht="14">
      <c r="B41" s="5"/>
      <c r="C41" s="61"/>
      <c r="D41" s="62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170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P41" s="91"/>
      <c r="AQ41" s="91"/>
      <c r="AR41" s="91"/>
      <c r="AS41" s="91"/>
      <c r="AT41" s="91"/>
      <c r="AU41" s="91" t="str">
        <f t="shared" si="64"/>
        <v>Olha</v>
      </c>
      <c r="AW41" s="151">
        <f t="shared" si="65"/>
        <v>205.73811455265331</v>
      </c>
      <c r="AY41" s="160" t="str">
        <f t="shared" si="66"/>
        <v>Olha</v>
      </c>
      <c r="AZ41" s="165">
        <v>4440.1400000000003</v>
      </c>
      <c r="BA41" s="161">
        <f t="shared" si="79"/>
        <v>4440.1400000000003</v>
      </c>
      <c r="BB41" s="167">
        <f t="shared" si="67"/>
        <v>205.73811455265331</v>
      </c>
      <c r="BC41" s="165">
        <v>2237.84</v>
      </c>
      <c r="BD41" s="161">
        <f t="shared" si="68"/>
        <v>6677.9800000000005</v>
      </c>
      <c r="BE41" s="163">
        <f t="shared" si="69"/>
        <v>6677.9800000000005</v>
      </c>
      <c r="BF41" s="164">
        <f t="shared" si="70"/>
        <v>167.87456738284163</v>
      </c>
      <c r="BG41" s="161">
        <v>0</v>
      </c>
      <c r="BH41" s="161">
        <f t="shared" si="71"/>
        <v>6677.9800000000005</v>
      </c>
      <c r="BI41" s="163">
        <f t="shared" si="72"/>
        <v>6677.9800000000005</v>
      </c>
      <c r="BJ41" s="164">
        <f t="shared" si="73"/>
        <v>2705.6033975715209</v>
      </c>
      <c r="BK41" s="168">
        <v>0</v>
      </c>
      <c r="BL41" s="169">
        <v>7023.98</v>
      </c>
      <c r="BM41" s="161">
        <f t="shared" si="75"/>
        <v>13701.96</v>
      </c>
      <c r="BN41" s="163">
        <f t="shared" si="76"/>
        <v>13701.96</v>
      </c>
      <c r="BO41" s="164">
        <f t="shared" si="77"/>
        <v>-50.353960919044766</v>
      </c>
      <c r="BP41" s="19" t="str">
        <f t="shared" si="78"/>
        <v>Olha</v>
      </c>
      <c r="BQ41" s="164">
        <v>7023.9764541752911</v>
      </c>
      <c r="BR41" s="19"/>
    </row>
    <row r="42" spans="1:70" ht="14">
      <c r="B42" s="5"/>
      <c r="C42" s="61"/>
      <c r="D42" s="62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P42" s="91"/>
      <c r="AQ42" s="91"/>
      <c r="AR42" s="91"/>
      <c r="AS42" s="91"/>
      <c r="AT42" s="91"/>
      <c r="AU42" s="91" t="str">
        <f t="shared" si="64"/>
        <v>Krzysztof B.</v>
      </c>
      <c r="AV42" s="91"/>
      <c r="AW42" s="151">
        <f t="shared" si="65"/>
        <v>257.17453679158461</v>
      </c>
      <c r="AY42" s="160" t="str">
        <f t="shared" si="66"/>
        <v>Krzysztof B.</v>
      </c>
      <c r="AZ42" s="165">
        <v>5772.67</v>
      </c>
      <c r="BA42" s="161">
        <f t="shared" si="79"/>
        <v>5772.67</v>
      </c>
      <c r="BB42" s="167">
        <f t="shared" si="67"/>
        <v>257.17453679158461</v>
      </c>
      <c r="BC42" s="165">
        <v>2797.31</v>
      </c>
      <c r="BD42" s="161">
        <f t="shared" si="68"/>
        <v>8569.98</v>
      </c>
      <c r="BE42" s="163">
        <f t="shared" si="69"/>
        <v>8569.98</v>
      </c>
      <c r="BF42" s="164">
        <f t="shared" si="70"/>
        <v>209.83510282932002</v>
      </c>
      <c r="BG42" s="161">
        <v>0</v>
      </c>
      <c r="BH42" s="161">
        <f t="shared" si="71"/>
        <v>8569.98</v>
      </c>
      <c r="BI42" s="163">
        <f t="shared" si="72"/>
        <v>8569.98</v>
      </c>
      <c r="BJ42" s="164">
        <f t="shared" si="73"/>
        <v>3381.9961405651684</v>
      </c>
      <c r="BK42" s="168">
        <v>0</v>
      </c>
      <c r="BL42" s="169">
        <v>8779.9599999999991</v>
      </c>
      <c r="BM42" s="161">
        <f t="shared" si="75"/>
        <v>17349.939999999999</v>
      </c>
      <c r="BN42" s="163">
        <f t="shared" si="76"/>
        <v>17349.939999999999</v>
      </c>
      <c r="BO42" s="164">
        <f t="shared" si="77"/>
        <v>-62.935557548040379</v>
      </c>
      <c r="BP42" s="19" t="str">
        <f t="shared" si="78"/>
        <v>Krzysztof B.</v>
      </c>
      <c r="BQ42" s="164">
        <v>8779.9624613198866</v>
      </c>
    </row>
    <row r="43" spans="1:70" ht="14">
      <c r="B43" s="5"/>
      <c r="C43" s="61"/>
      <c r="D43" s="62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P43" s="91"/>
      <c r="AQ43" s="91"/>
      <c r="AR43" s="91"/>
      <c r="AS43" s="91"/>
      <c r="AT43" s="91"/>
      <c r="AU43" s="91" t="str">
        <f t="shared" si="64"/>
        <v>Dominika</v>
      </c>
      <c r="AV43" s="91"/>
      <c r="AW43" s="151">
        <f t="shared" si="65"/>
        <v>102.8674339622637</v>
      </c>
      <c r="AY43" s="160" t="str">
        <f t="shared" si="66"/>
        <v>Dominika</v>
      </c>
      <c r="AZ43" s="165">
        <v>1923.66</v>
      </c>
      <c r="BA43" s="161">
        <f t="shared" si="79"/>
        <v>1923.66</v>
      </c>
      <c r="BB43" s="167">
        <f t="shared" si="67"/>
        <v>102.8674339622637</v>
      </c>
      <c r="BC43" s="165">
        <v>1118.92</v>
      </c>
      <c r="BD43" s="161">
        <f t="shared" si="68"/>
        <v>3042.58</v>
      </c>
      <c r="BE43" s="163">
        <f t="shared" si="69"/>
        <v>3042.58</v>
      </c>
      <c r="BF43" s="164">
        <f t="shared" si="70"/>
        <v>83.93566037735809</v>
      </c>
      <c r="BG43" s="161">
        <v>0</v>
      </c>
      <c r="BH43" s="161">
        <f t="shared" si="71"/>
        <v>3042.58</v>
      </c>
      <c r="BI43" s="163">
        <f t="shared" si="72"/>
        <v>3042.58</v>
      </c>
      <c r="BJ43" s="164">
        <f t="shared" si="73"/>
        <v>1352.8000754716977</v>
      </c>
      <c r="BK43" s="168">
        <v>0</v>
      </c>
      <c r="BL43" s="169">
        <v>3511.99</v>
      </c>
      <c r="BM43" s="161">
        <f t="shared" si="75"/>
        <v>6554.57</v>
      </c>
      <c r="BN43" s="163">
        <f t="shared" si="76"/>
        <v>6554.57</v>
      </c>
      <c r="BO43" s="164">
        <f t="shared" si="77"/>
        <v>-25.178603773585564</v>
      </c>
      <c r="BP43" s="19" t="str">
        <f t="shared" si="78"/>
        <v>Dominika</v>
      </c>
      <c r="BQ43" s="164">
        <v>3511.9866037735828</v>
      </c>
    </row>
    <row r="44" spans="1:70" ht="14">
      <c r="B44" s="5"/>
      <c r="C44" s="61"/>
      <c r="D44" s="62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P44" s="91"/>
      <c r="AQ44" s="91"/>
      <c r="AR44" s="91"/>
      <c r="AS44" s="91"/>
      <c r="AT44" s="91"/>
      <c r="AU44" s="91" t="str">
        <f t="shared" si="64"/>
        <v>Karol Kuch</v>
      </c>
      <c r="AV44" s="91"/>
      <c r="AW44" s="151">
        <f t="shared" si="65"/>
        <v>102.8674339622637</v>
      </c>
      <c r="AY44" s="160" t="str">
        <f t="shared" si="66"/>
        <v>Karol Kuch</v>
      </c>
      <c r="AZ44" s="165">
        <v>1923.66</v>
      </c>
      <c r="BA44" s="161">
        <f t="shared" si="79"/>
        <v>1923.66</v>
      </c>
      <c r="BB44" s="167">
        <f t="shared" si="67"/>
        <v>102.8674339622637</v>
      </c>
      <c r="BC44" s="165">
        <v>1118.92</v>
      </c>
      <c r="BD44" s="161">
        <f t="shared" si="68"/>
        <v>3042.58</v>
      </c>
      <c r="BE44" s="163">
        <f t="shared" si="69"/>
        <v>3042.58</v>
      </c>
      <c r="BF44" s="164">
        <f t="shared" si="70"/>
        <v>83.93566037735809</v>
      </c>
      <c r="BG44" s="161">
        <v>0</v>
      </c>
      <c r="BH44" s="161">
        <f t="shared" si="71"/>
        <v>3042.58</v>
      </c>
      <c r="BI44" s="163">
        <f t="shared" si="72"/>
        <v>3042.58</v>
      </c>
      <c r="BJ44" s="164">
        <f t="shared" si="73"/>
        <v>1352.8000754716977</v>
      </c>
      <c r="BK44" s="168">
        <v>0</v>
      </c>
      <c r="BL44" s="169">
        <v>3511.99</v>
      </c>
      <c r="BM44" s="161">
        <f t="shared" si="75"/>
        <v>6554.57</v>
      </c>
      <c r="BN44" s="163">
        <f t="shared" si="76"/>
        <v>6554.57</v>
      </c>
      <c r="BO44" s="164">
        <f t="shared" si="77"/>
        <v>-25.178603773585564</v>
      </c>
      <c r="BP44" s="19" t="str">
        <f t="shared" si="78"/>
        <v>Karol Kuch</v>
      </c>
      <c r="BQ44" s="164">
        <v>3511.9866037735828</v>
      </c>
    </row>
    <row r="45" spans="1:70" ht="14">
      <c r="B45" s="5"/>
      <c r="C45" s="61"/>
      <c r="D45" s="62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P45" s="91"/>
      <c r="AQ45" s="91"/>
      <c r="AR45" s="91"/>
      <c r="AS45" s="91"/>
      <c r="AT45" s="91"/>
      <c r="AU45" s="91" t="str">
        <f t="shared" si="64"/>
        <v>Adrian</v>
      </c>
      <c r="AV45" s="91"/>
      <c r="AW45" s="151">
        <f t="shared" si="65"/>
        <v>102.8674339622637</v>
      </c>
      <c r="AY45" s="160" t="str">
        <f t="shared" si="66"/>
        <v>Adrian</v>
      </c>
      <c r="AZ45" s="165">
        <v>1923.66</v>
      </c>
      <c r="BA45" s="161">
        <f t="shared" si="79"/>
        <v>1923.66</v>
      </c>
      <c r="BB45" s="167">
        <f t="shared" si="67"/>
        <v>102.8674339622637</v>
      </c>
      <c r="BC45" s="165">
        <v>1118.92</v>
      </c>
      <c r="BD45" s="161">
        <f t="shared" si="68"/>
        <v>3042.58</v>
      </c>
      <c r="BE45" s="163">
        <f t="shared" si="69"/>
        <v>3042.58</v>
      </c>
      <c r="BF45" s="164">
        <f t="shared" si="70"/>
        <v>83.93566037735809</v>
      </c>
      <c r="BG45" s="161">
        <v>0</v>
      </c>
      <c r="BH45" s="161">
        <f t="shared" si="71"/>
        <v>3042.58</v>
      </c>
      <c r="BI45" s="163">
        <f t="shared" si="72"/>
        <v>3042.58</v>
      </c>
      <c r="BJ45" s="164">
        <f t="shared" si="73"/>
        <v>1352.8000754716977</v>
      </c>
      <c r="BK45" s="168">
        <v>0</v>
      </c>
      <c r="BL45" s="169">
        <v>3511.99</v>
      </c>
      <c r="BM45" s="161">
        <f t="shared" si="75"/>
        <v>6554.57</v>
      </c>
      <c r="BN45" s="163">
        <f t="shared" si="76"/>
        <v>6554.57</v>
      </c>
      <c r="BO45" s="164">
        <f t="shared" si="77"/>
        <v>-25.178603773585564</v>
      </c>
      <c r="BP45" s="19" t="str">
        <f t="shared" si="78"/>
        <v>Adrian</v>
      </c>
      <c r="BQ45" s="164">
        <v>3511.9866037735828</v>
      </c>
    </row>
    <row r="46" spans="1:70" ht="13">
      <c r="C46" s="61"/>
      <c r="D46" s="62"/>
      <c r="R46" s="91"/>
      <c r="AY46" s="1"/>
      <c r="AZ46" s="152"/>
      <c r="BM46" s="17" t="e">
        <f ca="1">SUM(BM34:BM42)</f>
        <v>#REF!</v>
      </c>
      <c r="BO46" s="17" t="e">
        <f ca="1">SUM(BO34:BO42)</f>
        <v>#REF!</v>
      </c>
    </row>
    <row r="47" spans="1:70" ht="14">
      <c r="A47" s="89"/>
      <c r="C47" s="61"/>
      <c r="D47" s="62"/>
      <c r="AY47" s="171" t="s">
        <v>200</v>
      </c>
      <c r="AZ47" s="152"/>
      <c r="BA47" s="152"/>
      <c r="BB47" s="152"/>
      <c r="BC47" s="152"/>
      <c r="BD47" s="152"/>
      <c r="BE47" s="91"/>
      <c r="BF47" s="91"/>
      <c r="BG47" s="91"/>
      <c r="BH47" s="1"/>
      <c r="BI47" s="1"/>
      <c r="BJ47" s="17">
        <f>BB43*3</f>
        <v>308.60230188679111</v>
      </c>
      <c r="BK47" s="1"/>
      <c r="BL47" s="17"/>
      <c r="BQ47" s="17">
        <f>SUM(BQ35:BQ46)</f>
        <v>52679.793430214973</v>
      </c>
    </row>
    <row r="48" spans="1:70" ht="13">
      <c r="A48" s="89"/>
      <c r="C48" s="61"/>
      <c r="D48" s="62"/>
      <c r="BE48" s="91"/>
      <c r="BF48" s="91"/>
      <c r="BH48" s="91"/>
      <c r="BI48" s="91"/>
      <c r="BJ48" s="91"/>
      <c r="BK48" s="91"/>
      <c r="BL48" s="17"/>
      <c r="BM48" s="91"/>
      <c r="BN48" s="91"/>
      <c r="BO48" s="91"/>
      <c r="BP48" s="91"/>
      <c r="BQ48" s="91"/>
      <c r="BR48" s="91"/>
    </row>
    <row r="49" spans="1:70" ht="14">
      <c r="A49" s="89" t="s">
        <v>201</v>
      </c>
      <c r="C49" s="61"/>
      <c r="D49" s="62"/>
      <c r="G49" s="1"/>
      <c r="H49" s="1"/>
      <c r="AN49" s="1" t="s">
        <v>148</v>
      </c>
      <c r="AZ49" s="172"/>
      <c r="BA49" s="172"/>
      <c r="BB49" s="172"/>
      <c r="BC49" s="172"/>
      <c r="BD49" s="172"/>
      <c r="BE49" s="172"/>
      <c r="BF49" s="172"/>
      <c r="BG49" s="172"/>
      <c r="BH49" s="172"/>
      <c r="BI49" s="172"/>
      <c r="BJ49" s="172"/>
      <c r="BK49" s="172"/>
      <c r="BL49" s="17"/>
      <c r="BM49" s="172"/>
      <c r="BN49" s="172"/>
      <c r="BO49" s="172"/>
      <c r="BP49" s="172"/>
      <c r="BQ49" s="172"/>
      <c r="BR49" s="172"/>
    </row>
    <row r="50" spans="1:70" ht="13">
      <c r="A50" s="89"/>
      <c r="C50" s="61"/>
      <c r="D50" s="62"/>
      <c r="AZ50" s="172"/>
      <c r="BA50" s="172"/>
      <c r="BB50" s="172"/>
      <c r="BC50" s="172"/>
      <c r="BD50" s="172"/>
      <c r="BE50" s="172"/>
      <c r="BF50" s="172"/>
      <c r="BG50" s="172"/>
      <c r="BH50" s="172"/>
      <c r="BI50" s="172"/>
      <c r="BJ50" s="172"/>
      <c r="BK50" s="17"/>
      <c r="BL50" s="17"/>
      <c r="BM50" s="172"/>
      <c r="BN50" s="172"/>
      <c r="BO50" s="172"/>
      <c r="BP50" s="172"/>
      <c r="BQ50" s="172"/>
      <c r="BR50" s="172"/>
    </row>
    <row r="51" spans="1:70" ht="13">
      <c r="A51" s="89"/>
      <c r="C51" s="61"/>
      <c r="D51" s="62"/>
      <c r="E51" s="1"/>
      <c r="F51" s="1"/>
      <c r="G51" s="1"/>
      <c r="AZ51" s="172"/>
      <c r="BA51" s="172"/>
      <c r="BB51" s="172"/>
      <c r="BC51" s="172"/>
      <c r="BD51" s="172"/>
      <c r="BE51" s="172"/>
      <c r="BF51" s="172"/>
      <c r="BG51" s="172"/>
      <c r="BH51" s="172"/>
      <c r="BI51" s="172"/>
      <c r="BJ51" s="172"/>
      <c r="BK51" s="17"/>
      <c r="BL51" s="17"/>
      <c r="BM51" s="172"/>
      <c r="BN51" s="172"/>
      <c r="BO51" s="172"/>
      <c r="BP51" s="172"/>
      <c r="BQ51" s="172"/>
      <c r="BR51" s="172"/>
    </row>
    <row r="52" spans="1:70" ht="28">
      <c r="A52" s="89"/>
      <c r="C52" s="61"/>
      <c r="D52" s="62"/>
      <c r="AU52" s="322" t="s">
        <v>220</v>
      </c>
      <c r="AV52" s="323"/>
      <c r="AW52" s="323"/>
      <c r="AX52" s="181" t="s">
        <v>221</v>
      </c>
      <c r="AZ52" s="17">
        <v>30051</v>
      </c>
      <c r="BA52" s="17">
        <v>60607.240000000005</v>
      </c>
      <c r="BB52" s="17">
        <v>371355.21621482942</v>
      </c>
      <c r="BC52" s="17">
        <v>199202.37</v>
      </c>
      <c r="BD52" s="17">
        <v>229253.37</v>
      </c>
      <c r="BE52" s="17">
        <v>302857.71999999997</v>
      </c>
      <c r="BF52" s="17">
        <v>197515.7452657728</v>
      </c>
      <c r="BG52" s="17">
        <v>35000</v>
      </c>
      <c r="BH52" s="17">
        <v>264253.37</v>
      </c>
      <c r="BI52" s="17">
        <v>364612.25999999995</v>
      </c>
      <c r="BJ52" s="17">
        <v>215065.23120916903</v>
      </c>
      <c r="BK52" s="17">
        <v>0</v>
      </c>
      <c r="BL52" s="17">
        <v>35000</v>
      </c>
      <c r="BM52" s="17">
        <v>264253.37</v>
      </c>
      <c r="BN52" s="17">
        <v>412113.11999999994</v>
      </c>
      <c r="BO52" s="17">
        <v>300940.0787563388</v>
      </c>
      <c r="BP52" s="172"/>
      <c r="BQ52" s="172"/>
      <c r="BR52" s="172"/>
    </row>
    <row r="53" spans="1:70" ht="14">
      <c r="A53" s="89"/>
      <c r="C53" s="61"/>
      <c r="D53" s="62"/>
      <c r="AU53" s="62" t="s">
        <v>61</v>
      </c>
      <c r="AV53" s="173">
        <v>1600</v>
      </c>
      <c r="AX53" s="116">
        <f>(AV53-AV61)*AV58</f>
        <v>-508.00490000000002</v>
      </c>
      <c r="AZ53" s="17">
        <v>0</v>
      </c>
      <c r="BA53" s="17">
        <v>0</v>
      </c>
      <c r="BB53" s="17">
        <v>160035.17902070651</v>
      </c>
      <c r="BC53" s="17">
        <v>0</v>
      </c>
      <c r="BD53" s="17">
        <v>0</v>
      </c>
      <c r="BE53" s="17">
        <v>0</v>
      </c>
      <c r="BF53" s="17">
        <v>247515.82027856814</v>
      </c>
      <c r="BG53" s="17">
        <v>0</v>
      </c>
      <c r="BH53" s="17">
        <v>0</v>
      </c>
      <c r="BI53" s="17">
        <v>0</v>
      </c>
      <c r="BJ53" s="17">
        <v>347967.58647353668</v>
      </c>
      <c r="BK53" s="17">
        <v>0</v>
      </c>
      <c r="BL53" s="17">
        <v>0</v>
      </c>
      <c r="BM53" s="17">
        <v>0</v>
      </c>
      <c r="BN53" s="17">
        <v>0</v>
      </c>
      <c r="BO53" s="17">
        <v>516910.14936661843</v>
      </c>
      <c r="BP53" s="172"/>
      <c r="BQ53" s="172"/>
      <c r="BR53" s="172"/>
    </row>
    <row r="54" spans="1:70" ht="14">
      <c r="A54" s="89"/>
      <c r="C54" s="61"/>
      <c r="D54" s="62"/>
      <c r="AU54" s="62" t="s">
        <v>65</v>
      </c>
      <c r="AV54" s="173">
        <v>1800</v>
      </c>
      <c r="AX54" s="116">
        <f>AV54*AV58</f>
        <v>448.02000000000004</v>
      </c>
      <c r="AZ54" s="17">
        <v>0</v>
      </c>
      <c r="BA54" s="17">
        <v>0</v>
      </c>
      <c r="BB54" s="17">
        <v>110278.24320420428</v>
      </c>
      <c r="BC54" s="17">
        <v>0</v>
      </c>
      <c r="BD54" s="17">
        <v>0</v>
      </c>
      <c r="BE54" s="17">
        <v>5863.81</v>
      </c>
      <c r="BF54" s="17">
        <v>163489.12390168855</v>
      </c>
      <c r="BG54" s="17">
        <v>0</v>
      </c>
      <c r="BH54" s="17">
        <v>0</v>
      </c>
      <c r="BI54" s="17">
        <v>5863.81</v>
      </c>
      <c r="BJ54" s="17">
        <v>232219.27971929859</v>
      </c>
      <c r="BK54" s="17">
        <v>0</v>
      </c>
      <c r="BL54" s="19">
        <v>0</v>
      </c>
      <c r="BM54" s="17">
        <v>0</v>
      </c>
      <c r="BN54" s="17">
        <v>5863.81</v>
      </c>
      <c r="BO54" s="17">
        <v>347811.55959351244</v>
      </c>
      <c r="BP54" s="172"/>
      <c r="BQ54" s="172"/>
      <c r="BR54" s="172"/>
    </row>
    <row r="55" spans="1:70" ht="14">
      <c r="A55" s="89"/>
      <c r="C55" s="61"/>
      <c r="D55" s="62"/>
      <c r="AU55" s="62" t="s">
        <v>79</v>
      </c>
      <c r="AV55" s="173">
        <v>1600</v>
      </c>
      <c r="AX55" s="116">
        <f>AV55*AV58</f>
        <v>398.24</v>
      </c>
      <c r="AZ55" s="17">
        <v>0</v>
      </c>
      <c r="BA55" s="17">
        <v>0</v>
      </c>
      <c r="BB55" s="17">
        <v>109322.21830420427</v>
      </c>
      <c r="BC55" s="17">
        <v>0</v>
      </c>
      <c r="BD55" s="17">
        <v>0</v>
      </c>
      <c r="BE55" s="17">
        <v>0</v>
      </c>
      <c r="BF55" s="17">
        <v>169352.93390168855</v>
      </c>
      <c r="BG55" s="17">
        <v>0</v>
      </c>
      <c r="BH55" s="17">
        <v>0</v>
      </c>
      <c r="BI55" s="17">
        <v>0</v>
      </c>
      <c r="BJ55" s="17">
        <v>238083.08971929859</v>
      </c>
      <c r="BK55" s="17">
        <v>0</v>
      </c>
      <c r="BL55" s="174">
        <v>0</v>
      </c>
      <c r="BM55" s="17">
        <v>0</v>
      </c>
      <c r="BN55" s="17">
        <v>0</v>
      </c>
      <c r="BO55" s="17">
        <v>353675.36959351238</v>
      </c>
      <c r="BP55" s="172"/>
      <c r="BQ55" s="172"/>
      <c r="BR55" s="172"/>
    </row>
    <row r="56" spans="1:70" ht="14">
      <c r="A56" s="89"/>
      <c r="C56" s="61"/>
      <c r="D56" s="62"/>
      <c r="AU56" s="62"/>
      <c r="AW56" s="1" t="s">
        <v>101</v>
      </c>
      <c r="AX56" s="116">
        <f>SUM(AX53:AX55)</f>
        <v>338.25510000000003</v>
      </c>
      <c r="AZ56" s="17">
        <v>8190.58</v>
      </c>
      <c r="BA56" s="17">
        <v>8190.58</v>
      </c>
      <c r="BB56" s="17">
        <v>360.04794268658043</v>
      </c>
      <c r="BC56" s="17">
        <v>3916.23</v>
      </c>
      <c r="BD56" s="17">
        <v>12106.81</v>
      </c>
      <c r="BE56" s="17">
        <v>12106.81</v>
      </c>
      <c r="BF56" s="17">
        <v>293.77673513941045</v>
      </c>
      <c r="BG56" s="17">
        <v>0</v>
      </c>
      <c r="BH56" s="17">
        <v>12106.81</v>
      </c>
      <c r="BI56" s="17">
        <v>12106.81</v>
      </c>
      <c r="BJ56" s="17">
        <v>4734.8021879695971</v>
      </c>
      <c r="BK56" s="17">
        <v>0</v>
      </c>
      <c r="BL56" s="17">
        <v>12291.96</v>
      </c>
      <c r="BM56" s="17">
        <v>24398.769999999997</v>
      </c>
      <c r="BN56" s="17">
        <v>24398.769999999997</v>
      </c>
      <c r="BO56" s="17">
        <v>-88.11818938889337</v>
      </c>
      <c r="BP56" s="172"/>
      <c r="BQ56" s="172"/>
      <c r="BR56" s="172"/>
    </row>
    <row r="57" spans="1:70" ht="13">
      <c r="A57" s="89"/>
      <c r="C57" s="61"/>
      <c r="D57" s="62"/>
      <c r="AU57" s="62"/>
      <c r="AX57" s="61"/>
      <c r="AZ57" s="17">
        <v>3478.31</v>
      </c>
      <c r="BA57" s="17">
        <v>3478.31</v>
      </c>
      <c r="BB57" s="17">
        <v>154.3084503359828</v>
      </c>
      <c r="BC57" s="17">
        <v>1678.39</v>
      </c>
      <c r="BD57" s="17">
        <v>5156.7</v>
      </c>
      <c r="BE57" s="17">
        <v>5156.7</v>
      </c>
      <c r="BF57" s="17">
        <v>125.90078995862405</v>
      </c>
      <c r="BG57" s="17">
        <v>0</v>
      </c>
      <c r="BH57" s="17">
        <v>5156.7</v>
      </c>
      <c r="BI57" s="17">
        <v>5156.7</v>
      </c>
      <c r="BJ57" s="17">
        <v>2029.1974126001323</v>
      </c>
      <c r="BK57" s="17">
        <v>0</v>
      </c>
      <c r="BL57" s="17">
        <v>5267.98</v>
      </c>
      <c r="BM57" s="17">
        <v>10424.68</v>
      </c>
      <c r="BN57" s="17">
        <v>10424.68</v>
      </c>
      <c r="BO57" s="17">
        <v>-37.765606267792464</v>
      </c>
      <c r="BP57" s="172"/>
      <c r="BQ57" s="172"/>
      <c r="BR57" s="172"/>
    </row>
    <row r="58" spans="1:70" ht="28">
      <c r="A58" s="89"/>
      <c r="C58" s="61"/>
      <c r="D58" s="62"/>
      <c r="AU58" s="62" t="s">
        <v>222</v>
      </c>
      <c r="AV58" s="1">
        <v>0.24890000000000001</v>
      </c>
      <c r="AX58" s="61"/>
      <c r="AZ58" s="17">
        <v>5772.67</v>
      </c>
      <c r="BA58" s="17">
        <v>5772.67</v>
      </c>
      <c r="BB58" s="17">
        <v>257.17453679158461</v>
      </c>
      <c r="BC58" s="17">
        <v>2797.31</v>
      </c>
      <c r="BD58" s="17">
        <v>8569.98</v>
      </c>
      <c r="BE58" s="17">
        <v>8569.98</v>
      </c>
      <c r="BF58" s="17">
        <v>209.83510282932002</v>
      </c>
      <c r="BG58" s="17">
        <v>0</v>
      </c>
      <c r="BH58" s="17">
        <v>8569.98</v>
      </c>
      <c r="BI58" s="17">
        <v>8569.98</v>
      </c>
      <c r="BJ58" s="17">
        <v>3381.9961405651684</v>
      </c>
      <c r="BK58" s="17">
        <v>0</v>
      </c>
      <c r="BL58" s="17">
        <v>8779.9599999999991</v>
      </c>
      <c r="BM58" s="17">
        <v>17349.939999999999</v>
      </c>
      <c r="BN58" s="17">
        <v>17349.939999999999</v>
      </c>
      <c r="BO58" s="17">
        <v>-62.935557548040379</v>
      </c>
    </row>
    <row r="59" spans="1:70" ht="13">
      <c r="A59" s="89"/>
      <c r="C59" s="61"/>
      <c r="D59" s="62"/>
      <c r="AU59" s="62"/>
      <c r="AX59" s="61"/>
      <c r="AZ59" s="17">
        <v>4440.1400000000003</v>
      </c>
      <c r="BA59" s="17">
        <v>4440.1400000000003</v>
      </c>
      <c r="BB59" s="17">
        <v>205.73811455265331</v>
      </c>
      <c r="BC59" s="17">
        <v>2237.84</v>
      </c>
      <c r="BD59" s="17">
        <v>6677.9800000000005</v>
      </c>
      <c r="BE59" s="17">
        <v>6677.9800000000005</v>
      </c>
      <c r="BF59" s="17">
        <v>167.87456738284163</v>
      </c>
      <c r="BG59" s="17">
        <v>0</v>
      </c>
      <c r="BH59" s="17">
        <v>6677.9800000000005</v>
      </c>
      <c r="BI59" s="17">
        <v>6677.9800000000005</v>
      </c>
      <c r="BJ59" s="17">
        <v>2705.6033975715209</v>
      </c>
      <c r="BK59" s="17">
        <v>0</v>
      </c>
      <c r="BL59" s="17">
        <v>7023.98</v>
      </c>
      <c r="BM59" s="17">
        <v>13701.96</v>
      </c>
      <c r="BN59" s="17">
        <v>13701.96</v>
      </c>
      <c r="BO59" s="17">
        <v>-50.353960919044766</v>
      </c>
    </row>
    <row r="60" spans="1:70" ht="13">
      <c r="A60" s="89"/>
      <c r="C60" s="61"/>
      <c r="AU60" s="62"/>
      <c r="AX60" s="61"/>
      <c r="AZ60" s="17">
        <v>5772.67</v>
      </c>
      <c r="BA60" s="17">
        <v>5772.67</v>
      </c>
      <c r="BB60" s="17">
        <v>257.17453679158461</v>
      </c>
      <c r="BC60" s="17">
        <v>2797.31</v>
      </c>
      <c r="BD60" s="17">
        <v>8569.98</v>
      </c>
      <c r="BE60" s="17">
        <v>8569.98</v>
      </c>
      <c r="BF60" s="17">
        <v>209.83510282932002</v>
      </c>
      <c r="BG60" s="17">
        <v>0</v>
      </c>
      <c r="BH60" s="17">
        <v>8569.98</v>
      </c>
      <c r="BI60" s="17">
        <v>8569.98</v>
      </c>
      <c r="BJ60" s="17">
        <v>3381.9961405651684</v>
      </c>
      <c r="BK60" s="17">
        <v>0</v>
      </c>
      <c r="BL60" s="17">
        <v>8779.9599999999991</v>
      </c>
      <c r="BM60" s="17">
        <v>17349.939999999999</v>
      </c>
      <c r="BN60" s="17">
        <v>17349.939999999999</v>
      </c>
      <c r="BO60" s="17">
        <v>-62.935557548040379</v>
      </c>
    </row>
    <row r="61" spans="1:70" ht="42">
      <c r="A61" s="89"/>
      <c r="C61" s="61"/>
      <c r="AU61" s="182" t="s">
        <v>223</v>
      </c>
      <c r="AV61" s="183">
        <v>3641</v>
      </c>
      <c r="AW61" s="183"/>
      <c r="AX61" s="184"/>
      <c r="AZ61" s="17">
        <v>1923.66</v>
      </c>
      <c r="BA61" s="17">
        <v>1923.66</v>
      </c>
      <c r="BB61" s="17">
        <v>102.8674339622637</v>
      </c>
      <c r="BC61" s="17">
        <v>1118.92</v>
      </c>
      <c r="BD61" s="17">
        <v>3042.58</v>
      </c>
      <c r="BE61" s="17">
        <v>3042.58</v>
      </c>
      <c r="BF61" s="17">
        <v>83.93566037735809</v>
      </c>
      <c r="BG61" s="17">
        <v>0</v>
      </c>
      <c r="BH61" s="17">
        <v>3042.58</v>
      </c>
      <c r="BI61" s="17">
        <v>3042.58</v>
      </c>
      <c r="BJ61" s="17">
        <v>1352.8000754716977</v>
      </c>
      <c r="BK61" s="17">
        <v>0</v>
      </c>
      <c r="BL61" s="17">
        <v>3511.99</v>
      </c>
      <c r="BM61" s="17">
        <v>6554.57</v>
      </c>
      <c r="BN61" s="17">
        <v>6554.57</v>
      </c>
      <c r="BO61" s="17">
        <v>-25.178603773585564</v>
      </c>
    </row>
    <row r="62" spans="1:70" ht="13">
      <c r="A62" s="89"/>
      <c r="C62" s="61"/>
      <c r="AZ62" s="17">
        <v>1923.66</v>
      </c>
      <c r="BA62" s="17">
        <v>1923.66</v>
      </c>
      <c r="BB62" s="17">
        <v>102.8674339622637</v>
      </c>
      <c r="BC62" s="17">
        <v>1118.92</v>
      </c>
      <c r="BD62" s="17">
        <v>3042.58</v>
      </c>
      <c r="BE62" s="17">
        <v>3042.58</v>
      </c>
      <c r="BF62" s="17">
        <v>83.93566037735809</v>
      </c>
      <c r="BG62" s="17">
        <v>0</v>
      </c>
      <c r="BH62" s="17">
        <v>3042.58</v>
      </c>
      <c r="BI62" s="17">
        <v>3042.58</v>
      </c>
      <c r="BJ62" s="17">
        <v>1352.8000754716977</v>
      </c>
      <c r="BK62" s="17">
        <v>0</v>
      </c>
      <c r="BL62" s="17">
        <v>3511.99</v>
      </c>
      <c r="BM62" s="17">
        <v>6554.57</v>
      </c>
      <c r="BN62" s="17">
        <v>6554.57</v>
      </c>
      <c r="BO62" s="17">
        <v>-25.178603773585564</v>
      </c>
    </row>
    <row r="63" spans="1:70" ht="13">
      <c r="A63" s="89"/>
      <c r="C63" s="61"/>
      <c r="AY63" s="17"/>
      <c r="AZ63" s="17">
        <v>1923.66</v>
      </c>
      <c r="BA63" s="17">
        <v>1923.66</v>
      </c>
      <c r="BB63" s="17">
        <v>102.8674339622637</v>
      </c>
      <c r="BC63" s="17">
        <v>1118.92</v>
      </c>
      <c r="BD63" s="17">
        <v>3042.58</v>
      </c>
      <c r="BE63" s="17">
        <v>3042.58</v>
      </c>
      <c r="BF63" s="17">
        <v>83.93566037735809</v>
      </c>
      <c r="BG63" s="17">
        <v>0</v>
      </c>
      <c r="BH63" s="17">
        <v>3042.58</v>
      </c>
      <c r="BI63" s="17">
        <v>3042.58</v>
      </c>
      <c r="BJ63" s="17">
        <v>1352.8000754716977</v>
      </c>
      <c r="BK63" s="17">
        <v>0</v>
      </c>
      <c r="BL63" s="17">
        <v>3511.99</v>
      </c>
      <c r="BM63" s="17">
        <v>6554.57</v>
      </c>
      <c r="BN63" s="17">
        <v>6554.57</v>
      </c>
      <c r="BO63" s="17">
        <v>-25.178603773585564</v>
      </c>
    </row>
    <row r="64" spans="1:70" ht="13">
      <c r="A64" s="89"/>
      <c r="C64" s="61"/>
    </row>
    <row r="65" spans="1:69" ht="13">
      <c r="A65" s="89"/>
      <c r="C65" s="61"/>
    </row>
    <row r="66" spans="1:69" ht="13">
      <c r="A66" s="89"/>
      <c r="C66" s="61"/>
    </row>
    <row r="67" spans="1:69" ht="13">
      <c r="A67" s="89"/>
      <c r="C67" s="61"/>
      <c r="AZ67" s="17">
        <f t="shared" ref="AZ67:BO67" si="80">AZ34-AZ52</f>
        <v>0</v>
      </c>
      <c r="BA67" s="17">
        <f t="shared" si="80"/>
        <v>0</v>
      </c>
      <c r="BB67" s="17">
        <f t="shared" si="80"/>
        <v>-338.25510000000941</v>
      </c>
      <c r="BC67" s="17">
        <f t="shared" si="80"/>
        <v>0</v>
      </c>
      <c r="BD67" s="17">
        <f t="shared" si="80"/>
        <v>0</v>
      </c>
      <c r="BE67" s="17">
        <f t="shared" si="80"/>
        <v>0</v>
      </c>
      <c r="BF67" s="17">
        <f t="shared" si="80"/>
        <v>0</v>
      </c>
      <c r="BG67" s="17">
        <f t="shared" si="80"/>
        <v>0</v>
      </c>
      <c r="BH67" s="17">
        <f t="shared" si="80"/>
        <v>0</v>
      </c>
      <c r="BI67" s="17">
        <f t="shared" si="80"/>
        <v>0</v>
      </c>
      <c r="BJ67" s="17">
        <f t="shared" si="80"/>
        <v>0</v>
      </c>
      <c r="BK67" s="17">
        <f t="shared" si="80"/>
        <v>0</v>
      </c>
      <c r="BL67" s="17">
        <f t="shared" si="80"/>
        <v>0</v>
      </c>
      <c r="BM67" s="17">
        <f t="shared" si="80"/>
        <v>0</v>
      </c>
      <c r="BN67" s="17">
        <f t="shared" si="80"/>
        <v>0</v>
      </c>
      <c r="BO67" s="17">
        <f t="shared" si="80"/>
        <v>338.2550999999512</v>
      </c>
      <c r="BQ67" s="17">
        <f t="shared" ref="BQ67:BQ78" si="81">SUM(AZ67:BO67)</f>
        <v>-5.8207660913467407E-11</v>
      </c>
    </row>
    <row r="68" spans="1:69" ht="13">
      <c r="A68" s="89"/>
      <c r="C68" s="61"/>
      <c r="AS68" s="17"/>
      <c r="AZ68" s="17" t="e">
        <f t="shared" ref="AZ68:BO68" ca="1" si="82">AZ35-AZ53</f>
        <v>#REF!</v>
      </c>
      <c r="BA68" s="17" t="e">
        <f t="shared" ca="1" si="82"/>
        <v>#REF!</v>
      </c>
      <c r="BB68" s="17" t="e">
        <f t="shared" ca="1" si="82"/>
        <v>#REF!</v>
      </c>
      <c r="BC68" s="17" t="e">
        <f t="shared" ca="1" si="82"/>
        <v>#REF!</v>
      </c>
      <c r="BD68" s="17" t="e">
        <f t="shared" ca="1" si="82"/>
        <v>#REF!</v>
      </c>
      <c r="BE68" s="17" t="e">
        <f t="shared" ca="1" si="82"/>
        <v>#REF!</v>
      </c>
      <c r="BF68" s="17" t="e">
        <f t="shared" ca="1" si="82"/>
        <v>#REF!</v>
      </c>
      <c r="BG68" s="17" t="e">
        <f t="shared" ca="1" si="82"/>
        <v>#REF!</v>
      </c>
      <c r="BH68" s="17" t="e">
        <f t="shared" ca="1" si="82"/>
        <v>#REF!</v>
      </c>
      <c r="BI68" s="17" t="e">
        <f t="shared" ca="1" si="82"/>
        <v>#REF!</v>
      </c>
      <c r="BJ68" s="17" t="e">
        <f t="shared" ca="1" si="82"/>
        <v>#REF!</v>
      </c>
      <c r="BK68" s="17" t="e">
        <f t="shared" ca="1" si="82"/>
        <v>#REF!</v>
      </c>
      <c r="BL68" s="17" t="e">
        <f t="shared" ca="1" si="82"/>
        <v>#REF!</v>
      </c>
      <c r="BM68" s="17" t="e">
        <f t="shared" ca="1" si="82"/>
        <v>#REF!</v>
      </c>
      <c r="BN68" s="17" t="e">
        <f t="shared" ca="1" si="82"/>
        <v>#REF!</v>
      </c>
      <c r="BO68" s="17" t="e">
        <f t="shared" ca="1" si="82"/>
        <v>#REF!</v>
      </c>
      <c r="BQ68" s="17" t="e">
        <f t="shared" ca="1" si="81"/>
        <v>#REF!</v>
      </c>
    </row>
    <row r="69" spans="1:69" ht="13">
      <c r="A69" s="89"/>
      <c r="C69" s="61"/>
      <c r="AS69" s="17"/>
      <c r="AZ69" s="17" t="e">
        <f t="shared" ref="AZ69:BO69" ca="1" si="83">AZ36-AZ54</f>
        <v>#REF!</v>
      </c>
      <c r="BA69" s="17" t="e">
        <f t="shared" ca="1" si="83"/>
        <v>#REF!</v>
      </c>
      <c r="BB69" s="17" t="e">
        <f t="shared" ca="1" si="83"/>
        <v>#REF!</v>
      </c>
      <c r="BC69" s="17" t="e">
        <f t="shared" ca="1" si="83"/>
        <v>#REF!</v>
      </c>
      <c r="BD69" s="17" t="e">
        <f t="shared" ca="1" si="83"/>
        <v>#REF!</v>
      </c>
      <c r="BE69" s="17" t="e">
        <f t="shared" ca="1" si="83"/>
        <v>#REF!</v>
      </c>
      <c r="BF69" s="17" t="e">
        <f t="shared" ca="1" si="83"/>
        <v>#REF!</v>
      </c>
      <c r="BG69" s="17" t="e">
        <f t="shared" ca="1" si="83"/>
        <v>#REF!</v>
      </c>
      <c r="BH69" s="17" t="e">
        <f t="shared" ca="1" si="83"/>
        <v>#REF!</v>
      </c>
      <c r="BI69" s="17" t="e">
        <f t="shared" ca="1" si="83"/>
        <v>#REF!</v>
      </c>
      <c r="BJ69" s="17" t="e">
        <f t="shared" ca="1" si="83"/>
        <v>#REF!</v>
      </c>
      <c r="BK69" s="17">
        <f t="shared" si="83"/>
        <v>0</v>
      </c>
      <c r="BL69" s="17" t="e">
        <f t="shared" ca="1" si="83"/>
        <v>#REF!</v>
      </c>
      <c r="BM69" s="17" t="e">
        <f t="shared" ca="1" si="83"/>
        <v>#REF!</v>
      </c>
      <c r="BN69" s="17" t="e">
        <f t="shared" ca="1" si="83"/>
        <v>#REF!</v>
      </c>
      <c r="BO69" s="17" t="e">
        <f t="shared" ca="1" si="83"/>
        <v>#REF!</v>
      </c>
      <c r="BQ69" s="17" t="e">
        <f t="shared" ca="1" si="81"/>
        <v>#REF!</v>
      </c>
    </row>
    <row r="70" spans="1:69" ht="13">
      <c r="A70" s="89"/>
      <c r="C70" s="61"/>
      <c r="AS70" s="17"/>
      <c r="AZ70" s="17">
        <f t="shared" ref="AZ70:BO70" si="84">AZ37-AZ55</f>
        <v>0</v>
      </c>
      <c r="BA70" s="17">
        <f t="shared" si="84"/>
        <v>0</v>
      </c>
      <c r="BB70" s="17">
        <f t="shared" si="84"/>
        <v>448.02000000000407</v>
      </c>
      <c r="BC70" s="17">
        <f t="shared" si="84"/>
        <v>0</v>
      </c>
      <c r="BD70" s="17">
        <f t="shared" si="84"/>
        <v>0</v>
      </c>
      <c r="BE70" s="17">
        <f t="shared" si="84"/>
        <v>0</v>
      </c>
      <c r="BF70" s="17">
        <f t="shared" si="84"/>
        <v>0</v>
      </c>
      <c r="BG70" s="17">
        <f t="shared" si="84"/>
        <v>0</v>
      </c>
      <c r="BH70" s="17">
        <f t="shared" si="84"/>
        <v>0</v>
      </c>
      <c r="BI70" s="17">
        <f t="shared" si="84"/>
        <v>0</v>
      </c>
      <c r="BJ70" s="17">
        <f t="shared" si="84"/>
        <v>0</v>
      </c>
      <c r="BK70" s="17">
        <f t="shared" si="84"/>
        <v>0</v>
      </c>
      <c r="BL70" s="17">
        <f t="shared" si="84"/>
        <v>0</v>
      </c>
      <c r="BM70" s="17">
        <f t="shared" si="84"/>
        <v>0</v>
      </c>
      <c r="BN70" s="17">
        <f t="shared" si="84"/>
        <v>0</v>
      </c>
      <c r="BO70" s="17">
        <f t="shared" si="84"/>
        <v>-448.01999999996042</v>
      </c>
      <c r="BQ70" s="17">
        <f t="shared" si="81"/>
        <v>4.3655745685100555E-11</v>
      </c>
    </row>
    <row r="71" spans="1:69" ht="13">
      <c r="A71" s="89"/>
      <c r="AS71" s="17"/>
      <c r="AZ71" s="17">
        <f t="shared" ref="AZ71:BO71" si="85">AZ38-AZ56</f>
        <v>0</v>
      </c>
      <c r="BA71" s="17">
        <f t="shared" si="85"/>
        <v>0</v>
      </c>
      <c r="BB71" s="17">
        <f t="shared" si="85"/>
        <v>0</v>
      </c>
      <c r="BC71" s="17">
        <f t="shared" si="85"/>
        <v>0</v>
      </c>
      <c r="BD71" s="17">
        <f t="shared" si="85"/>
        <v>0</v>
      </c>
      <c r="BE71" s="17">
        <f t="shared" si="85"/>
        <v>0</v>
      </c>
      <c r="BF71" s="17">
        <f t="shared" si="85"/>
        <v>0</v>
      </c>
      <c r="BG71" s="17">
        <f t="shared" si="85"/>
        <v>0</v>
      </c>
      <c r="BH71" s="17">
        <f t="shared" si="85"/>
        <v>0</v>
      </c>
      <c r="BI71" s="17">
        <f t="shared" si="85"/>
        <v>0</v>
      </c>
      <c r="BJ71" s="17">
        <f t="shared" si="85"/>
        <v>0</v>
      </c>
      <c r="BK71" s="17">
        <f t="shared" si="85"/>
        <v>0</v>
      </c>
      <c r="BL71" s="17">
        <f t="shared" si="85"/>
        <v>0</v>
      </c>
      <c r="BM71" s="17">
        <f t="shared" si="85"/>
        <v>0</v>
      </c>
      <c r="BN71" s="17">
        <f t="shared" si="85"/>
        <v>0</v>
      </c>
      <c r="BO71" s="17">
        <f t="shared" si="85"/>
        <v>0</v>
      </c>
      <c r="BQ71" s="17">
        <f t="shared" si="81"/>
        <v>0</v>
      </c>
    </row>
    <row r="72" spans="1:69" ht="13">
      <c r="A72" s="89"/>
      <c r="AZ72" s="17">
        <f t="shared" ref="AZ72:BO72" si="86">AZ39-AZ57</f>
        <v>0</v>
      </c>
      <c r="BA72" s="17">
        <f t="shared" si="86"/>
        <v>0</v>
      </c>
      <c r="BB72" s="17">
        <f t="shared" si="86"/>
        <v>0</v>
      </c>
      <c r="BC72" s="17">
        <f t="shared" si="86"/>
        <v>0</v>
      </c>
      <c r="BD72" s="17">
        <f t="shared" si="86"/>
        <v>0</v>
      </c>
      <c r="BE72" s="17">
        <f t="shared" si="86"/>
        <v>0</v>
      </c>
      <c r="BF72" s="17">
        <f t="shared" si="86"/>
        <v>0</v>
      </c>
      <c r="BG72" s="17">
        <f t="shared" si="86"/>
        <v>0</v>
      </c>
      <c r="BH72" s="17">
        <f t="shared" si="86"/>
        <v>0</v>
      </c>
      <c r="BI72" s="17">
        <f t="shared" si="86"/>
        <v>0</v>
      </c>
      <c r="BJ72" s="17">
        <f t="shared" si="86"/>
        <v>0</v>
      </c>
      <c r="BK72" s="17">
        <f t="shared" si="86"/>
        <v>0</v>
      </c>
      <c r="BL72" s="17">
        <f t="shared" si="86"/>
        <v>0</v>
      </c>
      <c r="BM72" s="17">
        <f t="shared" si="86"/>
        <v>0</v>
      </c>
      <c r="BN72" s="17">
        <f t="shared" si="86"/>
        <v>0</v>
      </c>
      <c r="BO72" s="17">
        <f t="shared" si="86"/>
        <v>0</v>
      </c>
      <c r="BQ72" s="17">
        <f t="shared" si="81"/>
        <v>0</v>
      </c>
    </row>
    <row r="73" spans="1:69" ht="13">
      <c r="A73" s="89"/>
      <c r="AZ73" s="17">
        <f t="shared" ref="AZ73:BO73" si="87">AZ40-AZ58</f>
        <v>0</v>
      </c>
      <c r="BA73" s="17">
        <f t="shared" si="87"/>
        <v>0</v>
      </c>
      <c r="BB73" s="17">
        <f t="shared" si="87"/>
        <v>0</v>
      </c>
      <c r="BC73" s="17">
        <f t="shared" si="87"/>
        <v>0</v>
      </c>
      <c r="BD73" s="17">
        <f t="shared" si="87"/>
        <v>0</v>
      </c>
      <c r="BE73" s="17">
        <f t="shared" si="87"/>
        <v>0</v>
      </c>
      <c r="BF73" s="17">
        <f t="shared" si="87"/>
        <v>0</v>
      </c>
      <c r="BG73" s="17">
        <f t="shared" si="87"/>
        <v>0</v>
      </c>
      <c r="BH73" s="17">
        <f t="shared" si="87"/>
        <v>0</v>
      </c>
      <c r="BI73" s="17">
        <f t="shared" si="87"/>
        <v>0</v>
      </c>
      <c r="BJ73" s="17">
        <f t="shared" si="87"/>
        <v>0</v>
      </c>
      <c r="BK73" s="17">
        <f t="shared" si="87"/>
        <v>0</v>
      </c>
      <c r="BL73" s="17">
        <f t="shared" si="87"/>
        <v>0</v>
      </c>
      <c r="BM73" s="17">
        <f t="shared" si="87"/>
        <v>0</v>
      </c>
      <c r="BN73" s="17">
        <f t="shared" si="87"/>
        <v>0</v>
      </c>
      <c r="BO73" s="17">
        <f t="shared" si="87"/>
        <v>0</v>
      </c>
      <c r="BQ73" s="17">
        <f t="shared" si="81"/>
        <v>0</v>
      </c>
    </row>
    <row r="74" spans="1:69" ht="13">
      <c r="A74" s="89"/>
      <c r="AZ74" s="17">
        <f t="shared" ref="AZ74:BO74" si="88">AZ41-AZ59</f>
        <v>0</v>
      </c>
      <c r="BA74" s="17">
        <f t="shared" si="88"/>
        <v>0</v>
      </c>
      <c r="BB74" s="17">
        <f t="shared" si="88"/>
        <v>0</v>
      </c>
      <c r="BC74" s="17">
        <f t="shared" si="88"/>
        <v>0</v>
      </c>
      <c r="BD74" s="17">
        <f t="shared" si="88"/>
        <v>0</v>
      </c>
      <c r="BE74" s="17">
        <f t="shared" si="88"/>
        <v>0</v>
      </c>
      <c r="BF74" s="17">
        <f t="shared" si="88"/>
        <v>0</v>
      </c>
      <c r="BG74" s="17">
        <f t="shared" si="88"/>
        <v>0</v>
      </c>
      <c r="BH74" s="17">
        <f t="shared" si="88"/>
        <v>0</v>
      </c>
      <c r="BI74" s="17">
        <f t="shared" si="88"/>
        <v>0</v>
      </c>
      <c r="BJ74" s="17">
        <f t="shared" si="88"/>
        <v>0</v>
      </c>
      <c r="BK74" s="17">
        <f t="shared" si="88"/>
        <v>0</v>
      </c>
      <c r="BL74" s="17">
        <f t="shared" si="88"/>
        <v>0</v>
      </c>
      <c r="BM74" s="17">
        <f t="shared" si="88"/>
        <v>0</v>
      </c>
      <c r="BN74" s="17">
        <f t="shared" si="88"/>
        <v>0</v>
      </c>
      <c r="BO74" s="17">
        <f t="shared" si="88"/>
        <v>0</v>
      </c>
      <c r="BQ74" s="17">
        <f t="shared" si="81"/>
        <v>0</v>
      </c>
    </row>
    <row r="75" spans="1:69" ht="13">
      <c r="A75" s="89"/>
      <c r="AZ75" s="17">
        <f t="shared" ref="AZ75:BO75" si="89">AZ42-AZ60</f>
        <v>0</v>
      </c>
      <c r="BA75" s="17">
        <f t="shared" si="89"/>
        <v>0</v>
      </c>
      <c r="BB75" s="17">
        <f t="shared" si="89"/>
        <v>0</v>
      </c>
      <c r="BC75" s="17">
        <f t="shared" si="89"/>
        <v>0</v>
      </c>
      <c r="BD75" s="17">
        <f t="shared" si="89"/>
        <v>0</v>
      </c>
      <c r="BE75" s="17">
        <f t="shared" si="89"/>
        <v>0</v>
      </c>
      <c r="BF75" s="17">
        <f t="shared" si="89"/>
        <v>0</v>
      </c>
      <c r="BG75" s="17">
        <f t="shared" si="89"/>
        <v>0</v>
      </c>
      <c r="BH75" s="17">
        <f t="shared" si="89"/>
        <v>0</v>
      </c>
      <c r="BI75" s="17">
        <f t="shared" si="89"/>
        <v>0</v>
      </c>
      <c r="BJ75" s="17">
        <f t="shared" si="89"/>
        <v>0</v>
      </c>
      <c r="BK75" s="17">
        <f t="shared" si="89"/>
        <v>0</v>
      </c>
      <c r="BL75" s="17">
        <f t="shared" si="89"/>
        <v>0</v>
      </c>
      <c r="BM75" s="17">
        <f t="shared" si="89"/>
        <v>0</v>
      </c>
      <c r="BN75" s="17">
        <f t="shared" si="89"/>
        <v>0</v>
      </c>
      <c r="BO75" s="17">
        <f t="shared" si="89"/>
        <v>0</v>
      </c>
      <c r="BQ75" s="17">
        <f t="shared" si="81"/>
        <v>0</v>
      </c>
    </row>
    <row r="76" spans="1:69" ht="13">
      <c r="A76" s="89"/>
      <c r="AZ76" s="17">
        <f t="shared" ref="AZ76:BO76" si="90">AZ43-AZ61</f>
        <v>0</v>
      </c>
      <c r="BA76" s="17">
        <f t="shared" si="90"/>
        <v>0</v>
      </c>
      <c r="BB76" s="17">
        <f t="shared" si="90"/>
        <v>0</v>
      </c>
      <c r="BC76" s="17">
        <f t="shared" si="90"/>
        <v>0</v>
      </c>
      <c r="BD76" s="17">
        <f t="shared" si="90"/>
        <v>0</v>
      </c>
      <c r="BE76" s="17">
        <f t="shared" si="90"/>
        <v>0</v>
      </c>
      <c r="BF76" s="17">
        <f t="shared" si="90"/>
        <v>0</v>
      </c>
      <c r="BG76" s="17">
        <f t="shared" si="90"/>
        <v>0</v>
      </c>
      <c r="BH76" s="17">
        <f t="shared" si="90"/>
        <v>0</v>
      </c>
      <c r="BI76" s="17">
        <f t="shared" si="90"/>
        <v>0</v>
      </c>
      <c r="BJ76" s="17">
        <f t="shared" si="90"/>
        <v>0</v>
      </c>
      <c r="BK76" s="17">
        <f t="shared" si="90"/>
        <v>0</v>
      </c>
      <c r="BL76" s="17">
        <f t="shared" si="90"/>
        <v>0</v>
      </c>
      <c r="BM76" s="17">
        <f t="shared" si="90"/>
        <v>0</v>
      </c>
      <c r="BN76" s="17">
        <f t="shared" si="90"/>
        <v>0</v>
      </c>
      <c r="BO76" s="17">
        <f t="shared" si="90"/>
        <v>0</v>
      </c>
      <c r="BQ76" s="17">
        <f t="shared" si="81"/>
        <v>0</v>
      </c>
    </row>
    <row r="77" spans="1:69" ht="13">
      <c r="A77" s="89"/>
      <c r="AZ77" s="17">
        <f t="shared" ref="AZ77:BO77" si="91">AZ44-AZ62</f>
        <v>0</v>
      </c>
      <c r="BA77" s="17">
        <f t="shared" si="91"/>
        <v>0</v>
      </c>
      <c r="BB77" s="17">
        <f t="shared" si="91"/>
        <v>0</v>
      </c>
      <c r="BC77" s="17">
        <f t="shared" si="91"/>
        <v>0</v>
      </c>
      <c r="BD77" s="17">
        <f t="shared" si="91"/>
        <v>0</v>
      </c>
      <c r="BE77" s="17">
        <f t="shared" si="91"/>
        <v>0</v>
      </c>
      <c r="BF77" s="17">
        <f t="shared" si="91"/>
        <v>0</v>
      </c>
      <c r="BG77" s="17">
        <f t="shared" si="91"/>
        <v>0</v>
      </c>
      <c r="BH77" s="17">
        <f t="shared" si="91"/>
        <v>0</v>
      </c>
      <c r="BI77" s="17">
        <f t="shared" si="91"/>
        <v>0</v>
      </c>
      <c r="BJ77" s="17">
        <f t="shared" si="91"/>
        <v>0</v>
      </c>
      <c r="BK77" s="17">
        <f t="shared" si="91"/>
        <v>0</v>
      </c>
      <c r="BL77" s="17">
        <f t="shared" si="91"/>
        <v>0</v>
      </c>
      <c r="BM77" s="17">
        <f t="shared" si="91"/>
        <v>0</v>
      </c>
      <c r="BN77" s="17">
        <f t="shared" si="91"/>
        <v>0</v>
      </c>
      <c r="BO77" s="17">
        <f t="shared" si="91"/>
        <v>0</v>
      </c>
      <c r="BQ77" s="17">
        <f t="shared" si="81"/>
        <v>0</v>
      </c>
    </row>
    <row r="78" spans="1:69" ht="13">
      <c r="A78" s="89"/>
      <c r="AZ78" s="17">
        <f t="shared" ref="AZ78:BO78" si="92">AZ45-AZ63</f>
        <v>0</v>
      </c>
      <c r="BA78" s="17">
        <f t="shared" si="92"/>
        <v>0</v>
      </c>
      <c r="BB78" s="17">
        <f t="shared" si="92"/>
        <v>0</v>
      </c>
      <c r="BC78" s="17">
        <f t="shared" si="92"/>
        <v>0</v>
      </c>
      <c r="BD78" s="17">
        <f t="shared" si="92"/>
        <v>0</v>
      </c>
      <c r="BE78" s="17">
        <f t="shared" si="92"/>
        <v>0</v>
      </c>
      <c r="BF78" s="17">
        <f t="shared" si="92"/>
        <v>0</v>
      </c>
      <c r="BG78" s="17">
        <f t="shared" si="92"/>
        <v>0</v>
      </c>
      <c r="BH78" s="17">
        <f t="shared" si="92"/>
        <v>0</v>
      </c>
      <c r="BI78" s="17">
        <f t="shared" si="92"/>
        <v>0</v>
      </c>
      <c r="BJ78" s="17">
        <f t="shared" si="92"/>
        <v>0</v>
      </c>
      <c r="BK78" s="17">
        <f t="shared" si="92"/>
        <v>0</v>
      </c>
      <c r="BL78" s="17">
        <f t="shared" si="92"/>
        <v>0</v>
      </c>
      <c r="BM78" s="17">
        <f t="shared" si="92"/>
        <v>0</v>
      </c>
      <c r="BN78" s="17">
        <f t="shared" si="92"/>
        <v>0</v>
      </c>
      <c r="BO78" s="17">
        <f t="shared" si="92"/>
        <v>0</v>
      </c>
      <c r="BQ78" s="17">
        <f t="shared" si="81"/>
        <v>0</v>
      </c>
    </row>
    <row r="79" spans="1:69" ht="13">
      <c r="A79" s="89"/>
    </row>
  </sheetData>
  <mergeCells count="3">
    <mergeCell ref="Y5:AA5"/>
    <mergeCell ref="AC5:AE5"/>
    <mergeCell ref="AU52:AW52"/>
  </mergeCells>
  <conditionalFormatting sqref="A33:C34">
    <cfRule type="expression" dxfId="23" priority="4">
      <formula>$C$34&lt;&gt;0</formula>
    </cfRule>
    <cfRule type="expression" dxfId="22" priority="5">
      <formula>$C$34=0</formula>
    </cfRule>
  </conditionalFormatting>
  <conditionalFormatting sqref="G8 K8 O8 S8 W8 AA8 AE8 AI8 AM8 AQ8 AU8 AY8 BR19:BS30">
    <cfRule type="cellIs" dxfId="21" priority="2" operator="equal">
      <formula>0</formula>
    </cfRule>
  </conditionalFormatting>
  <conditionalFormatting sqref="G8 K8 O8 S8 W8 AA8 AE8 AI8 AM8 AQ8 AU8 AY8">
    <cfRule type="cellIs" dxfId="20" priority="1" operator="notEqual">
      <formula>0</formula>
    </cfRule>
  </conditionalFormatting>
  <conditionalFormatting sqref="BR19:BS30">
    <cfRule type="cellIs" dxfId="19" priority="3" operator="not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O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5" width="10.1640625" customWidth="1"/>
    <col min="6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24" width="15.1640625" customWidth="1"/>
    <col min="25" max="25" width="22.83203125" customWidth="1"/>
    <col min="26" max="26" width="10.1640625" customWidth="1"/>
    <col min="27" max="28" width="15.1640625" customWidth="1"/>
    <col min="29" max="29" width="22.5" customWidth="1"/>
    <col min="30" max="30" width="10.6640625" customWidth="1"/>
    <col min="31" max="36" width="15.1640625" customWidth="1"/>
    <col min="37" max="37" width="17" customWidth="1"/>
    <col min="38" max="48" width="15.1640625" customWidth="1"/>
    <col min="49" max="49" width="15" customWidth="1"/>
    <col min="50" max="50" width="13.6640625" customWidth="1"/>
    <col min="51" max="51" width="26.5" customWidth="1"/>
    <col min="52" max="52" width="15.1640625" customWidth="1"/>
    <col min="53" max="53" width="16" customWidth="1"/>
    <col min="54" max="54" width="18.5" customWidth="1"/>
    <col min="55" max="55" width="15.1640625" customWidth="1"/>
    <col min="56" max="56" width="18.6640625" customWidth="1"/>
    <col min="57" max="57" width="15.1640625" customWidth="1"/>
    <col min="58" max="58" width="19.33203125" customWidth="1"/>
    <col min="59" max="59" width="23.33203125" customWidth="1"/>
    <col min="60" max="60" width="15.1640625" customWidth="1"/>
    <col min="61" max="62" width="18" customWidth="1"/>
    <col min="63" max="63" width="19.1640625" customWidth="1"/>
    <col min="64" max="67" width="15.1640625" customWidth="1"/>
  </cols>
  <sheetData>
    <row r="1" spans="1:67" ht="42.75" customHeight="1">
      <c r="A1" s="5" t="s">
        <v>130</v>
      </c>
      <c r="B1" s="1">
        <v>2023</v>
      </c>
      <c r="C1" s="58" t="s">
        <v>131</v>
      </c>
      <c r="D1" s="59">
        <f>EOMONTH(DATE(B1,1,1),0)</f>
        <v>44957</v>
      </c>
      <c r="E1" s="60"/>
      <c r="F1" s="60"/>
      <c r="G1" s="61"/>
      <c r="H1" s="59">
        <f>EOMONTH(DATE(B1,2,1),0)</f>
        <v>44985</v>
      </c>
      <c r="I1" s="60"/>
      <c r="J1" s="60"/>
      <c r="K1" s="61"/>
      <c r="L1" s="59">
        <f>EOMONTH(DATE(B1,3,1),0)</f>
        <v>45016</v>
      </c>
      <c r="M1" s="60"/>
      <c r="N1" s="60"/>
      <c r="O1" s="61"/>
      <c r="P1" s="59">
        <f>EOMONTH(DATE(B1,4,1),0)</f>
        <v>45046</v>
      </c>
      <c r="Q1" s="60"/>
      <c r="R1" s="60"/>
      <c r="S1" s="61"/>
      <c r="T1" s="59">
        <f>EOMONTH(DATE(B1,5,1),0)</f>
        <v>45077</v>
      </c>
      <c r="U1" s="60"/>
      <c r="V1" s="60"/>
      <c r="W1" s="61"/>
      <c r="X1" s="59">
        <f>EOMONTH(DATE(B1,6,1),0)</f>
        <v>45107</v>
      </c>
      <c r="Y1" s="60"/>
      <c r="Z1" s="60"/>
      <c r="AA1" s="61"/>
      <c r="AB1" s="59">
        <f>EOMONTH(DATE(B1,7,1),0)</f>
        <v>45138</v>
      </c>
      <c r="AC1" s="60"/>
      <c r="AD1" s="60"/>
      <c r="AE1" s="61"/>
      <c r="AF1" s="59">
        <f>EOMONTH(DATE(B1,8,1),0)</f>
        <v>45169</v>
      </c>
      <c r="AG1" s="60"/>
      <c r="AH1" s="60"/>
      <c r="AI1" s="61"/>
      <c r="AJ1" s="59">
        <f>EOMONTH(DATE(B1,9,1),0)</f>
        <v>45199</v>
      </c>
      <c r="AK1" s="60"/>
      <c r="AL1" s="60"/>
      <c r="AM1" s="61"/>
      <c r="AN1" s="59">
        <f>EOMONTH(DATE(B1,10,1),0)</f>
        <v>45230</v>
      </c>
      <c r="AO1" s="60"/>
      <c r="AP1" s="60"/>
      <c r="AQ1" s="61"/>
      <c r="AR1" s="59">
        <f>EOMONTH(DATE(B1,11,1),0)</f>
        <v>45260</v>
      </c>
      <c r="AS1" s="60"/>
      <c r="AT1" s="60"/>
      <c r="AU1" s="61"/>
      <c r="AV1" s="59">
        <f>EOMONTH(DATE(B1,12,1),0)</f>
        <v>45291</v>
      </c>
      <c r="AW1" s="60"/>
      <c r="AX1" s="60"/>
      <c r="BB1" s="62"/>
      <c r="BD1" s="61"/>
      <c r="BG1" s="61"/>
      <c r="BH1" s="61"/>
    </row>
    <row r="2" spans="1:67" ht="14">
      <c r="A2" s="5"/>
      <c r="C2" s="61"/>
      <c r="D2" s="62">
        <f>YEAR(D1)</f>
        <v>2023</v>
      </c>
      <c r="G2" s="61"/>
      <c r="H2" s="62">
        <f>YEAR(H1)</f>
        <v>2023</v>
      </c>
      <c r="K2" s="61"/>
      <c r="L2" s="62">
        <f>YEAR(L1)</f>
        <v>2023</v>
      </c>
      <c r="O2" s="61"/>
      <c r="P2" s="62">
        <f>YEAR(P1)</f>
        <v>2023</v>
      </c>
      <c r="S2" s="61"/>
      <c r="T2" s="62">
        <f>YEAR(T1)</f>
        <v>2023</v>
      </c>
      <c r="W2" s="61"/>
      <c r="X2" s="62">
        <f>YEAR(X1)</f>
        <v>2023</v>
      </c>
      <c r="AA2" s="61"/>
      <c r="AB2" s="62">
        <f>YEAR(AB1)</f>
        <v>2023</v>
      </c>
      <c r="AE2" s="61"/>
      <c r="AF2" s="62">
        <f>YEAR(AF1)</f>
        <v>2023</v>
      </c>
      <c r="AI2" s="61"/>
      <c r="AJ2" s="62">
        <f>YEAR(AJ1)</f>
        <v>2023</v>
      </c>
      <c r="AM2" s="61"/>
      <c r="AN2" s="62">
        <f>YEAR(AN1)</f>
        <v>2023</v>
      </c>
      <c r="AQ2" s="61"/>
      <c r="AR2" s="62">
        <f>YEAR(AR1)</f>
        <v>2023</v>
      </c>
      <c r="AU2" s="61"/>
      <c r="AV2" s="62">
        <f>YEAR(AV1)</f>
        <v>2023</v>
      </c>
      <c r="AY2" s="61"/>
      <c r="AZ2" s="63" t="s">
        <v>132</v>
      </c>
      <c r="BB2" s="64" t="s">
        <v>133</v>
      </c>
      <c r="BC2" s="65"/>
      <c r="BE2" s="66" t="s">
        <v>134</v>
      </c>
      <c r="BF2" s="67"/>
      <c r="BH2" s="68" t="s">
        <v>135</v>
      </c>
      <c r="BI2" s="66"/>
      <c r="BJ2" s="66">
        <v>2023</v>
      </c>
      <c r="BL2" s="67"/>
      <c r="BM2" s="67"/>
      <c r="BN2" s="67"/>
      <c r="BO2" s="67"/>
    </row>
    <row r="3" spans="1:6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F3" s="72"/>
      <c r="BG3" s="73"/>
      <c r="BH3" s="73"/>
      <c r="BI3" s="72"/>
      <c r="BJ3" s="72"/>
      <c r="BK3" s="72"/>
      <c r="BL3" s="72"/>
      <c r="BM3" s="72"/>
      <c r="BN3" s="72"/>
      <c r="BO3" s="72"/>
    </row>
    <row r="4" spans="1:67" ht="14">
      <c r="A4" s="5"/>
      <c r="C4" s="61"/>
      <c r="D4" s="69" t="str">
        <f>IF(MONTH(D1)&lt;7,"1H","2H")</f>
        <v>1H</v>
      </c>
      <c r="E4" s="74"/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F4" s="72"/>
      <c r="BG4" s="73"/>
      <c r="BH4" s="73"/>
      <c r="BI4" s="72"/>
      <c r="BJ4" s="72"/>
      <c r="BK4" s="72"/>
      <c r="BL4" s="72"/>
      <c r="BM4" s="72"/>
      <c r="BN4" s="72"/>
      <c r="BO4" s="72"/>
    </row>
    <row r="5" spans="1:67" ht="13">
      <c r="A5" s="75" t="s">
        <v>136</v>
      </c>
      <c r="B5" s="31"/>
      <c r="C5" s="76"/>
      <c r="D5" s="77">
        <v>177080.93</v>
      </c>
      <c r="E5" s="31"/>
      <c r="F5" s="78"/>
      <c r="G5" s="79"/>
      <c r="H5" s="77">
        <v>399617.79</v>
      </c>
      <c r="I5" s="31"/>
      <c r="J5" s="80"/>
      <c r="K5" s="79"/>
      <c r="L5" s="77">
        <v>-67787.960000000006</v>
      </c>
      <c r="M5" s="31"/>
      <c r="N5" s="80"/>
      <c r="O5" s="79"/>
      <c r="P5" s="77">
        <v>207250.62</v>
      </c>
      <c r="Q5" s="77"/>
      <c r="R5" s="80"/>
      <c r="S5" s="79"/>
      <c r="T5" s="77">
        <v>114943.57</v>
      </c>
      <c r="U5" s="77"/>
      <c r="V5" s="80"/>
      <c r="W5" s="79"/>
      <c r="X5" s="77">
        <v>105909.5</v>
      </c>
      <c r="Y5" s="77"/>
      <c r="Z5" s="80"/>
      <c r="AA5" s="80"/>
      <c r="AB5" s="77">
        <v>158720.81</v>
      </c>
      <c r="AC5" s="82"/>
      <c r="AD5" s="80"/>
      <c r="AE5" s="79"/>
      <c r="AF5" s="77">
        <v>-256001.35</v>
      </c>
      <c r="AG5" s="77"/>
      <c r="AH5" s="80"/>
      <c r="AI5" s="79"/>
      <c r="AJ5" s="77">
        <v>169711.56</v>
      </c>
      <c r="AK5" s="80"/>
      <c r="AL5" s="80"/>
      <c r="AM5" s="77"/>
      <c r="AN5" s="77">
        <v>98036.93</v>
      </c>
      <c r="AO5" s="80"/>
      <c r="AP5" s="80"/>
      <c r="AQ5" s="77"/>
      <c r="AR5" s="77">
        <v>181551.68</v>
      </c>
      <c r="AS5" s="80"/>
      <c r="AT5" s="80"/>
      <c r="AU5" s="77"/>
      <c r="AV5" s="77">
        <v>-581085.11</v>
      </c>
      <c r="AW5" s="83"/>
      <c r="AX5" s="84"/>
      <c r="AY5" s="77"/>
      <c r="AZ5" s="85">
        <f t="shared" ref="AZ5:AZ16" si="0">SUMIF($D$3:$AY$3,AZ$2,$D5:$AY5)</f>
        <v>508910.75999999995</v>
      </c>
      <c r="BA5" s="79"/>
      <c r="BB5" s="85">
        <f t="shared" ref="BB5:BB16" si="1">SUMIF($D$3:$AY$3,BB$2,$D5:$AY5)</f>
        <v>428103.69</v>
      </c>
      <c r="BC5" s="86"/>
      <c r="BD5" s="79"/>
      <c r="BE5" s="35">
        <f t="shared" ref="BE5:BE16" si="2">SUMIF($D$3:$AY$3,BE$2,$D5:$AY5)</f>
        <v>72431.01999999999</v>
      </c>
      <c r="BF5" s="87"/>
      <c r="BG5" s="88"/>
      <c r="BH5" s="88">
        <f t="shared" ref="BH5:BH16" si="3">SUMIF($D$3:$AY$3,BH$2,$D5:$AY5)</f>
        <v>-301496.5</v>
      </c>
      <c r="BI5" s="86"/>
      <c r="BJ5" s="86">
        <f t="shared" ref="BJ5:BJ9" si="4">SUMIF($D$2:$AY$2,$BJ$2,$D5:$AY5)</f>
        <v>707948.96999999986</v>
      </c>
      <c r="BK5" s="86"/>
      <c r="BL5" s="86"/>
      <c r="BM5" s="86"/>
      <c r="BN5" s="86"/>
      <c r="BO5" s="86"/>
    </row>
    <row r="6" spans="1:67" ht="13">
      <c r="A6" s="89" t="s">
        <v>137</v>
      </c>
      <c r="C6" s="61"/>
      <c r="D6" s="90">
        <v>150000</v>
      </c>
      <c r="E6" s="91"/>
      <c r="F6" s="91"/>
      <c r="G6" s="92"/>
      <c r="H6" s="90">
        <v>150000</v>
      </c>
      <c r="I6" s="91"/>
      <c r="J6" s="91"/>
      <c r="K6" s="92"/>
      <c r="L6" s="90">
        <v>80000</v>
      </c>
      <c r="M6" s="91"/>
      <c r="N6" s="91"/>
      <c r="O6" s="92"/>
      <c r="P6" s="90"/>
      <c r="Q6" s="91"/>
      <c r="R6" s="91"/>
      <c r="S6" s="92"/>
      <c r="T6" s="90"/>
      <c r="U6" s="91"/>
      <c r="V6" s="91"/>
      <c r="W6" s="92"/>
      <c r="X6" s="90"/>
      <c r="Y6" s="91"/>
      <c r="Z6" s="91"/>
      <c r="AA6" s="91"/>
      <c r="AB6" s="90"/>
      <c r="AC6" s="91"/>
      <c r="AD6" s="91"/>
      <c r="AE6" s="92"/>
      <c r="AF6" s="90"/>
      <c r="AG6" s="91"/>
      <c r="AH6" s="91"/>
      <c r="AI6" s="92"/>
      <c r="AJ6" s="90"/>
      <c r="AK6" s="91"/>
      <c r="AL6" s="91"/>
      <c r="AM6" s="91"/>
      <c r="AN6" s="90"/>
      <c r="AO6" s="91"/>
      <c r="AP6" s="91"/>
      <c r="AQ6" s="91"/>
      <c r="AR6" s="90"/>
      <c r="AS6" s="91"/>
      <c r="AT6" s="91"/>
      <c r="AU6" s="91"/>
      <c r="AV6" s="185">
        <v>-480000</v>
      </c>
      <c r="AW6" s="91"/>
      <c r="AX6" s="91"/>
      <c r="AY6" s="91"/>
      <c r="AZ6" s="93">
        <f t="shared" si="0"/>
        <v>380000</v>
      </c>
      <c r="BA6" s="92"/>
      <c r="BB6" s="93">
        <f t="shared" si="1"/>
        <v>0</v>
      </c>
      <c r="BC6" s="94"/>
      <c r="BD6" s="92"/>
      <c r="BE6" s="17">
        <f t="shared" si="2"/>
        <v>0</v>
      </c>
      <c r="BF6" s="95"/>
      <c r="BG6" s="96"/>
      <c r="BH6" s="96">
        <f t="shared" si="3"/>
        <v>-480000</v>
      </c>
      <c r="BI6" s="94"/>
      <c r="BJ6" s="94">
        <f t="shared" si="4"/>
        <v>-100000</v>
      </c>
      <c r="BK6" s="94"/>
      <c r="BL6" s="94"/>
      <c r="BM6" s="94"/>
      <c r="BN6" s="94"/>
      <c r="BO6" s="94"/>
    </row>
    <row r="7" spans="1:67" ht="14">
      <c r="A7" s="89" t="s">
        <v>138</v>
      </c>
      <c r="C7" s="61"/>
      <c r="D7" s="90">
        <v>0</v>
      </c>
      <c r="E7" s="91"/>
      <c r="F7" s="91"/>
      <c r="G7" s="92"/>
      <c r="H7" s="90">
        <v>0</v>
      </c>
      <c r="I7" s="91"/>
      <c r="J7" s="91"/>
      <c r="K7" s="92"/>
      <c r="L7" s="90">
        <v>0</v>
      </c>
      <c r="M7" s="91"/>
      <c r="N7" s="91"/>
      <c r="O7" s="92"/>
      <c r="P7" s="90">
        <v>0</v>
      </c>
      <c r="Q7" s="91"/>
      <c r="R7" s="91"/>
      <c r="S7" s="92"/>
      <c r="T7" s="186">
        <v>0</v>
      </c>
      <c r="U7" s="187" t="s">
        <v>224</v>
      </c>
      <c r="V7" s="91"/>
      <c r="W7" s="92"/>
      <c r="X7" s="188">
        <v>0</v>
      </c>
      <c r="Y7" s="189" t="s">
        <v>224</v>
      </c>
      <c r="Z7" s="91"/>
      <c r="AA7" s="92"/>
      <c r="AB7" s="188">
        <v>0</v>
      </c>
      <c r="AC7" s="189" t="s">
        <v>224</v>
      </c>
      <c r="AD7" s="91"/>
      <c r="AE7" s="92"/>
      <c r="AF7" s="188">
        <v>0</v>
      </c>
      <c r="AG7" s="189" t="s">
        <v>224</v>
      </c>
      <c r="AH7" s="91"/>
      <c r="AI7" s="92"/>
      <c r="AJ7" s="90">
        <v>0</v>
      </c>
      <c r="AK7" s="91" t="s">
        <v>225</v>
      </c>
      <c r="AL7" s="91"/>
      <c r="AM7" s="92"/>
      <c r="AN7" s="90">
        <v>0</v>
      </c>
      <c r="AO7" s="91"/>
      <c r="AP7" s="91"/>
      <c r="AQ7" s="92"/>
      <c r="AR7" s="90">
        <v>7980</v>
      </c>
      <c r="AS7" s="91" t="s">
        <v>208</v>
      </c>
      <c r="AT7" s="91"/>
      <c r="AU7" s="92"/>
      <c r="AV7" s="90">
        <v>8365</v>
      </c>
      <c r="AW7" s="91" t="s">
        <v>208</v>
      </c>
      <c r="AX7" s="91"/>
      <c r="AY7" s="92"/>
      <c r="AZ7" s="93">
        <f t="shared" si="0"/>
        <v>0</v>
      </c>
      <c r="BA7" s="92"/>
      <c r="BB7" s="93">
        <f t="shared" si="1"/>
        <v>0</v>
      </c>
      <c r="BC7" s="94"/>
      <c r="BD7" s="92"/>
      <c r="BE7" s="17">
        <f t="shared" si="2"/>
        <v>0</v>
      </c>
      <c r="BF7" s="95"/>
      <c r="BG7" s="96"/>
      <c r="BH7" s="96">
        <f t="shared" si="3"/>
        <v>16345</v>
      </c>
      <c r="BI7" s="94"/>
      <c r="BJ7" s="94">
        <f t="shared" si="4"/>
        <v>16345</v>
      </c>
      <c r="BK7" s="94"/>
      <c r="BL7" s="94"/>
      <c r="BM7" s="94"/>
      <c r="BN7" s="94"/>
      <c r="BO7" s="94"/>
    </row>
    <row r="8" spans="1:67" ht="14">
      <c r="A8" s="89" t="s">
        <v>142</v>
      </c>
      <c r="B8" s="99"/>
      <c r="C8" s="61"/>
      <c r="D8" s="98">
        <v>0</v>
      </c>
      <c r="E8" s="91"/>
      <c r="F8" s="91" t="s">
        <v>207</v>
      </c>
      <c r="G8" s="92">
        <f>D8</f>
        <v>0</v>
      </c>
      <c r="H8" s="98">
        <v>0</v>
      </c>
      <c r="I8" s="91"/>
      <c r="J8" s="91" t="s">
        <v>207</v>
      </c>
      <c r="K8" s="92">
        <f>H8</f>
        <v>0</v>
      </c>
      <c r="L8" s="98">
        <v>0</v>
      </c>
      <c r="M8" s="91"/>
      <c r="N8" s="91" t="s">
        <v>207</v>
      </c>
      <c r="O8" s="92">
        <f>L8</f>
        <v>0</v>
      </c>
      <c r="P8" s="98">
        <v>0</v>
      </c>
      <c r="Q8" s="91"/>
      <c r="R8" s="91" t="s">
        <v>207</v>
      </c>
      <c r="S8" s="92">
        <f>P8</f>
        <v>0</v>
      </c>
      <c r="T8" s="98">
        <v>0</v>
      </c>
      <c r="U8" s="91"/>
      <c r="V8" s="91" t="s">
        <v>207</v>
      </c>
      <c r="W8" s="92">
        <f>T8</f>
        <v>0</v>
      </c>
      <c r="X8" s="98">
        <v>0</v>
      </c>
      <c r="Y8" s="91"/>
      <c r="Z8" s="91" t="s">
        <v>207</v>
      </c>
      <c r="AA8" s="92">
        <f>X8</f>
        <v>0</v>
      </c>
      <c r="AB8" s="98">
        <v>0</v>
      </c>
      <c r="AC8" s="91"/>
      <c r="AD8" s="91" t="s">
        <v>207</v>
      </c>
      <c r="AE8" s="92">
        <f>AB8</f>
        <v>0</v>
      </c>
      <c r="AF8" s="98">
        <v>0</v>
      </c>
      <c r="AG8" s="91"/>
      <c r="AH8" s="91" t="s">
        <v>207</v>
      </c>
      <c r="AI8" s="92">
        <f>AF8</f>
        <v>0</v>
      </c>
      <c r="AJ8" s="98">
        <v>0</v>
      </c>
      <c r="AK8" s="91"/>
      <c r="AL8" s="91" t="s">
        <v>207</v>
      </c>
      <c r="AM8" s="92">
        <f>AJ8</f>
        <v>0</v>
      </c>
      <c r="AN8" s="98">
        <v>0</v>
      </c>
      <c r="AO8" s="91"/>
      <c r="AP8" s="91" t="s">
        <v>207</v>
      </c>
      <c r="AQ8" s="92">
        <f>AN8</f>
        <v>0</v>
      </c>
      <c r="AR8" s="98">
        <v>0</v>
      </c>
      <c r="AS8" s="91"/>
      <c r="AT8" s="91" t="s">
        <v>207</v>
      </c>
      <c r="AU8" s="92">
        <f>AR8</f>
        <v>0</v>
      </c>
      <c r="AV8" s="100">
        <v>5537.5</v>
      </c>
      <c r="AW8" s="91" t="s">
        <v>226</v>
      </c>
      <c r="AX8" s="91" t="s">
        <v>207</v>
      </c>
      <c r="AY8" s="92">
        <f>AV8-SUM('PS Model 2022'!AF6,'PS Model 2022'!AN6,'PS Model 2022'!AR6)</f>
        <v>0</v>
      </c>
      <c r="AZ8" s="93">
        <f t="shared" si="0"/>
        <v>0</v>
      </c>
      <c r="BA8" s="92"/>
      <c r="BB8" s="93">
        <f t="shared" si="1"/>
        <v>0</v>
      </c>
      <c r="BC8" s="94"/>
      <c r="BD8" s="92"/>
      <c r="BE8" s="17">
        <f t="shared" si="2"/>
        <v>0</v>
      </c>
      <c r="BF8" s="95"/>
      <c r="BG8" s="96"/>
      <c r="BH8" s="96">
        <f t="shared" si="3"/>
        <v>5537.5</v>
      </c>
      <c r="BI8" s="94"/>
      <c r="BJ8" s="94">
        <f t="shared" si="4"/>
        <v>5537.5</v>
      </c>
      <c r="BK8" s="94"/>
      <c r="BL8" s="94"/>
      <c r="BM8" s="94"/>
      <c r="BN8" s="94"/>
      <c r="BO8" s="94"/>
    </row>
    <row r="9" spans="1:67" ht="13">
      <c r="A9" s="89" t="s">
        <v>143</v>
      </c>
      <c r="B9" s="99">
        <v>30000</v>
      </c>
      <c r="C9" s="61"/>
      <c r="D9" s="100">
        <f>'PS Model 2023'!ColinSalary</f>
        <v>30000</v>
      </c>
      <c r="E9" s="91"/>
      <c r="F9" s="91"/>
      <c r="G9" s="92"/>
      <c r="H9" s="100">
        <f>'PS Model 2023'!ColinSalary</f>
        <v>30000</v>
      </c>
      <c r="I9" s="91"/>
      <c r="J9" s="91"/>
      <c r="K9" s="92"/>
      <c r="L9" s="100">
        <f>'PS Model 2023'!ColinSalary</f>
        <v>30000</v>
      </c>
      <c r="M9" s="91"/>
      <c r="N9" s="91"/>
      <c r="O9" s="92"/>
      <c r="P9" s="100">
        <f>'PS Model 2023'!ColinSalary</f>
        <v>30000</v>
      </c>
      <c r="Q9" s="91"/>
      <c r="R9" s="91"/>
      <c r="S9" s="92"/>
      <c r="T9" s="100">
        <f>'PS Model 2023'!ColinSalary</f>
        <v>30000</v>
      </c>
      <c r="U9" s="91"/>
      <c r="V9" s="91"/>
      <c r="W9" s="92"/>
      <c r="X9" s="100">
        <f>'PS Model 2023'!ColinSalary</f>
        <v>30000</v>
      </c>
      <c r="Y9" s="91"/>
      <c r="Z9" s="91"/>
      <c r="AA9" s="92"/>
      <c r="AB9" s="100">
        <f>'PS Model 2023'!ColinSalary</f>
        <v>30000</v>
      </c>
      <c r="AC9" s="91"/>
      <c r="AD9" s="91"/>
      <c r="AE9" s="92"/>
      <c r="AF9" s="100">
        <f>'PS Model 2023'!ColinSalary</f>
        <v>30000</v>
      </c>
      <c r="AG9" s="91"/>
      <c r="AH9" s="91"/>
      <c r="AI9" s="92"/>
      <c r="AJ9" s="100">
        <f>'PS Model 2023'!ColinSalary</f>
        <v>30000</v>
      </c>
      <c r="AK9" s="91"/>
      <c r="AL9" s="91"/>
      <c r="AM9" s="92"/>
      <c r="AN9" s="100">
        <f>'PS Model 2023'!ColinSalary</f>
        <v>30000</v>
      </c>
      <c r="AO9" s="91"/>
      <c r="AP9" s="91"/>
      <c r="AQ9" s="92"/>
      <c r="AR9" s="100">
        <f>'PS Model 2023'!ColinSalary</f>
        <v>30000</v>
      </c>
      <c r="AS9" s="91"/>
      <c r="AT9" s="91"/>
      <c r="AU9" s="92"/>
      <c r="AV9" s="100">
        <f>'PS Model 2023'!ColinSalary</f>
        <v>30000</v>
      </c>
      <c r="AW9" s="91"/>
      <c r="AX9" s="91"/>
      <c r="AY9" s="92"/>
      <c r="AZ9" s="93">
        <f t="shared" si="0"/>
        <v>90000</v>
      </c>
      <c r="BA9" s="92"/>
      <c r="BB9" s="93">
        <f t="shared" si="1"/>
        <v>90000</v>
      </c>
      <c r="BC9" s="94"/>
      <c r="BD9" s="92"/>
      <c r="BE9" s="17">
        <f t="shared" si="2"/>
        <v>90000</v>
      </c>
      <c r="BF9" s="95"/>
      <c r="BG9" s="96"/>
      <c r="BH9" s="96">
        <f t="shared" si="3"/>
        <v>90000</v>
      </c>
      <c r="BI9" s="94"/>
      <c r="BJ9" s="94">
        <f t="shared" si="4"/>
        <v>360000</v>
      </c>
      <c r="BK9" s="94"/>
      <c r="BL9" s="94"/>
      <c r="BM9" s="94"/>
      <c r="BN9" s="94"/>
      <c r="BO9" s="94"/>
    </row>
    <row r="10" spans="1:67" ht="13">
      <c r="A10" s="89" t="s">
        <v>144</v>
      </c>
      <c r="B10" s="101"/>
      <c r="C10" s="102"/>
      <c r="D10" s="103">
        <v>180407.66</v>
      </c>
      <c r="E10" s="91"/>
      <c r="F10" s="91"/>
      <c r="G10" s="92"/>
      <c r="H10" s="103"/>
      <c r="I10" s="91"/>
      <c r="J10" s="91"/>
      <c r="K10" s="92"/>
      <c r="L10" s="103">
        <v>329494.34999999998</v>
      </c>
      <c r="M10" s="91"/>
      <c r="N10" s="91"/>
      <c r="O10" s="92"/>
      <c r="P10" s="103"/>
      <c r="Q10" s="91"/>
      <c r="R10" s="91"/>
      <c r="S10" s="92"/>
      <c r="T10" s="103"/>
      <c r="U10" s="91"/>
      <c r="V10" s="91"/>
      <c r="W10" s="92"/>
      <c r="X10" s="103">
        <v>0</v>
      </c>
      <c r="Y10" s="103"/>
      <c r="Z10" s="91"/>
      <c r="AA10" s="92"/>
      <c r="AB10" s="103">
        <v>18999.5</v>
      </c>
      <c r="AC10" s="91"/>
      <c r="AD10" s="91"/>
      <c r="AE10" s="92"/>
      <c r="AF10" s="103">
        <v>409022.9</v>
      </c>
      <c r="AG10" s="91"/>
      <c r="AH10" s="91"/>
      <c r="AI10" s="92"/>
      <c r="AJ10" s="103">
        <v>0</v>
      </c>
      <c r="AK10" s="91"/>
      <c r="AL10" s="91"/>
      <c r="AM10" s="92"/>
      <c r="AN10" s="103">
        <v>12227.57</v>
      </c>
      <c r="AO10" s="91"/>
      <c r="AP10" s="91"/>
      <c r="AQ10" s="92"/>
      <c r="AR10" s="103"/>
      <c r="AS10" s="91"/>
      <c r="AT10" s="91"/>
      <c r="AU10" s="92"/>
      <c r="AV10" s="103">
        <v>257853.27</v>
      </c>
      <c r="AW10" s="91"/>
      <c r="AX10" s="91"/>
      <c r="AY10" s="92"/>
      <c r="AZ10" s="95">
        <f t="shared" si="0"/>
        <v>509902.01</v>
      </c>
      <c r="BA10" s="92"/>
      <c r="BB10" s="93">
        <f t="shared" si="1"/>
        <v>0</v>
      </c>
      <c r="BC10" s="94"/>
      <c r="BD10" s="92"/>
      <c r="BE10" s="95">
        <f t="shared" si="2"/>
        <v>428022.4</v>
      </c>
      <c r="BF10" s="95"/>
      <c r="BG10" s="96"/>
      <c r="BH10" s="96">
        <f t="shared" si="3"/>
        <v>270080.83999999997</v>
      </c>
      <c r="BI10" s="94"/>
      <c r="BJ10" s="94"/>
      <c r="BK10" s="94"/>
      <c r="BL10" s="94"/>
      <c r="BM10" s="94"/>
      <c r="BN10" s="94"/>
      <c r="BO10" s="94"/>
    </row>
    <row r="11" spans="1:67" ht="13">
      <c r="A11" s="89" t="s">
        <v>145</v>
      </c>
      <c r="B11" s="101"/>
      <c r="C11" s="102"/>
      <c r="D11" s="104">
        <f>SUM(F19:F27)</f>
        <v>7065.16</v>
      </c>
      <c r="E11" s="91"/>
      <c r="F11" s="91"/>
      <c r="G11" s="92"/>
      <c r="H11" s="104">
        <f>SUM(J19:J27)</f>
        <v>5747.93</v>
      </c>
      <c r="I11" s="91"/>
      <c r="J11" s="91"/>
      <c r="K11" s="92"/>
      <c r="L11" s="104">
        <f>SUM(N19:N27)</f>
        <v>4461.83</v>
      </c>
      <c r="M11" s="91"/>
      <c r="N11" s="91"/>
      <c r="O11" s="92"/>
      <c r="P11" s="104">
        <f>SUM(R19:R27)</f>
        <v>1555.42</v>
      </c>
      <c r="Q11" s="91"/>
      <c r="R11" s="91"/>
      <c r="S11" s="92"/>
      <c r="T11" s="104">
        <f>SUM(V19:V27)</f>
        <v>8415.27</v>
      </c>
      <c r="U11" s="91"/>
      <c r="V11" s="91"/>
      <c r="W11" s="92"/>
      <c r="X11" s="104">
        <f>SUM(Z19:Z27)</f>
        <v>3644.84</v>
      </c>
      <c r="Y11" s="91"/>
      <c r="Z11" s="91"/>
      <c r="AA11" s="92"/>
      <c r="AB11" s="104">
        <f>SUM(AD19:AD27)</f>
        <v>11761.15</v>
      </c>
      <c r="AC11" s="91"/>
      <c r="AD11" s="91"/>
      <c r="AE11" s="92"/>
      <c r="AF11" s="104">
        <f>SUM(AH19:AH27)</f>
        <v>9770.1299999999992</v>
      </c>
      <c r="AG11" s="91"/>
      <c r="AH11" s="91"/>
      <c r="AI11" s="92"/>
      <c r="AJ11" s="104">
        <f>SUM(AL19:AL27)</f>
        <v>18223.080000000002</v>
      </c>
      <c r="AK11" s="91"/>
      <c r="AL11" s="91"/>
      <c r="AM11" s="92"/>
      <c r="AN11" s="104">
        <f>SUM(AP19:AP27)</f>
        <v>3988.75</v>
      </c>
      <c r="AO11" s="91"/>
      <c r="AP11" s="91"/>
      <c r="AQ11" s="92"/>
      <c r="AR11" s="104">
        <f>SUM(AT19:AT27)</f>
        <v>12368.93</v>
      </c>
      <c r="AS11" s="91"/>
      <c r="AT11" s="91"/>
      <c r="AU11" s="92"/>
      <c r="AV11" s="104">
        <f>SUM(AX19:AX27)</f>
        <v>5292.98</v>
      </c>
      <c r="AW11" s="91"/>
      <c r="AX11" s="91"/>
      <c r="AY11" s="92"/>
      <c r="AZ11" s="93">
        <f t="shared" si="0"/>
        <v>17274.919999999998</v>
      </c>
      <c r="BA11" s="92"/>
      <c r="BB11" s="93">
        <f t="shared" si="1"/>
        <v>13615.53</v>
      </c>
      <c r="BC11" s="94"/>
      <c r="BD11" s="92"/>
      <c r="BE11" s="17">
        <f t="shared" si="2"/>
        <v>39754.36</v>
      </c>
      <c r="BF11" s="95"/>
      <c r="BG11" s="96"/>
      <c r="BH11" s="96">
        <f t="shared" si="3"/>
        <v>21650.66</v>
      </c>
      <c r="BI11" s="94"/>
      <c r="BJ11" s="94">
        <f t="shared" ref="BJ11:BJ16" si="5">SUMIF($D$2:$AY$2,$BJ$2,$D11:$AY11)</f>
        <v>92295.469999999987</v>
      </c>
      <c r="BK11" s="94"/>
      <c r="BL11" s="94"/>
      <c r="BM11" s="94"/>
      <c r="BN11" s="105"/>
      <c r="BO11" s="94"/>
    </row>
    <row r="12" spans="1:67" ht="13">
      <c r="A12" s="106" t="s">
        <v>146</v>
      </c>
      <c r="B12" s="13"/>
      <c r="C12" s="107"/>
      <c r="D12" s="108">
        <f>D5-D7-D9+D11+D10-D6+D8</f>
        <v>184553.75</v>
      </c>
      <c r="E12" s="109"/>
      <c r="F12" s="109"/>
      <c r="G12" s="110"/>
      <c r="H12" s="108">
        <f>H5-H7-H9+H11+H10-H6+H8</f>
        <v>225365.71999999997</v>
      </c>
      <c r="I12" s="109"/>
      <c r="J12" s="109"/>
      <c r="K12" s="110"/>
      <c r="L12" s="108">
        <f>L5-L7-L9+L11+L10-L6+L8</f>
        <v>156168.21999999997</v>
      </c>
      <c r="M12" s="109"/>
      <c r="N12" s="109">
        <v>175127</v>
      </c>
      <c r="O12" s="110"/>
      <c r="P12" s="108">
        <f>P5-P7-P9+P11+P10-P6+P8</f>
        <v>178806.04</v>
      </c>
      <c r="Q12" s="109"/>
      <c r="R12" s="109"/>
      <c r="S12" s="110"/>
      <c r="T12" s="108">
        <f>T5-T7-T9+T11+T10-T6+T8</f>
        <v>93358.840000000011</v>
      </c>
      <c r="U12" s="109"/>
      <c r="V12" s="109"/>
      <c r="W12" s="110"/>
      <c r="X12" s="108">
        <f>X5-X7-X9+X11+X10-X6+X8</f>
        <v>79554.34</v>
      </c>
      <c r="Y12" s="109"/>
      <c r="Z12" s="109"/>
      <c r="AA12" s="110"/>
      <c r="AB12" s="108">
        <f>AB5-AB7-AB9+AB11+AB10-AB6+AB8</f>
        <v>159481.46</v>
      </c>
      <c r="AC12" s="111"/>
      <c r="AD12" s="109"/>
      <c r="AE12" s="109"/>
      <c r="AF12" s="108">
        <f>AF5-AF7-AF9+AF11+AF10-AF6+AF8</f>
        <v>132791.68000000005</v>
      </c>
      <c r="AG12" s="109"/>
      <c r="AH12" s="109"/>
      <c r="AI12" s="110"/>
      <c r="AJ12" s="108">
        <f>AJ5-AJ7-AJ9+AJ11+AJ10-AJ6+AJ8</f>
        <v>157934.64000000001</v>
      </c>
      <c r="AK12" s="109"/>
      <c r="AL12" s="109"/>
      <c r="AM12" s="110"/>
      <c r="AN12" s="108">
        <f>AN5-AN7-AN9+AN11+AN10-AN6+AN8</f>
        <v>84253.25</v>
      </c>
      <c r="AO12" s="109"/>
      <c r="AP12" s="109"/>
      <c r="AQ12" s="110"/>
      <c r="AR12" s="108">
        <f>AR5-AR7-AR9+AR11+AR10-AR6+AR8</f>
        <v>155940.60999999999</v>
      </c>
      <c r="AS12" s="109"/>
      <c r="AT12" s="109"/>
      <c r="AU12" s="110"/>
      <c r="AV12" s="108">
        <f>AV5-AV7-AV9+AV11+AV10-AV6+AV8</f>
        <v>129233.64000000001</v>
      </c>
      <c r="AW12" s="109"/>
      <c r="AX12" s="109"/>
      <c r="AY12" s="110"/>
      <c r="AZ12" s="112">
        <f t="shared" si="0"/>
        <v>566087.68999999994</v>
      </c>
      <c r="BA12" s="110"/>
      <c r="BB12" s="112">
        <f t="shared" si="1"/>
        <v>351719.22</v>
      </c>
      <c r="BC12" s="113"/>
      <c r="BD12" s="110"/>
      <c r="BE12" s="16">
        <f t="shared" si="2"/>
        <v>450207.78</v>
      </c>
      <c r="BF12" s="114"/>
      <c r="BG12" s="115"/>
      <c r="BH12" s="115">
        <f t="shared" si="3"/>
        <v>369427.5</v>
      </c>
      <c r="BI12" s="113"/>
      <c r="BJ12" s="113">
        <f t="shared" si="5"/>
        <v>1737442.19</v>
      </c>
      <c r="BK12" s="94"/>
      <c r="BL12" s="94"/>
      <c r="BM12" s="94"/>
      <c r="BN12" s="94"/>
      <c r="BO12" s="94"/>
    </row>
    <row r="13" spans="1:67" ht="14">
      <c r="A13" s="89" t="s">
        <v>147</v>
      </c>
      <c r="C13" s="61"/>
      <c r="D13" s="90">
        <v>30000</v>
      </c>
      <c r="E13" s="91"/>
      <c r="F13" s="91"/>
      <c r="G13" s="92"/>
      <c r="H13" s="90">
        <v>60000</v>
      </c>
      <c r="I13" s="91"/>
      <c r="J13" s="91"/>
      <c r="K13" s="92"/>
      <c r="L13" s="90">
        <v>30000</v>
      </c>
      <c r="M13" s="91" t="s">
        <v>148</v>
      </c>
      <c r="N13" s="91"/>
      <c r="O13" s="92"/>
      <c r="P13" s="90">
        <v>153000</v>
      </c>
      <c r="Q13" s="91"/>
      <c r="R13" s="91"/>
      <c r="S13" s="92"/>
      <c r="T13" s="90">
        <v>30000</v>
      </c>
      <c r="U13" s="91"/>
      <c r="V13" s="91"/>
      <c r="W13" s="92"/>
      <c r="X13" s="90">
        <v>30000</v>
      </c>
      <c r="Y13" s="91"/>
      <c r="Z13" s="91"/>
      <c r="AA13" s="92"/>
      <c r="AB13" s="90">
        <v>30000</v>
      </c>
      <c r="AC13" s="91"/>
      <c r="AD13" s="91"/>
      <c r="AE13" s="92"/>
      <c r="AF13" s="90">
        <v>130152</v>
      </c>
      <c r="AG13" s="91"/>
      <c r="AH13" s="91"/>
      <c r="AI13" s="92"/>
      <c r="AJ13" s="90">
        <v>60000</v>
      </c>
      <c r="AK13" s="91"/>
      <c r="AL13" s="91"/>
      <c r="AM13" s="92"/>
      <c r="AN13" s="90">
        <v>20000</v>
      </c>
      <c r="AO13" s="91"/>
      <c r="AP13" s="91"/>
      <c r="AQ13" s="92"/>
      <c r="AR13" s="90">
        <v>60000</v>
      </c>
      <c r="AS13" s="91"/>
      <c r="AT13" s="91"/>
      <c r="AU13" s="92"/>
      <c r="AV13" s="90">
        <v>10000</v>
      </c>
      <c r="AW13" s="91"/>
      <c r="AX13" s="91"/>
      <c r="AY13" s="92"/>
      <c r="AZ13" s="93">
        <f t="shared" si="0"/>
        <v>120000</v>
      </c>
      <c r="BA13" s="92"/>
      <c r="BB13" s="93">
        <f t="shared" si="1"/>
        <v>213000</v>
      </c>
      <c r="BC13" s="94"/>
      <c r="BD13" s="92"/>
      <c r="BE13" s="17">
        <f t="shared" si="2"/>
        <v>220152</v>
      </c>
      <c r="BF13" s="95"/>
      <c r="BG13" s="96"/>
      <c r="BH13" s="96">
        <f t="shared" si="3"/>
        <v>90000</v>
      </c>
      <c r="BI13" s="94"/>
      <c r="BJ13" s="94">
        <f t="shared" si="5"/>
        <v>643152</v>
      </c>
      <c r="BK13" s="94"/>
      <c r="BL13" s="94"/>
      <c r="BM13" s="94"/>
      <c r="BN13" s="94"/>
      <c r="BO13" s="94"/>
    </row>
    <row r="14" spans="1:67" ht="14">
      <c r="A14" s="5" t="s">
        <v>149</v>
      </c>
      <c r="C14" s="61"/>
      <c r="D14" s="98"/>
      <c r="E14" s="91"/>
      <c r="F14" s="91"/>
      <c r="G14" s="92"/>
      <c r="H14" s="98"/>
      <c r="I14" s="91"/>
      <c r="J14" s="91"/>
      <c r="K14" s="92"/>
      <c r="L14" s="98"/>
      <c r="M14" s="91"/>
      <c r="N14" s="91"/>
      <c r="O14" s="92"/>
      <c r="P14" s="98"/>
      <c r="Q14" s="91"/>
      <c r="R14" s="91"/>
      <c r="S14" s="92"/>
      <c r="T14" s="98"/>
      <c r="U14" s="91"/>
      <c r="V14" s="91"/>
      <c r="W14" s="92"/>
      <c r="X14" s="98"/>
      <c r="Y14" s="91"/>
      <c r="Z14" s="91"/>
      <c r="AA14" s="92"/>
      <c r="AB14" s="98"/>
      <c r="AC14" s="91"/>
      <c r="AD14" s="91"/>
      <c r="AE14" s="92"/>
      <c r="AF14" s="98"/>
      <c r="AG14" s="91"/>
      <c r="AH14" s="91"/>
      <c r="AI14" s="92"/>
      <c r="AJ14" s="98"/>
      <c r="AK14" s="91"/>
      <c r="AL14" s="91"/>
      <c r="AM14" s="92"/>
      <c r="AN14" s="98"/>
      <c r="AO14" s="91"/>
      <c r="AP14" s="91"/>
      <c r="AQ14" s="92"/>
      <c r="AR14" s="98"/>
      <c r="AS14" s="91"/>
      <c r="AT14" s="91"/>
      <c r="AU14" s="92"/>
      <c r="AV14" s="98"/>
      <c r="AW14" s="91"/>
      <c r="AX14" s="91"/>
      <c r="AY14" s="92"/>
      <c r="AZ14" s="93">
        <f t="shared" si="0"/>
        <v>0</v>
      </c>
      <c r="BA14" s="92"/>
      <c r="BB14" s="93">
        <f t="shared" si="1"/>
        <v>0</v>
      </c>
      <c r="BC14" s="94"/>
      <c r="BD14" s="92"/>
      <c r="BE14" s="17">
        <f t="shared" si="2"/>
        <v>0</v>
      </c>
      <c r="BF14" s="95"/>
      <c r="BG14" s="96"/>
      <c r="BH14" s="96">
        <f t="shared" si="3"/>
        <v>0</v>
      </c>
      <c r="BI14" s="94"/>
      <c r="BJ14" s="94">
        <f t="shared" si="5"/>
        <v>0</v>
      </c>
      <c r="BK14" s="94"/>
      <c r="BL14" s="94"/>
      <c r="BM14" s="94"/>
      <c r="BN14" s="94"/>
      <c r="BO14" s="94"/>
    </row>
    <row r="15" spans="1:67" ht="14">
      <c r="A15" s="5" t="s">
        <v>150</v>
      </c>
      <c r="C15" s="61"/>
      <c r="D15" s="100">
        <v>6612.07</v>
      </c>
      <c r="E15" s="91"/>
      <c r="F15" s="91"/>
      <c r="G15" s="92"/>
      <c r="H15" s="100"/>
      <c r="I15" s="91"/>
      <c r="J15" s="91"/>
      <c r="K15" s="92"/>
      <c r="L15" s="100">
        <v>861.01</v>
      </c>
      <c r="M15" s="91"/>
      <c r="N15" s="91"/>
      <c r="O15" s="92"/>
      <c r="P15" s="100">
        <v>861.01</v>
      </c>
      <c r="Q15" s="91"/>
      <c r="R15" s="91"/>
      <c r="S15" s="92"/>
      <c r="T15" s="100"/>
      <c r="U15" s="91"/>
      <c r="V15" s="91"/>
      <c r="W15" s="92"/>
      <c r="X15" s="100">
        <v>2204.4499999999998</v>
      </c>
      <c r="Y15" s="91"/>
      <c r="Z15" s="91"/>
      <c r="AA15" s="92"/>
      <c r="AB15" s="100"/>
      <c r="AC15" s="91"/>
      <c r="AD15" s="91"/>
      <c r="AE15" s="92"/>
      <c r="AF15" s="100"/>
      <c r="AG15" s="91"/>
      <c r="AH15" s="91"/>
      <c r="AI15" s="92"/>
      <c r="AJ15" s="100"/>
      <c r="AK15" s="91"/>
      <c r="AL15" s="91"/>
      <c r="AM15" s="92"/>
      <c r="AN15" s="100"/>
      <c r="AO15" s="91"/>
      <c r="AP15" s="91"/>
      <c r="AQ15" s="92"/>
      <c r="AR15" s="100"/>
      <c r="AS15" s="91"/>
      <c r="AT15" s="91"/>
      <c r="AU15" s="92"/>
      <c r="AV15" s="100"/>
      <c r="AW15" s="91"/>
      <c r="AX15" s="91"/>
      <c r="AY15" s="92"/>
      <c r="AZ15" s="93">
        <f t="shared" si="0"/>
        <v>7473.08</v>
      </c>
      <c r="BA15" s="92"/>
      <c r="BB15" s="93">
        <f t="shared" si="1"/>
        <v>3065.46</v>
      </c>
      <c r="BC15" s="94"/>
      <c r="BD15" s="92"/>
      <c r="BE15" s="17">
        <f t="shared" si="2"/>
        <v>0</v>
      </c>
      <c r="BF15" s="95"/>
      <c r="BG15" s="96"/>
      <c r="BH15" s="96">
        <f t="shared" si="3"/>
        <v>0</v>
      </c>
      <c r="BI15" s="94"/>
      <c r="BJ15" s="94">
        <f t="shared" si="5"/>
        <v>10538.54</v>
      </c>
      <c r="BK15" s="94"/>
      <c r="BL15" s="94"/>
      <c r="BM15" s="94"/>
      <c r="BN15" s="94"/>
      <c r="BO15" s="94"/>
    </row>
    <row r="16" spans="1:67" ht="14">
      <c r="A16" s="5" t="s">
        <v>151</v>
      </c>
      <c r="C16" s="61"/>
      <c r="D16" s="100">
        <f>D13+D14+D15-D9</f>
        <v>6612.07</v>
      </c>
      <c r="E16" s="91"/>
      <c r="F16" s="91"/>
      <c r="G16" s="92"/>
      <c r="H16" s="100">
        <f>H13+H14+H15-H9</f>
        <v>30000</v>
      </c>
      <c r="I16" s="91"/>
      <c r="J16" s="91"/>
      <c r="K16" s="92"/>
      <c r="L16" s="100">
        <f>L13+L14+L15-L9</f>
        <v>861.0099999999984</v>
      </c>
      <c r="M16" s="91"/>
      <c r="N16" s="91"/>
      <c r="O16" s="92"/>
      <c r="P16" s="100">
        <f>P13+P14+P15-P9</f>
        <v>123861.01000000001</v>
      </c>
      <c r="Q16" s="91"/>
      <c r="R16" s="91"/>
      <c r="S16" s="92"/>
      <c r="T16" s="100">
        <f>T13+T14+T15-T9</f>
        <v>0</v>
      </c>
      <c r="U16" s="91"/>
      <c r="V16" s="91"/>
      <c r="W16" s="92"/>
      <c r="X16" s="100">
        <f>X13+X14+X15-X9</f>
        <v>2204.4500000000007</v>
      </c>
      <c r="Y16" s="91"/>
      <c r="Z16" s="91"/>
      <c r="AA16" s="92"/>
      <c r="AB16" s="100">
        <f>AB13+AB14+AB15-AB9</f>
        <v>0</v>
      </c>
      <c r="AC16" s="91"/>
      <c r="AD16" s="91"/>
      <c r="AE16" s="92"/>
      <c r="AF16" s="100">
        <f>AF13+AF14+AF15-AF9</f>
        <v>100152</v>
      </c>
      <c r="AG16" s="91"/>
      <c r="AH16" s="91"/>
      <c r="AI16" s="92"/>
      <c r="AJ16" s="100">
        <f>AJ13+AJ14+AJ15-AJ9</f>
        <v>30000</v>
      </c>
      <c r="AK16" s="91"/>
      <c r="AL16" s="91"/>
      <c r="AM16" s="92"/>
      <c r="AN16" s="100">
        <f>AN13+AN14+AN15-AN9</f>
        <v>-10000</v>
      </c>
      <c r="AO16" s="91"/>
      <c r="AP16" s="91"/>
      <c r="AQ16" s="92"/>
      <c r="AR16" s="100">
        <f>AR13+AR14+AR15-AR9</f>
        <v>30000</v>
      </c>
      <c r="AS16" s="91"/>
      <c r="AT16" s="91"/>
      <c r="AU16" s="92"/>
      <c r="AV16" s="100">
        <f>AV13+AV14+AV15-AV9</f>
        <v>-20000</v>
      </c>
      <c r="AW16" s="91"/>
      <c r="AX16" s="91"/>
      <c r="AY16" s="92"/>
      <c r="AZ16" s="93">
        <f t="shared" si="0"/>
        <v>37473.08</v>
      </c>
      <c r="BA16" s="92"/>
      <c r="BB16" s="93">
        <f t="shared" si="1"/>
        <v>126065.46</v>
      </c>
      <c r="BC16" s="94"/>
      <c r="BD16" s="92"/>
      <c r="BE16" s="17">
        <f t="shared" si="2"/>
        <v>130152</v>
      </c>
      <c r="BF16" s="95"/>
      <c r="BG16" s="96"/>
      <c r="BH16" s="96">
        <f t="shared" si="3"/>
        <v>0</v>
      </c>
      <c r="BI16" s="94"/>
      <c r="BJ16" s="94">
        <f t="shared" si="5"/>
        <v>293690.54000000004</v>
      </c>
      <c r="BK16" s="94"/>
      <c r="BL16" s="94"/>
      <c r="BM16" s="94"/>
      <c r="BN16" s="94"/>
      <c r="BO16" s="94"/>
    </row>
    <row r="17" spans="1:67" ht="13">
      <c r="A17" s="5"/>
      <c r="C17" s="61"/>
      <c r="D17" s="100"/>
      <c r="E17" s="91"/>
      <c r="F17" s="91"/>
      <c r="G17" s="92"/>
      <c r="H17" s="100"/>
      <c r="I17" s="91"/>
      <c r="J17" s="91"/>
      <c r="K17" s="92"/>
      <c r="L17" s="100"/>
      <c r="M17" s="91"/>
      <c r="N17" s="91"/>
      <c r="O17" s="92"/>
      <c r="P17" s="100"/>
      <c r="Q17" s="91"/>
      <c r="R17" s="91"/>
      <c r="S17" s="92"/>
      <c r="T17" s="100"/>
      <c r="U17" s="91"/>
      <c r="V17" s="91"/>
      <c r="W17" s="92"/>
      <c r="X17" s="100"/>
      <c r="Y17" s="91"/>
      <c r="Z17" s="91"/>
      <c r="AA17" s="92"/>
      <c r="AB17" s="100"/>
      <c r="AC17" s="91"/>
      <c r="AD17" s="91"/>
      <c r="AE17" s="92"/>
      <c r="AF17" s="100"/>
      <c r="AG17" s="91"/>
      <c r="AH17" s="91"/>
      <c r="AI17" s="92"/>
      <c r="AJ17" s="100"/>
      <c r="AK17" s="91"/>
      <c r="AL17" s="91"/>
      <c r="AM17" s="92"/>
      <c r="AN17" s="100"/>
      <c r="AO17" s="91"/>
      <c r="AP17" s="91"/>
      <c r="AQ17" s="92"/>
      <c r="AR17" s="100"/>
      <c r="AS17" s="91"/>
      <c r="AT17" s="91"/>
      <c r="AU17" s="92"/>
      <c r="AV17" s="100"/>
      <c r="AW17" s="91"/>
      <c r="AX17" s="91"/>
      <c r="AY17" s="92"/>
      <c r="AZ17" s="100"/>
      <c r="BA17" s="92"/>
      <c r="BB17" s="100"/>
      <c r="BC17" s="91"/>
      <c r="BD17" s="92"/>
      <c r="BE17" s="17"/>
      <c r="BF17" s="17"/>
      <c r="BG17" s="116"/>
      <c r="BH17" s="116"/>
      <c r="BI17" s="91"/>
      <c r="BJ17" s="91"/>
      <c r="BK17" s="91"/>
      <c r="BL17" s="91"/>
      <c r="BM17" s="91"/>
      <c r="BN17" s="91"/>
      <c r="BO17" s="91"/>
    </row>
    <row r="18" spans="1:67" ht="14">
      <c r="A18" s="5"/>
      <c r="B18" s="5"/>
      <c r="C18" s="5"/>
      <c r="D18" s="117" t="s">
        <v>152</v>
      </c>
      <c r="E18" s="118" t="s">
        <v>153</v>
      </c>
      <c r="F18" s="118" t="s">
        <v>154</v>
      </c>
      <c r="G18" s="118" t="s">
        <v>155</v>
      </c>
      <c r="H18" s="117" t="s">
        <v>152</v>
      </c>
      <c r="I18" s="118" t="s">
        <v>153</v>
      </c>
      <c r="J18" s="118" t="s">
        <v>154</v>
      </c>
      <c r="K18" s="118" t="s">
        <v>155</v>
      </c>
      <c r="L18" s="117" t="s">
        <v>152</v>
      </c>
      <c r="M18" s="118" t="s">
        <v>153</v>
      </c>
      <c r="N18" s="118" t="s">
        <v>154</v>
      </c>
      <c r="O18" s="118" t="s">
        <v>155</v>
      </c>
      <c r="P18" s="117" t="s">
        <v>152</v>
      </c>
      <c r="Q18" s="118" t="s">
        <v>153</v>
      </c>
      <c r="R18" s="118" t="s">
        <v>154</v>
      </c>
      <c r="S18" s="118" t="s">
        <v>155</v>
      </c>
      <c r="T18" s="117" t="s">
        <v>152</v>
      </c>
      <c r="U18" s="118" t="s">
        <v>153</v>
      </c>
      <c r="V18" s="118" t="s">
        <v>154</v>
      </c>
      <c r="W18" s="118" t="s">
        <v>155</v>
      </c>
      <c r="X18" s="117" t="s">
        <v>152</v>
      </c>
      <c r="Y18" s="118" t="s">
        <v>153</v>
      </c>
      <c r="Z18" s="118" t="s">
        <v>154</v>
      </c>
      <c r="AA18" s="118" t="s">
        <v>155</v>
      </c>
      <c r="AB18" s="117" t="s">
        <v>152</v>
      </c>
      <c r="AC18" s="118" t="s">
        <v>153</v>
      </c>
      <c r="AD18" s="118" t="s">
        <v>154</v>
      </c>
      <c r="AE18" s="118" t="s">
        <v>155</v>
      </c>
      <c r="AF18" s="117" t="s">
        <v>152</v>
      </c>
      <c r="AG18" s="118" t="s">
        <v>153</v>
      </c>
      <c r="AH18" s="118" t="s">
        <v>154</v>
      </c>
      <c r="AI18" s="118" t="s">
        <v>155</v>
      </c>
      <c r="AJ18" s="117" t="s">
        <v>152</v>
      </c>
      <c r="AK18" s="118" t="s">
        <v>153</v>
      </c>
      <c r="AL18" s="118" t="s">
        <v>154</v>
      </c>
      <c r="AM18" s="118" t="s">
        <v>155</v>
      </c>
      <c r="AN18" s="117" t="s">
        <v>152</v>
      </c>
      <c r="AO18" s="118" t="s">
        <v>153</v>
      </c>
      <c r="AP18" s="118" t="s">
        <v>154</v>
      </c>
      <c r="AQ18" s="118" t="s">
        <v>155</v>
      </c>
      <c r="AR18" s="117" t="s">
        <v>152</v>
      </c>
      <c r="AS18" s="118" t="s">
        <v>153</v>
      </c>
      <c r="AT18" s="118" t="s">
        <v>154</v>
      </c>
      <c r="AU18" s="118" t="s">
        <v>155</v>
      </c>
      <c r="AV18" s="117" t="s">
        <v>152</v>
      </c>
      <c r="AW18" s="118" t="s">
        <v>153</v>
      </c>
      <c r="AX18" s="118" t="s">
        <v>154</v>
      </c>
      <c r="AY18" s="118" t="s">
        <v>155</v>
      </c>
      <c r="AZ18" s="93"/>
      <c r="BA18" s="63" t="s">
        <v>158</v>
      </c>
      <c r="BB18" s="100"/>
      <c r="BC18" s="91"/>
      <c r="BD18" s="190" t="s">
        <v>161</v>
      </c>
      <c r="BE18" s="17"/>
      <c r="BF18" s="17"/>
      <c r="BG18" s="66" t="s">
        <v>164</v>
      </c>
      <c r="BH18" s="116"/>
      <c r="BI18" s="91"/>
      <c r="BJ18" s="91"/>
      <c r="BK18" s="66" t="s">
        <v>227</v>
      </c>
      <c r="BL18" s="91"/>
      <c r="BM18" s="91"/>
      <c r="BN18" s="91" t="s">
        <v>167</v>
      </c>
      <c r="BO18" s="91" t="s">
        <v>167</v>
      </c>
    </row>
    <row r="19" spans="1:67" ht="13">
      <c r="A19" s="89" t="s">
        <v>83</v>
      </c>
      <c r="B19" s="121"/>
      <c r="C19" s="121">
        <f>'PS Model 2022'!BK28</f>
        <v>272493.14485442318</v>
      </c>
      <c r="D19" s="122">
        <f>300-175</f>
        <v>125</v>
      </c>
      <c r="E19" s="123">
        <f t="shared" ref="E19:E27" si="6">D$12*D19/D$28</f>
        <v>44449.361753371857</v>
      </c>
      <c r="F19" s="124">
        <v>7065.16</v>
      </c>
      <c r="G19" s="123">
        <f t="shared" ref="G19:G27" si="7">E19-F19</f>
        <v>37384.201753371861</v>
      </c>
      <c r="H19" s="122">
        <v>125</v>
      </c>
      <c r="I19" s="123">
        <f t="shared" ref="I19:I27" si="8">H$12*H19/H$28</f>
        <v>54278.834296724453</v>
      </c>
      <c r="J19" s="124">
        <v>5747.93</v>
      </c>
      <c r="K19" s="123">
        <f t="shared" ref="K19:K27" si="9">I19-J19</f>
        <v>48530.904296724453</v>
      </c>
      <c r="L19" s="122">
        <v>125</v>
      </c>
      <c r="M19" s="123">
        <f t="shared" ref="M19:M27" si="10">L$12*L19/L$28</f>
        <v>37612.769749518287</v>
      </c>
      <c r="N19" s="124">
        <v>4461.83</v>
      </c>
      <c r="O19" s="123">
        <f t="shared" ref="O19:O27" si="11">M19-N19</f>
        <v>33150.939749518286</v>
      </c>
      <c r="P19" s="122">
        <v>125</v>
      </c>
      <c r="Q19" s="123">
        <f t="shared" ref="Q19:Q27" si="12">P$12*P19/P$28</f>
        <v>43065.038535645464</v>
      </c>
      <c r="R19" s="124">
        <v>1555.42</v>
      </c>
      <c r="S19" s="123">
        <f t="shared" ref="S19:S27" si="13">Q19-R19</f>
        <v>41509.618535645466</v>
      </c>
      <c r="T19" s="122">
        <v>125</v>
      </c>
      <c r="U19" s="123">
        <f t="shared" ref="U19:U27" si="14">T$12*T19/T$28</f>
        <v>22485.269749518302</v>
      </c>
      <c r="V19" s="124">
        <v>8415.27</v>
      </c>
      <c r="W19" s="123">
        <f t="shared" ref="W19:W27" si="15">U19-V19</f>
        <v>14069.999749518302</v>
      </c>
      <c r="X19" s="122">
        <v>125</v>
      </c>
      <c r="Y19" s="123">
        <f t="shared" ref="Y19:Y27" si="16">X$12*X19/X$28</f>
        <v>19160.486512524079</v>
      </c>
      <c r="Z19" s="124">
        <v>3644.84</v>
      </c>
      <c r="AA19" s="123">
        <f t="shared" ref="AA19:AA27" si="17">Y19-Z19</f>
        <v>15515.646512524079</v>
      </c>
      <c r="AB19" s="122">
        <v>125</v>
      </c>
      <c r="AC19" s="123">
        <f t="shared" ref="AC19:AC27" si="18">AB$12*AB19/AB$28</f>
        <v>38410.756262042378</v>
      </c>
      <c r="AD19" s="124">
        <v>11761.15</v>
      </c>
      <c r="AE19" s="123">
        <f t="shared" ref="AE19:AE27" si="19">AC19-AD19</f>
        <v>26649.606262042376</v>
      </c>
      <c r="AF19" s="122">
        <v>125</v>
      </c>
      <c r="AG19" s="123">
        <f t="shared" ref="AG19:AG27" si="20">AF$12*AF19/AF$28</f>
        <v>31982.58188824663</v>
      </c>
      <c r="AH19" s="124">
        <v>9770.1299999999992</v>
      </c>
      <c r="AI19" s="123">
        <f t="shared" ref="AI19:AI27" si="21">AG19-AH19</f>
        <v>22212.451888246629</v>
      </c>
      <c r="AJ19" s="122">
        <v>125</v>
      </c>
      <c r="AK19" s="123">
        <f t="shared" ref="AK19:AK27" si="22">AJ$12*AJ19/AJ$28</f>
        <v>38038.20809248554</v>
      </c>
      <c r="AL19" s="124">
        <v>18223.080000000002</v>
      </c>
      <c r="AM19" s="123">
        <f t="shared" ref="AM19:AM27" si="23">AK19-AL19</f>
        <v>19815.128092485538</v>
      </c>
      <c r="AN19" s="122">
        <v>125</v>
      </c>
      <c r="AO19" s="123">
        <f t="shared" ref="AO19:AO27" si="24">AN$12*AN19/AN$28</f>
        <v>20292.208574181113</v>
      </c>
      <c r="AP19" s="124">
        <v>3988.75</v>
      </c>
      <c r="AQ19" s="123">
        <f t="shared" ref="AQ19:AQ27" si="25">AO19-AP19</f>
        <v>16303.458574181113</v>
      </c>
      <c r="AR19" s="122">
        <v>125</v>
      </c>
      <c r="AS19" s="123">
        <f t="shared" ref="AS19:AS27" si="26">AR$12*AR19/AR$28</f>
        <v>37557.950385356446</v>
      </c>
      <c r="AT19" s="124">
        <v>12368.93</v>
      </c>
      <c r="AU19" s="123">
        <f t="shared" ref="AU19:AU27" si="27">AS19-AT19</f>
        <v>25189.020385356445</v>
      </c>
      <c r="AV19" s="122">
        <v>125</v>
      </c>
      <c r="AW19" s="123">
        <f t="shared" ref="AW19:AW27" si="28">AV$12*AV19/AV$28</f>
        <v>31125.635838150287</v>
      </c>
      <c r="AX19" s="124">
        <v>5292.98</v>
      </c>
      <c r="AY19" s="126">
        <f t="shared" ref="AY19:AY27" si="29">AW19-AX19</f>
        <v>25832.655838150287</v>
      </c>
      <c r="AZ19" s="127">
        <f t="shared" ref="AZ19:AZ27" si="30">IF($AV$3=AZ$2,AY19,0)+IF($AR$3=AZ$2,AU19,0)+IF($AN$3=AZ$2,AQ19,0)+IF($AJ$3=AZ$2,AM19,0)+IF($AF$3=AZ$2,AI19,0)+IF($AB$3=AZ$2,AE19,0)+IF($X$3=AZ$2,AA19,0)+IF($T$3=AZ$2,W19,0)+IF($P$3=AZ$2,S19,0)+IF($L$3=AZ$2,O19,0)+IF($H$3=AZ$2,K19,0)+IF($D$3=AZ$2,G19,0)</f>
        <v>119066.0457996146</v>
      </c>
      <c r="BA19" s="128">
        <f t="shared" ref="BA19:BA27" si="31">AZ19+$C19</f>
        <v>391559.19065403775</v>
      </c>
      <c r="BB19" s="127">
        <f t="shared" ref="BB19:BB27" si="32">IF($AV$3=BB$2,AY19,0)+IF($AR$3=BB$2,AU19,0)+IF($AN$3=BB$2,AQ19,0)+IF($AJ$3=BB$2,AM19,0)+IF($AF$3=BB$2,AI19,0)+IF($AB$3=BB$2,AE19,0)+IF($X$3=BB$2,AA19,0)+IF($T$3=BB$2,W19,0)+IF($P$3=BB$2,S19,0)+IF($L$3=BB$2,O19,0)+IF($H$3=BB$2,K19,0)+IF($D$3=BB$2,G19,0)</f>
        <v>71095.264797687851</v>
      </c>
      <c r="BC19" s="127"/>
      <c r="BD19" s="128">
        <f t="shared" ref="BD19:BD27" si="33">BB19+BA19</f>
        <v>462654.45545172563</v>
      </c>
      <c r="BE19" s="127">
        <f t="shared" ref="BE19:BE27" si="34">IF($AV$3=BE$2,AY19,0)+IF($AR$3=BE$2,AU19,0)+IF($AN$3=BE$2,AQ19,0)+IF($AJ$3=BE$2,AM19,0)+IF($AF$3=BE$2,AI19,0)+IF($AB$3=BE$2,AE19,0)+IF($X$3=BE$2,AA19,0)+IF($T$3=BE$2,W19,0)+IF($P$3=BE$2,S19,0)+IF($L$3=BE$2,O19,0)+IF($H$3=BE$2,K19,0)+IF($D$3=BE$2,G19,0)</f>
        <v>68677.186242774536</v>
      </c>
      <c r="BF19" s="129"/>
      <c r="BG19" s="130">
        <f t="shared" ref="BG19:BG27" si="35">BE19+BD19</f>
        <v>531331.64169450011</v>
      </c>
      <c r="BH19" s="130">
        <f t="shared" ref="BH19:BH27" si="36">IF($AV$3=BH$2,AY19,0)+IF($AR$3=BH$2,AU19,0)+IF($AN$3=BH$2,AQ19,0)+IF($AJ$3=BH$2,AM19,0)+IF($AF$3=BH$2,AI19,0)+IF($AB$3=BH$2,AE19,0)+IF($X$3=BH$2,AA19,0)+IF($T$3=BH$2,W19,0)+IF($P$3=BH$2,S19,0)+IF($L$3=BH$2,O19,0)+IF($H$3=BH$2,K19,0)+IF($D$3=BH$2,G19,0)</f>
        <v>67325.134797687846</v>
      </c>
      <c r="BI19" s="127"/>
      <c r="BJ19" s="127">
        <f t="shared" ref="BJ19:BJ27" si="37">AY19+AU19+AQ19+AM19+AI19+AE19+AA19+W19+S19+O19+K19+G19</f>
        <v>326163.63163776486</v>
      </c>
      <c r="BK19" s="127">
        <f t="shared" ref="BK19:BK27" si="38">BH19+BG19</f>
        <v>598656.77649218799</v>
      </c>
      <c r="BL19" s="91"/>
      <c r="BM19" s="91"/>
      <c r="BN19" s="17">
        <f t="shared" ref="BN19:BN27" si="39">ROUND(BJ19-SUM(BH19,BE19,BB19,AZ19), 5)</f>
        <v>0</v>
      </c>
      <c r="BO19" s="17">
        <f t="shared" ref="BO19:BO27" si="40">ROUND(BJ19+C19-BK19,5)</f>
        <v>0</v>
      </c>
    </row>
    <row r="20" spans="1:67" ht="13">
      <c r="A20" s="89" t="s">
        <v>209</v>
      </c>
      <c r="B20" s="121"/>
      <c r="C20" s="121">
        <f>'PS Model 2022'!BK29</f>
        <v>1.7575250240042806E-3</v>
      </c>
      <c r="D20" s="122">
        <f>100+175/3</f>
        <v>158.33333333333334</v>
      </c>
      <c r="E20" s="123">
        <f t="shared" si="6"/>
        <v>56302.524887604355</v>
      </c>
      <c r="F20" s="124"/>
      <c r="G20" s="123">
        <f t="shared" si="7"/>
        <v>56302.524887604355</v>
      </c>
      <c r="H20" s="122">
        <f>100+175/3</f>
        <v>158.33333333333334</v>
      </c>
      <c r="I20" s="123">
        <f t="shared" si="8"/>
        <v>68753.190109184303</v>
      </c>
      <c r="J20" s="124"/>
      <c r="K20" s="123">
        <f t="shared" si="9"/>
        <v>68753.190109184303</v>
      </c>
      <c r="L20" s="122">
        <f>100+175/3</f>
        <v>158.33333333333334</v>
      </c>
      <c r="M20" s="123">
        <f t="shared" si="10"/>
        <v>47642.84168272317</v>
      </c>
      <c r="N20" s="124"/>
      <c r="O20" s="123">
        <f t="shared" si="11"/>
        <v>47642.84168272317</v>
      </c>
      <c r="P20" s="122">
        <f>100+175/3</f>
        <v>158.33333333333334</v>
      </c>
      <c r="Q20" s="123">
        <f t="shared" si="12"/>
        <v>54549.048811817593</v>
      </c>
      <c r="R20" s="124"/>
      <c r="S20" s="123">
        <f t="shared" si="13"/>
        <v>54549.048811817593</v>
      </c>
      <c r="T20" s="122">
        <f>100+175/3</f>
        <v>158.33333333333334</v>
      </c>
      <c r="U20" s="123">
        <f t="shared" si="14"/>
        <v>28481.341682723185</v>
      </c>
      <c r="V20" s="124"/>
      <c r="W20" s="123">
        <f t="shared" si="15"/>
        <v>28481.341682723185</v>
      </c>
      <c r="X20" s="122">
        <f>100+175/3</f>
        <v>158.33333333333334</v>
      </c>
      <c r="Y20" s="123">
        <f t="shared" si="16"/>
        <v>24269.949582530502</v>
      </c>
      <c r="Z20" s="124"/>
      <c r="AA20" s="123">
        <f t="shared" si="17"/>
        <v>24269.949582530502</v>
      </c>
      <c r="AB20" s="122">
        <f>100+175/3</f>
        <v>158.33333333333334</v>
      </c>
      <c r="AC20" s="123">
        <f t="shared" si="18"/>
        <v>48653.624598587019</v>
      </c>
      <c r="AD20" s="124"/>
      <c r="AE20" s="123">
        <f t="shared" si="19"/>
        <v>48653.624598587019</v>
      </c>
      <c r="AF20" s="122">
        <f>100+175/3</f>
        <v>158.33333333333334</v>
      </c>
      <c r="AG20" s="123">
        <f t="shared" si="20"/>
        <v>40511.270391779071</v>
      </c>
      <c r="AH20" s="124"/>
      <c r="AI20" s="123">
        <f t="shared" si="21"/>
        <v>40511.270391779071</v>
      </c>
      <c r="AJ20" s="122">
        <f>100+175/3</f>
        <v>158.33333333333334</v>
      </c>
      <c r="AK20" s="123">
        <f t="shared" si="22"/>
        <v>48181.730250481691</v>
      </c>
      <c r="AL20" s="124"/>
      <c r="AM20" s="123">
        <f t="shared" si="23"/>
        <v>48181.730250481691</v>
      </c>
      <c r="AN20" s="122">
        <f>100+175/3</f>
        <v>158.33333333333334</v>
      </c>
      <c r="AO20" s="123">
        <f t="shared" si="24"/>
        <v>25703.464193962747</v>
      </c>
      <c r="AP20" s="124"/>
      <c r="AQ20" s="123">
        <f t="shared" si="25"/>
        <v>25703.464193962747</v>
      </c>
      <c r="AR20" s="122">
        <f>100+175/3</f>
        <v>158.33333333333334</v>
      </c>
      <c r="AS20" s="123">
        <f t="shared" si="26"/>
        <v>47573.403821451495</v>
      </c>
      <c r="AT20" s="124"/>
      <c r="AU20" s="123">
        <f t="shared" si="27"/>
        <v>47573.403821451495</v>
      </c>
      <c r="AV20" s="122">
        <f>100+175/3</f>
        <v>158.33333333333334</v>
      </c>
      <c r="AW20" s="123">
        <f t="shared" si="28"/>
        <v>39425.805394990362</v>
      </c>
      <c r="AX20" s="124"/>
      <c r="AY20" s="126">
        <f t="shared" si="29"/>
        <v>39425.805394990362</v>
      </c>
      <c r="AZ20" s="127">
        <f t="shared" si="30"/>
        <v>172698.55667951182</v>
      </c>
      <c r="BA20" s="128">
        <f t="shared" si="31"/>
        <v>172698.55843703685</v>
      </c>
      <c r="BB20" s="127">
        <f t="shared" si="32"/>
        <v>107300.34007707128</v>
      </c>
      <c r="BC20" s="127"/>
      <c r="BD20" s="128">
        <f t="shared" si="33"/>
        <v>279998.89851410815</v>
      </c>
      <c r="BE20" s="127">
        <f t="shared" si="34"/>
        <v>137346.62524084779</v>
      </c>
      <c r="BF20" s="129"/>
      <c r="BG20" s="130">
        <f t="shared" si="35"/>
        <v>417345.52375495597</v>
      </c>
      <c r="BH20" s="130">
        <f t="shared" si="36"/>
        <v>112702.6734104046</v>
      </c>
      <c r="BI20" s="127"/>
      <c r="BJ20" s="127">
        <f t="shared" si="37"/>
        <v>530048.19540783553</v>
      </c>
      <c r="BK20" s="127">
        <f t="shared" si="38"/>
        <v>530048.19716536056</v>
      </c>
      <c r="BL20" s="91"/>
      <c r="BM20" s="91"/>
      <c r="BN20" s="17">
        <f t="shared" si="39"/>
        <v>0</v>
      </c>
      <c r="BO20" s="17">
        <f t="shared" si="40"/>
        <v>0</v>
      </c>
    </row>
    <row r="21" spans="1:67" ht="13">
      <c r="A21" s="89" t="s">
        <v>61</v>
      </c>
      <c r="B21" s="121"/>
      <c r="C21" s="121">
        <f>'PS Model 2022'!BK30</f>
        <v>-2.4548145593144E-3</v>
      </c>
      <c r="D21" s="131">
        <f t="shared" ref="D21:D22" si="41">50+175/3</f>
        <v>108.33333333333334</v>
      </c>
      <c r="E21" s="123">
        <f t="shared" si="6"/>
        <v>38522.780186255615</v>
      </c>
      <c r="F21" s="124"/>
      <c r="G21" s="126">
        <f t="shared" si="7"/>
        <v>38522.780186255615</v>
      </c>
      <c r="H21" s="131">
        <f t="shared" ref="H21:H22" si="42">50+175/3</f>
        <v>108.33333333333334</v>
      </c>
      <c r="I21" s="123">
        <f t="shared" si="8"/>
        <v>47041.656390494529</v>
      </c>
      <c r="J21" s="124"/>
      <c r="K21" s="126">
        <f t="shared" si="9"/>
        <v>47041.656390494529</v>
      </c>
      <c r="L21" s="131">
        <f t="shared" ref="L21:L22" si="43">50+175/3</f>
        <v>108.33333333333334</v>
      </c>
      <c r="M21" s="123">
        <f t="shared" si="10"/>
        <v>32597.733782915853</v>
      </c>
      <c r="N21" s="124"/>
      <c r="O21" s="126">
        <f t="shared" si="11"/>
        <v>32597.733782915853</v>
      </c>
      <c r="P21" s="131">
        <f t="shared" ref="P21:P22" si="44">50+175/3</f>
        <v>108.33333333333334</v>
      </c>
      <c r="Q21" s="123">
        <f t="shared" si="12"/>
        <v>37323.033397559404</v>
      </c>
      <c r="R21" s="124"/>
      <c r="S21" s="126">
        <f t="shared" si="13"/>
        <v>37323.033397559404</v>
      </c>
      <c r="T21" s="131">
        <f t="shared" ref="T21:T22" si="45">50+175/3</f>
        <v>108.33333333333334</v>
      </c>
      <c r="U21" s="123">
        <f t="shared" si="14"/>
        <v>19487.233782915864</v>
      </c>
      <c r="V21" s="124"/>
      <c r="W21" s="126">
        <f t="shared" si="15"/>
        <v>19487.233782915864</v>
      </c>
      <c r="X21" s="131">
        <f t="shared" ref="X21:X22" si="46">50+175/3</f>
        <v>108.33333333333334</v>
      </c>
      <c r="Y21" s="123">
        <f t="shared" si="16"/>
        <v>16605.754977520872</v>
      </c>
      <c r="Z21" s="124"/>
      <c r="AA21" s="126">
        <f t="shared" si="17"/>
        <v>16605.754977520872</v>
      </c>
      <c r="AB21" s="131">
        <f t="shared" ref="AB21:AB22" si="47">50+175/3</f>
        <v>108.33333333333334</v>
      </c>
      <c r="AC21" s="123">
        <f t="shared" si="18"/>
        <v>33289.322093770068</v>
      </c>
      <c r="AD21" s="124"/>
      <c r="AE21" s="126">
        <f t="shared" si="19"/>
        <v>33289.322093770068</v>
      </c>
      <c r="AF21" s="131">
        <f t="shared" ref="AF21:AF22" si="48">50+175/3</f>
        <v>108.33333333333334</v>
      </c>
      <c r="AG21" s="123">
        <f t="shared" si="20"/>
        <v>27718.237636480419</v>
      </c>
      <c r="AH21" s="124"/>
      <c r="AI21" s="126">
        <f t="shared" si="21"/>
        <v>27718.237636480419</v>
      </c>
      <c r="AJ21" s="131">
        <f t="shared" ref="AJ21:AJ22" si="49">50+175/3</f>
        <v>108.33333333333334</v>
      </c>
      <c r="AK21" s="123">
        <f t="shared" si="22"/>
        <v>32966.447013487479</v>
      </c>
      <c r="AL21" s="124"/>
      <c r="AM21" s="126">
        <f t="shared" si="23"/>
        <v>32966.447013487479</v>
      </c>
      <c r="AN21" s="131">
        <f t="shared" ref="AN21:AN22" si="50">50+175/3</f>
        <v>108.33333333333334</v>
      </c>
      <c r="AO21" s="123">
        <f t="shared" si="24"/>
        <v>17586.580764290302</v>
      </c>
      <c r="AP21" s="124"/>
      <c r="AQ21" s="126">
        <f t="shared" si="25"/>
        <v>17586.580764290302</v>
      </c>
      <c r="AR21" s="131">
        <f t="shared" ref="AR21:AR22" si="51">50+175/3</f>
        <v>108.33333333333334</v>
      </c>
      <c r="AS21" s="123">
        <f t="shared" si="26"/>
        <v>32550.223667308917</v>
      </c>
      <c r="AT21" s="124"/>
      <c r="AU21" s="126">
        <f t="shared" si="27"/>
        <v>32550.223667308917</v>
      </c>
      <c r="AV21" s="131">
        <f t="shared" ref="AV21:AV22" si="52">50+175/3</f>
        <v>108.33333333333334</v>
      </c>
      <c r="AW21" s="123">
        <f t="shared" si="28"/>
        <v>26975.551059730249</v>
      </c>
      <c r="AX21" s="124"/>
      <c r="AY21" s="126">
        <f t="shared" si="29"/>
        <v>26975.551059730249</v>
      </c>
      <c r="AZ21" s="127">
        <f t="shared" si="30"/>
        <v>118162.17035966599</v>
      </c>
      <c r="BA21" s="128">
        <f t="shared" si="31"/>
        <v>118162.16790485143</v>
      </c>
      <c r="BB21" s="127">
        <f t="shared" si="32"/>
        <v>73416.022157996136</v>
      </c>
      <c r="BC21" s="127"/>
      <c r="BD21" s="128">
        <f t="shared" si="33"/>
        <v>191578.19006284757</v>
      </c>
      <c r="BE21" s="127">
        <f t="shared" si="34"/>
        <v>93974.006743737962</v>
      </c>
      <c r="BF21" s="129"/>
      <c r="BG21" s="130">
        <f t="shared" si="35"/>
        <v>285552.19680658553</v>
      </c>
      <c r="BH21" s="130">
        <f t="shared" si="36"/>
        <v>77112.355491329479</v>
      </c>
      <c r="BI21" s="127"/>
      <c r="BJ21" s="127">
        <f t="shared" si="37"/>
        <v>362664.55475272966</v>
      </c>
      <c r="BK21" s="127">
        <f t="shared" si="38"/>
        <v>362664.55229791498</v>
      </c>
      <c r="BL21" s="91"/>
      <c r="BM21" s="91"/>
      <c r="BN21" s="17">
        <f t="shared" si="39"/>
        <v>0</v>
      </c>
      <c r="BO21" s="17">
        <f t="shared" si="40"/>
        <v>0</v>
      </c>
    </row>
    <row r="22" spans="1:67" ht="13">
      <c r="A22" s="89" t="s">
        <v>65</v>
      </c>
      <c r="B22" s="121"/>
      <c r="C22" s="121">
        <f>'PS Model 2022'!BK31</f>
        <v>-2.4548145593144E-3</v>
      </c>
      <c r="D22" s="131">
        <f t="shared" si="41"/>
        <v>108.33333333333334</v>
      </c>
      <c r="E22" s="123">
        <f t="shared" si="6"/>
        <v>38522.780186255615</v>
      </c>
      <c r="F22" s="124"/>
      <c r="G22" s="126">
        <f t="shared" si="7"/>
        <v>38522.780186255615</v>
      </c>
      <c r="H22" s="131">
        <f t="shared" si="42"/>
        <v>108.33333333333334</v>
      </c>
      <c r="I22" s="123">
        <f t="shared" si="8"/>
        <v>47041.656390494529</v>
      </c>
      <c r="J22" s="124"/>
      <c r="K22" s="126">
        <f t="shared" si="9"/>
        <v>47041.656390494529</v>
      </c>
      <c r="L22" s="131">
        <f t="shared" si="43"/>
        <v>108.33333333333334</v>
      </c>
      <c r="M22" s="123">
        <f t="shared" si="10"/>
        <v>32597.733782915853</v>
      </c>
      <c r="N22" s="124"/>
      <c r="O22" s="126">
        <f t="shared" si="11"/>
        <v>32597.733782915853</v>
      </c>
      <c r="P22" s="131">
        <f t="shared" si="44"/>
        <v>108.33333333333334</v>
      </c>
      <c r="Q22" s="123">
        <f t="shared" si="12"/>
        <v>37323.033397559404</v>
      </c>
      <c r="R22" s="124"/>
      <c r="S22" s="126">
        <f t="shared" si="13"/>
        <v>37323.033397559404</v>
      </c>
      <c r="T22" s="131">
        <f t="shared" si="45"/>
        <v>108.33333333333334</v>
      </c>
      <c r="U22" s="123">
        <f t="shared" si="14"/>
        <v>19487.233782915864</v>
      </c>
      <c r="V22" s="124"/>
      <c r="W22" s="126">
        <f t="shared" si="15"/>
        <v>19487.233782915864</v>
      </c>
      <c r="X22" s="131">
        <f t="shared" si="46"/>
        <v>108.33333333333334</v>
      </c>
      <c r="Y22" s="123">
        <f t="shared" si="16"/>
        <v>16605.754977520872</v>
      </c>
      <c r="Z22" s="124"/>
      <c r="AA22" s="126">
        <f t="shared" si="17"/>
        <v>16605.754977520872</v>
      </c>
      <c r="AB22" s="131">
        <f t="shared" si="47"/>
        <v>108.33333333333334</v>
      </c>
      <c r="AC22" s="123">
        <f t="shared" si="18"/>
        <v>33289.322093770068</v>
      </c>
      <c r="AD22" s="124"/>
      <c r="AE22" s="126">
        <f t="shared" si="19"/>
        <v>33289.322093770068</v>
      </c>
      <c r="AF22" s="131">
        <f t="shared" si="48"/>
        <v>108.33333333333334</v>
      </c>
      <c r="AG22" s="123">
        <f t="shared" si="20"/>
        <v>27718.237636480419</v>
      </c>
      <c r="AH22" s="124"/>
      <c r="AI22" s="126">
        <f t="shared" si="21"/>
        <v>27718.237636480419</v>
      </c>
      <c r="AJ22" s="131">
        <f t="shared" si="49"/>
        <v>108.33333333333334</v>
      </c>
      <c r="AK22" s="123">
        <f t="shared" si="22"/>
        <v>32966.447013487479</v>
      </c>
      <c r="AL22" s="124"/>
      <c r="AM22" s="126">
        <f t="shared" si="23"/>
        <v>32966.447013487479</v>
      </c>
      <c r="AN22" s="131">
        <f t="shared" si="50"/>
        <v>108.33333333333334</v>
      </c>
      <c r="AO22" s="123">
        <f t="shared" si="24"/>
        <v>17586.580764290302</v>
      </c>
      <c r="AP22" s="124"/>
      <c r="AQ22" s="126">
        <f t="shared" si="25"/>
        <v>17586.580764290302</v>
      </c>
      <c r="AR22" s="131">
        <f t="shared" si="51"/>
        <v>108.33333333333334</v>
      </c>
      <c r="AS22" s="123">
        <f t="shared" si="26"/>
        <v>32550.223667308917</v>
      </c>
      <c r="AT22" s="124"/>
      <c r="AU22" s="126">
        <f t="shared" si="27"/>
        <v>32550.223667308917</v>
      </c>
      <c r="AV22" s="131">
        <f t="shared" si="52"/>
        <v>108.33333333333334</v>
      </c>
      <c r="AW22" s="123">
        <f t="shared" si="28"/>
        <v>26975.551059730249</v>
      </c>
      <c r="AX22" s="124"/>
      <c r="AY22" s="126">
        <f t="shared" si="29"/>
        <v>26975.551059730249</v>
      </c>
      <c r="AZ22" s="127">
        <f t="shared" si="30"/>
        <v>118162.17035966599</v>
      </c>
      <c r="BA22" s="128">
        <f t="shared" si="31"/>
        <v>118162.16790485143</v>
      </c>
      <c r="BB22" s="127">
        <f t="shared" si="32"/>
        <v>73416.022157996136</v>
      </c>
      <c r="BC22" s="127"/>
      <c r="BD22" s="128">
        <f t="shared" si="33"/>
        <v>191578.19006284757</v>
      </c>
      <c r="BE22" s="127">
        <f t="shared" si="34"/>
        <v>93974.006743737962</v>
      </c>
      <c r="BF22" s="129"/>
      <c r="BG22" s="130">
        <f t="shared" si="35"/>
        <v>285552.19680658553</v>
      </c>
      <c r="BH22" s="130">
        <f t="shared" si="36"/>
        <v>77112.355491329479</v>
      </c>
      <c r="BI22" s="127"/>
      <c r="BJ22" s="127">
        <f t="shared" si="37"/>
        <v>362664.55475272966</v>
      </c>
      <c r="BK22" s="127">
        <f t="shared" si="38"/>
        <v>362664.55229791498</v>
      </c>
      <c r="BL22" s="91"/>
      <c r="BM22" s="91"/>
      <c r="BN22" s="17">
        <f t="shared" si="39"/>
        <v>0</v>
      </c>
      <c r="BO22" s="17">
        <f t="shared" si="40"/>
        <v>0</v>
      </c>
    </row>
    <row r="23" spans="1:67" ht="13">
      <c r="A23" s="89" t="s">
        <v>210</v>
      </c>
      <c r="B23" s="121"/>
      <c r="C23" s="121">
        <f>'PS Model 2022'!BK32</f>
        <v>-383.32495479405407</v>
      </c>
      <c r="D23" s="53">
        <v>6</v>
      </c>
      <c r="E23" s="123">
        <f t="shared" si="6"/>
        <v>2133.5693641618491</v>
      </c>
      <c r="F23" s="124"/>
      <c r="G23" s="126">
        <f t="shared" si="7"/>
        <v>2133.5693641618491</v>
      </c>
      <c r="H23" s="53">
        <v>6</v>
      </c>
      <c r="I23" s="123">
        <f t="shared" si="8"/>
        <v>2605.3840462427738</v>
      </c>
      <c r="J23" s="124"/>
      <c r="K23" s="126">
        <f t="shared" si="9"/>
        <v>2605.3840462427738</v>
      </c>
      <c r="L23" s="53">
        <v>6</v>
      </c>
      <c r="M23" s="123">
        <f t="shared" si="10"/>
        <v>1805.4129479768778</v>
      </c>
      <c r="N23" s="124"/>
      <c r="O23" s="126">
        <f t="shared" si="11"/>
        <v>1805.4129479768778</v>
      </c>
      <c r="P23" s="53">
        <v>6</v>
      </c>
      <c r="Q23" s="123">
        <f t="shared" si="12"/>
        <v>2067.1218497109821</v>
      </c>
      <c r="R23" s="124"/>
      <c r="S23" s="126">
        <f t="shared" si="13"/>
        <v>2067.1218497109821</v>
      </c>
      <c r="T23" s="53">
        <v>6</v>
      </c>
      <c r="U23" s="123">
        <f t="shared" si="14"/>
        <v>1079.2929479768784</v>
      </c>
      <c r="V23" s="124"/>
      <c r="W23" s="126">
        <f t="shared" si="15"/>
        <v>1079.2929479768784</v>
      </c>
      <c r="X23" s="53">
        <v>6</v>
      </c>
      <c r="Y23" s="123">
        <f t="shared" si="16"/>
        <v>919.70335260115587</v>
      </c>
      <c r="Z23" s="124"/>
      <c r="AA23" s="126">
        <f t="shared" si="17"/>
        <v>919.70335260115587</v>
      </c>
      <c r="AB23" s="53">
        <v>6</v>
      </c>
      <c r="AC23" s="123">
        <f t="shared" si="18"/>
        <v>1843.7163005780344</v>
      </c>
      <c r="AD23" s="124"/>
      <c r="AE23" s="126">
        <f t="shared" si="19"/>
        <v>1843.7163005780344</v>
      </c>
      <c r="AF23" s="53">
        <v>6</v>
      </c>
      <c r="AG23" s="123">
        <f t="shared" si="20"/>
        <v>1535.1639306358384</v>
      </c>
      <c r="AH23" s="124"/>
      <c r="AI23" s="126">
        <f t="shared" si="21"/>
        <v>1535.1639306358384</v>
      </c>
      <c r="AJ23" s="53">
        <v>6</v>
      </c>
      <c r="AK23" s="123">
        <f t="shared" si="22"/>
        <v>1825.833988439306</v>
      </c>
      <c r="AL23" s="124"/>
      <c r="AM23" s="126">
        <f t="shared" si="23"/>
        <v>1825.833988439306</v>
      </c>
      <c r="AN23" s="53">
        <v>6</v>
      </c>
      <c r="AO23" s="123">
        <f t="shared" si="24"/>
        <v>974.02601156069341</v>
      </c>
      <c r="AP23" s="124"/>
      <c r="AQ23" s="126">
        <f t="shared" si="25"/>
        <v>974.02601156069341</v>
      </c>
      <c r="AR23" s="53">
        <v>6</v>
      </c>
      <c r="AS23" s="123">
        <f t="shared" si="26"/>
        <v>1802.7816184971093</v>
      </c>
      <c r="AT23" s="124"/>
      <c r="AU23" s="126">
        <f t="shared" si="27"/>
        <v>1802.7816184971093</v>
      </c>
      <c r="AV23" s="53">
        <v>6</v>
      </c>
      <c r="AW23" s="123">
        <f t="shared" si="28"/>
        <v>1494.0305202312138</v>
      </c>
      <c r="AX23" s="124"/>
      <c r="AY23" s="126">
        <f t="shared" si="29"/>
        <v>1494.0305202312138</v>
      </c>
      <c r="AZ23" s="127">
        <f t="shared" si="30"/>
        <v>6544.3663583815005</v>
      </c>
      <c r="BA23" s="128">
        <f t="shared" si="31"/>
        <v>6161.0414035874464</v>
      </c>
      <c r="BB23" s="127">
        <f t="shared" si="32"/>
        <v>4066.1181502890163</v>
      </c>
      <c r="BC23" s="127"/>
      <c r="BD23" s="128">
        <f t="shared" si="33"/>
        <v>10227.159553876463</v>
      </c>
      <c r="BE23" s="127">
        <f t="shared" si="34"/>
        <v>5204.7142196531786</v>
      </c>
      <c r="BF23" s="129"/>
      <c r="BG23" s="130">
        <f t="shared" si="35"/>
        <v>15431.873773529642</v>
      </c>
      <c r="BH23" s="130">
        <f t="shared" si="36"/>
        <v>4270.838150289017</v>
      </c>
      <c r="BI23" s="127"/>
      <c r="BJ23" s="127">
        <f t="shared" si="37"/>
        <v>20086.036878612715</v>
      </c>
      <c r="BK23" s="127">
        <f t="shared" si="38"/>
        <v>19702.711923818657</v>
      </c>
      <c r="BL23" s="91"/>
      <c r="BM23" s="91"/>
      <c r="BN23" s="17">
        <f t="shared" si="39"/>
        <v>0</v>
      </c>
      <c r="BO23" s="17">
        <f t="shared" si="40"/>
        <v>0</v>
      </c>
    </row>
    <row r="24" spans="1:67" ht="13">
      <c r="A24" s="132" t="s">
        <v>211</v>
      </c>
      <c r="B24" s="121"/>
      <c r="C24" s="121">
        <f>'PS Model 2022'!BK33</f>
        <v>-159.72473336270923</v>
      </c>
      <c r="D24" s="178">
        <v>2.5</v>
      </c>
      <c r="E24" s="134">
        <f t="shared" si="6"/>
        <v>888.98723506743715</v>
      </c>
      <c r="F24" s="135"/>
      <c r="G24" s="136">
        <f t="shared" si="7"/>
        <v>888.98723506743715</v>
      </c>
      <c r="H24" s="178">
        <v>2.5</v>
      </c>
      <c r="I24" s="134">
        <f t="shared" si="8"/>
        <v>1085.576685934489</v>
      </c>
      <c r="J24" s="135"/>
      <c r="K24" s="136">
        <f t="shared" si="9"/>
        <v>1085.576685934489</v>
      </c>
      <c r="L24" s="178">
        <v>2.5</v>
      </c>
      <c r="M24" s="134">
        <f t="shared" si="10"/>
        <v>752.25539499036574</v>
      </c>
      <c r="N24" s="135"/>
      <c r="O24" s="136">
        <f t="shared" si="11"/>
        <v>752.25539499036574</v>
      </c>
      <c r="P24" s="178">
        <v>2.5</v>
      </c>
      <c r="Q24" s="134">
        <f t="shared" si="12"/>
        <v>861.3007707129093</v>
      </c>
      <c r="R24" s="135"/>
      <c r="S24" s="136">
        <f t="shared" si="13"/>
        <v>861.3007707129093</v>
      </c>
      <c r="T24" s="178">
        <v>2.5</v>
      </c>
      <c r="U24" s="134">
        <f t="shared" si="14"/>
        <v>449.70539499036607</v>
      </c>
      <c r="V24" s="135"/>
      <c r="W24" s="136">
        <f t="shared" si="15"/>
        <v>449.70539499036607</v>
      </c>
      <c r="X24" s="178">
        <v>2.5</v>
      </c>
      <c r="Y24" s="123">
        <f t="shared" si="16"/>
        <v>383.20973025048158</v>
      </c>
      <c r="Z24" s="135"/>
      <c r="AA24" s="136">
        <f t="shared" si="17"/>
        <v>383.20973025048158</v>
      </c>
      <c r="AB24" s="178">
        <v>2.5</v>
      </c>
      <c r="AC24" s="134">
        <f t="shared" si="18"/>
        <v>768.21512524084756</v>
      </c>
      <c r="AD24" s="135"/>
      <c r="AE24" s="136">
        <f t="shared" si="19"/>
        <v>768.21512524084756</v>
      </c>
      <c r="AF24" s="178">
        <v>2.5</v>
      </c>
      <c r="AG24" s="134">
        <f t="shared" si="20"/>
        <v>639.65163776493262</v>
      </c>
      <c r="AH24" s="135"/>
      <c r="AI24" s="136">
        <f t="shared" si="21"/>
        <v>639.65163776493262</v>
      </c>
      <c r="AJ24" s="178">
        <v>2.5</v>
      </c>
      <c r="AK24" s="134">
        <f t="shared" si="22"/>
        <v>760.76416184971083</v>
      </c>
      <c r="AL24" s="135"/>
      <c r="AM24" s="136">
        <f t="shared" si="23"/>
        <v>760.76416184971083</v>
      </c>
      <c r="AN24" s="178">
        <v>2.5</v>
      </c>
      <c r="AO24" s="134">
        <f t="shared" si="24"/>
        <v>405.84417148362229</v>
      </c>
      <c r="AP24" s="135"/>
      <c r="AQ24" s="136">
        <f t="shared" si="25"/>
        <v>405.84417148362229</v>
      </c>
      <c r="AR24" s="178">
        <v>2.5</v>
      </c>
      <c r="AS24" s="134">
        <f t="shared" si="26"/>
        <v>751.15900770712881</v>
      </c>
      <c r="AT24" s="135"/>
      <c r="AU24" s="136">
        <f t="shared" si="27"/>
        <v>751.15900770712881</v>
      </c>
      <c r="AV24" s="178">
        <v>2.5</v>
      </c>
      <c r="AW24" s="134">
        <f t="shared" si="28"/>
        <v>622.51271676300576</v>
      </c>
      <c r="AX24" s="135"/>
      <c r="AY24" s="136">
        <f t="shared" si="29"/>
        <v>622.51271676300576</v>
      </c>
      <c r="AZ24" s="127">
        <f t="shared" si="30"/>
        <v>2726.8193159922921</v>
      </c>
      <c r="BA24" s="137">
        <f t="shared" si="31"/>
        <v>2567.0945826295829</v>
      </c>
      <c r="BB24" s="127">
        <f t="shared" si="32"/>
        <v>1694.2158959537569</v>
      </c>
      <c r="BC24" s="138"/>
      <c r="BD24" s="128">
        <f t="shared" si="33"/>
        <v>4261.3104785833402</v>
      </c>
      <c r="BE24" s="127">
        <f t="shared" si="34"/>
        <v>2168.6309248554908</v>
      </c>
      <c r="BF24" s="139"/>
      <c r="BG24" s="130">
        <f t="shared" si="35"/>
        <v>6429.941403438831</v>
      </c>
      <c r="BH24" s="130">
        <f t="shared" si="36"/>
        <v>1779.5158959537566</v>
      </c>
      <c r="BI24" s="138"/>
      <c r="BJ24" s="138">
        <f t="shared" si="37"/>
        <v>8369.1820327552959</v>
      </c>
      <c r="BK24" s="127">
        <f t="shared" si="38"/>
        <v>8209.4572993925867</v>
      </c>
      <c r="BL24" s="140"/>
      <c r="BM24" s="140"/>
      <c r="BN24" s="17">
        <f t="shared" si="39"/>
        <v>0</v>
      </c>
      <c r="BO24" s="17">
        <f t="shared" si="40"/>
        <v>0</v>
      </c>
    </row>
    <row r="25" spans="1:67" ht="13">
      <c r="A25" s="132" t="s">
        <v>212</v>
      </c>
      <c r="B25" s="121"/>
      <c r="C25" s="121">
        <f>'PS Model 2022'!BK34</f>
        <v>-255.55530052255017</v>
      </c>
      <c r="D25" s="178">
        <v>4</v>
      </c>
      <c r="E25" s="134">
        <f t="shared" si="6"/>
        <v>1422.3795761078995</v>
      </c>
      <c r="F25" s="135"/>
      <c r="G25" s="136">
        <f t="shared" si="7"/>
        <v>1422.3795761078995</v>
      </c>
      <c r="H25" s="178">
        <v>4</v>
      </c>
      <c r="I25" s="134">
        <f t="shared" si="8"/>
        <v>1736.9226974951825</v>
      </c>
      <c r="J25" s="135"/>
      <c r="K25" s="136">
        <f t="shared" si="9"/>
        <v>1736.9226974951825</v>
      </c>
      <c r="L25" s="178">
        <v>4</v>
      </c>
      <c r="M25" s="134">
        <f t="shared" si="10"/>
        <v>1203.6086319845854</v>
      </c>
      <c r="N25" s="135"/>
      <c r="O25" s="136">
        <f t="shared" si="11"/>
        <v>1203.6086319845854</v>
      </c>
      <c r="P25" s="178">
        <v>4</v>
      </c>
      <c r="Q25" s="134">
        <f t="shared" si="12"/>
        <v>1378.0812331406548</v>
      </c>
      <c r="R25" s="135"/>
      <c r="S25" s="136">
        <f t="shared" si="13"/>
        <v>1378.0812331406548</v>
      </c>
      <c r="T25" s="178">
        <v>4</v>
      </c>
      <c r="U25" s="134">
        <f t="shared" si="14"/>
        <v>719.52863198458567</v>
      </c>
      <c r="V25" s="135"/>
      <c r="W25" s="136">
        <f t="shared" si="15"/>
        <v>719.52863198458567</v>
      </c>
      <c r="X25" s="178">
        <v>4</v>
      </c>
      <c r="Y25" s="123">
        <f t="shared" si="16"/>
        <v>613.13556840077058</v>
      </c>
      <c r="Z25" s="135"/>
      <c r="AA25" s="136">
        <f t="shared" si="17"/>
        <v>613.13556840077058</v>
      </c>
      <c r="AB25" s="178">
        <v>4</v>
      </c>
      <c r="AC25" s="134">
        <f t="shared" si="18"/>
        <v>1229.144200385356</v>
      </c>
      <c r="AD25" s="135"/>
      <c r="AE25" s="136">
        <f t="shared" si="19"/>
        <v>1229.144200385356</v>
      </c>
      <c r="AF25" s="178">
        <v>4</v>
      </c>
      <c r="AG25" s="134">
        <f t="shared" si="20"/>
        <v>1023.4426204238923</v>
      </c>
      <c r="AH25" s="135"/>
      <c r="AI25" s="136">
        <f t="shared" si="21"/>
        <v>1023.4426204238923</v>
      </c>
      <c r="AJ25" s="178">
        <v>4</v>
      </c>
      <c r="AK25" s="134">
        <f t="shared" si="22"/>
        <v>1217.2226589595375</v>
      </c>
      <c r="AL25" s="135"/>
      <c r="AM25" s="136">
        <f t="shared" si="23"/>
        <v>1217.2226589595375</v>
      </c>
      <c r="AN25" s="178">
        <v>4</v>
      </c>
      <c r="AO25" s="134">
        <f t="shared" si="24"/>
        <v>649.35067437379564</v>
      </c>
      <c r="AP25" s="135"/>
      <c r="AQ25" s="136">
        <f t="shared" si="25"/>
        <v>649.35067437379564</v>
      </c>
      <c r="AR25" s="178">
        <v>4</v>
      </c>
      <c r="AS25" s="134">
        <f t="shared" si="26"/>
        <v>1201.8544123314061</v>
      </c>
      <c r="AT25" s="135"/>
      <c r="AU25" s="136">
        <f t="shared" si="27"/>
        <v>1201.8544123314061</v>
      </c>
      <c r="AV25" s="178">
        <v>4</v>
      </c>
      <c r="AW25" s="134">
        <f t="shared" si="28"/>
        <v>996.0203468208091</v>
      </c>
      <c r="AX25" s="135"/>
      <c r="AY25" s="136">
        <f t="shared" si="29"/>
        <v>996.0203468208091</v>
      </c>
      <c r="AZ25" s="127">
        <f t="shared" si="30"/>
        <v>4362.910905587667</v>
      </c>
      <c r="BA25" s="137">
        <f t="shared" si="31"/>
        <v>4107.3556050651168</v>
      </c>
      <c r="BB25" s="127">
        <f t="shared" si="32"/>
        <v>2710.7454335260109</v>
      </c>
      <c r="BC25" s="138"/>
      <c r="BD25" s="128">
        <f t="shared" si="33"/>
        <v>6818.1010385911277</v>
      </c>
      <c r="BE25" s="127">
        <f t="shared" si="34"/>
        <v>3469.8094797687863</v>
      </c>
      <c r="BF25" s="139"/>
      <c r="BG25" s="130">
        <f t="shared" si="35"/>
        <v>10287.910518359913</v>
      </c>
      <c r="BH25" s="130">
        <f t="shared" si="36"/>
        <v>2847.2254335260109</v>
      </c>
      <c r="BI25" s="138"/>
      <c r="BJ25" s="138">
        <f t="shared" si="37"/>
        <v>13390.691252408475</v>
      </c>
      <c r="BK25" s="127">
        <f t="shared" si="38"/>
        <v>13135.135951885924</v>
      </c>
      <c r="BL25" s="140"/>
      <c r="BM25" s="140"/>
      <c r="BN25" s="17">
        <f t="shared" si="39"/>
        <v>0</v>
      </c>
      <c r="BO25" s="17">
        <f t="shared" si="40"/>
        <v>0</v>
      </c>
    </row>
    <row r="26" spans="1:67" ht="13">
      <c r="A26" s="132" t="s">
        <v>213</v>
      </c>
      <c r="B26" s="121"/>
      <c r="C26" s="121">
        <f>'PS Model 2022'!BK35</f>
        <v>-159.71878612717046</v>
      </c>
      <c r="D26" s="178">
        <v>2.5</v>
      </c>
      <c r="E26" s="134">
        <f t="shared" si="6"/>
        <v>888.98723506743715</v>
      </c>
      <c r="F26" s="135"/>
      <c r="G26" s="136">
        <f t="shared" si="7"/>
        <v>888.98723506743715</v>
      </c>
      <c r="H26" s="178">
        <v>2.5</v>
      </c>
      <c r="I26" s="134">
        <f t="shared" si="8"/>
        <v>1085.576685934489</v>
      </c>
      <c r="J26" s="135"/>
      <c r="K26" s="136">
        <f t="shared" si="9"/>
        <v>1085.576685934489</v>
      </c>
      <c r="L26" s="178">
        <v>2.5</v>
      </c>
      <c r="M26" s="134">
        <f t="shared" si="10"/>
        <v>752.25539499036574</v>
      </c>
      <c r="N26" s="135"/>
      <c r="O26" s="136">
        <f t="shared" si="11"/>
        <v>752.25539499036574</v>
      </c>
      <c r="P26" s="178">
        <v>2.5</v>
      </c>
      <c r="Q26" s="134">
        <f t="shared" si="12"/>
        <v>861.3007707129093</v>
      </c>
      <c r="R26" s="135"/>
      <c r="S26" s="136">
        <f t="shared" si="13"/>
        <v>861.3007707129093</v>
      </c>
      <c r="T26" s="178">
        <v>2.5</v>
      </c>
      <c r="U26" s="134">
        <f t="shared" si="14"/>
        <v>449.70539499036607</v>
      </c>
      <c r="V26" s="135"/>
      <c r="W26" s="136">
        <f t="shared" si="15"/>
        <v>449.70539499036607</v>
      </c>
      <c r="X26" s="178">
        <v>2.5</v>
      </c>
      <c r="Y26" s="123">
        <f t="shared" si="16"/>
        <v>383.20973025048158</v>
      </c>
      <c r="Z26" s="135"/>
      <c r="AA26" s="136">
        <f t="shared" si="17"/>
        <v>383.20973025048158</v>
      </c>
      <c r="AB26" s="178">
        <v>2.5</v>
      </c>
      <c r="AC26" s="134">
        <f t="shared" si="18"/>
        <v>768.21512524084756</v>
      </c>
      <c r="AD26" s="135"/>
      <c r="AE26" s="136">
        <f t="shared" si="19"/>
        <v>768.21512524084756</v>
      </c>
      <c r="AF26" s="178">
        <v>2.5</v>
      </c>
      <c r="AG26" s="134">
        <f t="shared" si="20"/>
        <v>639.65163776493262</v>
      </c>
      <c r="AH26" s="135"/>
      <c r="AI26" s="136">
        <f t="shared" si="21"/>
        <v>639.65163776493262</v>
      </c>
      <c r="AJ26" s="178">
        <v>2.5</v>
      </c>
      <c r="AK26" s="134">
        <f t="shared" si="22"/>
        <v>760.76416184971083</v>
      </c>
      <c r="AL26" s="135"/>
      <c r="AM26" s="136">
        <f t="shared" si="23"/>
        <v>760.76416184971083</v>
      </c>
      <c r="AN26" s="178">
        <v>2.5</v>
      </c>
      <c r="AO26" s="134">
        <f t="shared" si="24"/>
        <v>405.84417148362229</v>
      </c>
      <c r="AP26" s="135"/>
      <c r="AQ26" s="136">
        <f t="shared" si="25"/>
        <v>405.84417148362229</v>
      </c>
      <c r="AR26" s="178">
        <v>2.5</v>
      </c>
      <c r="AS26" s="134">
        <f t="shared" si="26"/>
        <v>751.15900770712881</v>
      </c>
      <c r="AT26" s="135"/>
      <c r="AU26" s="136">
        <f t="shared" si="27"/>
        <v>751.15900770712881</v>
      </c>
      <c r="AV26" s="178">
        <v>2.5</v>
      </c>
      <c r="AW26" s="134">
        <f t="shared" si="28"/>
        <v>622.51271676300576</v>
      </c>
      <c r="AX26" s="135"/>
      <c r="AY26" s="136">
        <f t="shared" si="29"/>
        <v>622.51271676300576</v>
      </c>
      <c r="AZ26" s="127">
        <f t="shared" si="30"/>
        <v>2726.8193159922921</v>
      </c>
      <c r="BA26" s="137">
        <f t="shared" si="31"/>
        <v>2567.1005298651216</v>
      </c>
      <c r="BB26" s="127">
        <f t="shared" si="32"/>
        <v>1694.2158959537569</v>
      </c>
      <c r="BC26" s="138"/>
      <c r="BD26" s="128">
        <f t="shared" si="33"/>
        <v>4261.316425818879</v>
      </c>
      <c r="BE26" s="127">
        <f t="shared" si="34"/>
        <v>2168.6309248554908</v>
      </c>
      <c r="BF26" s="139"/>
      <c r="BG26" s="130">
        <f t="shared" si="35"/>
        <v>6429.9473506743698</v>
      </c>
      <c r="BH26" s="130">
        <f t="shared" si="36"/>
        <v>1779.5158959537566</v>
      </c>
      <c r="BI26" s="138"/>
      <c r="BJ26" s="138">
        <f t="shared" si="37"/>
        <v>8369.1820327552959</v>
      </c>
      <c r="BK26" s="127">
        <f t="shared" si="38"/>
        <v>8209.4632466281255</v>
      </c>
      <c r="BL26" s="140"/>
      <c r="BM26" s="140"/>
      <c r="BN26" s="17">
        <f t="shared" si="39"/>
        <v>0</v>
      </c>
      <c r="BO26" s="17">
        <f t="shared" si="40"/>
        <v>0</v>
      </c>
    </row>
    <row r="27" spans="1:67" ht="13">
      <c r="A27" s="132" t="s">
        <v>214</v>
      </c>
      <c r="B27" s="121"/>
      <c r="C27" s="121">
        <f>'PS Model 2022'!BK36</f>
        <v>-255.55530052255017</v>
      </c>
      <c r="D27" s="178">
        <v>4</v>
      </c>
      <c r="E27" s="134">
        <f t="shared" si="6"/>
        <v>1422.3795761078995</v>
      </c>
      <c r="F27" s="135"/>
      <c r="G27" s="136">
        <f t="shared" si="7"/>
        <v>1422.3795761078995</v>
      </c>
      <c r="H27" s="178">
        <v>4</v>
      </c>
      <c r="I27" s="134">
        <f t="shared" si="8"/>
        <v>1736.9226974951825</v>
      </c>
      <c r="J27" s="135"/>
      <c r="K27" s="136">
        <f t="shared" si="9"/>
        <v>1736.9226974951825</v>
      </c>
      <c r="L27" s="178">
        <v>4</v>
      </c>
      <c r="M27" s="134">
        <f t="shared" si="10"/>
        <v>1203.6086319845854</v>
      </c>
      <c r="N27" s="135"/>
      <c r="O27" s="136">
        <f t="shared" si="11"/>
        <v>1203.6086319845854</v>
      </c>
      <c r="P27" s="178">
        <v>4</v>
      </c>
      <c r="Q27" s="134">
        <f t="shared" si="12"/>
        <v>1378.0812331406548</v>
      </c>
      <c r="R27" s="135"/>
      <c r="S27" s="136">
        <f t="shared" si="13"/>
        <v>1378.0812331406548</v>
      </c>
      <c r="T27" s="178">
        <v>4</v>
      </c>
      <c r="U27" s="134">
        <f t="shared" si="14"/>
        <v>719.52863198458567</v>
      </c>
      <c r="V27" s="135"/>
      <c r="W27" s="136">
        <f t="shared" si="15"/>
        <v>719.52863198458567</v>
      </c>
      <c r="X27" s="178">
        <v>4</v>
      </c>
      <c r="Y27" s="123">
        <f t="shared" si="16"/>
        <v>613.13556840077058</v>
      </c>
      <c r="Z27" s="135"/>
      <c r="AA27" s="136">
        <f t="shared" si="17"/>
        <v>613.13556840077058</v>
      </c>
      <c r="AB27" s="178">
        <v>4</v>
      </c>
      <c r="AC27" s="134">
        <f t="shared" si="18"/>
        <v>1229.144200385356</v>
      </c>
      <c r="AD27" s="135"/>
      <c r="AE27" s="136">
        <f t="shared" si="19"/>
        <v>1229.144200385356</v>
      </c>
      <c r="AF27" s="178">
        <v>4</v>
      </c>
      <c r="AG27" s="134">
        <f t="shared" si="20"/>
        <v>1023.4426204238923</v>
      </c>
      <c r="AH27" s="135"/>
      <c r="AI27" s="136">
        <f t="shared" si="21"/>
        <v>1023.4426204238923</v>
      </c>
      <c r="AJ27" s="178">
        <v>4</v>
      </c>
      <c r="AK27" s="134">
        <f t="shared" si="22"/>
        <v>1217.2226589595375</v>
      </c>
      <c r="AL27" s="135"/>
      <c r="AM27" s="136">
        <f t="shared" si="23"/>
        <v>1217.2226589595375</v>
      </c>
      <c r="AN27" s="178">
        <v>4</v>
      </c>
      <c r="AO27" s="134">
        <f t="shared" si="24"/>
        <v>649.35067437379564</v>
      </c>
      <c r="AP27" s="135"/>
      <c r="AQ27" s="136">
        <f t="shared" si="25"/>
        <v>649.35067437379564</v>
      </c>
      <c r="AR27" s="178">
        <v>4</v>
      </c>
      <c r="AS27" s="134">
        <f t="shared" si="26"/>
        <v>1201.8544123314061</v>
      </c>
      <c r="AT27" s="135"/>
      <c r="AU27" s="136">
        <f t="shared" si="27"/>
        <v>1201.8544123314061</v>
      </c>
      <c r="AV27" s="178">
        <v>4</v>
      </c>
      <c r="AW27" s="134">
        <f t="shared" si="28"/>
        <v>996.0203468208091</v>
      </c>
      <c r="AX27" s="135"/>
      <c r="AY27" s="136">
        <f t="shared" si="29"/>
        <v>996.0203468208091</v>
      </c>
      <c r="AZ27" s="127">
        <f t="shared" si="30"/>
        <v>4362.910905587667</v>
      </c>
      <c r="BA27" s="137">
        <f t="shared" si="31"/>
        <v>4107.3556050651168</v>
      </c>
      <c r="BB27" s="127">
        <f t="shared" si="32"/>
        <v>2710.7454335260109</v>
      </c>
      <c r="BC27" s="138"/>
      <c r="BD27" s="128">
        <f t="shared" si="33"/>
        <v>6818.1010385911277</v>
      </c>
      <c r="BE27" s="127">
        <f t="shared" si="34"/>
        <v>3469.8094797687863</v>
      </c>
      <c r="BF27" s="139"/>
      <c r="BG27" s="130">
        <f t="shared" si="35"/>
        <v>10287.910518359913</v>
      </c>
      <c r="BH27" s="130">
        <f t="shared" si="36"/>
        <v>2847.2254335260109</v>
      </c>
      <c r="BI27" s="138"/>
      <c r="BJ27" s="138">
        <f t="shared" si="37"/>
        <v>13390.691252408475</v>
      </c>
      <c r="BK27" s="127">
        <f t="shared" si="38"/>
        <v>13135.135951885924</v>
      </c>
      <c r="BL27" s="140"/>
      <c r="BM27" s="140"/>
      <c r="BN27" s="17">
        <f t="shared" si="39"/>
        <v>0</v>
      </c>
      <c r="BO27" s="17">
        <f t="shared" si="40"/>
        <v>0</v>
      </c>
    </row>
    <row r="28" spans="1:67" ht="12" customHeight="1">
      <c r="A28" s="89"/>
      <c r="C28" s="61"/>
      <c r="D28" s="148">
        <f t="shared" ref="D28:E28" si="53">SUM(D19:D27)</f>
        <v>519.00000000000011</v>
      </c>
      <c r="E28" s="149">
        <f t="shared" si="53"/>
        <v>184553.74999999994</v>
      </c>
      <c r="F28" s="91"/>
      <c r="G28" s="91"/>
      <c r="H28" s="148">
        <f t="shared" ref="H28:I28" si="54">SUM(H19:H27)</f>
        <v>519.00000000000011</v>
      </c>
      <c r="I28" s="149">
        <f t="shared" si="54"/>
        <v>225365.71999999994</v>
      </c>
      <c r="J28" s="91"/>
      <c r="K28" s="91"/>
      <c r="L28" s="148">
        <f t="shared" ref="L28:M28" si="55">SUM(L19:L27)</f>
        <v>519.00000000000011</v>
      </c>
      <c r="M28" s="149">
        <f t="shared" si="55"/>
        <v>156168.21999999991</v>
      </c>
      <c r="N28" s="91"/>
      <c r="O28" s="91"/>
      <c r="P28" s="148">
        <f t="shared" ref="P28:Q28" si="56">SUM(P19:P27)</f>
        <v>519.00000000000011</v>
      </c>
      <c r="Q28" s="149">
        <f t="shared" si="56"/>
        <v>178806.03999999998</v>
      </c>
      <c r="R28" s="91"/>
      <c r="S28" s="91"/>
      <c r="T28" s="148">
        <f t="shared" ref="T28:U28" si="57">SUM(T19:T27)</f>
        <v>519.00000000000011</v>
      </c>
      <c r="U28" s="149">
        <f t="shared" si="57"/>
        <v>93358.84</v>
      </c>
      <c r="V28" s="91"/>
      <c r="W28" s="91"/>
      <c r="X28" s="148">
        <f t="shared" ref="X28:Y28" si="58">SUM(X19:X27)</f>
        <v>519.00000000000011</v>
      </c>
      <c r="Y28" s="149">
        <f t="shared" si="58"/>
        <v>79554.34</v>
      </c>
      <c r="Z28" s="91"/>
      <c r="AA28" s="92"/>
      <c r="AB28" s="148">
        <f>SUM(AB19:AB27)</f>
        <v>519.00000000000011</v>
      </c>
      <c r="AC28" s="149">
        <f>SUM(AC19:AC24)</f>
        <v>156254.95647398842</v>
      </c>
      <c r="AD28" s="91"/>
      <c r="AE28" s="92"/>
      <c r="AF28" s="148">
        <f>SUM(AF19:AF27)</f>
        <v>519.00000000000011</v>
      </c>
      <c r="AG28" s="149">
        <f>SUM(AG19:AG24)</f>
        <v>130105.14312138733</v>
      </c>
      <c r="AH28" s="91"/>
      <c r="AI28" s="91"/>
      <c r="AJ28" s="148">
        <f>SUM(AJ19:AJ27)</f>
        <v>519.00000000000011</v>
      </c>
      <c r="AK28" s="149">
        <f>SUM(AK19:AK24)</f>
        <v>154739.4305202312</v>
      </c>
      <c r="AL28" s="91"/>
      <c r="AM28" s="91"/>
      <c r="AN28" s="148">
        <f>SUM(AN19:AN27)</f>
        <v>519.00000000000011</v>
      </c>
      <c r="AO28" s="149">
        <f>SUM(AO19:AO24)</f>
        <v>82548.704479768785</v>
      </c>
      <c r="AP28" s="91"/>
      <c r="AQ28" s="91"/>
      <c r="AR28" s="148">
        <f>SUM(AR19:AR27)</f>
        <v>519.00000000000011</v>
      </c>
      <c r="AS28" s="149">
        <f>SUM(AS19:AS24)</f>
        <v>152785.74216763</v>
      </c>
      <c r="AT28" s="91"/>
      <c r="AU28" s="91"/>
      <c r="AV28" s="148">
        <f>SUM(AV19:AV27)</f>
        <v>519.00000000000011</v>
      </c>
      <c r="AW28" s="149">
        <f>SUM(AW19:AW24)</f>
        <v>126619.08658959538</v>
      </c>
      <c r="AX28" s="124"/>
      <c r="AY28" s="92"/>
      <c r="AZ28" s="91"/>
      <c r="BA28" s="150"/>
      <c r="BB28" s="91"/>
      <c r="BC28" s="91"/>
      <c r="BD28" s="150"/>
      <c r="BE28" s="127"/>
      <c r="BG28" s="61"/>
      <c r="BH28" s="61"/>
    </row>
    <row r="29" spans="1:67" ht="28">
      <c r="A29" s="89"/>
      <c r="B29" s="5"/>
      <c r="C29" s="61"/>
      <c r="D29" s="100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124"/>
      <c r="AW29" s="151"/>
      <c r="AX29" s="124"/>
      <c r="AY29" s="92"/>
      <c r="AZ29" s="191" t="str">
        <f>"Paid for "&amp;AZ2</f>
        <v>Paid for 1Q</v>
      </c>
      <c r="BA29" s="192" t="s">
        <v>228</v>
      </c>
      <c r="BB29" s="191" t="s">
        <v>229</v>
      </c>
      <c r="BC29" s="191" t="s">
        <v>230</v>
      </c>
      <c r="BD29" s="192" t="s">
        <v>231</v>
      </c>
      <c r="BE29" s="193" t="str">
        <f>"Paid for 3Q"</f>
        <v>Paid for 3Q</v>
      </c>
      <c r="BF29" s="194" t="s">
        <v>232</v>
      </c>
      <c r="BG29" s="194" t="s">
        <v>193</v>
      </c>
      <c r="BH29" s="193" t="str">
        <f>"Paid for 4Q"</f>
        <v>Paid for 4Q</v>
      </c>
      <c r="BI29" s="191" t="s">
        <v>233</v>
      </c>
      <c r="BJ29" s="191" t="s">
        <v>234</v>
      </c>
      <c r="BK29" s="192" t="s">
        <v>197</v>
      </c>
      <c r="BL29" s="152"/>
      <c r="BM29" s="152"/>
      <c r="BN29" s="152"/>
    </row>
    <row r="30" spans="1:67" ht="28">
      <c r="A30" s="89" t="s">
        <v>185</v>
      </c>
      <c r="B30" s="5"/>
      <c r="C30" s="195">
        <f>'PS Model 2022'!AX5</f>
        <v>380000</v>
      </c>
      <c r="D30" s="100"/>
      <c r="E30" s="91"/>
      <c r="F30" s="124"/>
      <c r="G30" s="91"/>
      <c r="H30" s="91"/>
      <c r="I30" s="91"/>
      <c r="J30" s="124"/>
      <c r="K30" s="91"/>
      <c r="L30" s="91"/>
      <c r="M30" s="91"/>
      <c r="N30" s="124"/>
      <c r="O30" s="91"/>
      <c r="P30" s="91"/>
      <c r="Q30" s="91"/>
      <c r="R30" s="124"/>
      <c r="S30" s="91"/>
      <c r="T30" s="91"/>
      <c r="U30" s="91"/>
      <c r="V30" s="124"/>
      <c r="W30" s="91"/>
      <c r="X30" s="91"/>
      <c r="Y30" s="91"/>
      <c r="Z30" s="124"/>
      <c r="AA30" s="91"/>
      <c r="AB30" s="91"/>
      <c r="AC30" s="91"/>
      <c r="AD30" s="124"/>
      <c r="AE30" s="91"/>
      <c r="AF30" s="91"/>
      <c r="AG30" s="91"/>
      <c r="AH30" s="124"/>
      <c r="AI30" s="91"/>
      <c r="AJ30" s="91"/>
      <c r="AK30" s="91"/>
      <c r="AL30" s="124"/>
      <c r="AM30" s="91"/>
      <c r="AN30" s="91"/>
      <c r="AO30" s="91"/>
      <c r="AP30" s="124"/>
      <c r="AQ30" s="91"/>
      <c r="AR30" s="91"/>
      <c r="AS30" s="91"/>
      <c r="AT30" s="91"/>
      <c r="AU30" s="1"/>
      <c r="AV30" s="179" t="s">
        <v>218</v>
      </c>
      <c r="AW30" s="118" t="s">
        <v>219</v>
      </c>
      <c r="AY30" s="160" t="s">
        <v>83</v>
      </c>
      <c r="AZ30" s="161">
        <f>AZ16</f>
        <v>37473.08</v>
      </c>
      <c r="BA30" s="196">
        <f t="shared" ref="BA30:BA38" si="59">BA19-AZ30</f>
        <v>354086.11065403774</v>
      </c>
      <c r="BB30" s="161">
        <f>BB16</f>
        <v>126065.46</v>
      </c>
      <c r="BC30" s="161">
        <f t="shared" ref="BC30:BC38" si="60">AZ30+BB30</f>
        <v>163538.54</v>
      </c>
      <c r="BD30" s="164">
        <f t="shared" ref="BD30:BD38" si="61">BD19-BC30</f>
        <v>299115.9154517256</v>
      </c>
      <c r="BE30" s="161">
        <f>BE16</f>
        <v>130152</v>
      </c>
      <c r="BF30" s="161">
        <f t="shared" ref="BF30:BF38" si="62">BE30+BC30</f>
        <v>293690.54000000004</v>
      </c>
      <c r="BG30" s="164">
        <f t="shared" ref="BG30:BG38" si="63">BG19-BF30</f>
        <v>237641.10169450007</v>
      </c>
      <c r="BH30" s="161">
        <f>BH16</f>
        <v>0</v>
      </c>
      <c r="BI30" s="161">
        <f t="shared" ref="BI30:BI33" si="64">BH30+BE30</f>
        <v>130152</v>
      </c>
      <c r="BJ30" s="161">
        <f t="shared" ref="BJ30:BJ38" si="65">BI30+BB30+AZ30</f>
        <v>293690.54000000004</v>
      </c>
      <c r="BK30" s="164">
        <f t="shared" ref="BK30:BK38" si="66">BK19-BJ30</f>
        <v>304966.23649218795</v>
      </c>
      <c r="BL30" s="19"/>
      <c r="BM30" s="19"/>
      <c r="BN30" s="19"/>
    </row>
    <row r="31" spans="1:67" ht="14">
      <c r="A31" s="89" t="s">
        <v>198</v>
      </c>
      <c r="B31" s="5"/>
      <c r="C31" s="195">
        <f>C30-D6-H6-L6</f>
        <v>0</v>
      </c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P31" s="91"/>
      <c r="AQ31" s="91"/>
      <c r="AR31" s="91"/>
      <c r="AS31" s="91"/>
      <c r="AT31" s="91"/>
      <c r="AU31" s="91" t="s">
        <v>83</v>
      </c>
      <c r="AV31" s="91"/>
      <c r="AW31" s="151">
        <f t="shared" ref="AW31:AW39" si="67">BA30</f>
        <v>354086.11065403774</v>
      </c>
      <c r="AY31" s="160" t="s">
        <v>209</v>
      </c>
      <c r="AZ31" s="165">
        <v>172698.56</v>
      </c>
      <c r="BA31" s="196">
        <f t="shared" si="59"/>
        <v>-1.5629631525371224E-3</v>
      </c>
      <c r="BB31" s="165">
        <v>97642.66</v>
      </c>
      <c r="BC31" s="161">
        <f t="shared" si="60"/>
        <v>270341.21999999997</v>
      </c>
      <c r="BD31" s="164">
        <f t="shared" si="61"/>
        <v>9657.6785141081782</v>
      </c>
      <c r="BE31" s="165">
        <v>136188.44</v>
      </c>
      <c r="BF31" s="161">
        <f t="shared" si="62"/>
        <v>406529.66</v>
      </c>
      <c r="BG31" s="164">
        <f t="shared" si="63"/>
        <v>10815.863754955993</v>
      </c>
      <c r="BH31" s="165">
        <f>50000+73518.54</f>
        <v>123518.54</v>
      </c>
      <c r="BI31" s="161">
        <f t="shared" si="64"/>
        <v>259706.97999999998</v>
      </c>
      <c r="BJ31" s="161">
        <f t="shared" si="65"/>
        <v>530048.19999999995</v>
      </c>
      <c r="BK31" s="164">
        <f t="shared" si="66"/>
        <v>-2.8346393955871463E-3</v>
      </c>
      <c r="BL31" s="19" t="str">
        <f t="shared" ref="BL31:BL38" si="68">AY31</f>
        <v>Fronczyk</v>
      </c>
      <c r="BM31" s="19">
        <f t="shared" ref="BM31:BM33" si="69">BG31</f>
        <v>10815.863754955993</v>
      </c>
      <c r="BN31" s="19"/>
    </row>
    <row r="32" spans="1:67" ht="14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>
        <v>146.13999999999999</v>
      </c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P32" s="91"/>
      <c r="AQ32" s="91"/>
      <c r="AR32" s="91"/>
      <c r="AS32" s="124"/>
      <c r="AT32" s="91"/>
      <c r="AU32" s="91" t="s">
        <v>209</v>
      </c>
      <c r="AV32" s="91"/>
      <c r="AW32" s="151">
        <f t="shared" si="67"/>
        <v>-1.5629631525371224E-3</v>
      </c>
      <c r="AY32" s="160" t="s">
        <v>61</v>
      </c>
      <c r="AZ32" s="165">
        <v>118162.17</v>
      </c>
      <c r="BA32" s="196">
        <f t="shared" si="59"/>
        <v>-2.0951485639670864E-3</v>
      </c>
      <c r="BB32" s="165">
        <v>66808.13</v>
      </c>
      <c r="BC32" s="161">
        <f t="shared" si="60"/>
        <v>184970.3</v>
      </c>
      <c r="BD32" s="164">
        <f t="shared" si="61"/>
        <v>6607.8900628475822</v>
      </c>
      <c r="BE32" s="165">
        <v>93181.57</v>
      </c>
      <c r="BF32" s="161">
        <f t="shared" si="62"/>
        <v>278151.87</v>
      </c>
      <c r="BG32" s="164">
        <f t="shared" si="63"/>
        <v>7400.3268065855373</v>
      </c>
      <c r="BH32" s="165">
        <f t="shared" ref="BH32:BH33" si="70">40000+44512.68</f>
        <v>84512.68</v>
      </c>
      <c r="BI32" s="161">
        <f t="shared" si="64"/>
        <v>177694.25</v>
      </c>
      <c r="BJ32" s="161">
        <f t="shared" si="65"/>
        <v>362664.55</v>
      </c>
      <c r="BK32" s="164">
        <f t="shared" si="66"/>
        <v>2.2979149944148958E-3</v>
      </c>
      <c r="BL32" s="19" t="str">
        <f t="shared" si="68"/>
        <v>Mirek</v>
      </c>
      <c r="BM32" s="19">
        <f t="shared" si="69"/>
        <v>7400.3268065855373</v>
      </c>
      <c r="BN32" s="19"/>
    </row>
    <row r="33" spans="1:66" ht="14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P33" s="91"/>
      <c r="AQ33" s="91"/>
      <c r="AR33" s="91"/>
      <c r="AS33" s="91"/>
      <c r="AT33" s="91"/>
      <c r="AU33" s="91" t="s">
        <v>61</v>
      </c>
      <c r="AV33" s="91"/>
      <c r="AW33" s="151">
        <f t="shared" si="67"/>
        <v>-2.0951485639670864E-3</v>
      </c>
      <c r="AY33" s="197" t="s">
        <v>65</v>
      </c>
      <c r="AZ33" s="165">
        <v>118162.17</v>
      </c>
      <c r="BA33" s="167">
        <f t="shared" si="59"/>
        <v>-2.0951485639670864E-3</v>
      </c>
      <c r="BB33" s="165">
        <v>66808.13</v>
      </c>
      <c r="BC33" s="161">
        <f t="shared" si="60"/>
        <v>184970.3</v>
      </c>
      <c r="BD33" s="164">
        <f t="shared" si="61"/>
        <v>6607.8900628475822</v>
      </c>
      <c r="BE33" s="165">
        <v>93181.57</v>
      </c>
      <c r="BF33" s="161">
        <f t="shared" si="62"/>
        <v>278151.87</v>
      </c>
      <c r="BG33" s="164">
        <f t="shared" si="63"/>
        <v>7400.3268065855373</v>
      </c>
      <c r="BH33" s="165">
        <f t="shared" si="70"/>
        <v>84512.68</v>
      </c>
      <c r="BI33" s="161">
        <f t="shared" si="64"/>
        <v>177694.25</v>
      </c>
      <c r="BJ33" s="161">
        <f t="shared" si="65"/>
        <v>362664.55</v>
      </c>
      <c r="BK33" s="164">
        <f t="shared" si="66"/>
        <v>2.2979149944148958E-3</v>
      </c>
      <c r="BL33" s="19" t="str">
        <f t="shared" si="68"/>
        <v>Marek</v>
      </c>
      <c r="BM33" s="19">
        <f t="shared" si="69"/>
        <v>7400.3268065855373</v>
      </c>
      <c r="BN33" s="19"/>
    </row>
    <row r="34" spans="1:66" ht="14">
      <c r="A34" s="89"/>
      <c r="B34" s="5"/>
      <c r="C34" s="61"/>
      <c r="D34" s="100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P34" s="91"/>
      <c r="AQ34" s="91"/>
      <c r="AR34" s="91"/>
      <c r="AS34" s="91"/>
      <c r="AT34" s="91"/>
      <c r="AU34" s="91" t="s">
        <v>65</v>
      </c>
      <c r="AV34" s="91"/>
      <c r="AW34" s="151">
        <f t="shared" si="67"/>
        <v>-2.0951485639670864E-3</v>
      </c>
      <c r="AY34" s="160" t="s">
        <v>210</v>
      </c>
      <c r="AZ34" s="165">
        <v>5999.85</v>
      </c>
      <c r="BA34" s="167">
        <f t="shared" si="59"/>
        <v>161.19140358744608</v>
      </c>
      <c r="BB34" s="165">
        <v>3861.33</v>
      </c>
      <c r="BC34" s="161">
        <f t="shared" si="60"/>
        <v>9861.18</v>
      </c>
      <c r="BD34" s="164">
        <f t="shared" si="61"/>
        <v>365.97955387646289</v>
      </c>
      <c r="BE34" s="168">
        <v>0</v>
      </c>
      <c r="BF34" s="161">
        <f t="shared" si="62"/>
        <v>9861.18</v>
      </c>
      <c r="BG34" s="164">
        <f t="shared" si="63"/>
        <v>5570.6937735296415</v>
      </c>
      <c r="BH34" s="168">
        <v>0</v>
      </c>
      <c r="BI34" s="169">
        <v>8383.75</v>
      </c>
      <c r="BJ34" s="161">
        <f t="shared" si="65"/>
        <v>18244.93</v>
      </c>
      <c r="BK34" s="164">
        <f t="shared" si="66"/>
        <v>1457.7819238186567</v>
      </c>
      <c r="BL34" s="19" t="str">
        <f t="shared" si="68"/>
        <v>Filip</v>
      </c>
      <c r="BM34" s="19">
        <f t="shared" ref="BM34:BM38" si="71">BK34</f>
        <v>1457.7819238186567</v>
      </c>
      <c r="BN34" s="19"/>
    </row>
    <row r="35" spans="1:66" ht="14">
      <c r="A35" s="89"/>
      <c r="B35" s="5"/>
      <c r="C35" s="61"/>
      <c r="D35" s="100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P35" s="91"/>
      <c r="AQ35" s="91"/>
      <c r="AR35" s="91"/>
      <c r="AS35" s="91"/>
      <c r="AT35" s="91"/>
      <c r="AU35" s="91" t="s">
        <v>210</v>
      </c>
      <c r="AV35" s="91"/>
      <c r="AW35" s="151">
        <f t="shared" si="67"/>
        <v>161.19140358744608</v>
      </c>
      <c r="AY35" s="160" t="s">
        <v>211</v>
      </c>
      <c r="AZ35" s="165">
        <v>2499.9299999999998</v>
      </c>
      <c r="BA35" s="167">
        <f t="shared" si="59"/>
        <v>67.164582629583037</v>
      </c>
      <c r="BB35" s="165">
        <v>1608.89</v>
      </c>
      <c r="BC35" s="161">
        <f t="shared" si="60"/>
        <v>4108.82</v>
      </c>
      <c r="BD35" s="164">
        <f t="shared" si="61"/>
        <v>152.49047858334052</v>
      </c>
      <c r="BE35" s="168">
        <v>0</v>
      </c>
      <c r="BF35" s="161">
        <f t="shared" si="62"/>
        <v>4108.82</v>
      </c>
      <c r="BG35" s="164">
        <f t="shared" si="63"/>
        <v>2321.1214034388313</v>
      </c>
      <c r="BH35" s="168">
        <v>0</v>
      </c>
      <c r="BI35" s="169">
        <v>3507.81</v>
      </c>
      <c r="BJ35" s="161">
        <f t="shared" si="65"/>
        <v>7616.6299999999992</v>
      </c>
      <c r="BK35" s="164">
        <f t="shared" si="66"/>
        <v>592.82729939258752</v>
      </c>
      <c r="BL35" s="19" t="str">
        <f t="shared" si="68"/>
        <v>Maria</v>
      </c>
      <c r="BM35" s="19">
        <f t="shared" si="71"/>
        <v>592.82729939258752</v>
      </c>
      <c r="BN35" s="19"/>
    </row>
    <row r="36" spans="1:66" ht="14">
      <c r="B36" s="5"/>
      <c r="C36" s="61"/>
      <c r="D36" s="62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P36" s="91"/>
      <c r="AQ36" s="91"/>
      <c r="AR36" s="91"/>
      <c r="AS36" s="91"/>
      <c r="AT36" s="91"/>
      <c r="AU36" s="1" t="s">
        <v>211</v>
      </c>
      <c r="AV36" s="91"/>
      <c r="AW36" s="151">
        <f t="shared" si="67"/>
        <v>67.164582629583037</v>
      </c>
      <c r="AY36" s="160" t="s">
        <v>212</v>
      </c>
      <c r="AZ36" s="165">
        <v>3999.89</v>
      </c>
      <c r="BA36" s="167">
        <f t="shared" si="59"/>
        <v>107.46560506511696</v>
      </c>
      <c r="BB36" s="165">
        <v>2574.23</v>
      </c>
      <c r="BC36" s="161">
        <f t="shared" si="60"/>
        <v>6574.12</v>
      </c>
      <c r="BD36" s="164">
        <f t="shared" si="61"/>
        <v>243.9810385911278</v>
      </c>
      <c r="BE36" s="168">
        <v>0</v>
      </c>
      <c r="BF36" s="161">
        <f t="shared" si="62"/>
        <v>6574.12</v>
      </c>
      <c r="BG36" s="164">
        <f t="shared" si="63"/>
        <v>3713.7905183599132</v>
      </c>
      <c r="BH36" s="168">
        <v>0</v>
      </c>
      <c r="BI36" s="169">
        <v>5597.49</v>
      </c>
      <c r="BJ36" s="161">
        <f t="shared" si="65"/>
        <v>12171.609999999999</v>
      </c>
      <c r="BK36" s="164">
        <f t="shared" si="66"/>
        <v>963.52595188592568</v>
      </c>
      <c r="BL36" s="19" t="str">
        <f t="shared" si="68"/>
        <v>Piotr P.</v>
      </c>
      <c r="BM36" s="19">
        <f t="shared" si="71"/>
        <v>963.52595188592568</v>
      </c>
      <c r="BN36" s="19"/>
    </row>
    <row r="37" spans="1:66" ht="14">
      <c r="B37" s="5"/>
      <c r="C37" s="61"/>
      <c r="D37" s="62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P37" s="91"/>
      <c r="AQ37" s="91"/>
      <c r="AR37" s="91"/>
      <c r="AS37" s="91"/>
      <c r="AT37" s="91"/>
      <c r="AU37" s="91" t="s">
        <v>212</v>
      </c>
      <c r="AV37" s="91"/>
      <c r="AW37" s="151">
        <f t="shared" si="67"/>
        <v>107.46560506511696</v>
      </c>
      <c r="AY37" s="160" t="s">
        <v>213</v>
      </c>
      <c r="AZ37" s="165">
        <v>2499.94</v>
      </c>
      <c r="BA37" s="167">
        <f t="shared" si="59"/>
        <v>67.160529865121589</v>
      </c>
      <c r="BB37" s="165">
        <v>1608.89</v>
      </c>
      <c r="BC37" s="161">
        <f t="shared" si="60"/>
        <v>4108.83</v>
      </c>
      <c r="BD37" s="164">
        <f t="shared" si="61"/>
        <v>152.48642581887907</v>
      </c>
      <c r="BE37" s="168">
        <v>0</v>
      </c>
      <c r="BF37" s="161">
        <f t="shared" si="62"/>
        <v>4108.83</v>
      </c>
      <c r="BG37" s="164">
        <f t="shared" si="63"/>
        <v>2321.1173506743698</v>
      </c>
      <c r="BH37" s="168">
        <v>0</v>
      </c>
      <c r="BI37" s="169">
        <v>3507.81</v>
      </c>
      <c r="BJ37" s="161">
        <f t="shared" si="65"/>
        <v>7616.6399999999994</v>
      </c>
      <c r="BK37" s="164">
        <f t="shared" si="66"/>
        <v>592.82324662812607</v>
      </c>
      <c r="BL37" s="19" t="str">
        <f t="shared" si="68"/>
        <v>Olha</v>
      </c>
      <c r="BM37" s="19">
        <f t="shared" si="71"/>
        <v>592.82324662812607</v>
      </c>
      <c r="BN37" s="19"/>
    </row>
    <row r="38" spans="1:66" ht="14">
      <c r="B38" s="5"/>
      <c r="C38" s="61"/>
      <c r="D38" s="62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P38" s="91"/>
      <c r="AQ38" s="91"/>
      <c r="AR38" s="91"/>
      <c r="AS38" s="91"/>
      <c r="AT38" s="91"/>
      <c r="AU38" s="1" t="s">
        <v>213</v>
      </c>
      <c r="AW38" s="151">
        <f t="shared" si="67"/>
        <v>67.160529865121589</v>
      </c>
      <c r="AY38" s="160" t="s">
        <v>214</v>
      </c>
      <c r="AZ38" s="165">
        <v>3999.89</v>
      </c>
      <c r="BA38" s="167">
        <f t="shared" si="59"/>
        <v>107.46560506511696</v>
      </c>
      <c r="BB38" s="165">
        <v>2574.23</v>
      </c>
      <c r="BC38" s="161">
        <f t="shared" si="60"/>
        <v>6574.12</v>
      </c>
      <c r="BD38" s="164">
        <f t="shared" si="61"/>
        <v>243.9810385911278</v>
      </c>
      <c r="BE38" s="198">
        <v>0</v>
      </c>
      <c r="BF38" s="161">
        <f t="shared" si="62"/>
        <v>6574.12</v>
      </c>
      <c r="BG38" s="164">
        <f t="shared" si="63"/>
        <v>3713.7905183599132</v>
      </c>
      <c r="BH38" s="168">
        <v>0</v>
      </c>
      <c r="BI38" s="169">
        <v>5597.49</v>
      </c>
      <c r="BJ38" s="161">
        <f t="shared" si="65"/>
        <v>12171.609999999999</v>
      </c>
      <c r="BK38" s="164">
        <f t="shared" si="66"/>
        <v>963.52595188592568</v>
      </c>
      <c r="BL38" s="19" t="str">
        <f t="shared" si="68"/>
        <v>Krzysztof B.</v>
      </c>
      <c r="BM38" s="19">
        <f t="shared" si="71"/>
        <v>963.52595188592568</v>
      </c>
      <c r="BN38" s="19"/>
    </row>
    <row r="39" spans="1:66" ht="14">
      <c r="B39" s="5"/>
      <c r="C39" s="61"/>
      <c r="D39" s="62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P39" s="91"/>
      <c r="AQ39" s="91"/>
      <c r="AR39" s="91"/>
      <c r="AS39" s="91"/>
      <c r="AT39" s="91"/>
      <c r="AU39" s="1" t="s">
        <v>214</v>
      </c>
      <c r="AV39" s="91"/>
      <c r="AW39" s="151">
        <f t="shared" si="67"/>
        <v>107.46560506511696</v>
      </c>
      <c r="AY39" s="1"/>
      <c r="AZ39" s="152"/>
      <c r="BJ39" s="17">
        <f t="shared" ref="BJ39:BK39" si="72">SUM(BJ30:BJ38)</f>
        <v>1606889.26</v>
      </c>
      <c r="BK39" s="17">
        <f t="shared" si="72"/>
        <v>309536.72262698971</v>
      </c>
    </row>
    <row r="40" spans="1:66" ht="14">
      <c r="C40" s="61"/>
      <c r="D40" s="62"/>
      <c r="R40" s="91"/>
      <c r="AY40" s="171" t="s">
        <v>200</v>
      </c>
      <c r="AZ40" s="152"/>
      <c r="BA40" s="152"/>
      <c r="BB40" s="152"/>
      <c r="BC40" s="152"/>
      <c r="BD40" s="91"/>
      <c r="BE40" s="91"/>
      <c r="BF40" s="1"/>
      <c r="BG40" s="1"/>
      <c r="BH40" s="1"/>
      <c r="BI40" s="17"/>
      <c r="BM40" s="17">
        <f>SUM(BM31:BM39)</f>
        <v>30187.001741738284</v>
      </c>
    </row>
    <row r="41" spans="1:66" ht="13">
      <c r="A41" s="89"/>
      <c r="C41" s="61"/>
      <c r="D41" s="62"/>
      <c r="AZ41" s="152"/>
      <c r="BA41" s="152"/>
      <c r="BB41" s="152"/>
      <c r="BC41" s="152"/>
      <c r="BD41" s="91"/>
      <c r="BE41" s="91"/>
      <c r="BF41" s="1"/>
      <c r="BG41" s="1"/>
      <c r="BI41" s="17"/>
    </row>
    <row r="42" spans="1:66" ht="13">
      <c r="A42" s="89"/>
      <c r="C42" s="61"/>
      <c r="D42" s="62"/>
      <c r="BD42" s="91"/>
      <c r="BF42" s="91"/>
      <c r="BG42" s="91"/>
      <c r="BH42" s="91"/>
      <c r="BI42" s="17"/>
      <c r="BJ42" s="91"/>
      <c r="BK42" s="91"/>
      <c r="BL42" s="91"/>
      <c r="BM42" s="91"/>
      <c r="BN42" s="91"/>
    </row>
    <row r="43" spans="1:66" ht="14">
      <c r="A43" s="89" t="s">
        <v>201</v>
      </c>
      <c r="C43" s="61"/>
      <c r="D43" s="62"/>
      <c r="F43" s="1">
        <v>2023</v>
      </c>
      <c r="G43" s="152" t="s">
        <v>235</v>
      </c>
      <c r="H43" s="152" t="s">
        <v>236</v>
      </c>
      <c r="AN43" s="1" t="s">
        <v>148</v>
      </c>
      <c r="AZ43" s="172"/>
      <c r="BA43" s="172"/>
      <c r="BB43" s="172"/>
      <c r="BC43" s="172"/>
      <c r="BD43" s="172"/>
      <c r="BE43" s="172"/>
      <c r="BF43" s="172"/>
      <c r="BG43" s="172"/>
      <c r="BH43" s="172"/>
      <c r="BI43" s="17"/>
      <c r="BJ43" s="172"/>
      <c r="BK43" s="172"/>
      <c r="BL43" s="172"/>
      <c r="BM43" s="172"/>
      <c r="BN43" s="172"/>
    </row>
    <row r="44" spans="1:66" ht="14">
      <c r="A44" s="89"/>
      <c r="C44" s="61"/>
      <c r="D44" s="62"/>
      <c r="E44" s="1" t="s">
        <v>210</v>
      </c>
      <c r="F44" s="1">
        <v>6</v>
      </c>
      <c r="G44">
        <f>1</f>
        <v>1</v>
      </c>
      <c r="H44">
        <f t="shared" ref="H44:H51" si="73">F44+G44</f>
        <v>7</v>
      </c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2"/>
      <c r="BM44" s="172"/>
      <c r="BN44" s="172"/>
    </row>
    <row r="45" spans="1:66" ht="14">
      <c r="A45" s="89"/>
      <c r="C45" s="61"/>
      <c r="D45" s="62"/>
      <c r="E45" s="13" t="s">
        <v>211</v>
      </c>
      <c r="F45" s="13">
        <v>2.5</v>
      </c>
      <c r="G45" s="13">
        <v>0.5</v>
      </c>
      <c r="H45" s="13">
        <f t="shared" si="73"/>
        <v>3</v>
      </c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2"/>
      <c r="BM45" s="172"/>
      <c r="BN45" s="172"/>
    </row>
    <row r="46" spans="1:66" ht="14">
      <c r="A46" s="89"/>
      <c r="C46" s="61"/>
      <c r="D46" s="62"/>
      <c r="E46" s="1" t="s">
        <v>237</v>
      </c>
      <c r="F46" s="1">
        <v>4</v>
      </c>
      <c r="G46" s="1">
        <v>1</v>
      </c>
      <c r="H46">
        <f t="shared" si="73"/>
        <v>5</v>
      </c>
      <c r="AY46" s="91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2"/>
      <c r="BM46" s="172"/>
      <c r="BN46" s="172"/>
    </row>
    <row r="47" spans="1:66" ht="14">
      <c r="A47" s="89"/>
      <c r="C47" s="61"/>
      <c r="D47" s="62"/>
      <c r="E47" s="1" t="s">
        <v>213</v>
      </c>
      <c r="F47" s="1">
        <v>2.5</v>
      </c>
      <c r="G47" s="1">
        <v>1.5</v>
      </c>
      <c r="H47">
        <f t="shared" si="73"/>
        <v>4</v>
      </c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2"/>
      <c r="BM47" s="172"/>
      <c r="BN47" s="172"/>
    </row>
    <row r="48" spans="1:66" ht="14">
      <c r="A48" s="89"/>
      <c r="C48" s="61"/>
      <c r="D48" s="62"/>
      <c r="E48" s="1" t="s">
        <v>238</v>
      </c>
      <c r="F48" s="1">
        <v>4</v>
      </c>
      <c r="G48" s="1">
        <v>1</v>
      </c>
      <c r="H48">
        <f t="shared" si="73"/>
        <v>5</v>
      </c>
      <c r="AZ48" s="17"/>
      <c r="BA48" s="17"/>
      <c r="BB48" s="17"/>
      <c r="BC48" s="17"/>
      <c r="BD48" s="17"/>
      <c r="BE48" s="17"/>
      <c r="BF48" s="17"/>
      <c r="BG48" s="17"/>
      <c r="BH48" s="17"/>
      <c r="BI48" s="19"/>
      <c r="BJ48" s="17"/>
      <c r="BK48" s="17"/>
      <c r="BL48" s="172"/>
      <c r="BM48" s="172"/>
      <c r="BN48" s="172"/>
    </row>
    <row r="49" spans="1:66" ht="14">
      <c r="A49" s="89"/>
      <c r="C49" s="61"/>
      <c r="D49" s="62"/>
      <c r="E49" s="1" t="s">
        <v>215</v>
      </c>
      <c r="F49" s="1">
        <v>0</v>
      </c>
      <c r="G49" s="1">
        <v>2</v>
      </c>
      <c r="H49">
        <f t="shared" si="73"/>
        <v>2</v>
      </c>
      <c r="AZ49" s="17"/>
      <c r="BA49" s="17"/>
      <c r="BB49" s="17"/>
      <c r="BC49" s="17"/>
      <c r="BD49" s="17"/>
      <c r="BE49" s="17"/>
      <c r="BF49" s="17"/>
      <c r="BG49" s="17"/>
      <c r="BH49" s="17"/>
      <c r="BI49" s="174"/>
      <c r="BJ49" s="17"/>
      <c r="BK49" s="17"/>
      <c r="BL49" s="172"/>
      <c r="BM49" s="172"/>
      <c r="BN49" s="172"/>
    </row>
    <row r="50" spans="1:66" ht="14">
      <c r="A50" s="89"/>
      <c r="C50" s="61"/>
      <c r="D50" s="62"/>
      <c r="E50" s="1" t="s">
        <v>216</v>
      </c>
      <c r="F50" s="1">
        <v>0</v>
      </c>
      <c r="G50" s="1">
        <v>2</v>
      </c>
      <c r="H50">
        <f t="shared" si="73"/>
        <v>2</v>
      </c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2"/>
      <c r="BM50" s="172"/>
      <c r="BN50" s="172"/>
    </row>
    <row r="51" spans="1:66" ht="14">
      <c r="A51" s="89"/>
      <c r="C51" s="61"/>
      <c r="D51" s="62"/>
      <c r="E51" s="1" t="s">
        <v>217</v>
      </c>
      <c r="F51" s="1">
        <v>0</v>
      </c>
      <c r="G51" s="1">
        <v>2</v>
      </c>
      <c r="H51">
        <f t="shared" si="73"/>
        <v>2</v>
      </c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2"/>
      <c r="BM51" s="172"/>
      <c r="BN51" s="172"/>
    </row>
    <row r="52" spans="1:66" ht="13">
      <c r="A52" s="89"/>
      <c r="C52" s="61"/>
      <c r="D52" s="62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</row>
    <row r="53" spans="1:66" ht="13">
      <c r="A53" s="89"/>
      <c r="C53" s="61"/>
      <c r="D53" s="62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</row>
    <row r="54" spans="1:66" ht="13">
      <c r="A54" s="89"/>
      <c r="C54" s="61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</row>
    <row r="55" spans="1:66" ht="13">
      <c r="A55" s="89"/>
      <c r="C55" s="61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</row>
    <row r="56" spans="1:66" ht="13">
      <c r="A56" s="89"/>
      <c r="C56" s="61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</row>
    <row r="57" spans="1:66" ht="13">
      <c r="A57" s="89"/>
      <c r="C57" s="61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</row>
    <row r="58" spans="1:66" ht="13">
      <c r="A58" s="89"/>
      <c r="C58" s="61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</row>
    <row r="59" spans="1:66" ht="13">
      <c r="A59" s="89"/>
      <c r="C59" s="61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</row>
    <row r="60" spans="1:66" ht="13">
      <c r="A60" s="89"/>
      <c r="C60" s="61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</row>
    <row r="61" spans="1:66" ht="13">
      <c r="A61" s="89"/>
      <c r="C61" s="61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</row>
    <row r="62" spans="1:66" ht="13">
      <c r="A62" s="89"/>
      <c r="C62" s="61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</row>
    <row r="63" spans="1:66" ht="13">
      <c r="A63" s="89"/>
      <c r="C63" s="61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</row>
    <row r="64" spans="1:66" ht="13">
      <c r="A64" s="89"/>
      <c r="C64" s="61"/>
      <c r="AZ64" s="17"/>
    </row>
    <row r="65" spans="1:52" ht="13">
      <c r="A65" s="89"/>
      <c r="AZ65" s="17"/>
    </row>
    <row r="66" spans="1:52" ht="13">
      <c r="A66" s="89"/>
    </row>
    <row r="67" spans="1:52" ht="13">
      <c r="A67" s="89"/>
    </row>
    <row r="68" spans="1:52" ht="13">
      <c r="A68" s="89"/>
    </row>
    <row r="69" spans="1:52" ht="13">
      <c r="A69" s="89"/>
    </row>
    <row r="70" spans="1:52" ht="13">
      <c r="A70" s="89"/>
    </row>
    <row r="71" spans="1:52" ht="13">
      <c r="A71" s="89"/>
    </row>
    <row r="72" spans="1:52" ht="13">
      <c r="A72" s="89"/>
    </row>
    <row r="73" spans="1:52" ht="13">
      <c r="A73" s="89"/>
    </row>
  </sheetData>
  <conditionalFormatting sqref="A30:C31">
    <cfRule type="expression" dxfId="18" priority="3">
      <formula>$C$31&lt;&gt;0</formula>
    </cfRule>
    <cfRule type="expression" dxfId="17" priority="4">
      <formula>$C$31=0</formula>
    </cfRule>
  </conditionalFormatting>
  <conditionalFormatting sqref="G8 K8 O8 S8 W8 AA8 AE8 AI8 AM8 AQ8 AU8 AY8">
    <cfRule type="cellIs" dxfId="16" priority="5" operator="equal">
      <formula>0</formula>
    </cfRule>
    <cfRule type="cellIs" dxfId="15" priority="6" operator="notEqual">
      <formula>0</formula>
    </cfRule>
  </conditionalFormatting>
  <conditionalFormatting sqref="BN19:BO27">
    <cfRule type="cellIs" dxfId="14" priority="1" operator="equal">
      <formula>0</formula>
    </cfRule>
    <cfRule type="cellIs" dxfId="13" priority="2" operator="not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O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5" width="10.1640625" customWidth="1"/>
    <col min="6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24" width="15.1640625" customWidth="1"/>
    <col min="25" max="25" width="40.1640625" customWidth="1"/>
    <col min="26" max="26" width="10.1640625" customWidth="1"/>
    <col min="27" max="28" width="15.1640625" customWidth="1"/>
    <col min="29" max="29" width="39.6640625" customWidth="1"/>
    <col min="30" max="30" width="10.6640625" customWidth="1"/>
    <col min="31" max="48" width="15.1640625" customWidth="1"/>
    <col min="49" max="49" width="15" customWidth="1"/>
    <col min="50" max="50" width="13.6640625" customWidth="1"/>
    <col min="51" max="51" width="26.5" customWidth="1"/>
    <col min="52" max="53" width="15.1640625" customWidth="1"/>
    <col min="54" max="54" width="18.5" customWidth="1"/>
    <col min="55" max="55" width="15.1640625" customWidth="1"/>
    <col min="56" max="56" width="18.6640625" customWidth="1"/>
    <col min="57" max="57" width="15.1640625" customWidth="1"/>
    <col min="58" max="58" width="19.33203125" customWidth="1"/>
    <col min="59" max="59" width="23.33203125" customWidth="1"/>
    <col min="60" max="60" width="15.1640625" customWidth="1"/>
    <col min="61" max="62" width="18" customWidth="1"/>
    <col min="63" max="63" width="19.1640625" customWidth="1"/>
    <col min="64" max="67" width="15.1640625" customWidth="1"/>
  </cols>
  <sheetData>
    <row r="1" spans="1:67" ht="42.75" customHeight="1">
      <c r="A1" s="5" t="s">
        <v>148</v>
      </c>
      <c r="C1" s="58" t="s">
        <v>131</v>
      </c>
      <c r="D1" s="59">
        <v>44592</v>
      </c>
      <c r="E1" s="60"/>
      <c r="F1" s="60"/>
      <c r="G1" s="61"/>
      <c r="H1" s="59">
        <v>44620</v>
      </c>
      <c r="I1" s="60"/>
      <c r="J1" s="60"/>
      <c r="K1" s="61"/>
      <c r="L1" s="59">
        <v>44651</v>
      </c>
      <c r="M1" s="60"/>
      <c r="N1" s="60"/>
      <c r="O1" s="61"/>
      <c r="P1" s="59">
        <v>44681</v>
      </c>
      <c r="Q1" s="60"/>
      <c r="R1" s="60"/>
      <c r="S1" s="61"/>
      <c r="T1" s="59">
        <v>44712</v>
      </c>
      <c r="U1" s="60"/>
      <c r="V1" s="60"/>
      <c r="W1" s="61"/>
      <c r="X1" s="199">
        <v>44742</v>
      </c>
      <c r="Y1" s="60"/>
      <c r="Z1" s="60"/>
      <c r="AA1" s="61"/>
      <c r="AB1" s="59">
        <v>44773</v>
      </c>
      <c r="AC1" s="60"/>
      <c r="AD1" s="60"/>
      <c r="AE1" s="61"/>
      <c r="AF1" s="59">
        <v>44804</v>
      </c>
      <c r="AG1" s="60"/>
      <c r="AH1" s="60"/>
      <c r="AI1" s="61"/>
      <c r="AJ1" s="59">
        <v>44834</v>
      </c>
      <c r="AK1" s="60"/>
      <c r="AL1" s="60"/>
      <c r="AM1" s="61"/>
      <c r="AN1" s="59">
        <v>44865</v>
      </c>
      <c r="AO1" s="60"/>
      <c r="AP1" s="60"/>
      <c r="AQ1" s="61"/>
      <c r="AR1" s="59">
        <v>44895</v>
      </c>
      <c r="AS1" s="60"/>
      <c r="AT1" s="60"/>
      <c r="AU1" s="61"/>
      <c r="AV1" s="59">
        <v>44926</v>
      </c>
      <c r="AW1" s="60"/>
      <c r="AX1" s="60"/>
      <c r="BB1" s="62"/>
      <c r="BD1" s="61"/>
      <c r="BG1" s="61"/>
      <c r="BH1" s="61"/>
    </row>
    <row r="2" spans="1:67" ht="14">
      <c r="A2" s="5"/>
      <c r="C2" s="61"/>
      <c r="D2" s="62">
        <f>YEAR(D1)</f>
        <v>2022</v>
      </c>
      <c r="G2" s="61"/>
      <c r="H2" s="62">
        <f>YEAR(H1)</f>
        <v>2022</v>
      </c>
      <c r="K2" s="61"/>
      <c r="L2" s="62">
        <f>YEAR(L1)</f>
        <v>2022</v>
      </c>
      <c r="O2" s="61"/>
      <c r="P2" s="62">
        <f>YEAR(P1)</f>
        <v>2022</v>
      </c>
      <c r="S2" s="61"/>
      <c r="T2" s="62">
        <f>YEAR(T1)</f>
        <v>2022</v>
      </c>
      <c r="W2" s="61"/>
      <c r="X2" s="62">
        <f>YEAR(X1)</f>
        <v>2022</v>
      </c>
      <c r="AA2" s="61"/>
      <c r="AB2" s="62">
        <f>YEAR(AB1)</f>
        <v>2022</v>
      </c>
      <c r="AE2" s="61"/>
      <c r="AF2" s="62">
        <f>YEAR(AF1)</f>
        <v>2022</v>
      </c>
      <c r="AI2" s="61"/>
      <c r="AJ2" s="62">
        <f>YEAR(AJ1)</f>
        <v>2022</v>
      </c>
      <c r="AM2" s="61"/>
      <c r="AN2" s="62">
        <f>YEAR(AN1)</f>
        <v>2022</v>
      </c>
      <c r="AQ2" s="61"/>
      <c r="AR2" s="62">
        <f>YEAR(AR1)</f>
        <v>2022</v>
      </c>
      <c r="AU2" s="61"/>
      <c r="AV2" s="62">
        <f>YEAR(AV1)</f>
        <v>2022</v>
      </c>
      <c r="AY2" s="61"/>
      <c r="AZ2" s="63" t="s">
        <v>132</v>
      </c>
      <c r="BB2" s="64" t="s">
        <v>133</v>
      </c>
      <c r="BC2" s="65"/>
      <c r="BE2" s="66" t="s">
        <v>134</v>
      </c>
      <c r="BF2" s="67"/>
      <c r="BH2" s="68" t="s">
        <v>135</v>
      </c>
      <c r="BI2" s="66"/>
      <c r="BJ2" s="66">
        <v>2022</v>
      </c>
      <c r="BL2" s="67"/>
      <c r="BM2" s="67"/>
      <c r="BN2" s="67"/>
      <c r="BO2" s="67"/>
    </row>
    <row r="3" spans="1:6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F3" s="72"/>
      <c r="BG3" s="73"/>
      <c r="BH3" s="73"/>
      <c r="BI3" s="72"/>
      <c r="BJ3" s="72"/>
      <c r="BK3" s="72"/>
      <c r="BL3" s="72"/>
      <c r="BM3" s="72"/>
      <c r="BN3" s="72"/>
      <c r="BO3" s="72"/>
    </row>
    <row r="4" spans="1:67" ht="28">
      <c r="A4" s="5"/>
      <c r="C4" s="61"/>
      <c r="D4" s="69" t="str">
        <f>IF(MONTH(D1)&lt;7,"1H","2H")</f>
        <v>1H</v>
      </c>
      <c r="E4" s="74"/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W4" s="1" t="s">
        <v>239</v>
      </c>
      <c r="AY4" s="61"/>
      <c r="AZ4" s="70"/>
      <c r="BA4" s="70"/>
      <c r="BB4" s="71"/>
      <c r="BC4" s="70"/>
      <c r="BD4" s="61"/>
      <c r="BF4" s="72"/>
      <c r="BG4" s="73"/>
      <c r="BH4" s="73"/>
      <c r="BI4" s="72"/>
      <c r="BJ4" s="72"/>
      <c r="BK4" s="72"/>
      <c r="BL4" s="72"/>
      <c r="BM4" s="72"/>
      <c r="BN4" s="72"/>
      <c r="BO4" s="72"/>
    </row>
    <row r="5" spans="1:67" ht="28">
      <c r="A5" s="89" t="s">
        <v>136</v>
      </c>
      <c r="C5" s="61"/>
      <c r="D5" s="90">
        <v>168414.14</v>
      </c>
      <c r="E5" s="90"/>
      <c r="F5" s="124"/>
      <c r="G5" s="92"/>
      <c r="H5" s="90">
        <v>129718</v>
      </c>
      <c r="I5" s="90"/>
      <c r="J5" s="91"/>
      <c r="K5" s="92"/>
      <c r="L5" s="90">
        <v>105053.14</v>
      </c>
      <c r="M5" s="90"/>
      <c r="N5" s="91"/>
      <c r="O5" s="92"/>
      <c r="P5" s="90">
        <v>183239.47</v>
      </c>
      <c r="Q5" s="90"/>
      <c r="R5" s="91"/>
      <c r="S5" s="92"/>
      <c r="T5" s="90">
        <v>127717.85</v>
      </c>
      <c r="U5" s="90"/>
      <c r="V5" s="91"/>
      <c r="W5" s="92"/>
      <c r="X5" s="90">
        <v>-52567.19</v>
      </c>
      <c r="Y5" s="90"/>
      <c r="Z5" s="91"/>
      <c r="AA5" s="91"/>
      <c r="AB5" s="90">
        <v>324985.03000000003</v>
      </c>
      <c r="AC5" s="200"/>
      <c r="AD5" s="91"/>
      <c r="AE5" s="92"/>
      <c r="AF5" s="90">
        <v>243844.58</v>
      </c>
      <c r="AG5" s="90"/>
      <c r="AH5" s="91"/>
      <c r="AI5" s="92"/>
      <c r="AJ5" s="90">
        <v>249683.45</v>
      </c>
      <c r="AK5" s="91"/>
      <c r="AL5" s="91"/>
      <c r="AM5" s="90"/>
      <c r="AN5" s="90">
        <v>-219916.87</v>
      </c>
      <c r="AO5" s="91"/>
      <c r="AP5" s="91"/>
      <c r="AQ5" s="90"/>
      <c r="AR5" s="90">
        <v>199259.74</v>
      </c>
      <c r="AS5" s="91"/>
      <c r="AT5" s="91"/>
      <c r="AU5" s="90"/>
      <c r="AV5" s="90">
        <f>AW5+AX5</f>
        <v>-166831.66000000003</v>
      </c>
      <c r="AW5" s="17">
        <v>-546831.66</v>
      </c>
      <c r="AX5" s="201">
        <v>380000</v>
      </c>
      <c r="AY5" s="90" t="s">
        <v>240</v>
      </c>
      <c r="AZ5" s="93">
        <f t="shared" ref="AZ5:AZ14" si="0">SUMIF($D$3:$AY$3,AZ$2,$D5:$AY5)</f>
        <v>403185.28</v>
      </c>
      <c r="BA5" s="92"/>
      <c r="BB5" s="93">
        <f t="shared" ref="BB5:BB14" si="1">SUMIF($D$3:$AY$3,BB$2,$D5:$AY5)</f>
        <v>258390.13</v>
      </c>
      <c r="BC5" s="94"/>
      <c r="BD5" s="92"/>
      <c r="BE5" s="17">
        <f t="shared" ref="BE5:BE14" si="2">SUMIF($D$3:$AY$3,BE$2,$D5:$AY5)</f>
        <v>818513.06</v>
      </c>
      <c r="BF5" s="95"/>
      <c r="BG5" s="96"/>
      <c r="BH5" s="96">
        <f t="shared" ref="BH5:BH14" si="3">SUMIF($D$3:$AY$3,BH$2,$D5:$AY5)</f>
        <v>-187488.79000000004</v>
      </c>
      <c r="BI5" s="94"/>
      <c r="BJ5" s="94">
        <f t="shared" ref="BJ5:BJ7" si="4">SUMIF($D$2:$AY$2,$BJ$2,$D5:$AY5)</f>
        <v>1292599.6800000002</v>
      </c>
      <c r="BK5" s="94"/>
      <c r="BL5" s="94"/>
      <c r="BM5" s="94"/>
      <c r="BN5" s="94"/>
      <c r="BO5" s="94"/>
    </row>
    <row r="6" spans="1:67" ht="14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3750</v>
      </c>
      <c r="AG6" s="91" t="s">
        <v>226</v>
      </c>
      <c r="AH6" s="91"/>
      <c r="AI6" s="92"/>
      <c r="AJ6" s="90">
        <v>0</v>
      </c>
      <c r="AK6" s="91"/>
      <c r="AL6" s="91"/>
      <c r="AM6" s="92"/>
      <c r="AN6" s="90">
        <v>1350</v>
      </c>
      <c r="AO6" s="91" t="s">
        <v>226</v>
      </c>
      <c r="AP6" s="91"/>
      <c r="AQ6" s="92"/>
      <c r="AR6" s="90">
        <v>437.5</v>
      </c>
      <c r="AS6" s="91" t="s">
        <v>226</v>
      </c>
      <c r="AT6" s="91"/>
      <c r="AU6" s="92"/>
      <c r="AV6" s="90">
        <v>0</v>
      </c>
      <c r="AW6" s="202"/>
      <c r="AX6" s="91"/>
      <c r="AY6" s="92"/>
      <c r="AZ6" s="93">
        <f t="shared" si="0"/>
        <v>0</v>
      </c>
      <c r="BA6" s="92"/>
      <c r="BB6" s="93">
        <f t="shared" si="1"/>
        <v>0</v>
      </c>
      <c r="BC6" s="94"/>
      <c r="BD6" s="92"/>
      <c r="BE6" s="17">
        <f t="shared" si="2"/>
        <v>3750</v>
      </c>
      <c r="BF6" s="95"/>
      <c r="BG6" s="96"/>
      <c r="BH6" s="96">
        <f t="shared" si="3"/>
        <v>1787.5</v>
      </c>
      <c r="BI6" s="94"/>
      <c r="BJ6" s="94">
        <f t="shared" si="4"/>
        <v>5537.5</v>
      </c>
      <c r="BK6" s="94"/>
      <c r="BL6" s="94"/>
      <c r="BM6" s="94"/>
      <c r="BN6" s="94"/>
      <c r="BO6" s="94"/>
    </row>
    <row r="7" spans="1:67" ht="13">
      <c r="A7" s="89" t="s">
        <v>143</v>
      </c>
      <c r="B7" s="99">
        <v>30000</v>
      </c>
      <c r="C7" s="61"/>
      <c r="D7" s="100">
        <f>'PS Model 2022'!ColinSalary</f>
        <v>30000</v>
      </c>
      <c r="E7" s="91"/>
      <c r="F7" s="91"/>
      <c r="G7" s="92"/>
      <c r="H7" s="100">
        <f>'PS Model 2022'!ColinSalary</f>
        <v>30000</v>
      </c>
      <c r="I7" s="91"/>
      <c r="J7" s="91"/>
      <c r="K7" s="92"/>
      <c r="L7" s="100">
        <f>'PS Model 2022'!ColinSalary</f>
        <v>30000</v>
      </c>
      <c r="M7" s="91"/>
      <c r="N7" s="91"/>
      <c r="O7" s="92"/>
      <c r="P7" s="100">
        <f>'PS Model 2022'!ColinSalary</f>
        <v>30000</v>
      </c>
      <c r="Q7" s="91"/>
      <c r="R7" s="91"/>
      <c r="S7" s="92"/>
      <c r="T7" s="100">
        <f>'PS Model 2022'!ColinSalary</f>
        <v>30000</v>
      </c>
      <c r="U7" s="91"/>
      <c r="V7" s="91"/>
      <c r="W7" s="92"/>
      <c r="X7" s="100">
        <f>'PS Model 2022'!ColinSalary</f>
        <v>30000</v>
      </c>
      <c r="Y7" s="91"/>
      <c r="Z7" s="91"/>
      <c r="AA7" s="92"/>
      <c r="AB7" s="100">
        <f>'PS Model 2022'!ColinSalary</f>
        <v>30000</v>
      </c>
      <c r="AC7" s="91"/>
      <c r="AD7" s="91"/>
      <c r="AE7" s="92"/>
      <c r="AF7" s="100">
        <f>'PS Model 2022'!ColinSalary</f>
        <v>30000</v>
      </c>
      <c r="AG7" s="91"/>
      <c r="AH7" s="91"/>
      <c r="AI7" s="92"/>
      <c r="AJ7" s="100">
        <f>'PS Model 2022'!ColinSalary</f>
        <v>30000</v>
      </c>
      <c r="AK7" s="91"/>
      <c r="AL7" s="91"/>
      <c r="AM7" s="92"/>
      <c r="AN7" s="100">
        <f>'PS Model 2022'!ColinSalary</f>
        <v>30000</v>
      </c>
      <c r="AO7" s="91"/>
      <c r="AP7" s="91"/>
      <c r="AQ7" s="92"/>
      <c r="AR7" s="100">
        <f>'PS Model 2022'!ColinSalary</f>
        <v>30000</v>
      </c>
      <c r="AS7" s="91"/>
      <c r="AT7" s="91"/>
      <c r="AU7" s="92"/>
      <c r="AV7" s="100">
        <f>'PS Model 2022'!ColinSalary</f>
        <v>30000</v>
      </c>
      <c r="AW7" s="203"/>
      <c r="AX7" s="91"/>
      <c r="AY7" s="92"/>
      <c r="AZ7" s="93">
        <f t="shared" si="0"/>
        <v>90000</v>
      </c>
      <c r="BA7" s="92"/>
      <c r="BB7" s="93">
        <f t="shared" si="1"/>
        <v>90000</v>
      </c>
      <c r="BC7" s="94"/>
      <c r="BD7" s="92"/>
      <c r="BE7" s="17">
        <f t="shared" si="2"/>
        <v>90000</v>
      </c>
      <c r="BF7" s="95"/>
      <c r="BG7" s="96"/>
      <c r="BH7" s="96">
        <f t="shared" si="3"/>
        <v>90000</v>
      </c>
      <c r="BI7" s="94"/>
      <c r="BJ7" s="94">
        <f t="shared" si="4"/>
        <v>360000</v>
      </c>
      <c r="BK7" s="94"/>
      <c r="BL7" s="94"/>
      <c r="BM7" s="94"/>
      <c r="BN7" s="94"/>
      <c r="BO7" s="94"/>
    </row>
    <row r="8" spans="1:67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>
        <v>242714.38</v>
      </c>
      <c r="Y8" s="103"/>
      <c r="Z8" s="91"/>
      <c r="AA8" s="92"/>
      <c r="AB8" s="103">
        <v>0</v>
      </c>
      <c r="AC8" s="91"/>
      <c r="AD8" s="91"/>
      <c r="AE8" s="92"/>
      <c r="AF8" s="103">
        <v>0</v>
      </c>
      <c r="AG8" s="91"/>
      <c r="AH8" s="91"/>
      <c r="AI8" s="92"/>
      <c r="AJ8" s="103">
        <v>0</v>
      </c>
      <c r="AK8" s="91"/>
      <c r="AL8" s="91"/>
      <c r="AM8" s="92"/>
      <c r="AN8" s="103">
        <v>404861.91</v>
      </c>
      <c r="AO8" s="91"/>
      <c r="AP8" s="91"/>
      <c r="AQ8" s="92"/>
      <c r="AR8" s="103"/>
      <c r="AS8" s="91"/>
      <c r="AT8" s="91"/>
      <c r="AU8" s="92"/>
      <c r="AV8" s="103">
        <v>322706.52</v>
      </c>
      <c r="AW8" s="91"/>
      <c r="AX8" s="91"/>
      <c r="AY8" s="92"/>
      <c r="AZ8" s="95">
        <f t="shared" si="0"/>
        <v>0</v>
      </c>
      <c r="BA8" s="92"/>
      <c r="BB8" s="93">
        <f t="shared" si="1"/>
        <v>242714.38</v>
      </c>
      <c r="BC8" s="94"/>
      <c r="BD8" s="92"/>
      <c r="BE8" s="95">
        <f t="shared" si="2"/>
        <v>0</v>
      </c>
      <c r="BF8" s="95"/>
      <c r="BG8" s="96"/>
      <c r="BH8" s="96">
        <f t="shared" si="3"/>
        <v>727568.42999999993</v>
      </c>
      <c r="BI8" s="94"/>
      <c r="BJ8" s="94"/>
      <c r="BK8" s="94"/>
      <c r="BL8" s="94"/>
      <c r="BM8" s="94"/>
      <c r="BN8" s="94"/>
      <c r="BO8" s="94"/>
    </row>
    <row r="9" spans="1:67" ht="13">
      <c r="A9" s="89" t="s">
        <v>145</v>
      </c>
      <c r="B9" s="101"/>
      <c r="C9" s="102"/>
      <c r="D9" s="104">
        <f>SUM(F17:F25)</f>
        <v>1175.73</v>
      </c>
      <c r="E9" s="91"/>
      <c r="F9" s="91"/>
      <c r="G9" s="92"/>
      <c r="H9" s="104">
        <f>SUM(J17:J25)</f>
        <v>2175.34</v>
      </c>
      <c r="I9" s="91"/>
      <c r="J9" s="91"/>
      <c r="K9" s="92"/>
      <c r="L9" s="104">
        <f>SUM(N17:N25)</f>
        <v>4934.09</v>
      </c>
      <c r="M9" s="91"/>
      <c r="N9" s="91"/>
      <c r="O9" s="92"/>
      <c r="P9" s="104">
        <f>SUM(R17:R25)</f>
        <v>15083.81</v>
      </c>
      <c r="Q9" s="91"/>
      <c r="R9" s="91"/>
      <c r="S9" s="92"/>
      <c r="T9" s="104">
        <f>SUM(V17:V25)</f>
        <v>11053.73</v>
      </c>
      <c r="U9" s="91"/>
      <c r="V9" s="91"/>
      <c r="W9" s="92"/>
      <c r="X9" s="104">
        <f>SUM(Z17:Z25)</f>
        <v>3747.21</v>
      </c>
      <c r="Y9" s="91"/>
      <c r="Z9" s="91"/>
      <c r="AA9" s="92"/>
      <c r="AB9" s="104">
        <f>SUM(AD17:AD25)</f>
        <v>650.28</v>
      </c>
      <c r="AC9" s="91"/>
      <c r="AD9" s="91"/>
      <c r="AE9" s="92"/>
      <c r="AF9" s="104">
        <f>SUM(AH17:AH25)</f>
        <v>1687.74</v>
      </c>
      <c r="AG9" s="91"/>
      <c r="AH9" s="91"/>
      <c r="AI9" s="92"/>
      <c r="AJ9" s="104">
        <f>SUM(AL17:AL25)</f>
        <v>2676.73</v>
      </c>
      <c r="AK9" s="91"/>
      <c r="AL9" s="91"/>
      <c r="AM9" s="92"/>
      <c r="AN9" s="104">
        <f>SUM(AP17:AP25)</f>
        <v>861.4</v>
      </c>
      <c r="AO9" s="91"/>
      <c r="AP9" s="91"/>
      <c r="AQ9" s="92"/>
      <c r="AR9" s="104">
        <f>SUM(AT17:AT25)</f>
        <v>2191.7600000000002</v>
      </c>
      <c r="AS9" s="91"/>
      <c r="AT9" s="91"/>
      <c r="AU9" s="92"/>
      <c r="AV9" s="104">
        <f>SUM(AX17:AX25)</f>
        <v>6358.57</v>
      </c>
      <c r="AW9" s="91"/>
      <c r="AX9" s="91"/>
      <c r="AY9" s="92"/>
      <c r="AZ9" s="93">
        <f t="shared" si="0"/>
        <v>8285.16</v>
      </c>
      <c r="BA9" s="92"/>
      <c r="BB9" s="93">
        <f t="shared" si="1"/>
        <v>29884.75</v>
      </c>
      <c r="BC9" s="94"/>
      <c r="BD9" s="92"/>
      <c r="BE9" s="17">
        <f t="shared" si="2"/>
        <v>5014.75</v>
      </c>
      <c r="BF9" s="95"/>
      <c r="BG9" s="96"/>
      <c r="BH9" s="96">
        <f t="shared" si="3"/>
        <v>9411.73</v>
      </c>
      <c r="BI9" s="94"/>
      <c r="BJ9" s="94">
        <f t="shared" ref="BJ9:BJ14" si="5">SUMIF($D$2:$AY$2,$BJ$2,$D9:$AY9)</f>
        <v>52596.39</v>
      </c>
      <c r="BK9" s="94"/>
      <c r="BL9" s="94"/>
      <c r="BM9" s="94"/>
      <c r="BN9" s="105"/>
      <c r="BO9" s="94"/>
    </row>
    <row r="10" spans="1:67" ht="42">
      <c r="A10" s="106" t="s">
        <v>146</v>
      </c>
      <c r="B10" s="13"/>
      <c r="C10" s="107"/>
      <c r="D10" s="108">
        <f>D5-D6-D7+D9+D8</f>
        <v>139589.87000000002</v>
      </c>
      <c r="E10" s="109"/>
      <c r="F10" s="109"/>
      <c r="G10" s="110"/>
      <c r="H10" s="108">
        <f>H5-H6-H7+H9+H8</f>
        <v>101893.34</v>
      </c>
      <c r="I10" s="109"/>
      <c r="J10" s="109"/>
      <c r="K10" s="110"/>
      <c r="L10" s="108">
        <f>L5-L6-L7+L9+L8</f>
        <v>79987.23</v>
      </c>
      <c r="M10" s="109"/>
      <c r="N10" s="109"/>
      <c r="O10" s="110"/>
      <c r="P10" s="108">
        <f>P5-P6-P7+P9+P8</f>
        <v>168323.28</v>
      </c>
      <c r="Q10" s="109"/>
      <c r="R10" s="109"/>
      <c r="S10" s="110"/>
      <c r="T10" s="108">
        <f>T5-T6-T7+T9+T8</f>
        <v>108771.58</v>
      </c>
      <c r="U10" s="109"/>
      <c r="V10" s="109"/>
      <c r="W10" s="110"/>
      <c r="X10" s="204">
        <f>X5-X6-X7+X9+X8+Z10</f>
        <v>254530.40000000002</v>
      </c>
      <c r="Y10" s="80" t="s">
        <v>241</v>
      </c>
      <c r="Z10" s="80">
        <v>90636</v>
      </c>
      <c r="AA10" s="110"/>
      <c r="AB10" s="204">
        <f>AB5-AB6-AB7+AB9+AB8-Z10</f>
        <v>204999.31000000006</v>
      </c>
      <c r="AC10" s="205" t="s">
        <v>242</v>
      </c>
      <c r="AD10" s="109"/>
      <c r="AE10" s="109"/>
      <c r="AF10" s="108">
        <f>AF5-AF6-AF7+AF9+AF8</f>
        <v>211782.31999999998</v>
      </c>
      <c r="AG10" s="109"/>
      <c r="AH10" s="109"/>
      <c r="AI10" s="110"/>
      <c r="AJ10" s="108">
        <f>AJ5-AJ6-AJ7+AJ9+AJ8</f>
        <v>222360.18000000002</v>
      </c>
      <c r="AK10" s="109"/>
      <c r="AL10" s="109"/>
      <c r="AM10" s="110"/>
      <c r="AN10" s="108">
        <f>AN5-AN6-AN7+AN9+AN8</f>
        <v>154456.43999999997</v>
      </c>
      <c r="AO10" s="109"/>
      <c r="AP10" s="109"/>
      <c r="AQ10" s="110"/>
      <c r="AR10" s="108">
        <f>AR5-AR6-AR7+AR9+AR8</f>
        <v>171014</v>
      </c>
      <c r="AS10" s="109"/>
      <c r="AT10" s="109"/>
      <c r="AU10" s="110"/>
      <c r="AV10" s="108">
        <f>AV5-AV6-AV7+AV9+AV8</f>
        <v>132233.43</v>
      </c>
      <c r="AW10" s="109"/>
      <c r="AX10" s="109"/>
      <c r="AY10" s="110"/>
      <c r="AZ10" s="112">
        <f t="shared" si="0"/>
        <v>321470.44</v>
      </c>
      <c r="BA10" s="110"/>
      <c r="BB10" s="112">
        <f t="shared" si="1"/>
        <v>531625.26</v>
      </c>
      <c r="BC10" s="113"/>
      <c r="BD10" s="110"/>
      <c r="BE10" s="16">
        <f t="shared" si="2"/>
        <v>639141.81000000006</v>
      </c>
      <c r="BF10" s="114"/>
      <c r="BG10" s="115"/>
      <c r="BH10" s="115">
        <f t="shared" si="3"/>
        <v>457703.86999999994</v>
      </c>
      <c r="BI10" s="113"/>
      <c r="BJ10" s="113">
        <f t="shared" si="5"/>
        <v>1949941.38</v>
      </c>
      <c r="BK10" s="94"/>
      <c r="BL10" s="94"/>
      <c r="BM10" s="94"/>
      <c r="BN10" s="94"/>
      <c r="BO10" s="94"/>
    </row>
    <row r="11" spans="1:67" ht="14">
      <c r="A11" s="89" t="s">
        <v>147</v>
      </c>
      <c r="C11" s="61"/>
      <c r="D11" s="90">
        <v>30000</v>
      </c>
      <c r="E11" s="91"/>
      <c r="F11" s="91"/>
      <c r="G11" s="92"/>
      <c r="H11" s="90">
        <v>30000</v>
      </c>
      <c r="I11" s="91"/>
      <c r="J11" s="91"/>
      <c r="K11" s="92"/>
      <c r="L11" s="90">
        <v>30000</v>
      </c>
      <c r="M11" s="91" t="s">
        <v>148</v>
      </c>
      <c r="N11" s="91"/>
      <c r="O11" s="92"/>
      <c r="P11" s="90">
        <v>134621</v>
      </c>
      <c r="Q11" s="91"/>
      <c r="R11" s="91"/>
      <c r="S11" s="92"/>
      <c r="T11" s="90">
        <v>60000</v>
      </c>
      <c r="U11" s="91"/>
      <c r="V11" s="91"/>
      <c r="W11" s="92"/>
      <c r="X11" s="90">
        <v>151565.82</v>
      </c>
      <c r="Y11" s="91"/>
      <c r="Z11" s="91"/>
      <c r="AA11" s="92"/>
      <c r="AB11" s="90">
        <v>0</v>
      </c>
      <c r="AC11" s="91"/>
      <c r="AD11" s="91"/>
      <c r="AE11" s="92"/>
      <c r="AF11" s="90">
        <v>60000</v>
      </c>
      <c r="AG11" s="91"/>
      <c r="AH11" s="91"/>
      <c r="AI11" s="92"/>
      <c r="AJ11" s="90">
        <v>30000</v>
      </c>
      <c r="AK11" s="91"/>
      <c r="AL11" s="91"/>
      <c r="AM11" s="92"/>
      <c r="AN11" s="90">
        <v>40000</v>
      </c>
      <c r="AO11" s="91"/>
      <c r="AP11" s="91"/>
      <c r="AQ11" s="92"/>
      <c r="AR11" s="90">
        <v>15000</v>
      </c>
      <c r="AS11" s="91"/>
      <c r="AT11" s="91"/>
      <c r="AU11" s="92"/>
      <c r="AV11" s="90">
        <v>30113.279999999999</v>
      </c>
      <c r="AW11" s="91"/>
      <c r="AX11" s="91"/>
      <c r="AY11" s="92"/>
      <c r="AZ11" s="93">
        <f t="shared" si="0"/>
        <v>90000</v>
      </c>
      <c r="BA11" s="92"/>
      <c r="BB11" s="93">
        <f t="shared" si="1"/>
        <v>346186.82</v>
      </c>
      <c r="BC11" s="94"/>
      <c r="BD11" s="92"/>
      <c r="BE11" s="17">
        <f t="shared" si="2"/>
        <v>90000</v>
      </c>
      <c r="BF11" s="95"/>
      <c r="BG11" s="96"/>
      <c r="BH11" s="96">
        <f t="shared" si="3"/>
        <v>85113.279999999999</v>
      </c>
      <c r="BI11" s="94"/>
      <c r="BJ11" s="94">
        <f t="shared" si="5"/>
        <v>611300.10000000009</v>
      </c>
      <c r="BK11" s="94"/>
      <c r="BL11" s="94"/>
      <c r="BM11" s="94"/>
      <c r="BN11" s="94"/>
      <c r="BO11" s="94"/>
    </row>
    <row r="12" spans="1:67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>
        <v>100000</v>
      </c>
      <c r="Q12" s="91">
        <f>P12+P11</f>
        <v>234621</v>
      </c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0"/>
        <v>0</v>
      </c>
      <c r="BA12" s="92"/>
      <c r="BB12" s="93">
        <f t="shared" si="1"/>
        <v>100000</v>
      </c>
      <c r="BC12" s="94"/>
      <c r="BD12" s="92"/>
      <c r="BE12" s="17">
        <f t="shared" si="2"/>
        <v>0</v>
      </c>
      <c r="BF12" s="95"/>
      <c r="BG12" s="96"/>
      <c r="BH12" s="96">
        <f t="shared" si="3"/>
        <v>0</v>
      </c>
      <c r="BI12" s="94"/>
      <c r="BJ12" s="94">
        <f t="shared" si="5"/>
        <v>100000</v>
      </c>
      <c r="BK12" s="94"/>
      <c r="BL12" s="94"/>
      <c r="BM12" s="94"/>
      <c r="BN12" s="94"/>
      <c r="BO12" s="94"/>
    </row>
    <row r="13" spans="1:67" ht="14">
      <c r="A13" s="5" t="s">
        <v>150</v>
      </c>
      <c r="C13" s="61"/>
      <c r="D13" s="100"/>
      <c r="E13" s="91"/>
      <c r="F13" s="91"/>
      <c r="G13" s="92"/>
      <c r="H13" s="100"/>
      <c r="I13" s="91"/>
      <c r="J13" s="91"/>
      <c r="K13" s="92"/>
      <c r="L13" s="100"/>
      <c r="M13" s="91"/>
      <c r="N13" s="91"/>
      <c r="O13" s="92"/>
      <c r="P13" s="100"/>
      <c r="Q13" s="91"/>
      <c r="R13" s="91"/>
      <c r="S13" s="92"/>
      <c r="T13" s="100"/>
      <c r="U13" s="91"/>
      <c r="V13" s="91"/>
      <c r="W13" s="92"/>
      <c r="X13" s="100"/>
      <c r="Y13" s="91"/>
      <c r="Z13" s="91"/>
      <c r="AA13" s="92"/>
      <c r="AB13" s="100"/>
      <c r="AC13" s="91"/>
      <c r="AD13" s="91"/>
      <c r="AE13" s="92"/>
      <c r="AF13" s="100">
        <v>892.43</v>
      </c>
      <c r="AG13" s="91"/>
      <c r="AH13" s="91"/>
      <c r="AI13" s="92"/>
      <c r="AJ13" s="100">
        <v>4310.7</v>
      </c>
      <c r="AK13" s="91"/>
      <c r="AL13" s="91"/>
      <c r="AM13" s="92"/>
      <c r="AN13" s="100">
        <v>892.43</v>
      </c>
      <c r="AO13" s="91"/>
      <c r="AP13" s="91"/>
      <c r="AQ13" s="92"/>
      <c r="AR13" s="100">
        <v>1771.66</v>
      </c>
      <c r="AS13" s="91"/>
      <c r="AT13" s="91"/>
      <c r="AU13" s="92"/>
      <c r="AV13" s="100"/>
      <c r="AW13" s="91"/>
      <c r="AX13" s="91"/>
      <c r="AY13" s="92"/>
      <c r="AZ13" s="93">
        <f t="shared" si="0"/>
        <v>0</v>
      </c>
      <c r="BA13" s="92"/>
      <c r="BB13" s="93">
        <f t="shared" si="1"/>
        <v>0</v>
      </c>
      <c r="BC13" s="94"/>
      <c r="BD13" s="92"/>
      <c r="BE13" s="17">
        <f t="shared" si="2"/>
        <v>5203.13</v>
      </c>
      <c r="BF13" s="95"/>
      <c r="BG13" s="96"/>
      <c r="BH13" s="96">
        <f t="shared" si="3"/>
        <v>2664.09</v>
      </c>
      <c r="BI13" s="94"/>
      <c r="BJ13" s="94">
        <f t="shared" si="5"/>
        <v>7867.22</v>
      </c>
      <c r="BK13" s="94"/>
      <c r="BL13" s="94"/>
      <c r="BM13" s="94"/>
      <c r="BN13" s="94"/>
      <c r="BO13" s="94"/>
    </row>
    <row r="14" spans="1:67" ht="14">
      <c r="A14" s="5" t="s">
        <v>151</v>
      </c>
      <c r="C14" s="61"/>
      <c r="D14" s="100">
        <f>D11+D12+D13-D7</f>
        <v>0</v>
      </c>
      <c r="E14" s="91"/>
      <c r="F14" s="91"/>
      <c r="G14" s="92"/>
      <c r="H14" s="100">
        <f>H11+H12+H13-H7</f>
        <v>0</v>
      </c>
      <c r="I14" s="91"/>
      <c r="J14" s="91"/>
      <c r="K14" s="92"/>
      <c r="L14" s="100">
        <f>L11+L12+L13-L7</f>
        <v>0</v>
      </c>
      <c r="M14" s="91"/>
      <c r="N14" s="91"/>
      <c r="O14" s="92"/>
      <c r="P14" s="100">
        <f>P11+P12+P13-P7</f>
        <v>204621</v>
      </c>
      <c r="Q14" s="91"/>
      <c r="R14" s="91"/>
      <c r="S14" s="92"/>
      <c r="T14" s="100">
        <f>T11+T12+T13-T7</f>
        <v>30000</v>
      </c>
      <c r="U14" s="91"/>
      <c r="V14" s="91"/>
      <c r="W14" s="92"/>
      <c r="X14" s="100">
        <f>X11+X12+X13-X7</f>
        <v>121565.82</v>
      </c>
      <c r="Y14" s="91"/>
      <c r="Z14" s="91"/>
      <c r="AA14" s="92"/>
      <c r="AB14" s="100">
        <f>AB11+AB12+AB13-AB7</f>
        <v>-30000</v>
      </c>
      <c r="AC14" s="91"/>
      <c r="AD14" s="91"/>
      <c r="AE14" s="92"/>
      <c r="AF14" s="100">
        <f>AF11+AF12+AF13-AF7</f>
        <v>30892.43</v>
      </c>
      <c r="AG14" s="91"/>
      <c r="AH14" s="91"/>
      <c r="AI14" s="92"/>
      <c r="AJ14" s="100">
        <f>AJ11+AJ12+AJ13-AJ7</f>
        <v>4310.6999999999971</v>
      </c>
      <c r="AK14" s="91"/>
      <c r="AL14" s="91"/>
      <c r="AM14" s="92"/>
      <c r="AN14" s="100">
        <f>AN11+AN12+AN13-AN7</f>
        <v>10892.43</v>
      </c>
      <c r="AO14" s="91"/>
      <c r="AP14" s="91"/>
      <c r="AQ14" s="92"/>
      <c r="AR14" s="100">
        <f>AR11+AR12+AR13-AR7</f>
        <v>-13228.34</v>
      </c>
      <c r="AS14" s="91"/>
      <c r="AT14" s="91"/>
      <c r="AU14" s="92"/>
      <c r="AV14" s="100">
        <f>AV11+AV12+AV13-AV7</f>
        <v>113.27999999999884</v>
      </c>
      <c r="AW14" s="91"/>
      <c r="AX14" s="91"/>
      <c r="AY14" s="92"/>
      <c r="AZ14" s="93">
        <f t="shared" si="0"/>
        <v>0</v>
      </c>
      <c r="BA14" s="92"/>
      <c r="BB14" s="93">
        <f t="shared" si="1"/>
        <v>356186.82</v>
      </c>
      <c r="BC14" s="94"/>
      <c r="BD14" s="92"/>
      <c r="BE14" s="17">
        <f t="shared" si="2"/>
        <v>5203.1299999999974</v>
      </c>
      <c r="BF14" s="95"/>
      <c r="BG14" s="96"/>
      <c r="BH14" s="96">
        <f t="shared" si="3"/>
        <v>-2222.630000000001</v>
      </c>
      <c r="BI14" s="94"/>
      <c r="BJ14" s="94">
        <f t="shared" si="5"/>
        <v>359167.31999999995</v>
      </c>
      <c r="BK14" s="94"/>
      <c r="BL14" s="94"/>
      <c r="BM14" s="94"/>
      <c r="BN14" s="94"/>
      <c r="BO14" s="94"/>
    </row>
    <row r="15" spans="1:67" ht="13">
      <c r="A15" s="5"/>
      <c r="C15" s="61"/>
      <c r="D15" s="100"/>
      <c r="E15" s="91"/>
      <c r="F15" s="91"/>
      <c r="G15" s="92"/>
      <c r="H15" s="100"/>
      <c r="I15" s="91"/>
      <c r="J15" s="91"/>
      <c r="K15" s="92"/>
      <c r="L15" s="100"/>
      <c r="M15" s="91"/>
      <c r="N15" s="91"/>
      <c r="O15" s="92"/>
      <c r="P15" s="100"/>
      <c r="Q15" s="91"/>
      <c r="R15" s="91"/>
      <c r="S15" s="92"/>
      <c r="T15" s="100"/>
      <c r="U15" s="91"/>
      <c r="V15" s="91"/>
      <c r="W15" s="92"/>
      <c r="X15" s="100"/>
      <c r="Y15" s="91"/>
      <c r="Z15" s="91"/>
      <c r="AA15" s="92"/>
      <c r="AB15" s="100"/>
      <c r="AC15" s="91"/>
      <c r="AD15" s="91"/>
      <c r="AE15" s="92"/>
      <c r="AF15" s="100"/>
      <c r="AG15" s="91"/>
      <c r="AH15" s="91"/>
      <c r="AI15" s="92"/>
      <c r="AJ15" s="100"/>
      <c r="AK15" s="91"/>
      <c r="AL15" s="91"/>
      <c r="AM15" s="92"/>
      <c r="AN15" s="100"/>
      <c r="AO15" s="91"/>
      <c r="AP15" s="91"/>
      <c r="AQ15" s="92"/>
      <c r="AR15" s="100"/>
      <c r="AS15" s="91"/>
      <c r="AT15" s="91"/>
      <c r="AU15" s="92"/>
      <c r="AV15" s="100"/>
      <c r="AW15" s="91"/>
      <c r="AX15" s="91"/>
      <c r="AY15" s="92"/>
      <c r="AZ15" s="100"/>
      <c r="BA15" s="92"/>
      <c r="BB15" s="100"/>
      <c r="BC15" s="91"/>
      <c r="BD15" s="92"/>
      <c r="BE15" s="17"/>
      <c r="BF15" s="17"/>
      <c r="BG15" s="116"/>
      <c r="BH15" s="116"/>
      <c r="BI15" s="91"/>
      <c r="BJ15" s="91"/>
      <c r="BK15" s="91"/>
      <c r="BL15" s="91"/>
      <c r="BM15" s="91"/>
      <c r="BN15" s="91"/>
      <c r="BO15" s="91"/>
    </row>
    <row r="16" spans="1:67" ht="14">
      <c r="A16" s="5"/>
      <c r="B16" s="5"/>
      <c r="C16" s="5"/>
      <c r="D16" s="117" t="s">
        <v>152</v>
      </c>
      <c r="E16" s="118" t="s">
        <v>153</v>
      </c>
      <c r="F16" s="118" t="s">
        <v>154</v>
      </c>
      <c r="G16" s="118" t="s">
        <v>155</v>
      </c>
      <c r="H16" s="117" t="s">
        <v>152</v>
      </c>
      <c r="I16" s="118" t="s">
        <v>153</v>
      </c>
      <c r="J16" s="118" t="s">
        <v>154</v>
      </c>
      <c r="K16" s="118" t="s">
        <v>155</v>
      </c>
      <c r="L16" s="117" t="s">
        <v>152</v>
      </c>
      <c r="M16" s="118" t="s">
        <v>153</v>
      </c>
      <c r="N16" s="118" t="s">
        <v>154</v>
      </c>
      <c r="O16" s="118" t="s">
        <v>155</v>
      </c>
      <c r="P16" s="117" t="s">
        <v>152</v>
      </c>
      <c r="Q16" s="118" t="s">
        <v>153</v>
      </c>
      <c r="R16" s="118" t="s">
        <v>154</v>
      </c>
      <c r="S16" s="118" t="s">
        <v>155</v>
      </c>
      <c r="T16" s="117" t="s">
        <v>152</v>
      </c>
      <c r="U16" s="118" t="s">
        <v>153</v>
      </c>
      <c r="V16" s="118" t="s">
        <v>154</v>
      </c>
      <c r="W16" s="118" t="s">
        <v>155</v>
      </c>
      <c r="X16" s="117" t="s">
        <v>152</v>
      </c>
      <c r="Y16" s="118" t="s">
        <v>153</v>
      </c>
      <c r="Z16" s="118" t="s">
        <v>154</v>
      </c>
      <c r="AA16" s="118" t="s">
        <v>155</v>
      </c>
      <c r="AB16" s="117" t="s">
        <v>152</v>
      </c>
      <c r="AC16" s="118" t="s">
        <v>153</v>
      </c>
      <c r="AD16" s="118" t="s">
        <v>154</v>
      </c>
      <c r="AE16" s="118" t="s">
        <v>155</v>
      </c>
      <c r="AF16" s="117" t="s">
        <v>152</v>
      </c>
      <c r="AG16" s="118" t="s">
        <v>153</v>
      </c>
      <c r="AH16" s="118" t="s">
        <v>154</v>
      </c>
      <c r="AI16" s="118" t="s">
        <v>155</v>
      </c>
      <c r="AJ16" s="117" t="s">
        <v>152</v>
      </c>
      <c r="AK16" s="118" t="s">
        <v>153</v>
      </c>
      <c r="AL16" s="118" t="s">
        <v>154</v>
      </c>
      <c r="AM16" s="118" t="s">
        <v>155</v>
      </c>
      <c r="AN16" s="117" t="s">
        <v>152</v>
      </c>
      <c r="AO16" s="118" t="s">
        <v>153</v>
      </c>
      <c r="AP16" s="118" t="s">
        <v>154</v>
      </c>
      <c r="AQ16" s="118" t="s">
        <v>155</v>
      </c>
      <c r="AR16" s="117" t="s">
        <v>152</v>
      </c>
      <c r="AS16" s="118" t="s">
        <v>153</v>
      </c>
      <c r="AT16" s="118" t="s">
        <v>154</v>
      </c>
      <c r="AU16" s="118" t="s">
        <v>155</v>
      </c>
      <c r="AV16" s="117" t="s">
        <v>152</v>
      </c>
      <c r="AW16" s="118" t="s">
        <v>153</v>
      </c>
      <c r="AX16" s="118" t="s">
        <v>154</v>
      </c>
      <c r="AY16" s="118" t="s">
        <v>155</v>
      </c>
      <c r="AZ16" s="93"/>
      <c r="BA16" s="63" t="s">
        <v>158</v>
      </c>
      <c r="BB16" s="100"/>
      <c r="BC16" s="91"/>
      <c r="BD16" s="190" t="s">
        <v>161</v>
      </c>
      <c r="BE16" s="17"/>
      <c r="BF16" s="17"/>
      <c r="BG16" s="66" t="s">
        <v>164</v>
      </c>
      <c r="BH16" s="116"/>
      <c r="BI16" s="91"/>
      <c r="BJ16" s="91"/>
      <c r="BK16" s="66" t="s">
        <v>243</v>
      </c>
      <c r="BL16" s="91"/>
      <c r="BM16" s="91"/>
      <c r="BN16" s="91" t="s">
        <v>167</v>
      </c>
      <c r="BO16" s="91" t="s">
        <v>167</v>
      </c>
    </row>
    <row r="17" spans="1:67" ht="13">
      <c r="A17" s="89" t="s">
        <v>83</v>
      </c>
      <c r="B17" s="121"/>
      <c r="C17" s="121">
        <f>'Mirek Revised PS Model 2021'!BG28</f>
        <v>214617.79416078154</v>
      </c>
      <c r="D17" s="122">
        <f>300-175</f>
        <v>125</v>
      </c>
      <c r="E17" s="123">
        <f t="shared" ref="E17:E25" si="6">D$10*D17/D$26</f>
        <v>33619.910886319849</v>
      </c>
      <c r="F17" s="124">
        <v>1175.73</v>
      </c>
      <c r="G17" s="123">
        <f t="shared" ref="G17:G25" si="7">E17-F17</f>
        <v>32444.180886319849</v>
      </c>
      <c r="H17" s="122">
        <v>125</v>
      </c>
      <c r="I17" s="123">
        <f t="shared" ref="I17:I25" si="8">H$10*H17/H$26</f>
        <v>24540.785163776487</v>
      </c>
      <c r="J17" s="124">
        <v>2175.34</v>
      </c>
      <c r="K17" s="123">
        <f t="shared" ref="K17:K25" si="9">I17-J17</f>
        <v>22365.445163776487</v>
      </c>
      <c r="L17" s="122">
        <v>125</v>
      </c>
      <c r="M17" s="123">
        <f t="shared" ref="M17:M25" si="10">L$10*L17/L$26</f>
        <v>19264.747109826585</v>
      </c>
      <c r="N17" s="124">
        <v>4934.09</v>
      </c>
      <c r="O17" s="123">
        <f t="shared" ref="O17:O25" si="11">M17-N17</f>
        <v>14330.657109826585</v>
      </c>
      <c r="P17" s="122">
        <v>125</v>
      </c>
      <c r="Q17" s="123">
        <f t="shared" ref="Q17:Q25" si="12">P$10*P17/P$26</f>
        <v>40540.289017341034</v>
      </c>
      <c r="R17" s="124">
        <v>15083.81</v>
      </c>
      <c r="S17" s="123">
        <f t="shared" ref="S17:S25" si="13">Q17-R17</f>
        <v>25456.479017341037</v>
      </c>
      <c r="T17" s="122">
        <v>125</v>
      </c>
      <c r="U17" s="123">
        <f t="shared" ref="U17:U25" si="14">T$10*T17/T$26</f>
        <v>26197.394026974947</v>
      </c>
      <c r="V17" s="124">
        <v>11053.73</v>
      </c>
      <c r="W17" s="123">
        <f t="shared" ref="W17:W25" si="15">U17-V17</f>
        <v>15143.664026974948</v>
      </c>
      <c r="X17" s="122">
        <v>125</v>
      </c>
      <c r="Y17" s="123">
        <f t="shared" ref="Y17:Y25" si="16">X$10*X17/X$26</f>
        <v>61303.082851637759</v>
      </c>
      <c r="Z17" s="124">
        <v>3747.21</v>
      </c>
      <c r="AA17" s="123">
        <f t="shared" ref="AA17:AA25" si="17">Y17-Z17</f>
        <v>57555.87285163776</v>
      </c>
      <c r="AB17" s="122">
        <v>125</v>
      </c>
      <c r="AC17" s="123">
        <f t="shared" ref="AC17:AC25" si="18">AB$10*AB17/AB$26</f>
        <v>49373.629576107902</v>
      </c>
      <c r="AD17" s="124">
        <v>650.28</v>
      </c>
      <c r="AE17" s="123">
        <f t="shared" ref="AE17:AE25" si="19">AC17-AD17</f>
        <v>48723.349576107903</v>
      </c>
      <c r="AF17" s="122">
        <v>125</v>
      </c>
      <c r="AG17" s="123">
        <f t="shared" ref="AG17:AG25" si="20">AF$10*AF17/AF$26</f>
        <v>51007.302504816937</v>
      </c>
      <c r="AH17" s="124">
        <v>1687.74</v>
      </c>
      <c r="AI17" s="123">
        <f t="shared" ref="AI17:AI25" si="21">AG17-AH17</f>
        <v>49319.562504816939</v>
      </c>
      <c r="AJ17" s="122">
        <v>125</v>
      </c>
      <c r="AK17" s="123">
        <f t="shared" ref="AK17:AK25" si="22">AJ$10*AJ17/AJ$26</f>
        <v>53554.956647398838</v>
      </c>
      <c r="AL17" s="124">
        <v>2676.73</v>
      </c>
      <c r="AM17" s="123">
        <f t="shared" ref="AM17:AM25" si="23">AK17-AL17</f>
        <v>50878.226647398835</v>
      </c>
      <c r="AN17" s="122">
        <v>125</v>
      </c>
      <c r="AO17" s="123">
        <f t="shared" ref="AO17:AO25" si="24">AN$10*AN17/AN$26</f>
        <v>37200.491329479752</v>
      </c>
      <c r="AP17" s="124">
        <v>861.4</v>
      </c>
      <c r="AQ17" s="123">
        <f t="shared" ref="AQ17:AQ25" si="25">AO17-AP17</f>
        <v>36339.09132947975</v>
      </c>
      <c r="AR17" s="122">
        <v>125</v>
      </c>
      <c r="AS17" s="123">
        <f t="shared" ref="AS17:AS25" si="26">AR$10*AR17/AR$26</f>
        <v>41188.342967244695</v>
      </c>
      <c r="AT17" s="124">
        <v>2191.7600000000002</v>
      </c>
      <c r="AU17" s="123">
        <f t="shared" ref="AU17:AU25" si="27">AS17-AT17</f>
        <v>38996.582967244693</v>
      </c>
      <c r="AV17" s="122">
        <v>125</v>
      </c>
      <c r="AW17" s="123">
        <f t="shared" ref="AW17:AW25" si="28">AV$10*AV17/AV$26</f>
        <v>31848.128612716755</v>
      </c>
      <c r="AX17" s="124">
        <v>6358.57</v>
      </c>
      <c r="AY17" s="126">
        <f t="shared" ref="AY17:AY25" si="29">AW17-AX17</f>
        <v>25489.558612716755</v>
      </c>
      <c r="AZ17" s="127">
        <f t="shared" ref="AZ17:AZ25" si="30">IF($AV$3=AZ$2,AY17,0)+IF($AR$3=AZ$2,AU17,0)+IF($AN$3=AZ$2,AQ17,0)+IF($AJ$3=AZ$2,AM17,0)+IF($AF$3=AZ$2,AI17,0)+IF($AB$3=AZ$2,AE17,0)+IF($X$3=AZ$2,AA17,0)+IF($T$3=AZ$2,W17,0)+IF($P$3=AZ$2,S17,0)+IF($L$3=AZ$2,O17,0)+IF($H$3=AZ$2,K17,0)+IF($D$3=AZ$2,G17,0)</f>
        <v>69140.283159922925</v>
      </c>
      <c r="BA17" s="128">
        <f t="shared" ref="BA17:BA25" si="31">AZ17+$C17</f>
        <v>283758.07732070447</v>
      </c>
      <c r="BB17" s="127">
        <f t="shared" ref="BB17:BB25" si="32">IF($AV$3=BB$2,AY17,0)+IF($AR$3=BB$2,AU17,0)+IF($AN$3=BB$2,AQ17,0)+IF($AJ$3=BB$2,AM17,0)+IF($AF$3=BB$2,AI17,0)+IF($AB$3=BB$2,AE17,0)+IF($X$3=BB$2,AA17,0)+IF($T$3=BB$2,W17,0)+IF($P$3=BB$2,S17,0)+IF($L$3=BB$2,O17,0)+IF($H$3=BB$2,K17,0)+IF($D$3=BB$2,G17,0)</f>
        <v>98156.015895953751</v>
      </c>
      <c r="BC17" s="127"/>
      <c r="BD17" s="128">
        <f t="shared" ref="BD17:BD25" si="33">BB17+BA17</f>
        <v>381914.09321665822</v>
      </c>
      <c r="BE17" s="127">
        <f t="shared" ref="BE17:BE25" si="34">IF($AV$3=BE$2,AY17,0)+IF($AR$3=BE$2,AU17,0)+IF($AN$3=BE$2,AQ17,0)+IF($AJ$3=BE$2,AM17,0)+IF($AF$3=BE$2,AI17,0)+IF($AB$3=BE$2,AE17,0)+IF($X$3=BE$2,AA17,0)+IF($T$3=BE$2,W17,0)+IF($P$3=BE$2,S17,0)+IF($L$3=BE$2,O17,0)+IF($H$3=BE$2,K17,0)+IF($D$3=BE$2,G17,0)</f>
        <v>148921.13872832368</v>
      </c>
      <c r="BF17" s="129"/>
      <c r="BG17" s="130">
        <f t="shared" ref="BG17:BG25" si="35">BE17+BD17</f>
        <v>530835.23194498196</v>
      </c>
      <c r="BH17" s="130">
        <f t="shared" ref="BH17:BH25" si="36">IF($AV$3=BH$2,AY17,0)+IF($AR$3=BH$2,AU17,0)+IF($AN$3=BH$2,AQ17,0)+IF($AJ$3=BH$2,AM17,0)+IF($AF$3=BH$2,AI17,0)+IF($AB$3=BH$2,AE17,0)+IF($X$3=BH$2,AA17,0)+IF($T$3=BH$2,W17,0)+IF($P$3=BH$2,S17,0)+IF($L$3=BH$2,O17,0)+IF($H$3=BH$2,K17,0)+IF($D$3=BH$2,G17,0)</f>
        <v>100825.2329094412</v>
      </c>
      <c r="BI17" s="127"/>
      <c r="BJ17" s="127">
        <f t="shared" ref="BJ17:BJ25" si="37">AY17+AU17+AQ17+AM17+AI17+AE17+AA17+W17+S17+O17+K17+G17</f>
        <v>417042.67069364153</v>
      </c>
      <c r="BK17" s="127">
        <f t="shared" ref="BK17:BK25" si="38">BH17+BG17</f>
        <v>631660.46485442319</v>
      </c>
      <c r="BL17" s="91"/>
      <c r="BM17" s="91"/>
      <c r="BN17" s="17">
        <f t="shared" ref="BN17:BN25" si="39">ROUND(BJ17-SUM(BH17,BE17,BB17,AZ17), 5)</f>
        <v>0</v>
      </c>
      <c r="BO17" s="17">
        <f t="shared" ref="BO17:BO25" si="40">ROUND(BJ17+C17-BK17,5)</f>
        <v>0</v>
      </c>
    </row>
    <row r="18" spans="1:67" ht="13">
      <c r="A18" s="89" t="s">
        <v>209</v>
      </c>
      <c r="B18" s="121"/>
      <c r="C18" s="121">
        <f>'Mirek Revised PS Model 2021'!BG29</f>
        <v>-628.01178775422159</v>
      </c>
      <c r="D18" s="122">
        <f>100+175/3</f>
        <v>158.33333333333334</v>
      </c>
      <c r="E18" s="123">
        <f t="shared" si="6"/>
        <v>42585.22045600514</v>
      </c>
      <c r="F18" s="124"/>
      <c r="G18" s="123">
        <f t="shared" si="7"/>
        <v>42585.22045600514</v>
      </c>
      <c r="H18" s="122">
        <f>100+175/3</f>
        <v>158.33333333333334</v>
      </c>
      <c r="I18" s="123">
        <f t="shared" si="8"/>
        <v>31084.994540783555</v>
      </c>
      <c r="J18" s="124"/>
      <c r="K18" s="123">
        <f t="shared" si="9"/>
        <v>31084.994540783555</v>
      </c>
      <c r="L18" s="122">
        <f>100+175/3</f>
        <v>158.33333333333334</v>
      </c>
      <c r="M18" s="123">
        <f t="shared" si="10"/>
        <v>24402.01300578034</v>
      </c>
      <c r="N18" s="124"/>
      <c r="O18" s="123">
        <f t="shared" si="11"/>
        <v>24402.01300578034</v>
      </c>
      <c r="P18" s="122">
        <f>100+175/3</f>
        <v>158.33333333333334</v>
      </c>
      <c r="Q18" s="123">
        <f t="shared" si="12"/>
        <v>51351.032755298642</v>
      </c>
      <c r="R18" s="124"/>
      <c r="S18" s="123">
        <f t="shared" si="13"/>
        <v>51351.032755298642</v>
      </c>
      <c r="T18" s="122">
        <f>100+175/3</f>
        <v>158.33333333333334</v>
      </c>
      <c r="U18" s="123">
        <f t="shared" si="14"/>
        <v>33183.3657675016</v>
      </c>
      <c r="V18" s="124"/>
      <c r="W18" s="123">
        <f t="shared" si="15"/>
        <v>33183.3657675016</v>
      </c>
      <c r="X18" s="122">
        <f>100+175/3</f>
        <v>158.33333333333334</v>
      </c>
      <c r="Y18" s="123">
        <f t="shared" si="16"/>
        <v>77650.571612074491</v>
      </c>
      <c r="Z18" s="124"/>
      <c r="AA18" s="123">
        <f t="shared" si="17"/>
        <v>77650.571612074491</v>
      </c>
      <c r="AB18" s="122">
        <f>100+175/3</f>
        <v>158.33333333333334</v>
      </c>
      <c r="AC18" s="123">
        <f t="shared" si="18"/>
        <v>62539.930796403343</v>
      </c>
      <c r="AD18" s="124"/>
      <c r="AE18" s="123">
        <f t="shared" si="19"/>
        <v>62539.930796403343</v>
      </c>
      <c r="AF18" s="122">
        <f>100+175/3</f>
        <v>158.33333333333334</v>
      </c>
      <c r="AG18" s="123">
        <f t="shared" si="20"/>
        <v>64609.249839434793</v>
      </c>
      <c r="AH18" s="124"/>
      <c r="AI18" s="123">
        <f t="shared" si="21"/>
        <v>64609.249839434793</v>
      </c>
      <c r="AJ18" s="122">
        <f>100+175/3</f>
        <v>158.33333333333334</v>
      </c>
      <c r="AK18" s="123">
        <f t="shared" si="22"/>
        <v>67836.278420038536</v>
      </c>
      <c r="AL18" s="124"/>
      <c r="AM18" s="123">
        <f t="shared" si="23"/>
        <v>67836.278420038536</v>
      </c>
      <c r="AN18" s="122">
        <f>100+175/3</f>
        <v>158.33333333333334</v>
      </c>
      <c r="AO18" s="123">
        <f t="shared" si="24"/>
        <v>47120.622350674355</v>
      </c>
      <c r="AP18" s="124"/>
      <c r="AQ18" s="123">
        <f t="shared" si="25"/>
        <v>47120.622350674355</v>
      </c>
      <c r="AR18" s="122">
        <f>100+175/3</f>
        <v>158.33333333333334</v>
      </c>
      <c r="AS18" s="123">
        <f t="shared" si="26"/>
        <v>52171.901091843276</v>
      </c>
      <c r="AT18" s="124"/>
      <c r="AU18" s="123">
        <f t="shared" si="27"/>
        <v>52171.901091843276</v>
      </c>
      <c r="AV18" s="122">
        <f>100+175/3</f>
        <v>158.33333333333334</v>
      </c>
      <c r="AW18" s="123">
        <f t="shared" si="28"/>
        <v>40340.962909441223</v>
      </c>
      <c r="AX18" s="124"/>
      <c r="AY18" s="126">
        <f t="shared" si="29"/>
        <v>40340.962909441223</v>
      </c>
      <c r="AZ18" s="127">
        <f t="shared" si="30"/>
        <v>98072.228002569027</v>
      </c>
      <c r="BA18" s="128">
        <f t="shared" si="31"/>
        <v>97444.216214814805</v>
      </c>
      <c r="BB18" s="127">
        <f t="shared" si="32"/>
        <v>162184.97013487475</v>
      </c>
      <c r="BC18" s="127"/>
      <c r="BD18" s="128">
        <f t="shared" si="33"/>
        <v>259629.18634968955</v>
      </c>
      <c r="BE18" s="127">
        <f t="shared" si="34"/>
        <v>194985.45905587668</v>
      </c>
      <c r="BF18" s="129"/>
      <c r="BG18" s="130">
        <f t="shared" si="35"/>
        <v>454614.6454055662</v>
      </c>
      <c r="BH18" s="130">
        <f t="shared" si="36"/>
        <v>139633.48635195885</v>
      </c>
      <c r="BI18" s="127"/>
      <c r="BJ18" s="127">
        <f t="shared" si="37"/>
        <v>594876.1435452794</v>
      </c>
      <c r="BK18" s="127">
        <f t="shared" si="38"/>
        <v>594248.13175752503</v>
      </c>
      <c r="BL18" s="91"/>
      <c r="BM18" s="91"/>
      <c r="BN18" s="17">
        <f t="shared" si="39"/>
        <v>0</v>
      </c>
      <c r="BO18" s="17">
        <f t="shared" si="40"/>
        <v>0</v>
      </c>
    </row>
    <row r="19" spans="1:67" ht="13">
      <c r="A19" s="89" t="s">
        <v>61</v>
      </c>
      <c r="B19" s="121"/>
      <c r="C19" s="121">
        <f>'Mirek Revised PS Model 2021'!BG30</f>
        <v>-314.00172263727291</v>
      </c>
      <c r="D19" s="131">
        <f t="shared" ref="D19:D20" si="41">50+175/3</f>
        <v>108.33333333333334</v>
      </c>
      <c r="E19" s="123">
        <f t="shared" si="6"/>
        <v>29137.2561014772</v>
      </c>
      <c r="F19" s="124"/>
      <c r="G19" s="126">
        <f t="shared" si="7"/>
        <v>29137.2561014772</v>
      </c>
      <c r="H19" s="131">
        <f t="shared" ref="H19:H20" si="42">50+175/3</f>
        <v>108.33333333333334</v>
      </c>
      <c r="I19" s="123">
        <f t="shared" si="8"/>
        <v>21268.680475272959</v>
      </c>
      <c r="J19" s="124"/>
      <c r="K19" s="126">
        <f t="shared" si="9"/>
        <v>21268.680475272959</v>
      </c>
      <c r="L19" s="131">
        <f t="shared" ref="L19:L20" si="43">50+175/3</f>
        <v>108.33333333333334</v>
      </c>
      <c r="M19" s="123">
        <f t="shared" si="10"/>
        <v>16696.114161849706</v>
      </c>
      <c r="N19" s="124"/>
      <c r="O19" s="126">
        <f t="shared" si="11"/>
        <v>16696.114161849706</v>
      </c>
      <c r="P19" s="131">
        <f t="shared" ref="P19:P20" si="44">50+175/3</f>
        <v>108.33333333333334</v>
      </c>
      <c r="Q19" s="123">
        <f t="shared" si="12"/>
        <v>35134.917148362227</v>
      </c>
      <c r="R19" s="124"/>
      <c r="S19" s="126">
        <f t="shared" si="13"/>
        <v>35134.917148362227</v>
      </c>
      <c r="T19" s="131">
        <f t="shared" ref="T19:T20" si="45">50+175/3</f>
        <v>108.33333333333334</v>
      </c>
      <c r="U19" s="123">
        <f t="shared" si="14"/>
        <v>22704.408156711623</v>
      </c>
      <c r="V19" s="124"/>
      <c r="W19" s="126">
        <f t="shared" si="15"/>
        <v>22704.408156711623</v>
      </c>
      <c r="X19" s="131">
        <f t="shared" ref="X19:X20" si="46">50+175/3</f>
        <v>108.33333333333334</v>
      </c>
      <c r="Y19" s="123">
        <f t="shared" si="16"/>
        <v>53129.338471419396</v>
      </c>
      <c r="Z19" s="124"/>
      <c r="AA19" s="126">
        <f t="shared" si="17"/>
        <v>53129.338471419396</v>
      </c>
      <c r="AB19" s="131">
        <f t="shared" ref="AB19:AB20" si="47">50+175/3</f>
        <v>108.33333333333334</v>
      </c>
      <c r="AC19" s="123">
        <f t="shared" si="18"/>
        <v>42790.478965960181</v>
      </c>
      <c r="AD19" s="124"/>
      <c r="AE19" s="126">
        <f t="shared" si="19"/>
        <v>42790.478965960181</v>
      </c>
      <c r="AF19" s="131">
        <f t="shared" ref="AF19:AF20" si="48">50+175/3</f>
        <v>108.33333333333334</v>
      </c>
      <c r="AG19" s="123">
        <f t="shared" si="20"/>
        <v>44206.328837508023</v>
      </c>
      <c r="AH19" s="124"/>
      <c r="AI19" s="126">
        <f t="shared" si="21"/>
        <v>44206.328837508023</v>
      </c>
      <c r="AJ19" s="131">
        <f t="shared" ref="AJ19:AJ20" si="49">50+175/3</f>
        <v>108.33333333333334</v>
      </c>
      <c r="AK19" s="123">
        <f t="shared" si="22"/>
        <v>46414.295761078996</v>
      </c>
      <c r="AL19" s="124"/>
      <c r="AM19" s="126">
        <f t="shared" si="23"/>
        <v>46414.295761078996</v>
      </c>
      <c r="AN19" s="131">
        <f t="shared" ref="AN19:AN20" si="50">50+175/3</f>
        <v>108.33333333333334</v>
      </c>
      <c r="AO19" s="123">
        <f t="shared" si="24"/>
        <v>32240.425818882457</v>
      </c>
      <c r="AP19" s="124"/>
      <c r="AQ19" s="126">
        <f t="shared" si="25"/>
        <v>32240.425818882457</v>
      </c>
      <c r="AR19" s="131">
        <f t="shared" ref="AR19:AR20" si="51">50+175/3</f>
        <v>108.33333333333334</v>
      </c>
      <c r="AS19" s="123">
        <f t="shared" si="26"/>
        <v>35696.563904945404</v>
      </c>
      <c r="AT19" s="124"/>
      <c r="AU19" s="126">
        <f t="shared" si="27"/>
        <v>35696.563904945404</v>
      </c>
      <c r="AV19" s="131">
        <f t="shared" ref="AV19:AV20" si="52">50+175/3</f>
        <v>108.33333333333334</v>
      </c>
      <c r="AW19" s="123">
        <f t="shared" si="28"/>
        <v>27601.711464354521</v>
      </c>
      <c r="AX19" s="124"/>
      <c r="AY19" s="126">
        <f t="shared" si="29"/>
        <v>27601.711464354521</v>
      </c>
      <c r="AZ19" s="127">
        <f t="shared" si="30"/>
        <v>67102.050738599864</v>
      </c>
      <c r="BA19" s="128">
        <f t="shared" si="31"/>
        <v>66788.049015962592</v>
      </c>
      <c r="BB19" s="127">
        <f t="shared" si="32"/>
        <v>110968.66377649325</v>
      </c>
      <c r="BC19" s="127"/>
      <c r="BD19" s="128">
        <f t="shared" si="33"/>
        <v>177756.71279245586</v>
      </c>
      <c r="BE19" s="127">
        <f t="shared" si="34"/>
        <v>133411.1035645472</v>
      </c>
      <c r="BF19" s="129"/>
      <c r="BG19" s="130">
        <f t="shared" si="35"/>
        <v>311167.81635700306</v>
      </c>
      <c r="BH19" s="130">
        <f t="shared" si="36"/>
        <v>95538.701188182386</v>
      </c>
      <c r="BI19" s="127"/>
      <c r="BJ19" s="127">
        <f t="shared" si="37"/>
        <v>407020.51926782262</v>
      </c>
      <c r="BK19" s="127">
        <f t="shared" si="38"/>
        <v>406706.51754518546</v>
      </c>
      <c r="BL19" s="91"/>
      <c r="BM19" s="91"/>
      <c r="BN19" s="17">
        <f t="shared" si="39"/>
        <v>0</v>
      </c>
      <c r="BO19" s="17">
        <f t="shared" si="40"/>
        <v>0</v>
      </c>
    </row>
    <row r="20" spans="1:67" ht="13">
      <c r="A20" s="89" t="s">
        <v>65</v>
      </c>
      <c r="B20" s="121"/>
      <c r="C20" s="121">
        <f>'Mirek Revised PS Model 2021'!BG31</f>
        <v>-314.00172263727291</v>
      </c>
      <c r="D20" s="131">
        <f t="shared" si="41"/>
        <v>108.33333333333334</v>
      </c>
      <c r="E20" s="123">
        <f t="shared" si="6"/>
        <v>29137.2561014772</v>
      </c>
      <c r="F20" s="124"/>
      <c r="G20" s="126">
        <f t="shared" si="7"/>
        <v>29137.2561014772</v>
      </c>
      <c r="H20" s="131">
        <f t="shared" si="42"/>
        <v>108.33333333333334</v>
      </c>
      <c r="I20" s="123">
        <f t="shared" si="8"/>
        <v>21268.680475272959</v>
      </c>
      <c r="J20" s="124"/>
      <c r="K20" s="126">
        <f t="shared" si="9"/>
        <v>21268.680475272959</v>
      </c>
      <c r="L20" s="131">
        <f t="shared" si="43"/>
        <v>108.33333333333334</v>
      </c>
      <c r="M20" s="123">
        <f t="shared" si="10"/>
        <v>16696.114161849706</v>
      </c>
      <c r="N20" s="124"/>
      <c r="O20" s="126">
        <f t="shared" si="11"/>
        <v>16696.114161849706</v>
      </c>
      <c r="P20" s="131">
        <f t="shared" si="44"/>
        <v>108.33333333333334</v>
      </c>
      <c r="Q20" s="123">
        <f t="shared" si="12"/>
        <v>35134.917148362227</v>
      </c>
      <c r="R20" s="124"/>
      <c r="S20" s="126">
        <f t="shared" si="13"/>
        <v>35134.917148362227</v>
      </c>
      <c r="T20" s="131">
        <f t="shared" si="45"/>
        <v>108.33333333333334</v>
      </c>
      <c r="U20" s="123">
        <f t="shared" si="14"/>
        <v>22704.408156711623</v>
      </c>
      <c r="V20" s="124"/>
      <c r="W20" s="126">
        <f t="shared" si="15"/>
        <v>22704.408156711623</v>
      </c>
      <c r="X20" s="131">
        <f t="shared" si="46"/>
        <v>108.33333333333334</v>
      </c>
      <c r="Y20" s="123">
        <f t="shared" si="16"/>
        <v>53129.338471419396</v>
      </c>
      <c r="Z20" s="124"/>
      <c r="AA20" s="126">
        <f t="shared" si="17"/>
        <v>53129.338471419396</v>
      </c>
      <c r="AB20" s="131">
        <f t="shared" si="47"/>
        <v>108.33333333333334</v>
      </c>
      <c r="AC20" s="123">
        <f t="shared" si="18"/>
        <v>42790.478965960181</v>
      </c>
      <c r="AD20" s="124"/>
      <c r="AE20" s="126">
        <f t="shared" si="19"/>
        <v>42790.478965960181</v>
      </c>
      <c r="AF20" s="131">
        <f t="shared" si="48"/>
        <v>108.33333333333334</v>
      </c>
      <c r="AG20" s="123">
        <f t="shared" si="20"/>
        <v>44206.328837508023</v>
      </c>
      <c r="AH20" s="124"/>
      <c r="AI20" s="126">
        <f t="shared" si="21"/>
        <v>44206.328837508023</v>
      </c>
      <c r="AJ20" s="131">
        <f t="shared" si="49"/>
        <v>108.33333333333334</v>
      </c>
      <c r="AK20" s="123">
        <f t="shared" si="22"/>
        <v>46414.295761078996</v>
      </c>
      <c r="AL20" s="124"/>
      <c r="AM20" s="126">
        <f t="shared" si="23"/>
        <v>46414.295761078996</v>
      </c>
      <c r="AN20" s="131">
        <f t="shared" si="50"/>
        <v>108.33333333333334</v>
      </c>
      <c r="AO20" s="123">
        <f t="shared" si="24"/>
        <v>32240.425818882457</v>
      </c>
      <c r="AP20" s="124"/>
      <c r="AQ20" s="126">
        <f t="shared" si="25"/>
        <v>32240.425818882457</v>
      </c>
      <c r="AR20" s="131">
        <f t="shared" si="51"/>
        <v>108.33333333333334</v>
      </c>
      <c r="AS20" s="123">
        <f t="shared" si="26"/>
        <v>35696.563904945404</v>
      </c>
      <c r="AT20" s="124"/>
      <c r="AU20" s="126">
        <f t="shared" si="27"/>
        <v>35696.563904945404</v>
      </c>
      <c r="AV20" s="131">
        <f t="shared" si="52"/>
        <v>108.33333333333334</v>
      </c>
      <c r="AW20" s="123">
        <f t="shared" si="28"/>
        <v>27601.711464354521</v>
      </c>
      <c r="AX20" s="124"/>
      <c r="AY20" s="126">
        <f t="shared" si="29"/>
        <v>27601.711464354521</v>
      </c>
      <c r="AZ20" s="127">
        <f t="shared" si="30"/>
        <v>67102.050738599864</v>
      </c>
      <c r="BA20" s="128">
        <f t="shared" si="31"/>
        <v>66788.049015962592</v>
      </c>
      <c r="BB20" s="127">
        <f t="shared" si="32"/>
        <v>110968.66377649325</v>
      </c>
      <c r="BC20" s="127"/>
      <c r="BD20" s="128">
        <f t="shared" si="33"/>
        <v>177756.71279245586</v>
      </c>
      <c r="BE20" s="127">
        <f t="shared" si="34"/>
        <v>133411.1035645472</v>
      </c>
      <c r="BF20" s="129"/>
      <c r="BG20" s="130">
        <f t="shared" si="35"/>
        <v>311167.81635700306</v>
      </c>
      <c r="BH20" s="130">
        <f t="shared" si="36"/>
        <v>95538.701188182386</v>
      </c>
      <c r="BI20" s="127"/>
      <c r="BJ20" s="127">
        <f t="shared" si="37"/>
        <v>407020.51926782262</v>
      </c>
      <c r="BK20" s="127">
        <f t="shared" si="38"/>
        <v>406706.51754518546</v>
      </c>
      <c r="BL20" s="91"/>
      <c r="BM20" s="91"/>
      <c r="BN20" s="17">
        <f t="shared" si="39"/>
        <v>0</v>
      </c>
      <c r="BO20" s="17">
        <f t="shared" si="40"/>
        <v>0</v>
      </c>
    </row>
    <row r="21" spans="1:67" ht="13">
      <c r="A21" s="89" t="s">
        <v>210</v>
      </c>
      <c r="B21" s="121"/>
      <c r="C21" s="121">
        <f>'Mirek Revised PS Model 2021'!BG32</f>
        <v>-31.399868088847143</v>
      </c>
      <c r="D21" s="53">
        <v>6</v>
      </c>
      <c r="E21" s="123">
        <f t="shared" si="6"/>
        <v>1613.7557225433527</v>
      </c>
      <c r="F21" s="124"/>
      <c r="G21" s="126">
        <f t="shared" si="7"/>
        <v>1613.7557225433527</v>
      </c>
      <c r="H21" s="53">
        <v>6</v>
      </c>
      <c r="I21" s="123">
        <f t="shared" si="8"/>
        <v>1177.9576878612716</v>
      </c>
      <c r="J21" s="124"/>
      <c r="K21" s="126">
        <f t="shared" si="9"/>
        <v>1177.9576878612716</v>
      </c>
      <c r="L21" s="53">
        <v>6</v>
      </c>
      <c r="M21" s="123">
        <f t="shared" si="10"/>
        <v>924.70786127167605</v>
      </c>
      <c r="N21" s="124"/>
      <c r="O21" s="126">
        <f t="shared" si="11"/>
        <v>924.70786127167605</v>
      </c>
      <c r="P21" s="53">
        <v>6</v>
      </c>
      <c r="Q21" s="123">
        <f t="shared" si="12"/>
        <v>1945.9338728323694</v>
      </c>
      <c r="R21" s="124"/>
      <c r="S21" s="126">
        <f t="shared" si="13"/>
        <v>1945.9338728323694</v>
      </c>
      <c r="T21" s="53">
        <v>6</v>
      </c>
      <c r="U21" s="123">
        <f t="shared" si="14"/>
        <v>1257.4749132947975</v>
      </c>
      <c r="V21" s="124"/>
      <c r="W21" s="126">
        <f t="shared" si="15"/>
        <v>1257.4749132947975</v>
      </c>
      <c r="X21" s="53">
        <v>6</v>
      </c>
      <c r="Y21" s="123">
        <f t="shared" si="16"/>
        <v>2942.5479768786122</v>
      </c>
      <c r="Z21" s="124"/>
      <c r="AA21" s="126">
        <f t="shared" si="17"/>
        <v>2942.5479768786122</v>
      </c>
      <c r="AB21" s="53">
        <v>6</v>
      </c>
      <c r="AC21" s="123">
        <f t="shared" si="18"/>
        <v>2369.9342196531793</v>
      </c>
      <c r="AD21" s="124"/>
      <c r="AE21" s="126">
        <f t="shared" si="19"/>
        <v>2369.9342196531793</v>
      </c>
      <c r="AF21" s="53">
        <v>6</v>
      </c>
      <c r="AG21" s="123">
        <f t="shared" si="20"/>
        <v>2448.3505202312131</v>
      </c>
      <c r="AH21" s="124"/>
      <c r="AI21" s="126">
        <f t="shared" si="21"/>
        <v>2448.3505202312131</v>
      </c>
      <c r="AJ21" s="53">
        <v>6</v>
      </c>
      <c r="AK21" s="123">
        <f t="shared" si="22"/>
        <v>2570.6379190751441</v>
      </c>
      <c r="AL21" s="124"/>
      <c r="AM21" s="126">
        <f t="shared" si="23"/>
        <v>2570.6379190751441</v>
      </c>
      <c r="AN21" s="53">
        <v>6</v>
      </c>
      <c r="AO21" s="123">
        <f t="shared" si="24"/>
        <v>1785.6235838150283</v>
      </c>
      <c r="AP21" s="124"/>
      <c r="AQ21" s="126">
        <f t="shared" si="25"/>
        <v>1785.6235838150283</v>
      </c>
      <c r="AR21" s="53">
        <v>6</v>
      </c>
      <c r="AS21" s="123">
        <f t="shared" si="26"/>
        <v>1977.0404624277453</v>
      </c>
      <c r="AT21" s="124"/>
      <c r="AU21" s="126">
        <f t="shared" si="27"/>
        <v>1977.0404624277453</v>
      </c>
      <c r="AV21" s="53">
        <v>6</v>
      </c>
      <c r="AW21" s="123">
        <f t="shared" si="28"/>
        <v>1528.7101734104042</v>
      </c>
      <c r="AX21" s="124"/>
      <c r="AY21" s="126">
        <f t="shared" si="29"/>
        <v>1528.7101734104042</v>
      </c>
      <c r="AZ21" s="127">
        <f t="shared" si="30"/>
        <v>3716.4212716763004</v>
      </c>
      <c r="BA21" s="128">
        <f t="shared" si="31"/>
        <v>3685.0214035874533</v>
      </c>
      <c r="BB21" s="127">
        <f t="shared" si="32"/>
        <v>6145.9567630057791</v>
      </c>
      <c r="BC21" s="127"/>
      <c r="BD21" s="128">
        <f t="shared" si="33"/>
        <v>9830.9781665932314</v>
      </c>
      <c r="BE21" s="127">
        <f t="shared" si="34"/>
        <v>7388.9226589595364</v>
      </c>
      <c r="BF21" s="129"/>
      <c r="BG21" s="130">
        <f t="shared" si="35"/>
        <v>17219.900825552766</v>
      </c>
      <c r="BH21" s="130">
        <f t="shared" si="36"/>
        <v>5291.3742196531784</v>
      </c>
      <c r="BI21" s="127"/>
      <c r="BJ21" s="127">
        <f t="shared" si="37"/>
        <v>22542.674913294795</v>
      </c>
      <c r="BK21" s="127">
        <f t="shared" si="38"/>
        <v>22511.275045205944</v>
      </c>
      <c r="BL21" s="91"/>
      <c r="BM21" s="91"/>
      <c r="BN21" s="17">
        <f t="shared" si="39"/>
        <v>0</v>
      </c>
      <c r="BO21" s="17">
        <f t="shared" si="40"/>
        <v>0</v>
      </c>
    </row>
    <row r="22" spans="1:67" ht="13">
      <c r="A22" s="132" t="s">
        <v>211</v>
      </c>
      <c r="B22" s="121"/>
      <c r="C22" s="121">
        <f>'Mirek Revised PS Model 2021'!BG35</f>
        <v>-12.555947235538042</v>
      </c>
      <c r="D22" s="178">
        <v>2.5</v>
      </c>
      <c r="E22" s="134">
        <f t="shared" si="6"/>
        <v>672.39821772639687</v>
      </c>
      <c r="F22" s="135"/>
      <c r="G22" s="136">
        <f t="shared" si="7"/>
        <v>672.39821772639687</v>
      </c>
      <c r="H22" s="178">
        <v>2.5</v>
      </c>
      <c r="I22" s="134">
        <f t="shared" si="8"/>
        <v>490.8157032755297</v>
      </c>
      <c r="J22" s="135"/>
      <c r="K22" s="136">
        <f t="shared" si="9"/>
        <v>490.8157032755297</v>
      </c>
      <c r="L22" s="178">
        <v>2.5</v>
      </c>
      <c r="M22" s="134">
        <f t="shared" si="10"/>
        <v>385.29494219653168</v>
      </c>
      <c r="N22" s="135"/>
      <c r="O22" s="136">
        <f t="shared" si="11"/>
        <v>385.29494219653168</v>
      </c>
      <c r="P22" s="178">
        <v>2.5</v>
      </c>
      <c r="Q22" s="134">
        <f t="shared" si="12"/>
        <v>810.8057803468206</v>
      </c>
      <c r="R22" s="135"/>
      <c r="S22" s="136">
        <f t="shared" si="13"/>
        <v>810.8057803468206</v>
      </c>
      <c r="T22" s="178">
        <v>2.5</v>
      </c>
      <c r="U22" s="134">
        <f t="shared" si="14"/>
        <v>523.9478805394989</v>
      </c>
      <c r="V22" s="135"/>
      <c r="W22" s="136">
        <f t="shared" si="15"/>
        <v>523.9478805394989</v>
      </c>
      <c r="X22" s="178">
        <v>2.5</v>
      </c>
      <c r="Y22" s="123">
        <f t="shared" si="16"/>
        <v>1226.061657032755</v>
      </c>
      <c r="Z22" s="135"/>
      <c r="AA22" s="136">
        <f t="shared" si="17"/>
        <v>1226.061657032755</v>
      </c>
      <c r="AB22" s="178">
        <v>2.5</v>
      </c>
      <c r="AC22" s="134">
        <f t="shared" si="18"/>
        <v>987.47259152215804</v>
      </c>
      <c r="AD22" s="135"/>
      <c r="AE22" s="136">
        <f t="shared" si="19"/>
        <v>987.47259152215804</v>
      </c>
      <c r="AF22" s="178">
        <v>2.5</v>
      </c>
      <c r="AG22" s="134">
        <f t="shared" si="20"/>
        <v>1020.1460500963387</v>
      </c>
      <c r="AH22" s="135"/>
      <c r="AI22" s="136">
        <f t="shared" si="21"/>
        <v>1020.1460500963387</v>
      </c>
      <c r="AJ22" s="178">
        <v>2.5</v>
      </c>
      <c r="AK22" s="134">
        <f t="shared" si="22"/>
        <v>1071.0991329479768</v>
      </c>
      <c r="AL22" s="135"/>
      <c r="AM22" s="136">
        <f t="shared" si="23"/>
        <v>1071.0991329479768</v>
      </c>
      <c r="AN22" s="178">
        <v>2.5</v>
      </c>
      <c r="AO22" s="134">
        <f t="shared" si="24"/>
        <v>744.00982658959504</v>
      </c>
      <c r="AP22" s="135"/>
      <c r="AQ22" s="136">
        <f t="shared" si="25"/>
        <v>744.00982658959504</v>
      </c>
      <c r="AR22" s="178">
        <v>2.5</v>
      </c>
      <c r="AS22" s="134">
        <f t="shared" si="26"/>
        <v>823.76685934489387</v>
      </c>
      <c r="AT22" s="135"/>
      <c r="AU22" s="136">
        <f t="shared" si="27"/>
        <v>823.76685934489387</v>
      </c>
      <c r="AV22" s="178">
        <v>2.5</v>
      </c>
      <c r="AW22" s="134">
        <f t="shared" si="28"/>
        <v>636.96257225433499</v>
      </c>
      <c r="AX22" s="135"/>
      <c r="AY22" s="136">
        <f t="shared" si="29"/>
        <v>636.96257225433499</v>
      </c>
      <c r="AZ22" s="127">
        <f t="shared" si="30"/>
        <v>1548.5088631984581</v>
      </c>
      <c r="BA22" s="137">
        <f t="shared" si="31"/>
        <v>1535.9529159629201</v>
      </c>
      <c r="BB22" s="127">
        <f t="shared" si="32"/>
        <v>2560.8153179190745</v>
      </c>
      <c r="BC22" s="138"/>
      <c r="BD22" s="128">
        <f t="shared" si="33"/>
        <v>4096.7682338819941</v>
      </c>
      <c r="BE22" s="127">
        <f t="shared" si="34"/>
        <v>3078.7177745664735</v>
      </c>
      <c r="BF22" s="139"/>
      <c r="BG22" s="130">
        <f t="shared" si="35"/>
        <v>7175.4860084484681</v>
      </c>
      <c r="BH22" s="130">
        <f t="shared" si="36"/>
        <v>2204.7392581888239</v>
      </c>
      <c r="BI22" s="138"/>
      <c r="BJ22" s="138">
        <f t="shared" si="37"/>
        <v>9392.7812138728314</v>
      </c>
      <c r="BK22" s="127">
        <f t="shared" si="38"/>
        <v>9380.2252666372915</v>
      </c>
      <c r="BL22" s="140"/>
      <c r="BM22" s="140"/>
      <c r="BN22" s="17">
        <f t="shared" si="39"/>
        <v>0</v>
      </c>
      <c r="BO22" s="17">
        <f t="shared" si="40"/>
        <v>0</v>
      </c>
    </row>
    <row r="23" spans="1:67" ht="13">
      <c r="A23" s="132" t="s">
        <v>212</v>
      </c>
      <c r="B23" s="121"/>
      <c r="C23" s="121">
        <f>'Mirek Revised PS Model 2021'!BG36</f>
        <v>-15.705242719076523</v>
      </c>
      <c r="D23" s="178">
        <v>4</v>
      </c>
      <c r="E23" s="134">
        <f t="shared" si="6"/>
        <v>1075.837148362235</v>
      </c>
      <c r="F23" s="135"/>
      <c r="G23" s="136">
        <f t="shared" si="7"/>
        <v>1075.837148362235</v>
      </c>
      <c r="H23" s="178">
        <v>4</v>
      </c>
      <c r="I23" s="134">
        <f t="shared" si="8"/>
        <v>785.30512524084759</v>
      </c>
      <c r="J23" s="135"/>
      <c r="K23" s="136">
        <f t="shared" si="9"/>
        <v>785.30512524084759</v>
      </c>
      <c r="L23" s="178">
        <v>4</v>
      </c>
      <c r="M23" s="134">
        <f t="shared" si="10"/>
        <v>616.47190751445066</v>
      </c>
      <c r="N23" s="135"/>
      <c r="O23" s="136">
        <f t="shared" si="11"/>
        <v>616.47190751445066</v>
      </c>
      <c r="P23" s="178">
        <v>4</v>
      </c>
      <c r="Q23" s="134">
        <f t="shared" si="12"/>
        <v>1297.289248554913</v>
      </c>
      <c r="R23" s="135"/>
      <c r="S23" s="136">
        <f t="shared" si="13"/>
        <v>1297.289248554913</v>
      </c>
      <c r="T23" s="178">
        <v>4</v>
      </c>
      <c r="U23" s="134">
        <f t="shared" si="14"/>
        <v>838.31660886319833</v>
      </c>
      <c r="V23" s="135"/>
      <c r="W23" s="136">
        <f t="shared" si="15"/>
        <v>838.31660886319833</v>
      </c>
      <c r="X23" s="178">
        <v>4</v>
      </c>
      <c r="Y23" s="123">
        <f t="shared" si="16"/>
        <v>1961.6986512524081</v>
      </c>
      <c r="Z23" s="135"/>
      <c r="AA23" s="136">
        <f t="shared" si="17"/>
        <v>1961.6986512524081</v>
      </c>
      <c r="AB23" s="178">
        <v>4</v>
      </c>
      <c r="AC23" s="134">
        <f t="shared" si="18"/>
        <v>1579.9561464354529</v>
      </c>
      <c r="AD23" s="135"/>
      <c r="AE23" s="136">
        <f t="shared" si="19"/>
        <v>1579.9561464354529</v>
      </c>
      <c r="AF23" s="178">
        <v>4</v>
      </c>
      <c r="AG23" s="134">
        <f t="shared" si="20"/>
        <v>1632.2336801541421</v>
      </c>
      <c r="AH23" s="135"/>
      <c r="AI23" s="136">
        <f t="shared" si="21"/>
        <v>1632.2336801541421</v>
      </c>
      <c r="AJ23" s="178">
        <v>4</v>
      </c>
      <c r="AK23" s="134">
        <f t="shared" si="22"/>
        <v>1713.7586127167629</v>
      </c>
      <c r="AL23" s="135"/>
      <c r="AM23" s="136">
        <f t="shared" si="23"/>
        <v>1713.7586127167629</v>
      </c>
      <c r="AN23" s="178">
        <v>4</v>
      </c>
      <c r="AO23" s="134">
        <f t="shared" si="24"/>
        <v>1190.4157225433521</v>
      </c>
      <c r="AP23" s="135"/>
      <c r="AQ23" s="136">
        <f t="shared" si="25"/>
        <v>1190.4157225433521</v>
      </c>
      <c r="AR23" s="178">
        <v>4</v>
      </c>
      <c r="AS23" s="134">
        <f t="shared" si="26"/>
        <v>1318.0269749518302</v>
      </c>
      <c r="AT23" s="135"/>
      <c r="AU23" s="136">
        <f t="shared" si="27"/>
        <v>1318.0269749518302</v>
      </c>
      <c r="AV23" s="178">
        <v>4</v>
      </c>
      <c r="AW23" s="134">
        <f t="shared" si="28"/>
        <v>1019.1401156069361</v>
      </c>
      <c r="AX23" s="135"/>
      <c r="AY23" s="136">
        <f t="shared" si="29"/>
        <v>1019.1401156069361</v>
      </c>
      <c r="AZ23" s="127">
        <f t="shared" si="30"/>
        <v>2477.614181117533</v>
      </c>
      <c r="BA23" s="137">
        <f t="shared" si="31"/>
        <v>2461.9089383984565</v>
      </c>
      <c r="BB23" s="127">
        <f t="shared" si="32"/>
        <v>4097.3045086705197</v>
      </c>
      <c r="BC23" s="138"/>
      <c r="BD23" s="128">
        <f t="shared" si="33"/>
        <v>6559.2134470689762</v>
      </c>
      <c r="BE23" s="127">
        <f t="shared" si="34"/>
        <v>4925.9484393063576</v>
      </c>
      <c r="BF23" s="139"/>
      <c r="BG23" s="130">
        <f t="shared" si="35"/>
        <v>11485.161886375334</v>
      </c>
      <c r="BH23" s="130">
        <f t="shared" si="36"/>
        <v>3527.5828131021181</v>
      </c>
      <c r="BI23" s="138"/>
      <c r="BJ23" s="138">
        <f t="shared" si="37"/>
        <v>15028.44994219653</v>
      </c>
      <c r="BK23" s="127">
        <f t="shared" si="38"/>
        <v>15012.744699477451</v>
      </c>
      <c r="BL23" s="140"/>
      <c r="BM23" s="140"/>
      <c r="BN23" s="17">
        <f t="shared" si="39"/>
        <v>0</v>
      </c>
      <c r="BO23" s="17">
        <f t="shared" si="40"/>
        <v>0</v>
      </c>
    </row>
    <row r="24" spans="1:67" ht="13">
      <c r="A24" s="132" t="s">
        <v>213</v>
      </c>
      <c r="B24" s="121"/>
      <c r="C24" s="121">
        <v>0</v>
      </c>
      <c r="D24" s="178">
        <v>2.5</v>
      </c>
      <c r="E24" s="134">
        <f t="shared" si="6"/>
        <v>672.39821772639687</v>
      </c>
      <c r="F24" s="135"/>
      <c r="G24" s="136">
        <f t="shared" si="7"/>
        <v>672.39821772639687</v>
      </c>
      <c r="H24" s="178">
        <v>2.5</v>
      </c>
      <c r="I24" s="134">
        <f t="shared" si="8"/>
        <v>490.8157032755297</v>
      </c>
      <c r="J24" s="135"/>
      <c r="K24" s="136">
        <f t="shared" si="9"/>
        <v>490.8157032755297</v>
      </c>
      <c r="L24" s="178">
        <v>2.5</v>
      </c>
      <c r="M24" s="134">
        <f t="shared" si="10"/>
        <v>385.29494219653168</v>
      </c>
      <c r="N24" s="135"/>
      <c r="O24" s="136">
        <f t="shared" si="11"/>
        <v>385.29494219653168</v>
      </c>
      <c r="P24" s="178">
        <v>2.5</v>
      </c>
      <c r="Q24" s="134">
        <f t="shared" si="12"/>
        <v>810.8057803468206</v>
      </c>
      <c r="R24" s="135"/>
      <c r="S24" s="136">
        <f t="shared" si="13"/>
        <v>810.8057803468206</v>
      </c>
      <c r="T24" s="178">
        <v>2.5</v>
      </c>
      <c r="U24" s="134">
        <f t="shared" si="14"/>
        <v>523.9478805394989</v>
      </c>
      <c r="V24" s="135"/>
      <c r="W24" s="136">
        <f t="shared" si="15"/>
        <v>523.9478805394989</v>
      </c>
      <c r="X24" s="178">
        <v>2.5</v>
      </c>
      <c r="Y24" s="123">
        <f t="shared" si="16"/>
        <v>1226.061657032755</v>
      </c>
      <c r="Z24" s="135"/>
      <c r="AA24" s="136">
        <f t="shared" si="17"/>
        <v>1226.061657032755</v>
      </c>
      <c r="AB24" s="178">
        <v>2.5</v>
      </c>
      <c r="AC24" s="134">
        <f t="shared" si="18"/>
        <v>987.47259152215804</v>
      </c>
      <c r="AD24" s="135"/>
      <c r="AE24" s="136">
        <f t="shared" si="19"/>
        <v>987.47259152215804</v>
      </c>
      <c r="AF24" s="178">
        <v>2.5</v>
      </c>
      <c r="AG24" s="134">
        <f t="shared" si="20"/>
        <v>1020.1460500963387</v>
      </c>
      <c r="AH24" s="135"/>
      <c r="AI24" s="136">
        <f t="shared" si="21"/>
        <v>1020.1460500963387</v>
      </c>
      <c r="AJ24" s="178">
        <v>2.5</v>
      </c>
      <c r="AK24" s="134">
        <f t="shared" si="22"/>
        <v>1071.0991329479768</v>
      </c>
      <c r="AL24" s="135"/>
      <c r="AM24" s="136">
        <f t="shared" si="23"/>
        <v>1071.0991329479768</v>
      </c>
      <c r="AN24" s="178">
        <v>2.5</v>
      </c>
      <c r="AO24" s="134">
        <f t="shared" si="24"/>
        <v>744.00982658959504</v>
      </c>
      <c r="AP24" s="135"/>
      <c r="AQ24" s="136">
        <f t="shared" si="25"/>
        <v>744.00982658959504</v>
      </c>
      <c r="AR24" s="178">
        <v>2.5</v>
      </c>
      <c r="AS24" s="134">
        <f t="shared" si="26"/>
        <v>823.76685934489387</v>
      </c>
      <c r="AT24" s="135"/>
      <c r="AU24" s="136">
        <f t="shared" si="27"/>
        <v>823.76685934489387</v>
      </c>
      <c r="AV24" s="178">
        <v>2.5</v>
      </c>
      <c r="AW24" s="134">
        <f t="shared" si="28"/>
        <v>636.96257225433499</v>
      </c>
      <c r="AX24" s="135"/>
      <c r="AY24" s="136">
        <f t="shared" si="29"/>
        <v>636.96257225433499</v>
      </c>
      <c r="AZ24" s="127">
        <f t="shared" si="30"/>
        <v>1548.5088631984581</v>
      </c>
      <c r="BA24" s="137">
        <f t="shared" si="31"/>
        <v>1548.5088631984581</v>
      </c>
      <c r="BB24" s="127">
        <f t="shared" si="32"/>
        <v>2560.8153179190745</v>
      </c>
      <c r="BC24" s="138"/>
      <c r="BD24" s="128">
        <f t="shared" si="33"/>
        <v>4109.3241811175321</v>
      </c>
      <c r="BE24" s="127">
        <f t="shared" si="34"/>
        <v>3078.7177745664735</v>
      </c>
      <c r="BF24" s="139"/>
      <c r="BG24" s="130">
        <f t="shared" si="35"/>
        <v>7188.0419556840061</v>
      </c>
      <c r="BH24" s="130">
        <f t="shared" si="36"/>
        <v>2204.7392581888239</v>
      </c>
      <c r="BI24" s="138"/>
      <c r="BJ24" s="138">
        <f t="shared" si="37"/>
        <v>9392.7812138728314</v>
      </c>
      <c r="BK24" s="127">
        <f t="shared" si="38"/>
        <v>9392.7812138728295</v>
      </c>
      <c r="BL24" s="140"/>
      <c r="BM24" s="140"/>
      <c r="BN24" s="17">
        <f t="shared" si="39"/>
        <v>0</v>
      </c>
      <c r="BO24" s="17">
        <f t="shared" si="40"/>
        <v>0</v>
      </c>
    </row>
    <row r="25" spans="1:67" ht="13">
      <c r="A25" s="132" t="s">
        <v>214</v>
      </c>
      <c r="B25" s="121"/>
      <c r="C25" s="121">
        <f>'Mirek Revised PS Model 2021'!BG37</f>
        <v>-15.705242719076523</v>
      </c>
      <c r="D25" s="178">
        <v>4</v>
      </c>
      <c r="E25" s="134">
        <f t="shared" si="6"/>
        <v>1075.837148362235</v>
      </c>
      <c r="F25" s="135"/>
      <c r="G25" s="136">
        <f t="shared" si="7"/>
        <v>1075.837148362235</v>
      </c>
      <c r="H25" s="178">
        <v>4</v>
      </c>
      <c r="I25" s="134">
        <f t="shared" si="8"/>
        <v>785.30512524084759</v>
      </c>
      <c r="J25" s="135"/>
      <c r="K25" s="136">
        <f t="shared" si="9"/>
        <v>785.30512524084759</v>
      </c>
      <c r="L25" s="178">
        <v>4</v>
      </c>
      <c r="M25" s="134">
        <f t="shared" si="10"/>
        <v>616.47190751445066</v>
      </c>
      <c r="N25" s="135"/>
      <c r="O25" s="136">
        <f t="shared" si="11"/>
        <v>616.47190751445066</v>
      </c>
      <c r="P25" s="178">
        <v>4</v>
      </c>
      <c r="Q25" s="134">
        <f t="shared" si="12"/>
        <v>1297.289248554913</v>
      </c>
      <c r="R25" s="135"/>
      <c r="S25" s="136">
        <f t="shared" si="13"/>
        <v>1297.289248554913</v>
      </c>
      <c r="T25" s="178">
        <v>4</v>
      </c>
      <c r="U25" s="134">
        <f t="shared" si="14"/>
        <v>838.31660886319833</v>
      </c>
      <c r="V25" s="135"/>
      <c r="W25" s="136">
        <f t="shared" si="15"/>
        <v>838.31660886319833</v>
      </c>
      <c r="X25" s="178">
        <v>4</v>
      </c>
      <c r="Y25" s="123">
        <f t="shared" si="16"/>
        <v>1961.6986512524081</v>
      </c>
      <c r="Z25" s="135"/>
      <c r="AA25" s="136">
        <f t="shared" si="17"/>
        <v>1961.6986512524081</v>
      </c>
      <c r="AB25" s="178">
        <v>4</v>
      </c>
      <c r="AC25" s="134">
        <f t="shared" si="18"/>
        <v>1579.9561464354529</v>
      </c>
      <c r="AD25" s="135"/>
      <c r="AE25" s="136">
        <f t="shared" si="19"/>
        <v>1579.9561464354529</v>
      </c>
      <c r="AF25" s="178">
        <v>4</v>
      </c>
      <c r="AG25" s="134">
        <f t="shared" si="20"/>
        <v>1632.2336801541421</v>
      </c>
      <c r="AH25" s="135"/>
      <c r="AI25" s="136">
        <f t="shared" si="21"/>
        <v>1632.2336801541421</v>
      </c>
      <c r="AJ25" s="178">
        <v>4</v>
      </c>
      <c r="AK25" s="134">
        <f t="shared" si="22"/>
        <v>1713.7586127167629</v>
      </c>
      <c r="AL25" s="135"/>
      <c r="AM25" s="136">
        <f t="shared" si="23"/>
        <v>1713.7586127167629</v>
      </c>
      <c r="AN25" s="178">
        <v>4</v>
      </c>
      <c r="AO25" s="134">
        <f t="shared" si="24"/>
        <v>1190.4157225433521</v>
      </c>
      <c r="AP25" s="135"/>
      <c r="AQ25" s="136">
        <f t="shared" si="25"/>
        <v>1190.4157225433521</v>
      </c>
      <c r="AR25" s="178">
        <v>4</v>
      </c>
      <c r="AS25" s="134">
        <f t="shared" si="26"/>
        <v>1318.0269749518302</v>
      </c>
      <c r="AT25" s="135"/>
      <c r="AU25" s="136">
        <f t="shared" si="27"/>
        <v>1318.0269749518302</v>
      </c>
      <c r="AV25" s="178">
        <v>4</v>
      </c>
      <c r="AW25" s="134">
        <f t="shared" si="28"/>
        <v>1019.1401156069361</v>
      </c>
      <c r="AX25" s="135"/>
      <c r="AY25" s="136">
        <f t="shared" si="29"/>
        <v>1019.1401156069361</v>
      </c>
      <c r="AZ25" s="127">
        <f t="shared" si="30"/>
        <v>2477.614181117533</v>
      </c>
      <c r="BA25" s="137">
        <f t="shared" si="31"/>
        <v>2461.9089383984565</v>
      </c>
      <c r="BB25" s="127">
        <f t="shared" si="32"/>
        <v>4097.3045086705197</v>
      </c>
      <c r="BC25" s="138"/>
      <c r="BD25" s="128">
        <f t="shared" si="33"/>
        <v>6559.2134470689762</v>
      </c>
      <c r="BE25" s="127">
        <f t="shared" si="34"/>
        <v>4925.9484393063576</v>
      </c>
      <c r="BF25" s="139"/>
      <c r="BG25" s="130">
        <f t="shared" si="35"/>
        <v>11485.161886375334</v>
      </c>
      <c r="BH25" s="130">
        <f t="shared" si="36"/>
        <v>3527.5828131021181</v>
      </c>
      <c r="BI25" s="138"/>
      <c r="BJ25" s="138">
        <f t="shared" si="37"/>
        <v>15028.44994219653</v>
      </c>
      <c r="BK25" s="127">
        <f t="shared" si="38"/>
        <v>15012.744699477451</v>
      </c>
      <c r="BL25" s="140"/>
      <c r="BM25" s="140"/>
      <c r="BN25" s="17">
        <f t="shared" si="39"/>
        <v>0</v>
      </c>
      <c r="BO25" s="17">
        <f t="shared" si="40"/>
        <v>0</v>
      </c>
    </row>
    <row r="26" spans="1:67" ht="12" customHeight="1">
      <c r="A26" s="89"/>
      <c r="C26" s="61"/>
      <c r="D26" s="148">
        <f t="shared" ref="D26:E26" si="53">SUM(D17:D25)</f>
        <v>519.00000000000011</v>
      </c>
      <c r="E26" s="149">
        <f t="shared" si="53"/>
        <v>139589.86999999997</v>
      </c>
      <c r="F26" s="91"/>
      <c r="G26" s="91"/>
      <c r="H26" s="148">
        <f t="shared" ref="H26:I26" si="54">SUM(H17:H25)</f>
        <v>519.00000000000011</v>
      </c>
      <c r="I26" s="149">
        <f t="shared" si="54"/>
        <v>101893.33999999998</v>
      </c>
      <c r="J26" s="91"/>
      <c r="K26" s="91"/>
      <c r="L26" s="148">
        <f t="shared" ref="L26:M26" si="55">SUM(L17:L25)</f>
        <v>519.00000000000011</v>
      </c>
      <c r="M26" s="149">
        <f t="shared" si="55"/>
        <v>79987.229999999981</v>
      </c>
      <c r="N26" s="91"/>
      <c r="O26" s="91"/>
      <c r="P26" s="148">
        <f t="shared" ref="P26:Q26" si="56">SUM(P17:P25)</f>
        <v>519.00000000000011</v>
      </c>
      <c r="Q26" s="149">
        <f t="shared" si="56"/>
        <v>168323.27999999997</v>
      </c>
      <c r="R26" s="91"/>
      <c r="S26" s="91"/>
      <c r="T26" s="148">
        <f t="shared" ref="T26:U26" si="57">SUM(T17:T25)</f>
        <v>519.00000000000011</v>
      </c>
      <c r="U26" s="149">
        <f t="shared" si="57"/>
        <v>108771.57999999999</v>
      </c>
      <c r="V26" s="91"/>
      <c r="W26" s="91"/>
      <c r="X26" s="148">
        <f t="shared" ref="X26:Y26" si="58">SUM(X17:X25)</f>
        <v>519.00000000000011</v>
      </c>
      <c r="Y26" s="149">
        <f t="shared" si="58"/>
        <v>254530.4</v>
      </c>
      <c r="Z26" s="91"/>
      <c r="AA26" s="92"/>
      <c r="AB26" s="148">
        <f>SUM(AB17:AB25)</f>
        <v>519.00000000000011</v>
      </c>
      <c r="AC26" s="149">
        <f>SUM(AC17:AC22)</f>
        <v>200851.92511560692</v>
      </c>
      <c r="AD26" s="91"/>
      <c r="AE26" s="92"/>
      <c r="AF26" s="148">
        <f>SUM(AF17:AF25)</f>
        <v>519.00000000000011</v>
      </c>
      <c r="AG26" s="149">
        <f>SUM(AG17:AG22)</f>
        <v>207497.70658959533</v>
      </c>
      <c r="AH26" s="91"/>
      <c r="AI26" s="91"/>
      <c r="AJ26" s="148">
        <f>SUM(AJ17:AJ25)</f>
        <v>519.00000000000011</v>
      </c>
      <c r="AK26" s="149">
        <f>SUM(AK17:AK22)</f>
        <v>217861.5636416185</v>
      </c>
      <c r="AL26" s="91"/>
      <c r="AM26" s="91"/>
      <c r="AN26" s="148">
        <f>SUM(AN17:AN25)</f>
        <v>519.00000000000011</v>
      </c>
      <c r="AO26" s="149">
        <f>SUM(AO17:AO22)</f>
        <v>151331.59872832368</v>
      </c>
      <c r="AP26" s="91"/>
      <c r="AQ26" s="91"/>
      <c r="AR26" s="148">
        <f>SUM(AR17:AR25)</f>
        <v>519.00000000000011</v>
      </c>
      <c r="AS26" s="149">
        <f>SUM(AS17:AS22)</f>
        <v>167554.17919075143</v>
      </c>
      <c r="AT26" s="91"/>
      <c r="AU26" s="91"/>
      <c r="AV26" s="148">
        <f>SUM(AV17:AV25)</f>
        <v>519.00000000000011</v>
      </c>
      <c r="AW26" s="149">
        <f>SUM(AW17:AW22)</f>
        <v>129558.18719653176</v>
      </c>
      <c r="AX26" s="124"/>
      <c r="AY26" s="92"/>
      <c r="AZ26" s="91"/>
      <c r="BA26" s="150"/>
      <c r="BB26" s="91"/>
      <c r="BC26" s="91"/>
      <c r="BD26" s="150"/>
      <c r="BE26" s="127"/>
      <c r="BG26" s="61"/>
      <c r="BH26" s="61"/>
    </row>
    <row r="27" spans="1:67" ht="28">
      <c r="A27" s="89"/>
      <c r="B27" s="5"/>
      <c r="C27" s="61"/>
      <c r="D27" s="100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124"/>
      <c r="AW27" s="151"/>
      <c r="AX27" s="124"/>
      <c r="AY27" s="92"/>
      <c r="AZ27" s="191" t="str">
        <f>"Paid for "&amp;AZ2</f>
        <v>Paid for 1Q</v>
      </c>
      <c r="BA27" s="192" t="s">
        <v>228</v>
      </c>
      <c r="BB27" s="191" t="s">
        <v>229</v>
      </c>
      <c r="BC27" s="191" t="s">
        <v>230</v>
      </c>
      <c r="BD27" s="192" t="s">
        <v>231</v>
      </c>
      <c r="BE27" s="193" t="str">
        <f>"Paid for 3Q"</f>
        <v>Paid for 3Q</v>
      </c>
      <c r="BF27" s="194" t="s">
        <v>232</v>
      </c>
      <c r="BG27" s="194" t="s">
        <v>193</v>
      </c>
      <c r="BH27" s="193" t="str">
        <f>"Paid for 4Q"</f>
        <v>Paid for 4Q</v>
      </c>
      <c r="BI27" s="191" t="s">
        <v>233</v>
      </c>
      <c r="BJ27" s="191" t="s">
        <v>234</v>
      </c>
      <c r="BK27" s="192" t="s">
        <v>197</v>
      </c>
      <c r="BL27" s="152"/>
      <c r="BM27" s="152"/>
      <c r="BN27" s="152"/>
    </row>
    <row r="28" spans="1:67" ht="28">
      <c r="A28" s="89"/>
      <c r="B28" s="5"/>
      <c r="C28" s="61"/>
      <c r="D28" s="100"/>
      <c r="E28" s="91"/>
      <c r="F28" s="124"/>
      <c r="G28" s="91"/>
      <c r="H28" s="91"/>
      <c r="I28" s="91"/>
      <c r="J28" s="124"/>
      <c r="K28" s="91"/>
      <c r="L28" s="91"/>
      <c r="M28" s="91"/>
      <c r="N28" s="124"/>
      <c r="O28" s="91"/>
      <c r="P28" s="91"/>
      <c r="Q28" s="91"/>
      <c r="R28" s="124"/>
      <c r="S28" s="91"/>
      <c r="T28" s="91"/>
      <c r="U28" s="91"/>
      <c r="V28" s="124"/>
      <c r="W28" s="91"/>
      <c r="X28" s="91"/>
      <c r="Y28" s="91"/>
      <c r="Z28" s="124"/>
      <c r="AA28" s="91"/>
      <c r="AB28" s="91"/>
      <c r="AC28" s="91"/>
      <c r="AD28" s="124"/>
      <c r="AE28" s="91"/>
      <c r="AF28" s="91"/>
      <c r="AG28" s="91"/>
      <c r="AH28" s="124"/>
      <c r="AI28" s="91"/>
      <c r="AJ28" s="91"/>
      <c r="AK28" s="91"/>
      <c r="AL28" s="124"/>
      <c r="AM28" s="91"/>
      <c r="AN28" s="91"/>
      <c r="AO28" s="91"/>
      <c r="AP28" s="124"/>
      <c r="AQ28" s="91"/>
      <c r="AR28" s="91"/>
      <c r="AS28" s="91"/>
      <c r="AT28" s="91"/>
      <c r="AU28" s="1"/>
      <c r="AV28" s="179" t="s">
        <v>244</v>
      </c>
      <c r="AW28" s="118" t="s">
        <v>219</v>
      </c>
      <c r="AY28" s="160" t="s">
        <v>83</v>
      </c>
      <c r="AZ28" s="161">
        <f>AZ14</f>
        <v>0</v>
      </c>
      <c r="BA28" s="196">
        <f t="shared" ref="BA28:BA36" si="59">BA17-AZ28</f>
        <v>283758.07732070447</v>
      </c>
      <c r="BB28" s="161">
        <f>BB14</f>
        <v>356186.82</v>
      </c>
      <c r="BC28" s="161">
        <f t="shared" ref="BC28:BC36" si="60">AZ28+BB28</f>
        <v>356186.82</v>
      </c>
      <c r="BD28" s="164">
        <f t="shared" ref="BD28:BD36" si="61">BD17-BC28</f>
        <v>25727.273216658214</v>
      </c>
      <c r="BE28" s="161">
        <f>BE14</f>
        <v>5203.1299999999974</v>
      </c>
      <c r="BF28" s="161">
        <f t="shared" ref="BF28:BF31" si="62">BE28+BC28</f>
        <v>361389.95</v>
      </c>
      <c r="BG28" s="164">
        <f t="shared" ref="BG28:BG36" si="63">BG17-BF28</f>
        <v>169445.28194498195</v>
      </c>
      <c r="BH28" s="161">
        <f>BH14</f>
        <v>-2222.630000000001</v>
      </c>
      <c r="BI28" s="161">
        <f t="shared" ref="BI28:BI31" si="64">BH28+BE28</f>
        <v>2980.4999999999964</v>
      </c>
      <c r="BJ28" s="161">
        <f t="shared" ref="BJ28:BJ36" si="65">BI28+BB28+AZ28</f>
        <v>359167.32</v>
      </c>
      <c r="BK28" s="164">
        <f t="shared" ref="BK28:BK36" si="66">BK17-BJ28</f>
        <v>272493.14485442318</v>
      </c>
      <c r="BL28" s="19" t="str">
        <f t="shared" ref="BL28:BL36" si="67">AY28</f>
        <v>Colin</v>
      </c>
      <c r="BM28" s="19"/>
      <c r="BN28" s="19"/>
    </row>
    <row r="29" spans="1:67" ht="14">
      <c r="A29" s="89"/>
      <c r="B29" s="5"/>
      <c r="C29" s="6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P29" s="91"/>
      <c r="AQ29" s="91"/>
      <c r="AR29" s="91"/>
      <c r="AS29" s="91"/>
      <c r="AT29" s="91"/>
      <c r="AU29" s="91" t="s">
        <v>83</v>
      </c>
      <c r="AV29" s="91"/>
      <c r="AW29" s="151">
        <f t="shared" ref="AW29:AW37" si="68">BA28</f>
        <v>283758.07732070447</v>
      </c>
      <c r="AY29" s="160" t="s">
        <v>209</v>
      </c>
      <c r="AZ29" s="165">
        <v>97444.52</v>
      </c>
      <c r="BA29" s="196">
        <f t="shared" si="59"/>
        <v>-0.30378518519864883</v>
      </c>
      <c r="BB29" s="165">
        <v>162698.32</v>
      </c>
      <c r="BC29" s="161">
        <f t="shared" si="60"/>
        <v>260142.84000000003</v>
      </c>
      <c r="BD29" s="164">
        <f t="shared" si="61"/>
        <v>-513.65365031047259</v>
      </c>
      <c r="BE29" s="165">
        <f>118813.34+76172.12</f>
        <v>194985.46</v>
      </c>
      <c r="BF29" s="161">
        <f t="shared" si="62"/>
        <v>455128.30000000005</v>
      </c>
      <c r="BG29" s="164">
        <f t="shared" si="63"/>
        <v>-513.65459443384316</v>
      </c>
      <c r="BH29" s="165">
        <v>139119.82999999999</v>
      </c>
      <c r="BI29" s="206">
        <f t="shared" si="64"/>
        <v>334105.28999999998</v>
      </c>
      <c r="BJ29" s="161">
        <f t="shared" si="65"/>
        <v>594248.13</v>
      </c>
      <c r="BK29" s="164">
        <f t="shared" si="66"/>
        <v>1.7575250240042806E-3</v>
      </c>
      <c r="BL29" s="19" t="str">
        <f t="shared" si="67"/>
        <v>Fronczyk</v>
      </c>
      <c r="BM29" s="19">
        <f t="shared" ref="BM29:BM31" si="69">BK29</f>
        <v>1.7575250240042806E-3</v>
      </c>
      <c r="BN29" s="19"/>
    </row>
    <row r="30" spans="1:67" ht="14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P30" s="91"/>
      <c r="AQ30" s="91"/>
      <c r="AR30" s="91"/>
      <c r="AS30" s="124"/>
      <c r="AT30" s="91"/>
      <c r="AU30" s="91" t="s">
        <v>209</v>
      </c>
      <c r="AV30" s="91"/>
      <c r="AW30" s="151">
        <f t="shared" si="68"/>
        <v>-0.30378518519864883</v>
      </c>
      <c r="AY30" s="160" t="s">
        <v>61</v>
      </c>
      <c r="AZ30" s="165">
        <v>66788.259999999995</v>
      </c>
      <c r="BA30" s="196">
        <f t="shared" si="59"/>
        <v>-0.21098403740325011</v>
      </c>
      <c r="BB30" s="165">
        <v>111319.9</v>
      </c>
      <c r="BC30" s="161">
        <f t="shared" si="60"/>
        <v>178108.15999999997</v>
      </c>
      <c r="BD30" s="164">
        <f t="shared" si="61"/>
        <v>-351.44720754411537</v>
      </c>
      <c r="BE30" s="165">
        <f t="shared" ref="BE30:BE31" si="70">81293.33+52117.77</f>
        <v>133411.1</v>
      </c>
      <c r="BF30" s="161">
        <f t="shared" si="62"/>
        <v>311519.26</v>
      </c>
      <c r="BG30" s="164">
        <f t="shared" si="63"/>
        <v>-351.44364299695008</v>
      </c>
      <c r="BH30" s="165">
        <v>95187.26</v>
      </c>
      <c r="BI30" s="206">
        <f t="shared" si="64"/>
        <v>228598.36</v>
      </c>
      <c r="BJ30" s="161">
        <f t="shared" si="65"/>
        <v>406706.52</v>
      </c>
      <c r="BK30" s="164">
        <f t="shared" si="66"/>
        <v>-2.4548145593144E-3</v>
      </c>
      <c r="BL30" s="19" t="str">
        <f t="shared" si="67"/>
        <v>Mirek</v>
      </c>
      <c r="BM30" s="19">
        <f t="shared" si="69"/>
        <v>-2.4548145593144E-3</v>
      </c>
      <c r="BN30" s="19"/>
    </row>
    <row r="31" spans="1:67" ht="14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P31" s="91"/>
      <c r="AQ31" s="91"/>
      <c r="AR31" s="91"/>
      <c r="AS31" s="91"/>
      <c r="AT31" s="91"/>
      <c r="AU31" s="91" t="s">
        <v>61</v>
      </c>
      <c r="AV31" s="91"/>
      <c r="AW31" s="151">
        <f t="shared" si="68"/>
        <v>-0.21098403740325011</v>
      </c>
      <c r="AY31" s="197" t="s">
        <v>65</v>
      </c>
      <c r="AZ31" s="165">
        <v>66788.259999999995</v>
      </c>
      <c r="BA31" s="167">
        <f t="shared" si="59"/>
        <v>-0.21098403740325011</v>
      </c>
      <c r="BB31" s="165">
        <v>111319.9</v>
      </c>
      <c r="BC31" s="161">
        <f t="shared" si="60"/>
        <v>178108.15999999997</v>
      </c>
      <c r="BD31" s="164">
        <f t="shared" si="61"/>
        <v>-351.44720754411537</v>
      </c>
      <c r="BE31" s="165">
        <f t="shared" si="70"/>
        <v>133411.1</v>
      </c>
      <c r="BF31" s="161">
        <f t="shared" si="62"/>
        <v>311519.26</v>
      </c>
      <c r="BG31" s="164">
        <f t="shared" si="63"/>
        <v>-351.44364299695008</v>
      </c>
      <c r="BH31" s="165">
        <v>95187.26</v>
      </c>
      <c r="BI31" s="206">
        <f t="shared" si="64"/>
        <v>228598.36</v>
      </c>
      <c r="BJ31" s="161">
        <f t="shared" si="65"/>
        <v>406706.52</v>
      </c>
      <c r="BK31" s="164">
        <f t="shared" si="66"/>
        <v>-2.4548145593144E-3</v>
      </c>
      <c r="BL31" s="19" t="str">
        <f t="shared" si="67"/>
        <v>Marek</v>
      </c>
      <c r="BM31" s="19">
        <f t="shared" si="69"/>
        <v>-2.4548145593144E-3</v>
      </c>
      <c r="BN31" s="19"/>
    </row>
    <row r="32" spans="1:67" ht="14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P32" s="91"/>
      <c r="AQ32" s="91"/>
      <c r="AR32" s="91"/>
      <c r="AS32" s="91"/>
      <c r="AT32" s="91"/>
      <c r="AU32" s="91" t="s">
        <v>65</v>
      </c>
      <c r="AV32" s="91"/>
      <c r="AW32" s="151">
        <f t="shared" si="68"/>
        <v>-0.21098403740325011</v>
      </c>
      <c r="AY32" s="160" t="s">
        <v>210</v>
      </c>
      <c r="AZ32" s="165">
        <v>3685.03</v>
      </c>
      <c r="BA32" s="167">
        <f t="shared" si="59"/>
        <v>-8.5964125469217834E-3</v>
      </c>
      <c r="BB32" s="165">
        <v>6165.41</v>
      </c>
      <c r="BC32" s="161">
        <f t="shared" si="60"/>
        <v>9850.44</v>
      </c>
      <c r="BD32" s="164">
        <f t="shared" si="61"/>
        <v>-19.461833406769074</v>
      </c>
      <c r="BE32" s="168">
        <v>0</v>
      </c>
      <c r="BF32" s="168">
        <v>0</v>
      </c>
      <c r="BG32" s="164">
        <f t="shared" si="63"/>
        <v>17219.900825552766</v>
      </c>
      <c r="BH32" s="168">
        <v>0</v>
      </c>
      <c r="BI32" s="165">
        <v>13044.16</v>
      </c>
      <c r="BJ32" s="161">
        <f t="shared" si="65"/>
        <v>22894.6</v>
      </c>
      <c r="BK32" s="164">
        <f t="shared" si="66"/>
        <v>-383.32495479405407</v>
      </c>
      <c r="BL32" s="19" t="str">
        <f t="shared" si="67"/>
        <v>Filip</v>
      </c>
      <c r="BM32" s="19"/>
      <c r="BN32" s="19"/>
    </row>
    <row r="33" spans="1:66" ht="14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P33" s="91"/>
      <c r="AQ33" s="91"/>
      <c r="AR33" s="91"/>
      <c r="AS33" s="91"/>
      <c r="AT33" s="91"/>
      <c r="AU33" s="91" t="s">
        <v>210</v>
      </c>
      <c r="AV33" s="91"/>
      <c r="AW33" s="151">
        <f t="shared" si="68"/>
        <v>-8.5964125469217834E-3</v>
      </c>
      <c r="AY33" s="160" t="s">
        <v>211</v>
      </c>
      <c r="AZ33" s="165">
        <v>1535.96</v>
      </c>
      <c r="BA33" s="167">
        <f t="shared" si="59"/>
        <v>-7.0840370799487573E-3</v>
      </c>
      <c r="BB33" s="165">
        <v>2568.92</v>
      </c>
      <c r="BC33" s="161">
        <f t="shared" si="60"/>
        <v>4104.88</v>
      </c>
      <c r="BD33" s="164">
        <f t="shared" si="61"/>
        <v>-8.1117661180060168</v>
      </c>
      <c r="BE33" s="168">
        <v>0</v>
      </c>
      <c r="BF33" s="168">
        <v>0</v>
      </c>
      <c r="BG33" s="164">
        <f t="shared" si="63"/>
        <v>7175.4860084484681</v>
      </c>
      <c r="BH33" s="168">
        <v>0</v>
      </c>
      <c r="BI33" s="165">
        <v>5435.07</v>
      </c>
      <c r="BJ33" s="161">
        <f t="shared" si="65"/>
        <v>9539.9500000000007</v>
      </c>
      <c r="BK33" s="164">
        <f t="shared" si="66"/>
        <v>-159.72473336270923</v>
      </c>
      <c r="BL33" s="19" t="str">
        <f t="shared" si="67"/>
        <v>Maria</v>
      </c>
      <c r="BM33" s="19"/>
      <c r="BN33" s="19"/>
    </row>
    <row r="34" spans="1:66" ht="14">
      <c r="A34" s="89"/>
      <c r="B34" s="5"/>
      <c r="C34" s="61"/>
      <c r="D34" s="100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P34" s="91"/>
      <c r="AQ34" s="91"/>
      <c r="AR34" s="91"/>
      <c r="AS34" s="91"/>
      <c r="AT34" s="91"/>
      <c r="AU34" s="1" t="s">
        <v>211</v>
      </c>
      <c r="AV34" s="91"/>
      <c r="AW34" s="151">
        <f t="shared" si="68"/>
        <v>-7.0840370799487573E-3</v>
      </c>
      <c r="AY34" s="160" t="s">
        <v>212</v>
      </c>
      <c r="AZ34" s="165">
        <v>2461.92</v>
      </c>
      <c r="BA34" s="167">
        <f t="shared" si="59"/>
        <v>-1.106160154358804E-2</v>
      </c>
      <c r="BB34" s="165">
        <v>4110.2700000000004</v>
      </c>
      <c r="BC34" s="161">
        <f t="shared" si="60"/>
        <v>6572.1900000000005</v>
      </c>
      <c r="BD34" s="164">
        <f t="shared" si="61"/>
        <v>-12.976552931024344</v>
      </c>
      <c r="BE34" s="168">
        <v>0</v>
      </c>
      <c r="BF34" s="168">
        <v>0</v>
      </c>
      <c r="BG34" s="164">
        <f t="shared" si="63"/>
        <v>11485.161886375334</v>
      </c>
      <c r="BH34" s="168">
        <v>0</v>
      </c>
      <c r="BI34" s="165">
        <v>8696.11</v>
      </c>
      <c r="BJ34" s="161">
        <f t="shared" si="65"/>
        <v>15268.300000000001</v>
      </c>
      <c r="BK34" s="164">
        <f t="shared" si="66"/>
        <v>-255.55530052255017</v>
      </c>
      <c r="BL34" s="19" t="str">
        <f t="shared" si="67"/>
        <v>Piotr P.</v>
      </c>
      <c r="BM34" s="19"/>
      <c r="BN34" s="19"/>
    </row>
    <row r="35" spans="1:66" ht="14">
      <c r="A35" s="89"/>
      <c r="B35" s="5"/>
      <c r="C35" s="61"/>
      <c r="D35" s="100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P35" s="91"/>
      <c r="AQ35" s="91"/>
      <c r="AR35" s="91"/>
      <c r="AS35" s="91"/>
      <c r="AT35" s="91"/>
      <c r="AU35" s="91" t="s">
        <v>212</v>
      </c>
      <c r="AV35" s="91"/>
      <c r="AW35" s="151">
        <f t="shared" si="68"/>
        <v>-1.106160154358804E-2</v>
      </c>
      <c r="AY35" s="160" t="s">
        <v>213</v>
      </c>
      <c r="AZ35" s="165">
        <v>1548.51</v>
      </c>
      <c r="BA35" s="167">
        <f t="shared" si="59"/>
        <v>-1.1368015418611321E-3</v>
      </c>
      <c r="BB35" s="165">
        <v>2568.92</v>
      </c>
      <c r="BC35" s="161">
        <f t="shared" si="60"/>
        <v>4117.43</v>
      </c>
      <c r="BD35" s="164">
        <f t="shared" si="61"/>
        <v>-8.1058188824681565</v>
      </c>
      <c r="BE35" s="168">
        <v>0</v>
      </c>
      <c r="BF35" s="168">
        <v>0</v>
      </c>
      <c r="BG35" s="164">
        <f t="shared" si="63"/>
        <v>7188.0419556840061</v>
      </c>
      <c r="BH35" s="168">
        <v>0</v>
      </c>
      <c r="BI35" s="165">
        <v>5435.07</v>
      </c>
      <c r="BJ35" s="161">
        <f t="shared" si="65"/>
        <v>9552.5</v>
      </c>
      <c r="BK35" s="164">
        <f t="shared" si="66"/>
        <v>-159.71878612717046</v>
      </c>
      <c r="BL35" s="19" t="str">
        <f t="shared" si="67"/>
        <v>Olha</v>
      </c>
      <c r="BM35" s="19"/>
      <c r="BN35" s="19"/>
    </row>
    <row r="36" spans="1:66" ht="14">
      <c r="A36" s="89"/>
      <c r="B36" s="5"/>
      <c r="C36" s="61"/>
      <c r="D36" s="100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P36" s="91"/>
      <c r="AQ36" s="91"/>
      <c r="AR36" s="91"/>
      <c r="AS36" s="91"/>
      <c r="AT36" s="91"/>
      <c r="AU36" s="1" t="s">
        <v>213</v>
      </c>
      <c r="AW36" s="151">
        <f t="shared" si="68"/>
        <v>-1.1368015418611321E-3</v>
      </c>
      <c r="AY36" s="160" t="s">
        <v>214</v>
      </c>
      <c r="AZ36" s="165">
        <v>2461.92</v>
      </c>
      <c r="BA36" s="167">
        <f t="shared" si="59"/>
        <v>-1.106160154358804E-2</v>
      </c>
      <c r="BB36" s="165">
        <v>4110.2700000000004</v>
      </c>
      <c r="BC36" s="161">
        <f t="shared" si="60"/>
        <v>6572.1900000000005</v>
      </c>
      <c r="BD36" s="164">
        <f t="shared" si="61"/>
        <v>-12.976552931024344</v>
      </c>
      <c r="BE36" s="168">
        <v>0</v>
      </c>
      <c r="BF36" s="168">
        <v>0</v>
      </c>
      <c r="BG36" s="164">
        <f t="shared" si="63"/>
        <v>11485.161886375334</v>
      </c>
      <c r="BH36" s="168">
        <v>0</v>
      </c>
      <c r="BI36" s="165">
        <v>8696.11</v>
      </c>
      <c r="BJ36" s="161">
        <f t="shared" si="65"/>
        <v>15268.300000000001</v>
      </c>
      <c r="BK36" s="164">
        <f t="shared" si="66"/>
        <v>-255.55530052255017</v>
      </c>
      <c r="BL36" s="19" t="str">
        <f t="shared" si="67"/>
        <v>Krzysztof B.</v>
      </c>
      <c r="BM36" s="19"/>
      <c r="BN36" s="19"/>
    </row>
    <row r="37" spans="1:66" ht="28">
      <c r="A37" s="89"/>
      <c r="B37" s="5"/>
      <c r="C37" s="61"/>
      <c r="D37" s="100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P37" s="91"/>
      <c r="AQ37" s="91"/>
      <c r="AR37" s="91"/>
      <c r="AS37" s="91"/>
      <c r="AT37" s="91"/>
      <c r="AU37" s="1" t="s">
        <v>214</v>
      </c>
      <c r="AV37" s="91"/>
      <c r="AW37" s="151">
        <f t="shared" si="68"/>
        <v>-1.106160154358804E-2</v>
      </c>
      <c r="AY37" s="1"/>
      <c r="BE37" s="207" t="s">
        <v>245</v>
      </c>
    </row>
    <row r="38" spans="1:66" ht="14">
      <c r="A38" s="89"/>
      <c r="C38" s="61"/>
      <c r="D38" s="62"/>
      <c r="R38" s="91"/>
      <c r="AY38" s="171" t="s">
        <v>200</v>
      </c>
      <c r="AZ38" s="152"/>
      <c r="BA38" s="152"/>
      <c r="BB38" s="152"/>
      <c r="BC38" s="152"/>
      <c r="BD38" s="91"/>
      <c r="BE38" s="91"/>
      <c r="BF38" s="1"/>
      <c r="BG38" s="1"/>
      <c r="BH38" s="1"/>
      <c r="BI38" s="17">
        <v>118813.34</v>
      </c>
    </row>
    <row r="39" spans="1:66" ht="13">
      <c r="A39" s="89"/>
      <c r="C39" s="61"/>
      <c r="D39" s="62"/>
      <c r="AZ39" s="152"/>
      <c r="BA39" s="152"/>
      <c r="BB39" s="152"/>
      <c r="BC39" s="152"/>
      <c r="BD39" s="91"/>
      <c r="BE39" s="91"/>
      <c r="BF39" s="1"/>
      <c r="BG39" s="1"/>
      <c r="BI39" s="17">
        <v>81293.33</v>
      </c>
    </row>
    <row r="40" spans="1:66" ht="13">
      <c r="A40" s="89"/>
      <c r="C40" s="61"/>
      <c r="D40" s="62"/>
      <c r="BD40" s="91"/>
      <c r="BF40" s="91"/>
      <c r="BG40" s="91"/>
      <c r="BH40" s="91"/>
      <c r="BI40" s="17">
        <v>81293.33</v>
      </c>
      <c r="BJ40" s="91"/>
      <c r="BK40" s="91"/>
      <c r="BL40" s="91"/>
      <c r="BM40" s="91"/>
      <c r="BN40" s="91"/>
    </row>
    <row r="41" spans="1:66" ht="14">
      <c r="A41" s="89" t="s">
        <v>201</v>
      </c>
      <c r="C41" s="61"/>
      <c r="D41" s="62"/>
      <c r="AN41" s="1" t="s">
        <v>148</v>
      </c>
      <c r="AZ41" s="172"/>
      <c r="BA41" s="172"/>
      <c r="BB41" s="172"/>
      <c r="BC41" s="172"/>
      <c r="BD41" s="172"/>
      <c r="BE41" s="172"/>
      <c r="BF41" s="172"/>
      <c r="BG41" s="172"/>
      <c r="BH41" s="172"/>
      <c r="BI41" s="17">
        <v>13044.16</v>
      </c>
      <c r="BJ41" s="172"/>
      <c r="BK41" s="172"/>
      <c r="BL41" s="172"/>
      <c r="BM41" s="172"/>
      <c r="BN41" s="172"/>
    </row>
    <row r="42" spans="1:66" ht="13">
      <c r="A42" s="89"/>
      <c r="C42" s="61"/>
      <c r="D42" s="62"/>
      <c r="AZ42" s="172"/>
      <c r="BA42" s="172"/>
      <c r="BB42" s="172"/>
      <c r="BC42" s="172"/>
      <c r="BD42" s="172"/>
      <c r="BE42" s="172"/>
      <c r="BF42" s="172"/>
      <c r="BG42" s="172"/>
      <c r="BH42" s="17"/>
      <c r="BI42" s="17">
        <v>8696.11</v>
      </c>
      <c r="BJ42" s="172"/>
      <c r="BK42" s="172"/>
      <c r="BL42" s="172"/>
      <c r="BM42" s="172"/>
      <c r="BN42" s="172"/>
    </row>
    <row r="43" spans="1:66" ht="13">
      <c r="A43" s="89"/>
      <c r="C43" s="61"/>
      <c r="D43" s="62"/>
      <c r="AZ43" s="172"/>
      <c r="BA43" s="172"/>
      <c r="BB43" s="172"/>
      <c r="BC43" s="172"/>
      <c r="BD43" s="172"/>
      <c r="BE43" s="172"/>
      <c r="BF43" s="172"/>
      <c r="BG43" s="172"/>
      <c r="BH43" s="17"/>
      <c r="BI43" s="17">
        <v>8696.11</v>
      </c>
      <c r="BJ43" s="172"/>
      <c r="BK43" s="172"/>
      <c r="BL43" s="172"/>
      <c r="BM43" s="172"/>
      <c r="BN43" s="172"/>
    </row>
    <row r="44" spans="1:66" ht="13">
      <c r="A44" s="89"/>
      <c r="C44" s="61"/>
      <c r="D44" s="62"/>
      <c r="AZ44" s="172"/>
      <c r="BA44" s="172"/>
      <c r="BB44" s="172"/>
      <c r="BC44" s="172"/>
      <c r="BD44" s="172"/>
      <c r="BE44" s="172"/>
      <c r="BF44" s="172"/>
      <c r="BG44" s="172"/>
      <c r="BH44" s="17"/>
      <c r="BI44" s="17">
        <v>5435.07</v>
      </c>
      <c r="BJ44" s="172"/>
      <c r="BK44" s="172"/>
      <c r="BL44" s="172"/>
      <c r="BM44" s="172"/>
      <c r="BN44" s="172"/>
    </row>
    <row r="45" spans="1:66" ht="13">
      <c r="A45" s="89"/>
      <c r="C45" s="61"/>
      <c r="D45" s="62"/>
      <c r="AZ45" s="172"/>
      <c r="BA45" s="172"/>
      <c r="BB45" s="172"/>
      <c r="BC45" s="172"/>
      <c r="BD45" s="172"/>
      <c r="BE45" s="172"/>
      <c r="BF45" s="172"/>
      <c r="BG45" s="172"/>
      <c r="BH45" s="17"/>
      <c r="BI45" s="17">
        <v>5435.07</v>
      </c>
      <c r="BJ45" s="172"/>
      <c r="BK45" s="172"/>
      <c r="BL45" s="172"/>
      <c r="BM45" s="172"/>
      <c r="BN45" s="172"/>
    </row>
    <row r="46" spans="1:66" ht="13">
      <c r="A46" s="89"/>
      <c r="C46" s="61"/>
      <c r="D46" s="62"/>
      <c r="AZ46" s="172"/>
      <c r="BA46" s="172"/>
      <c r="BB46" s="172"/>
      <c r="BC46" s="172"/>
      <c r="BD46" s="172"/>
      <c r="BE46" s="172"/>
      <c r="BF46" s="172"/>
      <c r="BG46" s="172"/>
      <c r="BH46" s="17"/>
      <c r="BI46" s="19">
        <f>SUM(BI38:BI45)</f>
        <v>322706.51999999996</v>
      </c>
      <c r="BJ46" s="172"/>
      <c r="BK46" s="172"/>
      <c r="BL46" s="172"/>
      <c r="BM46" s="172"/>
      <c r="BN46" s="172"/>
    </row>
    <row r="47" spans="1:66" ht="13">
      <c r="A47" s="89"/>
      <c r="C47" s="61"/>
      <c r="D47" s="62"/>
      <c r="AP47">
        <v>69140.283159922925</v>
      </c>
      <c r="AZ47" s="172"/>
      <c r="BA47" s="172"/>
      <c r="BB47" s="172"/>
      <c r="BC47" s="172"/>
      <c r="BD47" s="172"/>
      <c r="BE47" s="172"/>
      <c r="BF47" s="172"/>
      <c r="BG47" s="172"/>
      <c r="BH47" s="17"/>
      <c r="BI47" s="17"/>
      <c r="BJ47" s="172"/>
      <c r="BK47" s="172"/>
      <c r="BL47" s="172"/>
      <c r="BM47" s="172"/>
      <c r="BN47" s="172"/>
    </row>
    <row r="48" spans="1:66" ht="13">
      <c r="A48" s="89"/>
      <c r="C48" s="61"/>
      <c r="D48" s="62"/>
      <c r="AP48">
        <v>98072.228002569027</v>
      </c>
      <c r="AZ48" s="172"/>
      <c r="BA48" s="172"/>
      <c r="BB48" s="172"/>
      <c r="BC48" s="172"/>
      <c r="BD48" s="172"/>
      <c r="BE48" s="172"/>
      <c r="BF48" s="172"/>
      <c r="BG48" s="172"/>
      <c r="BH48" s="17"/>
      <c r="BI48" s="172"/>
      <c r="BJ48" s="172"/>
      <c r="BK48" s="172"/>
      <c r="BL48" s="172"/>
      <c r="BM48" s="172"/>
      <c r="BN48" s="172"/>
    </row>
    <row r="49" spans="1:66" ht="13">
      <c r="A49" s="89"/>
      <c r="C49" s="61"/>
      <c r="D49" s="62"/>
      <c r="AP49">
        <v>67102.050738599864</v>
      </c>
      <c r="AZ49" s="172"/>
      <c r="BA49" s="172"/>
      <c r="BB49" s="172"/>
      <c r="BC49" s="172"/>
      <c r="BD49" s="172"/>
      <c r="BE49" s="172"/>
      <c r="BF49" s="172"/>
      <c r="BG49" s="172"/>
      <c r="BH49" s="17"/>
      <c r="BI49" s="172"/>
      <c r="BJ49" s="172"/>
      <c r="BK49" s="172"/>
      <c r="BL49" s="172"/>
      <c r="BM49" s="172"/>
      <c r="BN49" s="172"/>
    </row>
    <row r="50" spans="1:66" ht="13">
      <c r="A50" s="89"/>
      <c r="C50" s="61"/>
      <c r="D50" s="62"/>
      <c r="AP50">
        <v>67102.050738599864</v>
      </c>
      <c r="BH50" s="17"/>
    </row>
    <row r="51" spans="1:66" ht="13">
      <c r="A51" s="89"/>
      <c r="C51" s="61"/>
      <c r="D51" s="62"/>
      <c r="AP51">
        <v>3716.4212716763004</v>
      </c>
    </row>
    <row r="52" spans="1:66" ht="13">
      <c r="A52" s="89"/>
      <c r="C52" s="61"/>
      <c r="D52" s="62"/>
      <c r="AP52">
        <v>1548.5088631984581</v>
      </c>
    </row>
    <row r="53" spans="1:66" ht="13">
      <c r="A53" s="89"/>
      <c r="C53" s="61"/>
      <c r="D53" s="62"/>
      <c r="AP53">
        <v>2477.614181117533</v>
      </c>
    </row>
    <row r="54" spans="1:66" ht="13">
      <c r="A54" s="89"/>
      <c r="C54" s="61"/>
      <c r="D54" s="62"/>
      <c r="AP54">
        <v>1548.5088631984581</v>
      </c>
    </row>
    <row r="55" spans="1:66" ht="13">
      <c r="A55" s="89"/>
      <c r="C55" s="61"/>
      <c r="D55" s="62"/>
      <c r="AP55">
        <v>2477.614181117533</v>
      </c>
    </row>
    <row r="56" spans="1:66" ht="13">
      <c r="A56" s="89"/>
      <c r="C56" s="61"/>
      <c r="D56" s="62"/>
    </row>
    <row r="57" spans="1:66" ht="13">
      <c r="A57" s="89"/>
      <c r="C57" s="61"/>
      <c r="D57" s="62"/>
    </row>
    <row r="58" spans="1:66" ht="13">
      <c r="A58" s="89"/>
      <c r="C58" s="61"/>
      <c r="D58" s="62"/>
    </row>
    <row r="59" spans="1:66" ht="13">
      <c r="A59" s="89"/>
      <c r="C59" s="61"/>
      <c r="D59" s="62"/>
    </row>
    <row r="60" spans="1:66" ht="13">
      <c r="A60" s="89"/>
      <c r="C60" s="61"/>
      <c r="D60" s="62"/>
      <c r="AP60" s="91">
        <f t="shared" ref="AP60:AP68" si="71">AP47-AZ17</f>
        <v>0</v>
      </c>
    </row>
    <row r="61" spans="1:66" ht="13">
      <c r="A61" s="89"/>
      <c r="C61" s="61"/>
      <c r="D61" s="62"/>
      <c r="AP61" s="91">
        <f t="shared" si="71"/>
        <v>0</v>
      </c>
    </row>
    <row r="62" spans="1:66" ht="13">
      <c r="A62" s="89"/>
      <c r="C62" s="61"/>
      <c r="D62" s="62"/>
      <c r="AP62" s="91">
        <f t="shared" si="71"/>
        <v>0</v>
      </c>
    </row>
    <row r="63" spans="1:66" ht="13">
      <c r="A63" s="89"/>
      <c r="AP63" s="91">
        <f t="shared" si="71"/>
        <v>0</v>
      </c>
      <c r="BF63" s="1"/>
    </row>
    <row r="64" spans="1:66" ht="13">
      <c r="A64" s="89"/>
      <c r="AP64" s="91">
        <f t="shared" si="71"/>
        <v>0</v>
      </c>
    </row>
    <row r="65" spans="1:42" ht="13">
      <c r="A65" s="89"/>
      <c r="AP65" s="91">
        <f t="shared" si="71"/>
        <v>0</v>
      </c>
    </row>
    <row r="66" spans="1:42" ht="13">
      <c r="A66" s="89"/>
      <c r="AP66" s="91">
        <f t="shared" si="71"/>
        <v>0</v>
      </c>
    </row>
    <row r="67" spans="1:42" ht="13">
      <c r="A67" s="89"/>
      <c r="AP67" s="91">
        <f t="shared" si="71"/>
        <v>0</v>
      </c>
    </row>
    <row r="68" spans="1:42" ht="13">
      <c r="A68" s="89"/>
      <c r="AP68" s="91">
        <f t="shared" si="71"/>
        <v>0</v>
      </c>
    </row>
    <row r="69" spans="1:42" ht="13">
      <c r="A69" s="89"/>
    </row>
    <row r="70" spans="1:42" ht="13">
      <c r="A70" s="89"/>
    </row>
    <row r="71" spans="1:42" ht="13">
      <c r="A71" s="89"/>
    </row>
  </sheetData>
  <conditionalFormatting sqref="BN17:BO25">
    <cfRule type="cellIs" dxfId="12" priority="1" operator="equal">
      <formula>0</formula>
    </cfRule>
    <cfRule type="cellIs" dxfId="11" priority="2" operator="not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G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5" width="10.1640625" customWidth="1"/>
    <col min="6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49" width="13.5" customWidth="1"/>
    <col min="50" max="50" width="10.5" customWidth="1"/>
    <col min="51" max="51" width="10.83203125" customWidth="1"/>
    <col min="52" max="59" width="15.1640625" customWidth="1"/>
  </cols>
  <sheetData>
    <row r="1" spans="1:59" ht="42.75" customHeight="1">
      <c r="A1" s="5" t="s">
        <v>148</v>
      </c>
      <c r="C1" s="58" t="s">
        <v>131</v>
      </c>
      <c r="D1" s="59">
        <v>44227</v>
      </c>
      <c r="E1" s="60"/>
      <c r="F1" s="60"/>
      <c r="G1" s="61"/>
      <c r="H1" s="59">
        <v>44255</v>
      </c>
      <c r="I1" s="60"/>
      <c r="J1" s="60"/>
      <c r="K1" s="61"/>
      <c r="L1" s="59">
        <v>44286</v>
      </c>
      <c r="M1" s="60"/>
      <c r="N1" s="60"/>
      <c r="O1" s="61"/>
      <c r="P1" s="59">
        <v>44316</v>
      </c>
      <c r="Q1" s="60"/>
      <c r="R1" s="60"/>
      <c r="S1" s="61"/>
      <c r="T1" s="59">
        <v>44347</v>
      </c>
      <c r="U1" s="60"/>
      <c r="V1" s="60"/>
      <c r="W1" s="61"/>
      <c r="X1" s="59">
        <v>44377</v>
      </c>
      <c r="Y1" s="60"/>
      <c r="Z1" s="60"/>
      <c r="AA1" s="61"/>
      <c r="AB1" s="59">
        <v>44408</v>
      </c>
      <c r="AC1" s="60"/>
      <c r="AD1" s="60"/>
      <c r="AE1" s="61"/>
      <c r="AF1" s="59">
        <v>44439</v>
      </c>
      <c r="AG1" s="60"/>
      <c r="AH1" s="60"/>
      <c r="AI1" s="61"/>
      <c r="AJ1" s="59">
        <v>44469</v>
      </c>
      <c r="AK1" s="60"/>
      <c r="AL1" s="60"/>
      <c r="AM1" s="61"/>
      <c r="AN1" s="59">
        <v>44500</v>
      </c>
      <c r="AO1" s="60"/>
      <c r="AP1" s="60"/>
      <c r="AQ1" s="61"/>
      <c r="AR1" s="59">
        <v>44530</v>
      </c>
      <c r="AS1" s="60"/>
      <c r="AT1" s="60"/>
      <c r="AU1" s="61"/>
      <c r="AV1" s="208">
        <v>44561</v>
      </c>
      <c r="AW1" s="60"/>
      <c r="AX1" s="60"/>
      <c r="BB1" s="62"/>
      <c r="BD1" s="61"/>
    </row>
    <row r="2" spans="1:59" ht="14">
      <c r="A2" s="5"/>
      <c r="C2" s="61"/>
      <c r="D2" s="62">
        <f>YEAR(D1)</f>
        <v>2021</v>
      </c>
      <c r="G2" s="61"/>
      <c r="H2" s="62">
        <f>YEAR(H1)</f>
        <v>2021</v>
      </c>
      <c r="K2" s="61"/>
      <c r="L2" s="62">
        <f>YEAR(L1)</f>
        <v>2021</v>
      </c>
      <c r="O2" s="61"/>
      <c r="P2" s="62">
        <v>2021</v>
      </c>
      <c r="S2" s="61"/>
      <c r="T2" s="62">
        <f>YEAR(T1)</f>
        <v>2021</v>
      </c>
      <c r="W2" s="61"/>
      <c r="X2" s="62">
        <f>YEAR(X1)</f>
        <v>2021</v>
      </c>
      <c r="AA2" s="61"/>
      <c r="AB2" s="62">
        <f>YEAR(AB1)</f>
        <v>2021</v>
      </c>
      <c r="AE2" s="61"/>
      <c r="AF2" s="62">
        <f>YEAR(AF1)</f>
        <v>2021</v>
      </c>
      <c r="AI2" s="61"/>
      <c r="AJ2" s="62">
        <f>YEAR(AJ1)</f>
        <v>2021</v>
      </c>
      <c r="AM2" s="61"/>
      <c r="AN2" s="62">
        <f>YEAR(AN1)</f>
        <v>2021</v>
      </c>
      <c r="AQ2" s="61"/>
      <c r="AR2" s="62">
        <f>YEAR(AR1)</f>
        <v>2021</v>
      </c>
      <c r="AU2" s="61"/>
      <c r="AV2" s="62">
        <f>YEAR(AV1)</f>
        <v>2021</v>
      </c>
      <c r="AY2" s="61"/>
      <c r="AZ2" s="65" t="s">
        <v>246</v>
      </c>
      <c r="BA2" s="65" t="s">
        <v>133</v>
      </c>
      <c r="BB2" s="209" t="s">
        <v>247</v>
      </c>
      <c r="BC2" s="65"/>
      <c r="BD2" s="61"/>
      <c r="BE2" s="67">
        <v>2021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L3" s="210"/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E4" s="74"/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C4" s="91">
        <f>AB5-AD4</f>
        <v>-2059.42</v>
      </c>
      <c r="AD4" s="1">
        <v>2180.6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70">
      <c r="A5" s="89" t="s">
        <v>136</v>
      </c>
      <c r="C5" s="61"/>
      <c r="D5" s="90">
        <v>54973.21</v>
      </c>
      <c r="E5" s="90"/>
      <c r="F5" s="124"/>
      <c r="G5" s="92"/>
      <c r="H5" s="90">
        <v>68427.399999999994</v>
      </c>
      <c r="I5" s="90"/>
      <c r="J5" s="91"/>
      <c r="K5" s="92"/>
      <c r="L5" s="90">
        <v>89060.55</v>
      </c>
      <c r="M5" s="90"/>
      <c r="N5" s="91"/>
      <c r="O5" s="92"/>
      <c r="P5" s="90">
        <v>66331.59</v>
      </c>
      <c r="Q5" s="90"/>
      <c r="R5" s="91"/>
      <c r="S5" s="92"/>
      <c r="T5" s="90">
        <v>73760.53</v>
      </c>
      <c r="U5" s="90"/>
      <c r="V5" s="91"/>
      <c r="W5" s="92"/>
      <c r="X5" s="211">
        <v>104308.14</v>
      </c>
      <c r="Y5" s="211">
        <v>104828.1</v>
      </c>
      <c r="Z5" s="212">
        <f>Y5-X5</f>
        <v>519.9600000000064</v>
      </c>
      <c r="AA5" s="91"/>
      <c r="AB5" s="90">
        <v>121.18</v>
      </c>
      <c r="AC5" s="90">
        <v>3072.93</v>
      </c>
      <c r="AD5" s="212">
        <f>AC5-AB5</f>
        <v>2951.75</v>
      </c>
      <c r="AE5" s="92"/>
      <c r="AF5" s="90">
        <v>115138.43</v>
      </c>
      <c r="AG5" s="90">
        <v>118642.21</v>
      </c>
      <c r="AH5" s="91"/>
      <c r="AI5" s="92"/>
      <c r="AJ5" s="90">
        <v>87766.74</v>
      </c>
      <c r="AK5" s="90">
        <v>89331.72</v>
      </c>
      <c r="AL5" s="90">
        <v>101335.08</v>
      </c>
      <c r="AM5" s="90"/>
      <c r="AN5" s="90">
        <v>-16121.01</v>
      </c>
      <c r="AO5" s="90">
        <v>-14917.58</v>
      </c>
      <c r="AP5" s="91"/>
      <c r="AQ5" s="90"/>
      <c r="AR5" s="90">
        <v>146538.99</v>
      </c>
      <c r="AS5" s="91"/>
      <c r="AT5" s="91"/>
      <c r="AU5" s="90"/>
      <c r="AV5" s="90">
        <v>-104815.03</v>
      </c>
      <c r="AW5" s="151" t="s">
        <v>248</v>
      </c>
      <c r="AX5" s="90"/>
      <c r="AY5" s="92"/>
      <c r="AZ5" s="93">
        <f t="shared" ref="AZ5:AZ7" si="0">SUMIF($D$3:$AY$3,AZ$2,$D5:$AY5)</f>
        <v>212461.15999999997</v>
      </c>
      <c r="BA5" s="92"/>
      <c r="BB5" s="93">
        <f t="shared" ref="BB5:BB7" si="1">SUMIF($D$4:$AY$4,BB$2,$D5:$AY5)</f>
        <v>456861.42000000004</v>
      </c>
      <c r="BC5" s="94"/>
      <c r="BD5" s="92"/>
      <c r="BE5" s="94">
        <f t="shared" ref="BE5:BE7" si="2">SUMIF($D$2:$AY$2,$BE$2,$D5:$AY5)</f>
        <v>685490.72</v>
      </c>
      <c r="BF5" s="94"/>
      <c r="BG5" s="94"/>
    </row>
    <row r="6" spans="1:59" ht="14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212" t="s">
        <v>249</v>
      </c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 t="s">
        <v>250</v>
      </c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4"/>
      <c r="BD6" s="92"/>
      <c r="BE6" s="94">
        <f t="shared" si="2"/>
        <v>0</v>
      </c>
      <c r="BF6" s="94"/>
      <c r="BG6" s="94"/>
    </row>
    <row r="7" spans="1:59" ht="42">
      <c r="A7" s="89" t="s">
        <v>143</v>
      </c>
      <c r="B7" s="99">
        <v>12500</v>
      </c>
      <c r="C7" s="61"/>
      <c r="D7" s="100">
        <f>'Mirek Revised PS Model 2021'!ColinSalary</f>
        <v>12500</v>
      </c>
      <c r="E7" s="91"/>
      <c r="F7" s="91"/>
      <c r="G7" s="92"/>
      <c r="H7" s="100">
        <f>'Mirek Revised PS Model 2021'!ColinSalary</f>
        <v>12500</v>
      </c>
      <c r="I7" s="91"/>
      <c r="J7" s="91"/>
      <c r="K7" s="92"/>
      <c r="L7" s="100">
        <f>'Mirek Revised PS Model 2021'!ColinSalary</f>
        <v>12500</v>
      </c>
      <c r="M7" s="91"/>
      <c r="N7" s="91"/>
      <c r="O7" s="92"/>
      <c r="P7" s="100">
        <f>'Mirek Revised PS Model 2021'!ColinSalary</f>
        <v>12500</v>
      </c>
      <c r="Q7" s="91"/>
      <c r="R7" s="91"/>
      <c r="S7" s="92"/>
      <c r="T7" s="100">
        <f>'Mirek Revised PS Model 2021'!ColinSalary</f>
        <v>12500</v>
      </c>
      <c r="U7" s="91"/>
      <c r="V7" s="91"/>
      <c r="W7" s="92"/>
      <c r="X7" s="100">
        <f>'Mirek Revised PS Model 2021'!ColinSalary</f>
        <v>12500</v>
      </c>
      <c r="Y7" s="91"/>
      <c r="Z7" s="91"/>
      <c r="AA7" s="92"/>
      <c r="AB7" s="100">
        <f>'Mirek Revised PS Model 2021'!ColinSalary</f>
        <v>12500</v>
      </c>
      <c r="AC7" s="91"/>
      <c r="AD7" s="91" t="s">
        <v>251</v>
      </c>
      <c r="AE7" s="92" t="s">
        <v>252</v>
      </c>
      <c r="AF7" s="100">
        <f>'Mirek Revised PS Model 2021'!ColinSalary</f>
        <v>12500</v>
      </c>
      <c r="AG7" s="91"/>
      <c r="AH7" s="91"/>
      <c r="AI7" s="92"/>
      <c r="AJ7" s="100">
        <f>'Mirek Revised PS Model 2021'!ColinSalary</f>
        <v>12500</v>
      </c>
      <c r="AK7" s="91"/>
      <c r="AL7" s="91"/>
      <c r="AM7" s="92"/>
      <c r="AN7" s="100">
        <f>'Mirek Revised PS Model 2021'!ColinSalary</f>
        <v>12500</v>
      </c>
      <c r="AO7" s="91"/>
      <c r="AP7" s="91"/>
      <c r="AQ7" s="92"/>
      <c r="AR7" s="100">
        <f>'Mirek Revised PS Model 2021'!ColinSalary</f>
        <v>12500</v>
      </c>
      <c r="AS7" s="91"/>
      <c r="AT7" s="91"/>
      <c r="AU7" s="92"/>
      <c r="AV7" s="100">
        <f>'Mirek Revised PS Model 2021'!ColinSalary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SUM(AZ29:AZ37)</f>
        <v>75103.34</v>
      </c>
      <c r="AC8" s="91"/>
      <c r="AD8" s="90">
        <v>2303.0300000000002</v>
      </c>
      <c r="AE8" s="92">
        <f>AD8-AB5</f>
        <v>2181.8500000000004</v>
      </c>
      <c r="AF8" s="103">
        <v>0</v>
      </c>
      <c r="AG8" s="91"/>
      <c r="AH8" s="91"/>
      <c r="AI8" s="92"/>
      <c r="AJ8" s="103">
        <v>0</v>
      </c>
      <c r="AK8" s="91"/>
      <c r="AL8" s="91"/>
      <c r="AM8" s="92"/>
      <c r="AN8" s="103">
        <v>87434.97</v>
      </c>
      <c r="AO8" s="91"/>
      <c r="AP8" s="91"/>
      <c r="AQ8" s="92"/>
      <c r="AR8" s="103"/>
      <c r="AS8" s="91"/>
      <c r="AT8" s="91"/>
      <c r="AU8" s="92"/>
      <c r="AV8" s="103">
        <v>249024.04</v>
      </c>
      <c r="AW8" s="103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28">
      <c r="A9" s="89" t="s">
        <v>145</v>
      </c>
      <c r="B9" s="101"/>
      <c r="C9" s="102"/>
      <c r="D9" s="104">
        <f>SUM(F16:F23)</f>
        <v>2161.7600000000002</v>
      </c>
      <c r="E9" s="91"/>
      <c r="F9" s="91"/>
      <c r="G9" s="92"/>
      <c r="H9" s="104">
        <f>SUM(J16:J23)</f>
        <v>679.91</v>
      </c>
      <c r="I9" s="91"/>
      <c r="J9" s="91"/>
      <c r="K9" s="92"/>
      <c r="L9" s="104">
        <f>SUM(N16:N23)</f>
        <v>1107.3399999999999</v>
      </c>
      <c r="M9" s="91"/>
      <c r="N9" s="91"/>
      <c r="O9" s="92"/>
      <c r="P9" s="104">
        <f>SUM(R16:R23)</f>
        <v>1682.78</v>
      </c>
      <c r="Q9" s="91"/>
      <c r="R9" s="91"/>
      <c r="S9" s="92"/>
      <c r="T9" s="104">
        <f>SUM(V16:V23)</f>
        <v>999.09</v>
      </c>
      <c r="U9" s="91"/>
      <c r="V9" s="91"/>
      <c r="W9" s="92"/>
      <c r="X9" s="104">
        <f>SUM(Z16:Z23)</f>
        <v>1503.9</v>
      </c>
      <c r="Y9" s="91"/>
      <c r="Z9" s="91"/>
      <c r="AA9" s="92"/>
      <c r="AB9" s="104">
        <f>SUM(AD16:AD23)</f>
        <v>2735.99</v>
      </c>
      <c r="AC9" s="91"/>
      <c r="AD9" s="91" t="s">
        <v>253</v>
      </c>
      <c r="AE9" s="92"/>
      <c r="AF9" s="104">
        <f>SUM(AH16:AH23)</f>
        <v>4398.1000000000004</v>
      </c>
      <c r="AG9" s="91"/>
      <c r="AH9" s="91"/>
      <c r="AI9" s="92"/>
      <c r="AJ9" s="104">
        <f>SUM(AL16:AL23)</f>
        <v>13727.7</v>
      </c>
      <c r="AK9" s="91"/>
      <c r="AL9" s="91"/>
      <c r="AM9" s="92"/>
      <c r="AN9" s="104">
        <f>SUM(AP16:AP23)</f>
        <v>3358.77</v>
      </c>
      <c r="AO9" s="91"/>
      <c r="AP9" s="91"/>
      <c r="AQ9" s="92"/>
      <c r="AR9" s="104">
        <f>SUM(AT16:AT23)</f>
        <v>3368.47</v>
      </c>
      <c r="AS9" s="91"/>
      <c r="AT9" s="91"/>
      <c r="AU9" s="92"/>
      <c r="AV9" s="104">
        <f>SUM(AX16:AX23)</f>
        <v>5077.42</v>
      </c>
      <c r="AW9" s="91"/>
      <c r="AX9" s="91"/>
      <c r="AY9" s="92"/>
      <c r="AZ9" s="93">
        <f t="shared" ref="AZ9:AZ13" si="3">SUMIF($D$3:$AY$3,AZ$2,$D9:$AY9)</f>
        <v>3949.01</v>
      </c>
      <c r="BA9" s="92"/>
      <c r="BB9" s="93">
        <f t="shared" ref="BB9:BB13" si="4">SUMIF($D$4:$AY$4,BB$2,$D9:$AY9)</f>
        <v>8134.7800000000007</v>
      </c>
      <c r="BC9" s="94"/>
      <c r="BD9" s="92"/>
      <c r="BE9" s="94">
        <f t="shared" ref="BE9:BE13" si="5">SUMIF($D$2:$AY$2,$BE$2,$D9:$AY9)</f>
        <v>40801.229999999996</v>
      </c>
      <c r="BF9" s="94"/>
      <c r="BG9" s="94"/>
    </row>
    <row r="10" spans="1:59" ht="13">
      <c r="A10" s="89" t="s">
        <v>146</v>
      </c>
      <c r="C10" s="61"/>
      <c r="D10" s="104">
        <f>D5-D6-D7+D9+D8</f>
        <v>44634.97</v>
      </c>
      <c r="E10" s="91"/>
      <c r="F10" s="91"/>
      <c r="G10" s="92"/>
      <c r="H10" s="104">
        <f>H5-H6-H7+H9+H8</f>
        <v>56607.31</v>
      </c>
      <c r="I10" s="91"/>
      <c r="J10" s="91"/>
      <c r="K10" s="92"/>
      <c r="L10" s="104">
        <f>L5-L6-L7+L9+L8</f>
        <v>77667.89</v>
      </c>
      <c r="M10" s="91"/>
      <c r="N10" s="91"/>
      <c r="O10" s="92"/>
      <c r="P10" s="104">
        <f>P5-P6-P7+P9+P8</f>
        <v>55514.369999999995</v>
      </c>
      <c r="Q10" s="91"/>
      <c r="R10" s="91"/>
      <c r="S10" s="92"/>
      <c r="T10" s="104">
        <f>T5-T6-T7+T9+T8</f>
        <v>62259.619999999995</v>
      </c>
      <c r="U10" s="91"/>
      <c r="V10" s="91"/>
      <c r="W10" s="92"/>
      <c r="X10" s="104">
        <f>X5-X6-X7+X9+X8</f>
        <v>93312.04</v>
      </c>
      <c r="Y10" s="91"/>
      <c r="Z10" s="91"/>
      <c r="AA10" s="92"/>
      <c r="AB10" s="104">
        <f>AB5-AB6-AB7+AB9+AB8</f>
        <v>65460.509999999995</v>
      </c>
      <c r="AC10" s="91"/>
      <c r="AD10" s="91">
        <v>2613.56</v>
      </c>
      <c r="AE10" s="92">
        <f>AD16-AD10</f>
        <v>122.42999999999984</v>
      </c>
      <c r="AF10" s="104">
        <f>AF5-AF6-AF7+AF9+AF8</f>
        <v>107036.53</v>
      </c>
      <c r="AG10" s="91"/>
      <c r="AH10" s="91"/>
      <c r="AI10" s="92"/>
      <c r="AJ10" s="104">
        <f>AJ5-AJ6-AJ7+AJ9+AJ8</f>
        <v>88994.44</v>
      </c>
      <c r="AK10" s="91"/>
      <c r="AL10" s="91"/>
      <c r="AM10" s="92"/>
      <c r="AN10" s="104">
        <f>AN5-AN6-AN7+AN9+AN8</f>
        <v>62172.729999999996</v>
      </c>
      <c r="AO10" s="91"/>
      <c r="AP10" s="91"/>
      <c r="AQ10" s="92"/>
      <c r="AR10" s="104">
        <f>AR5-AR6-AR7+AR9+AR8</f>
        <v>137407.46</v>
      </c>
      <c r="AS10" s="91"/>
      <c r="AT10" s="91"/>
      <c r="AU10" s="92"/>
      <c r="AV10" s="104">
        <f>AV5-AV6-AV7+AV9+AV8</f>
        <v>136786.43</v>
      </c>
      <c r="AW10" s="91"/>
      <c r="AX10" s="91"/>
      <c r="AY10" s="92"/>
      <c r="AZ10" s="93">
        <f t="shared" si="3"/>
        <v>178910.16999999998</v>
      </c>
      <c r="BA10" s="92"/>
      <c r="BB10" s="93">
        <f t="shared" si="4"/>
        <v>389996.19999999995</v>
      </c>
      <c r="BC10" s="94"/>
      <c r="BD10" s="92"/>
      <c r="BE10" s="94">
        <f t="shared" si="5"/>
        <v>987854.29999999981</v>
      </c>
      <c r="BF10" s="94"/>
      <c r="BG10" s="94"/>
    </row>
    <row r="11" spans="1:59" ht="13">
      <c r="A11" s="89" t="s">
        <v>147</v>
      </c>
      <c r="C11" s="61"/>
      <c r="D11" s="213">
        <v>22500</v>
      </c>
      <c r="E11" s="213">
        <v>0</v>
      </c>
      <c r="F11" s="91"/>
      <c r="G11" s="92"/>
      <c r="H11" s="213">
        <v>25000</v>
      </c>
      <c r="I11" s="213">
        <v>12500</v>
      </c>
      <c r="J11" s="91"/>
      <c r="K11" s="92"/>
      <c r="L11" s="213">
        <v>25000</v>
      </c>
      <c r="M11" s="213">
        <v>12903</v>
      </c>
      <c r="N11" s="91"/>
      <c r="O11" s="92"/>
      <c r="P11" s="213">
        <v>62500</v>
      </c>
      <c r="Q11" s="213">
        <v>12500</v>
      </c>
      <c r="R11" s="91"/>
      <c r="S11" s="92"/>
      <c r="T11" s="213">
        <v>92500</v>
      </c>
      <c r="U11" s="213">
        <v>0</v>
      </c>
      <c r="V11" s="91"/>
      <c r="W11" s="92"/>
      <c r="X11" s="213">
        <v>37500</v>
      </c>
      <c r="Y11" s="213">
        <v>0</v>
      </c>
      <c r="Z11" s="91"/>
      <c r="AA11" s="92"/>
      <c r="AB11" s="213">
        <v>17316</v>
      </c>
      <c r="AC11" s="213">
        <v>0</v>
      </c>
      <c r="AD11" s="91"/>
      <c r="AE11" s="92"/>
      <c r="AF11" s="213">
        <v>25000</v>
      </c>
      <c r="AG11" s="213">
        <v>0</v>
      </c>
      <c r="AH11" s="91"/>
      <c r="AI11" s="92"/>
      <c r="AJ11" s="90">
        <v>0</v>
      </c>
      <c r="AK11" s="91"/>
      <c r="AL11" s="91"/>
      <c r="AM11" s="92"/>
      <c r="AN11" s="213">
        <v>189000</v>
      </c>
      <c r="AO11" s="213">
        <v>0</v>
      </c>
      <c r="AP11" s="91"/>
      <c r="AQ11" s="92"/>
      <c r="AR11" s="213">
        <v>12500</v>
      </c>
      <c r="AS11" s="177">
        <v>0</v>
      </c>
      <c r="AT11" s="91"/>
      <c r="AU11" s="92"/>
      <c r="AV11" s="213">
        <v>62500</v>
      </c>
      <c r="AW11" s="213">
        <v>0</v>
      </c>
      <c r="AX11" s="91"/>
      <c r="AY11" s="92"/>
      <c r="AZ11" s="93">
        <f t="shared" si="3"/>
        <v>72500</v>
      </c>
      <c r="BA11" s="92"/>
      <c r="BB11" s="93">
        <f t="shared" si="4"/>
        <v>265000</v>
      </c>
      <c r="BC11" s="94"/>
      <c r="BD11" s="92"/>
      <c r="BE11" s="94">
        <f t="shared" si="5"/>
        <v>571316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10000</v>
      </c>
      <c r="E13" s="91"/>
      <c r="F13" s="91"/>
      <c r="G13" s="92"/>
      <c r="H13" s="100">
        <f>H11+H12-H7</f>
        <v>12500</v>
      </c>
      <c r="I13" s="91"/>
      <c r="J13" s="91"/>
      <c r="K13" s="92"/>
      <c r="L13" s="100">
        <f>L11+L12-L7</f>
        <v>12500</v>
      </c>
      <c r="M13" s="91"/>
      <c r="N13" s="91"/>
      <c r="O13" s="92"/>
      <c r="P13" s="100">
        <f>P11+P12-P7</f>
        <v>50000</v>
      </c>
      <c r="Q13" s="91"/>
      <c r="R13" s="91"/>
      <c r="S13" s="92"/>
      <c r="T13" s="100">
        <f>T11+T12-T7</f>
        <v>80000</v>
      </c>
      <c r="U13" s="91"/>
      <c r="V13" s="91"/>
      <c r="W13" s="92"/>
      <c r="X13" s="100">
        <f>X11+X12-X7</f>
        <v>25000</v>
      </c>
      <c r="Y13" s="91"/>
      <c r="Z13" s="91"/>
      <c r="AA13" s="92"/>
      <c r="AB13" s="100">
        <f>AB11+AB12-AB7</f>
        <v>4816</v>
      </c>
      <c r="AC13" s="91"/>
      <c r="AD13" s="91"/>
      <c r="AE13" s="92"/>
      <c r="AF13" s="100">
        <f>AF11+AF12-AF7</f>
        <v>12500</v>
      </c>
      <c r="AG13" s="91"/>
      <c r="AH13" s="91"/>
      <c r="AI13" s="92"/>
      <c r="AJ13" s="100">
        <f>AJ11+AJ12-AJ7</f>
        <v>-12500</v>
      </c>
      <c r="AK13" s="91"/>
      <c r="AL13" s="91"/>
      <c r="AM13" s="92"/>
      <c r="AN13" s="100">
        <f>AN11+AN12-AN7</f>
        <v>176500</v>
      </c>
      <c r="AO13" s="91"/>
      <c r="AP13" s="91"/>
      <c r="AQ13" s="92"/>
      <c r="AR13" s="100">
        <f>AR11+AR12-AR7</f>
        <v>0</v>
      </c>
      <c r="AS13" s="91"/>
      <c r="AT13" s="91"/>
      <c r="AU13" s="92"/>
      <c r="AV13" s="100">
        <f>AV11+AV12-AV7</f>
        <v>50000</v>
      </c>
      <c r="AW13" s="91"/>
      <c r="AX13" s="91"/>
      <c r="AY13" s="92"/>
      <c r="AZ13" s="93">
        <f t="shared" si="3"/>
        <v>35000</v>
      </c>
      <c r="BA13" s="93">
        <f>SUMIF($D$3:$AY$3,BA$2,$D13:$AY13)</f>
        <v>155000</v>
      </c>
      <c r="BB13" s="93">
        <f t="shared" si="4"/>
        <v>190000</v>
      </c>
      <c r="BC13" s="94"/>
      <c r="BD13" s="92"/>
      <c r="BE13" s="94">
        <f t="shared" si="5"/>
        <v>421316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124">
        <v>894.32</v>
      </c>
      <c r="AI14" s="92"/>
      <c r="AJ14" s="100"/>
      <c r="AK14" s="91"/>
      <c r="AL14" s="124">
        <v>1724.34</v>
      </c>
      <c r="AM14" s="92"/>
      <c r="AN14" s="100"/>
      <c r="AO14" s="91"/>
      <c r="AP14" s="124">
        <v>2155.34</v>
      </c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93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121"/>
      <c r="C16" s="121">
        <f>'Mirek Revised PS Model 2020'!BG26</f>
        <v>100406.85328707076</v>
      </c>
      <c r="D16" s="214">
        <v>300</v>
      </c>
      <c r="E16" s="123">
        <f t="shared" ref="E16:E25" si="6">D$10*D16/D$26</f>
        <v>25775.728585178054</v>
      </c>
      <c r="F16" s="124">
        <v>2161.7600000000002</v>
      </c>
      <c r="G16" s="123">
        <f t="shared" ref="G16:G25" si="7">E16-F16</f>
        <v>23613.968585178052</v>
      </c>
      <c r="H16" s="214">
        <v>300</v>
      </c>
      <c r="I16" s="123">
        <f t="shared" ref="I16:I25" si="8">H$10*H16/H$26</f>
        <v>32689.495668912416</v>
      </c>
      <c r="J16" s="124">
        <v>679.91</v>
      </c>
      <c r="K16" s="123">
        <f t="shared" ref="K16:K25" si="9">I16-J16</f>
        <v>32009.585668912416</v>
      </c>
      <c r="L16" s="214">
        <v>300</v>
      </c>
      <c r="M16" s="123">
        <f t="shared" ref="M16:M25" si="10">L$10*L16/L$26</f>
        <v>45068.408123791101</v>
      </c>
      <c r="N16" s="124">
        <v>1107.3399999999999</v>
      </c>
      <c r="O16" s="123">
        <f t="shared" ref="O16:O25" si="11">M16-N16</f>
        <v>43961.068123791105</v>
      </c>
      <c r="P16" s="214">
        <v>300</v>
      </c>
      <c r="Q16" s="123">
        <f t="shared" ref="Q16:Q25" si="12">P$10*P16/P$26</f>
        <v>32213.367504835587</v>
      </c>
      <c r="R16" s="124">
        <v>1682.78</v>
      </c>
      <c r="S16" s="123">
        <f t="shared" ref="S16:S25" si="13">Q16-R16</f>
        <v>30530.587504835588</v>
      </c>
      <c r="T16" s="214">
        <v>300</v>
      </c>
      <c r="U16" s="123">
        <f t="shared" ref="U16:U25" si="14">T$10*T16/T$26</f>
        <v>36127.439071566732</v>
      </c>
      <c r="V16" s="124">
        <v>999.09</v>
      </c>
      <c r="W16" s="123">
        <f t="shared" ref="W16:W25" si="15">U16-V16</f>
        <v>35128.349071566736</v>
      </c>
      <c r="X16" s="214">
        <v>300</v>
      </c>
      <c r="Y16" s="123">
        <f t="shared" ref="Y16:Y25" si="16">X$10*X16/X$26</f>
        <v>54146.251450676973</v>
      </c>
      <c r="Z16" s="124">
        <v>1503.9</v>
      </c>
      <c r="AA16" s="123">
        <f t="shared" ref="AA16:AA25" si="17">Y16-Z16</f>
        <v>52642.351450676972</v>
      </c>
      <c r="AB16" s="214">
        <v>300</v>
      </c>
      <c r="AC16" s="123">
        <f t="shared" ref="AC16:AC25" si="18">AB$10*AB16/AB$26</f>
        <v>38355.767578125</v>
      </c>
      <c r="AD16" s="215">
        <v>2735.99</v>
      </c>
      <c r="AE16" s="123">
        <f t="shared" ref="AE16:AE25" si="19">AC16-AD16</f>
        <v>35619.777578125002</v>
      </c>
      <c r="AF16" s="214">
        <v>300</v>
      </c>
      <c r="AG16" s="123">
        <f t="shared" ref="AG16:AG25" si="20">AF$10*AF16/AF$26</f>
        <v>62716.716796875</v>
      </c>
      <c r="AH16" s="124">
        <v>4398.1000000000004</v>
      </c>
      <c r="AI16" s="123">
        <f t="shared" ref="AI16:AI25" si="21">AG16-AH16</f>
        <v>58318.616796875001</v>
      </c>
      <c r="AJ16" s="214">
        <v>300</v>
      </c>
      <c r="AK16" s="123">
        <f t="shared" ref="AK16:AK25" si="22">AJ$10*AJ16/AJ$26</f>
        <v>52145.1796875</v>
      </c>
      <c r="AL16" s="215">
        <v>13727.7</v>
      </c>
      <c r="AM16" s="123">
        <f t="shared" ref="AM16:AM25" si="23">AK16-AL16</f>
        <v>38417.479687500003</v>
      </c>
      <c r="AN16" s="214">
        <v>300</v>
      </c>
      <c r="AO16" s="123">
        <f t="shared" ref="AO16:AO25" si="24">AN$10*AN16/AN$26</f>
        <v>36429.333984375</v>
      </c>
      <c r="AP16" s="124">
        <v>3358.77</v>
      </c>
      <c r="AQ16" s="123">
        <f t="shared" ref="AQ16:AQ25" si="25">AO16-AP16</f>
        <v>33070.563984375003</v>
      </c>
      <c r="AR16" s="214">
        <v>300</v>
      </c>
      <c r="AS16" s="123">
        <f t="shared" ref="AS16:AS25" si="26">AR$10*AR16/AR$26</f>
        <v>80512.18359375</v>
      </c>
      <c r="AT16" s="124">
        <v>3368.47</v>
      </c>
      <c r="AU16" s="123">
        <f t="shared" ref="AU16:AU25" si="27">AS16-AT16</f>
        <v>77143.713593749999</v>
      </c>
      <c r="AV16" s="214">
        <v>300</v>
      </c>
      <c r="AW16" s="123">
        <f t="shared" ref="AW16:AW25" si="28">AV$10*AV16/AV$26</f>
        <v>80148.298828125</v>
      </c>
      <c r="AX16" s="124">
        <v>5077.42</v>
      </c>
      <c r="AY16" s="126">
        <f t="shared" ref="AY16:AY25" si="29">AW16-AX16</f>
        <v>75070.878828125002</v>
      </c>
      <c r="AZ16" s="127">
        <f t="shared" ref="AZ16:AZ25" si="30">IF($AV$3="1Q",AY16,0)+IF($AR$3="1Q",AU16,0)+IF($AN$3="1Q",AQ16,0)+IF($AJ$3="1Q",AM16,0)+IF($AF$3="1Q",AI16,0)+IF($AB$3="1Q",AE16,0)+IF($X$3="1Q",AA16,0)+IF($T$3="1Q",W16,0)+IF($P$3="1Q",S16,0)+IF($L$3="1Q",O16,0)+IF($H$3="1Q",K16,0)+IF($D$3="1Q",G16,0)</f>
        <v>99584.622377881577</v>
      </c>
      <c r="BA16" s="128">
        <f t="shared" ref="BA16:BA25" si="31">AZ16+$C16</f>
        <v>199991.47566495233</v>
      </c>
      <c r="BB16" s="127">
        <f t="shared" ref="BB16:BB25" si="32">IF($AV$4="1H",AY16,0)+IF($AR$4="1H",AU16,0)+IF($AN$4="1H",AQ16,0)+IF($AJ$4="1H",AM16,0)+IF($AF$4="1H",AI16,0)+IF($AB$4="1H",AE16,0)+IF($X$4="1H",AA16,0)+IF($T$4="1H",W16,0)+IF($P$4="1H",S16,0)+IF($L$4="1H",O16,0)+IF($H$4="1H",K16,0)+IF($D$4="1H",G16,0)</f>
        <v>217885.91040496089</v>
      </c>
      <c r="BC16" s="127"/>
      <c r="BD16" s="128">
        <f t="shared" ref="BD16:BD25" si="33">BB16+$C16</f>
        <v>318292.76369203161</v>
      </c>
      <c r="BE16" s="127">
        <f t="shared" ref="BE16:BE25" si="34">AY16+AU16+AQ16+AM16+AI16+AE16+AA16+W16+S16+O16+K16+G16</f>
        <v>535526.94087371079</v>
      </c>
      <c r="BF16" s="127"/>
      <c r="BG16" s="91">
        <f t="shared" ref="BG16:BG25" si="35">BE16+C16</f>
        <v>635933.79416078154</v>
      </c>
    </row>
    <row r="17" spans="1:59" ht="13">
      <c r="A17" s="89" t="s">
        <v>209</v>
      </c>
      <c r="B17" s="121"/>
      <c r="C17" s="121">
        <f>'Mirek Revised PS Model 2020'!BG27</f>
        <v>-769.46207899117144</v>
      </c>
      <c r="D17" s="214">
        <v>100</v>
      </c>
      <c r="E17" s="123">
        <f t="shared" si="6"/>
        <v>8591.9095283926854</v>
      </c>
      <c r="F17" s="124"/>
      <c r="G17" s="123">
        <f t="shared" si="7"/>
        <v>8591.9095283926854</v>
      </c>
      <c r="H17" s="214">
        <v>100</v>
      </c>
      <c r="I17" s="123">
        <f t="shared" si="8"/>
        <v>10896.498556304139</v>
      </c>
      <c r="J17" s="124"/>
      <c r="K17" s="123">
        <f t="shared" si="9"/>
        <v>10896.498556304139</v>
      </c>
      <c r="L17" s="214">
        <v>100</v>
      </c>
      <c r="M17" s="123">
        <f t="shared" si="10"/>
        <v>15022.802707930368</v>
      </c>
      <c r="N17" s="124"/>
      <c r="O17" s="123">
        <f t="shared" si="11"/>
        <v>15022.802707930368</v>
      </c>
      <c r="P17" s="214">
        <v>100</v>
      </c>
      <c r="Q17" s="123">
        <f t="shared" si="12"/>
        <v>10737.78916827853</v>
      </c>
      <c r="R17" s="124"/>
      <c r="S17" s="123">
        <f t="shared" si="13"/>
        <v>10737.78916827853</v>
      </c>
      <c r="T17" s="214">
        <v>100</v>
      </c>
      <c r="U17" s="123">
        <f t="shared" si="14"/>
        <v>12042.479690522243</v>
      </c>
      <c r="V17" s="124"/>
      <c r="W17" s="123">
        <f t="shared" si="15"/>
        <v>12042.479690522243</v>
      </c>
      <c r="X17" s="214">
        <v>100</v>
      </c>
      <c r="Y17" s="123">
        <f t="shared" si="16"/>
        <v>18048.750483558993</v>
      </c>
      <c r="Z17" s="124"/>
      <c r="AA17" s="123">
        <f t="shared" si="17"/>
        <v>18048.750483558993</v>
      </c>
      <c r="AB17" s="214">
        <v>100</v>
      </c>
      <c r="AC17" s="123">
        <f t="shared" si="18"/>
        <v>12785.255859374998</v>
      </c>
      <c r="AD17" s="124"/>
      <c r="AE17" s="123">
        <f t="shared" si="19"/>
        <v>12785.255859374998</v>
      </c>
      <c r="AF17" s="214">
        <v>100</v>
      </c>
      <c r="AG17" s="123">
        <f t="shared" si="20"/>
        <v>20905.572265625</v>
      </c>
      <c r="AH17" s="124"/>
      <c r="AI17" s="123">
        <f t="shared" si="21"/>
        <v>20905.572265625</v>
      </c>
      <c r="AJ17" s="214">
        <v>100</v>
      </c>
      <c r="AK17" s="123">
        <f t="shared" si="22"/>
        <v>17381.7265625</v>
      </c>
      <c r="AL17" s="124"/>
      <c r="AM17" s="123">
        <f t="shared" si="23"/>
        <v>17381.7265625</v>
      </c>
      <c r="AN17" s="214">
        <v>100</v>
      </c>
      <c r="AO17" s="123">
        <f t="shared" si="24"/>
        <v>12143.111328125</v>
      </c>
      <c r="AP17" s="124"/>
      <c r="AQ17" s="123">
        <f t="shared" si="25"/>
        <v>12143.111328125</v>
      </c>
      <c r="AR17" s="214">
        <v>100</v>
      </c>
      <c r="AS17" s="123">
        <f t="shared" si="26"/>
        <v>26837.39453125</v>
      </c>
      <c r="AT17" s="124"/>
      <c r="AU17" s="123">
        <f t="shared" si="27"/>
        <v>26837.39453125</v>
      </c>
      <c r="AV17" s="214">
        <v>100</v>
      </c>
      <c r="AW17" s="123">
        <f t="shared" si="28"/>
        <v>26716.099609375</v>
      </c>
      <c r="AX17" s="124"/>
      <c r="AY17" s="126">
        <f t="shared" si="29"/>
        <v>26716.099609375</v>
      </c>
      <c r="AZ17" s="127">
        <f t="shared" si="30"/>
        <v>34511.210792627193</v>
      </c>
      <c r="BA17" s="128">
        <f t="shared" si="31"/>
        <v>33741.748713636021</v>
      </c>
      <c r="BB17" s="127">
        <f t="shared" si="32"/>
        <v>75340.230134986967</v>
      </c>
      <c r="BC17" s="127"/>
      <c r="BD17" s="128">
        <f t="shared" si="33"/>
        <v>74570.768055995795</v>
      </c>
      <c r="BE17" s="127">
        <f t="shared" si="34"/>
        <v>192109.39029123695</v>
      </c>
      <c r="BF17" s="127"/>
      <c r="BG17" s="91">
        <f t="shared" si="35"/>
        <v>191339.92821224578</v>
      </c>
    </row>
    <row r="18" spans="1:59" ht="13">
      <c r="A18" s="89" t="s">
        <v>61</v>
      </c>
      <c r="B18" s="121"/>
      <c r="C18" s="121">
        <f>'Mirek Revised PS Model 2020'!BG28</f>
        <v>-230.83686825574841</v>
      </c>
      <c r="D18" s="53">
        <v>50</v>
      </c>
      <c r="E18" s="123">
        <f t="shared" si="6"/>
        <v>4295.9547641963427</v>
      </c>
      <c r="F18" s="124"/>
      <c r="G18" s="126">
        <f t="shared" si="7"/>
        <v>4295.9547641963427</v>
      </c>
      <c r="H18" s="53">
        <v>50</v>
      </c>
      <c r="I18" s="123">
        <f t="shared" si="8"/>
        <v>5448.2492781520696</v>
      </c>
      <c r="J18" s="124"/>
      <c r="K18" s="126">
        <f t="shared" si="9"/>
        <v>5448.2492781520696</v>
      </c>
      <c r="L18" s="53">
        <v>50</v>
      </c>
      <c r="M18" s="123">
        <f t="shared" si="10"/>
        <v>7511.4013539651842</v>
      </c>
      <c r="N18" s="124"/>
      <c r="O18" s="126">
        <f t="shared" si="11"/>
        <v>7511.4013539651842</v>
      </c>
      <c r="P18" s="53">
        <v>50</v>
      </c>
      <c r="Q18" s="123">
        <f t="shared" si="12"/>
        <v>5368.8945841392651</v>
      </c>
      <c r="R18" s="124"/>
      <c r="S18" s="126">
        <f t="shared" si="13"/>
        <v>5368.8945841392651</v>
      </c>
      <c r="T18" s="53">
        <v>50</v>
      </c>
      <c r="U18" s="123">
        <f t="shared" si="14"/>
        <v>6021.2398452611214</v>
      </c>
      <c r="V18" s="124"/>
      <c r="W18" s="126">
        <f t="shared" si="15"/>
        <v>6021.2398452611214</v>
      </c>
      <c r="X18" s="53">
        <v>50</v>
      </c>
      <c r="Y18" s="123">
        <f t="shared" si="16"/>
        <v>9024.3752417794967</v>
      </c>
      <c r="Z18" s="124"/>
      <c r="AA18" s="126">
        <f t="shared" si="17"/>
        <v>9024.3752417794967</v>
      </c>
      <c r="AB18" s="53">
        <v>50</v>
      </c>
      <c r="AC18" s="123">
        <f t="shared" si="18"/>
        <v>6392.6279296874991</v>
      </c>
      <c r="AD18" s="124"/>
      <c r="AE18" s="126">
        <f t="shared" si="19"/>
        <v>6392.6279296874991</v>
      </c>
      <c r="AF18" s="53">
        <v>50</v>
      </c>
      <c r="AG18" s="123">
        <f t="shared" si="20"/>
        <v>10452.7861328125</v>
      </c>
      <c r="AH18" s="124"/>
      <c r="AI18" s="126">
        <f t="shared" si="21"/>
        <v>10452.7861328125</v>
      </c>
      <c r="AJ18" s="53">
        <v>50</v>
      </c>
      <c r="AK18" s="123">
        <f t="shared" si="22"/>
        <v>8690.86328125</v>
      </c>
      <c r="AL18" s="124"/>
      <c r="AM18" s="126">
        <f t="shared" si="23"/>
        <v>8690.86328125</v>
      </c>
      <c r="AN18" s="53">
        <v>50</v>
      </c>
      <c r="AO18" s="123">
        <f t="shared" si="24"/>
        <v>6071.5556640625</v>
      </c>
      <c r="AP18" s="124"/>
      <c r="AQ18" s="126">
        <f t="shared" si="25"/>
        <v>6071.5556640625</v>
      </c>
      <c r="AR18" s="53">
        <v>50</v>
      </c>
      <c r="AS18" s="123">
        <f t="shared" si="26"/>
        <v>13418.697265625</v>
      </c>
      <c r="AT18" s="124"/>
      <c r="AU18" s="126">
        <f t="shared" si="27"/>
        <v>13418.697265625</v>
      </c>
      <c r="AV18" s="53">
        <v>50</v>
      </c>
      <c r="AW18" s="123">
        <f t="shared" si="28"/>
        <v>13358.0498046875</v>
      </c>
      <c r="AX18" s="124"/>
      <c r="AY18" s="126">
        <f t="shared" si="29"/>
        <v>13358.0498046875</v>
      </c>
      <c r="AZ18" s="127">
        <f t="shared" si="30"/>
        <v>17255.605396313596</v>
      </c>
      <c r="BA18" s="128">
        <f t="shared" si="31"/>
        <v>17024.768528057848</v>
      </c>
      <c r="BB18" s="127">
        <f t="shared" si="32"/>
        <v>37670.115067493483</v>
      </c>
      <c r="BC18" s="127"/>
      <c r="BD18" s="128">
        <f t="shared" si="33"/>
        <v>37439.278199237735</v>
      </c>
      <c r="BE18" s="127">
        <f t="shared" si="34"/>
        <v>96054.695145618476</v>
      </c>
      <c r="BF18" s="127"/>
      <c r="BG18" s="91">
        <f t="shared" si="35"/>
        <v>95823.858277362728</v>
      </c>
    </row>
    <row r="19" spans="1:59" ht="13">
      <c r="A19" s="89" t="s">
        <v>65</v>
      </c>
      <c r="B19" s="121"/>
      <c r="C19" s="121">
        <f>'Mirek Revised PS Model 2020'!BG29</f>
        <v>-230.83686825574841</v>
      </c>
      <c r="D19" s="53">
        <v>50</v>
      </c>
      <c r="E19" s="123">
        <f t="shared" si="6"/>
        <v>4295.9547641963427</v>
      </c>
      <c r="F19" s="124"/>
      <c r="G19" s="126">
        <f t="shared" si="7"/>
        <v>4295.9547641963427</v>
      </c>
      <c r="H19" s="53">
        <v>50</v>
      </c>
      <c r="I19" s="123">
        <f t="shared" si="8"/>
        <v>5448.2492781520696</v>
      </c>
      <c r="J19" s="124"/>
      <c r="K19" s="126">
        <f t="shared" si="9"/>
        <v>5448.2492781520696</v>
      </c>
      <c r="L19" s="53">
        <v>50</v>
      </c>
      <c r="M19" s="123">
        <f t="shared" si="10"/>
        <v>7511.4013539651842</v>
      </c>
      <c r="N19" s="124"/>
      <c r="O19" s="126">
        <f t="shared" si="11"/>
        <v>7511.4013539651842</v>
      </c>
      <c r="P19" s="53">
        <v>50</v>
      </c>
      <c r="Q19" s="123">
        <f t="shared" si="12"/>
        <v>5368.8945841392651</v>
      </c>
      <c r="R19" s="124"/>
      <c r="S19" s="126">
        <f t="shared" si="13"/>
        <v>5368.8945841392651</v>
      </c>
      <c r="T19" s="53">
        <v>50</v>
      </c>
      <c r="U19" s="123">
        <f t="shared" si="14"/>
        <v>6021.2398452611214</v>
      </c>
      <c r="V19" s="124"/>
      <c r="W19" s="126">
        <f t="shared" si="15"/>
        <v>6021.2398452611214</v>
      </c>
      <c r="X19" s="53">
        <v>50</v>
      </c>
      <c r="Y19" s="123">
        <f t="shared" si="16"/>
        <v>9024.3752417794967</v>
      </c>
      <c r="Z19" s="124"/>
      <c r="AA19" s="126">
        <f t="shared" si="17"/>
        <v>9024.3752417794967</v>
      </c>
      <c r="AB19" s="53">
        <v>50</v>
      </c>
      <c r="AC19" s="123">
        <f t="shared" si="18"/>
        <v>6392.6279296874991</v>
      </c>
      <c r="AD19" s="124"/>
      <c r="AE19" s="126">
        <f t="shared" si="19"/>
        <v>6392.6279296874991</v>
      </c>
      <c r="AF19" s="53">
        <v>50</v>
      </c>
      <c r="AG19" s="123">
        <f t="shared" si="20"/>
        <v>10452.7861328125</v>
      </c>
      <c r="AH19" s="124"/>
      <c r="AI19" s="126">
        <f t="shared" si="21"/>
        <v>10452.7861328125</v>
      </c>
      <c r="AJ19" s="53">
        <v>50</v>
      </c>
      <c r="AK19" s="123">
        <f t="shared" si="22"/>
        <v>8690.86328125</v>
      </c>
      <c r="AL19" s="124"/>
      <c r="AM19" s="126">
        <f t="shared" si="23"/>
        <v>8690.86328125</v>
      </c>
      <c r="AN19" s="53">
        <v>50</v>
      </c>
      <c r="AO19" s="123">
        <f t="shared" si="24"/>
        <v>6071.5556640625</v>
      </c>
      <c r="AP19" s="124"/>
      <c r="AQ19" s="126">
        <f t="shared" si="25"/>
        <v>6071.5556640625</v>
      </c>
      <c r="AR19" s="53">
        <v>50</v>
      </c>
      <c r="AS19" s="123">
        <f t="shared" si="26"/>
        <v>13418.697265625</v>
      </c>
      <c r="AT19" s="124"/>
      <c r="AU19" s="126">
        <f t="shared" si="27"/>
        <v>13418.697265625</v>
      </c>
      <c r="AV19" s="53">
        <v>50</v>
      </c>
      <c r="AW19" s="123">
        <f t="shared" si="28"/>
        <v>13358.0498046875</v>
      </c>
      <c r="AX19" s="124"/>
      <c r="AY19" s="126">
        <f t="shared" si="29"/>
        <v>13358.0498046875</v>
      </c>
      <c r="AZ19" s="127">
        <f t="shared" si="30"/>
        <v>17255.605396313596</v>
      </c>
      <c r="BA19" s="128">
        <f t="shared" si="31"/>
        <v>17024.768528057848</v>
      </c>
      <c r="BB19" s="127">
        <f t="shared" si="32"/>
        <v>37670.115067493483</v>
      </c>
      <c r="BC19" s="127"/>
      <c r="BD19" s="128">
        <f t="shared" si="33"/>
        <v>37439.278199237735</v>
      </c>
      <c r="BE19" s="127">
        <f t="shared" si="34"/>
        <v>96054.695145618476</v>
      </c>
      <c r="BF19" s="127"/>
      <c r="BG19" s="91">
        <f t="shared" si="35"/>
        <v>95823.858277362728</v>
      </c>
    </row>
    <row r="20" spans="1:59" ht="13">
      <c r="A20" s="89" t="s">
        <v>210</v>
      </c>
      <c r="B20" s="121"/>
      <c r="C20" s="121">
        <f>'Mirek Revised PS Model 2020'!BG30</f>
        <v>-19.239382650693187</v>
      </c>
      <c r="D20" s="53">
        <v>5</v>
      </c>
      <c r="E20" s="123">
        <f t="shared" si="6"/>
        <v>429.59547641963428</v>
      </c>
      <c r="F20" s="124"/>
      <c r="G20" s="126">
        <f t="shared" si="7"/>
        <v>429.59547641963428</v>
      </c>
      <c r="H20" s="53">
        <v>5</v>
      </c>
      <c r="I20" s="123">
        <f t="shared" si="8"/>
        <v>544.82492781520693</v>
      </c>
      <c r="J20" s="124"/>
      <c r="K20" s="126">
        <f t="shared" si="9"/>
        <v>544.82492781520693</v>
      </c>
      <c r="L20" s="53">
        <v>5</v>
      </c>
      <c r="M20" s="123">
        <f t="shared" si="10"/>
        <v>751.14013539651842</v>
      </c>
      <c r="N20" s="124"/>
      <c r="O20" s="126">
        <f t="shared" si="11"/>
        <v>751.14013539651842</v>
      </c>
      <c r="P20" s="53">
        <v>5</v>
      </c>
      <c r="Q20" s="123">
        <f t="shared" si="12"/>
        <v>536.88945841392649</v>
      </c>
      <c r="R20" s="124"/>
      <c r="S20" s="126">
        <f t="shared" si="13"/>
        <v>536.88945841392649</v>
      </c>
      <c r="T20" s="53">
        <v>5</v>
      </c>
      <c r="U20" s="123">
        <f t="shared" si="14"/>
        <v>602.12398452611217</v>
      </c>
      <c r="V20" s="124"/>
      <c r="W20" s="126">
        <f t="shared" si="15"/>
        <v>602.12398452611217</v>
      </c>
      <c r="X20" s="53">
        <v>5</v>
      </c>
      <c r="Y20" s="123">
        <f t="shared" si="16"/>
        <v>902.43752417794963</v>
      </c>
      <c r="Z20" s="124"/>
      <c r="AA20" s="126">
        <f t="shared" si="17"/>
        <v>902.43752417794963</v>
      </c>
      <c r="AB20" s="53">
        <v>5</v>
      </c>
      <c r="AC20" s="123">
        <f t="shared" si="18"/>
        <v>639.26279296874998</v>
      </c>
      <c r="AD20" s="124"/>
      <c r="AE20" s="126">
        <f t="shared" si="19"/>
        <v>639.26279296874998</v>
      </c>
      <c r="AF20" s="53">
        <v>5</v>
      </c>
      <c r="AG20" s="123">
        <f t="shared" si="20"/>
        <v>1045.27861328125</v>
      </c>
      <c r="AH20" s="124"/>
      <c r="AI20" s="126">
        <f t="shared" si="21"/>
        <v>1045.27861328125</v>
      </c>
      <c r="AJ20" s="53">
        <v>5</v>
      </c>
      <c r="AK20" s="123">
        <f t="shared" si="22"/>
        <v>869.08632812500002</v>
      </c>
      <c r="AL20" s="124"/>
      <c r="AM20" s="126">
        <f t="shared" si="23"/>
        <v>869.08632812500002</v>
      </c>
      <c r="AN20" s="53">
        <v>5</v>
      </c>
      <c r="AO20" s="123">
        <f t="shared" si="24"/>
        <v>607.15556640624993</v>
      </c>
      <c r="AP20" s="124"/>
      <c r="AQ20" s="126">
        <f t="shared" si="25"/>
        <v>607.15556640624993</v>
      </c>
      <c r="AR20" s="53">
        <v>5</v>
      </c>
      <c r="AS20" s="123">
        <f t="shared" si="26"/>
        <v>1341.8697265624999</v>
      </c>
      <c r="AT20" s="124"/>
      <c r="AU20" s="126">
        <f t="shared" si="27"/>
        <v>1341.8697265624999</v>
      </c>
      <c r="AV20" s="53">
        <v>5</v>
      </c>
      <c r="AW20" s="123">
        <f t="shared" si="28"/>
        <v>1335.8049804687498</v>
      </c>
      <c r="AX20" s="124"/>
      <c r="AY20" s="126">
        <f t="shared" si="29"/>
        <v>1335.8049804687498</v>
      </c>
      <c r="AZ20" s="127">
        <f t="shared" si="30"/>
        <v>1725.5605396313597</v>
      </c>
      <c r="BA20" s="128">
        <f t="shared" si="31"/>
        <v>1706.3211569806665</v>
      </c>
      <c r="BB20" s="127">
        <f t="shared" si="32"/>
        <v>3767.0115067493484</v>
      </c>
      <c r="BC20" s="127"/>
      <c r="BD20" s="128">
        <f t="shared" si="33"/>
        <v>3747.7721240986552</v>
      </c>
      <c r="BE20" s="127">
        <f t="shared" si="34"/>
        <v>9605.469514561848</v>
      </c>
      <c r="BF20" s="127"/>
      <c r="BG20" s="91">
        <f t="shared" si="35"/>
        <v>9586.2301319111539</v>
      </c>
    </row>
    <row r="21" spans="1:59" ht="13">
      <c r="A21" s="132" t="s">
        <v>254</v>
      </c>
      <c r="B21" s="121"/>
      <c r="C21" s="121">
        <f>'Mirek Revised PS Model 2020'!BG31</f>
        <v>-19.239382650693187</v>
      </c>
      <c r="D21" s="178">
        <v>5</v>
      </c>
      <c r="E21" s="134">
        <f t="shared" si="6"/>
        <v>429.59547641963428</v>
      </c>
      <c r="F21" s="135"/>
      <c r="G21" s="136">
        <f t="shared" si="7"/>
        <v>429.59547641963428</v>
      </c>
      <c r="H21" s="178">
        <v>5</v>
      </c>
      <c r="I21" s="134">
        <f t="shared" si="8"/>
        <v>544.82492781520693</v>
      </c>
      <c r="J21" s="135"/>
      <c r="K21" s="136">
        <f t="shared" si="9"/>
        <v>544.82492781520693</v>
      </c>
      <c r="L21" s="178">
        <v>5</v>
      </c>
      <c r="M21" s="134">
        <f t="shared" si="10"/>
        <v>751.14013539651842</v>
      </c>
      <c r="N21" s="135"/>
      <c r="O21" s="136">
        <f t="shared" si="11"/>
        <v>751.14013539651842</v>
      </c>
      <c r="P21" s="178">
        <v>5</v>
      </c>
      <c r="Q21" s="134">
        <f t="shared" si="12"/>
        <v>536.88945841392649</v>
      </c>
      <c r="R21" s="135"/>
      <c r="S21" s="136">
        <f t="shared" si="13"/>
        <v>536.88945841392649</v>
      </c>
      <c r="T21" s="178">
        <v>5</v>
      </c>
      <c r="U21" s="134">
        <f t="shared" si="14"/>
        <v>602.12398452611217</v>
      </c>
      <c r="V21" s="135"/>
      <c r="W21" s="136">
        <f t="shared" si="15"/>
        <v>602.12398452611217</v>
      </c>
      <c r="X21" s="178">
        <v>5</v>
      </c>
      <c r="Y21" s="123">
        <f t="shared" si="16"/>
        <v>902.43752417794963</v>
      </c>
      <c r="Z21" s="135"/>
      <c r="AA21" s="136">
        <f t="shared" si="17"/>
        <v>902.43752417794963</v>
      </c>
      <c r="AB21" s="178">
        <v>0</v>
      </c>
      <c r="AC21" s="134">
        <f t="shared" si="18"/>
        <v>0</v>
      </c>
      <c r="AD21" s="135"/>
      <c r="AE21" s="136">
        <f t="shared" si="19"/>
        <v>0</v>
      </c>
      <c r="AF21" s="178">
        <v>0</v>
      </c>
      <c r="AG21" s="134">
        <f t="shared" si="20"/>
        <v>0</v>
      </c>
      <c r="AH21" s="135"/>
      <c r="AI21" s="136">
        <f t="shared" si="21"/>
        <v>0</v>
      </c>
      <c r="AJ21" s="178">
        <v>0</v>
      </c>
      <c r="AK21" s="134">
        <f t="shared" si="22"/>
        <v>0</v>
      </c>
      <c r="AL21" s="135"/>
      <c r="AM21" s="136">
        <f t="shared" si="23"/>
        <v>0</v>
      </c>
      <c r="AN21" s="178">
        <v>0</v>
      </c>
      <c r="AO21" s="134">
        <f t="shared" si="24"/>
        <v>0</v>
      </c>
      <c r="AP21" s="135"/>
      <c r="AQ21" s="136">
        <f t="shared" si="25"/>
        <v>0</v>
      </c>
      <c r="AR21" s="178">
        <v>0</v>
      </c>
      <c r="AS21" s="134">
        <f t="shared" si="26"/>
        <v>0</v>
      </c>
      <c r="AT21" s="135"/>
      <c r="AU21" s="136">
        <f t="shared" si="27"/>
        <v>0</v>
      </c>
      <c r="AV21" s="178">
        <v>0</v>
      </c>
      <c r="AW21" s="134">
        <f t="shared" si="28"/>
        <v>0</v>
      </c>
      <c r="AX21" s="135"/>
      <c r="AY21" s="136">
        <f t="shared" si="29"/>
        <v>0</v>
      </c>
      <c r="AZ21" s="138">
        <f t="shared" si="30"/>
        <v>1725.5605396313597</v>
      </c>
      <c r="BA21" s="137">
        <f t="shared" si="31"/>
        <v>1706.3211569806665</v>
      </c>
      <c r="BB21" s="138">
        <f t="shared" si="32"/>
        <v>3767.0115067493484</v>
      </c>
      <c r="BC21" s="138"/>
      <c r="BD21" s="137">
        <f t="shared" si="33"/>
        <v>3747.7721240986552</v>
      </c>
      <c r="BE21" s="138">
        <f t="shared" si="34"/>
        <v>3767.0115067493484</v>
      </c>
      <c r="BF21" s="138"/>
      <c r="BG21" s="140">
        <f t="shared" si="35"/>
        <v>3747.7721240986552</v>
      </c>
    </row>
    <row r="22" spans="1:59" ht="13">
      <c r="A22" s="132" t="s">
        <v>255</v>
      </c>
      <c r="B22" s="121"/>
      <c r="C22" s="121">
        <f>'Mirek Revised PS Model 2020'!BG32</f>
        <v>-19.239382650693187</v>
      </c>
      <c r="D22" s="178">
        <v>2.5</v>
      </c>
      <c r="E22" s="134">
        <f t="shared" si="6"/>
        <v>214.79773820981714</v>
      </c>
      <c r="F22" s="135"/>
      <c r="G22" s="136">
        <f t="shared" si="7"/>
        <v>214.79773820981714</v>
      </c>
      <c r="H22" s="178">
        <v>2.5</v>
      </c>
      <c r="I22" s="134">
        <f t="shared" si="8"/>
        <v>272.41246390760347</v>
      </c>
      <c r="J22" s="135"/>
      <c r="K22" s="136">
        <f t="shared" si="9"/>
        <v>272.41246390760347</v>
      </c>
      <c r="L22" s="178">
        <v>0</v>
      </c>
      <c r="M22" s="134">
        <f t="shared" si="10"/>
        <v>0</v>
      </c>
      <c r="N22" s="135"/>
      <c r="O22" s="136">
        <f t="shared" si="11"/>
        <v>0</v>
      </c>
      <c r="P22" s="178">
        <v>0</v>
      </c>
      <c r="Q22" s="134">
        <f t="shared" si="12"/>
        <v>0</v>
      </c>
      <c r="R22" s="135"/>
      <c r="S22" s="136">
        <f t="shared" si="13"/>
        <v>0</v>
      </c>
      <c r="T22" s="178">
        <v>0</v>
      </c>
      <c r="U22" s="134">
        <f t="shared" si="14"/>
        <v>0</v>
      </c>
      <c r="V22" s="135"/>
      <c r="W22" s="136">
        <f t="shared" si="15"/>
        <v>0</v>
      </c>
      <c r="X22" s="178">
        <v>0</v>
      </c>
      <c r="Y22" s="123">
        <f t="shared" si="16"/>
        <v>0</v>
      </c>
      <c r="Z22" s="135"/>
      <c r="AA22" s="136">
        <f t="shared" si="17"/>
        <v>0</v>
      </c>
      <c r="AB22" s="178">
        <v>0</v>
      </c>
      <c r="AC22" s="134">
        <f t="shared" si="18"/>
        <v>0</v>
      </c>
      <c r="AD22" s="135"/>
      <c r="AE22" s="136">
        <f t="shared" si="19"/>
        <v>0</v>
      </c>
      <c r="AF22" s="178">
        <v>0</v>
      </c>
      <c r="AG22" s="134">
        <f t="shared" si="20"/>
        <v>0</v>
      </c>
      <c r="AH22" s="135"/>
      <c r="AI22" s="136">
        <f t="shared" si="21"/>
        <v>0</v>
      </c>
      <c r="AJ22" s="178">
        <v>0</v>
      </c>
      <c r="AK22" s="134">
        <f t="shared" si="22"/>
        <v>0</v>
      </c>
      <c r="AL22" s="135"/>
      <c r="AM22" s="136">
        <f t="shared" si="23"/>
        <v>0</v>
      </c>
      <c r="AN22" s="178">
        <v>0</v>
      </c>
      <c r="AO22" s="134">
        <f t="shared" si="24"/>
        <v>0</v>
      </c>
      <c r="AP22" s="135"/>
      <c r="AQ22" s="136">
        <f t="shared" si="25"/>
        <v>0</v>
      </c>
      <c r="AR22" s="178">
        <v>0</v>
      </c>
      <c r="AS22" s="134">
        <f t="shared" si="26"/>
        <v>0</v>
      </c>
      <c r="AT22" s="135"/>
      <c r="AU22" s="136">
        <f t="shared" si="27"/>
        <v>0</v>
      </c>
      <c r="AV22" s="178">
        <v>0</v>
      </c>
      <c r="AW22" s="134">
        <f t="shared" si="28"/>
        <v>0</v>
      </c>
      <c r="AX22" s="135"/>
      <c r="AY22" s="136">
        <f t="shared" si="29"/>
        <v>0</v>
      </c>
      <c r="AZ22" s="138">
        <f t="shared" si="30"/>
        <v>487.21020211742064</v>
      </c>
      <c r="BA22" s="137">
        <f t="shared" si="31"/>
        <v>467.97081946672745</v>
      </c>
      <c r="BB22" s="138">
        <f t="shared" si="32"/>
        <v>487.21020211742064</v>
      </c>
      <c r="BC22" s="138"/>
      <c r="BD22" s="137">
        <f t="shared" si="33"/>
        <v>467.97081946672745</v>
      </c>
      <c r="BE22" s="138">
        <f t="shared" si="34"/>
        <v>487.21020211742064</v>
      </c>
      <c r="BF22" s="138"/>
      <c r="BG22" s="140">
        <f t="shared" si="35"/>
        <v>467.97081946672745</v>
      </c>
    </row>
    <row r="23" spans="1:59" ht="13">
      <c r="A23" s="132" t="s">
        <v>211</v>
      </c>
      <c r="B23" s="121"/>
      <c r="C23" s="121">
        <f>'Mirek Revised PS Model 2020'!BG33</f>
        <v>-7.6937530602774586</v>
      </c>
      <c r="D23" s="178">
        <v>2</v>
      </c>
      <c r="E23" s="134">
        <f t="shared" si="6"/>
        <v>171.8381905678537</v>
      </c>
      <c r="F23" s="135"/>
      <c r="G23" s="136">
        <f t="shared" si="7"/>
        <v>171.8381905678537</v>
      </c>
      <c r="H23" s="178">
        <v>2</v>
      </c>
      <c r="I23" s="134">
        <f t="shared" si="8"/>
        <v>217.92997112608276</v>
      </c>
      <c r="J23" s="135"/>
      <c r="K23" s="136">
        <f t="shared" si="9"/>
        <v>217.92997112608276</v>
      </c>
      <c r="L23" s="178">
        <v>2</v>
      </c>
      <c r="M23" s="134">
        <f t="shared" si="10"/>
        <v>300.45605415860734</v>
      </c>
      <c r="N23" s="135"/>
      <c r="O23" s="136">
        <f t="shared" si="11"/>
        <v>300.45605415860734</v>
      </c>
      <c r="P23" s="178">
        <v>2</v>
      </c>
      <c r="Q23" s="134">
        <f t="shared" si="12"/>
        <v>214.75578336557058</v>
      </c>
      <c r="R23" s="135"/>
      <c r="S23" s="136">
        <f t="shared" si="13"/>
        <v>214.75578336557058</v>
      </c>
      <c r="T23" s="178">
        <v>2</v>
      </c>
      <c r="U23" s="134">
        <f t="shared" si="14"/>
        <v>240.84959381044484</v>
      </c>
      <c r="V23" s="135"/>
      <c r="W23" s="136">
        <f t="shared" si="15"/>
        <v>240.84959381044484</v>
      </c>
      <c r="X23" s="178">
        <v>2</v>
      </c>
      <c r="Y23" s="123">
        <f t="shared" si="16"/>
        <v>360.97500967117986</v>
      </c>
      <c r="Z23" s="135"/>
      <c r="AA23" s="136">
        <f t="shared" si="17"/>
        <v>360.97500967117986</v>
      </c>
      <c r="AB23" s="178">
        <v>2</v>
      </c>
      <c r="AC23" s="134">
        <f t="shared" si="18"/>
        <v>255.70511718749998</v>
      </c>
      <c r="AD23" s="135"/>
      <c r="AE23" s="136">
        <f t="shared" si="19"/>
        <v>255.70511718749998</v>
      </c>
      <c r="AF23" s="178">
        <v>2</v>
      </c>
      <c r="AG23" s="134">
        <f t="shared" si="20"/>
        <v>418.1114453125</v>
      </c>
      <c r="AH23" s="135"/>
      <c r="AI23" s="136">
        <f t="shared" si="21"/>
        <v>418.1114453125</v>
      </c>
      <c r="AJ23" s="178">
        <v>2</v>
      </c>
      <c r="AK23" s="134">
        <f t="shared" si="22"/>
        <v>347.63453125000001</v>
      </c>
      <c r="AL23" s="135"/>
      <c r="AM23" s="136">
        <f t="shared" si="23"/>
        <v>347.63453125000001</v>
      </c>
      <c r="AN23" s="178">
        <v>2</v>
      </c>
      <c r="AO23" s="134">
        <f t="shared" si="24"/>
        <v>242.86222656249998</v>
      </c>
      <c r="AP23" s="135"/>
      <c r="AQ23" s="136">
        <f t="shared" si="25"/>
        <v>242.86222656249998</v>
      </c>
      <c r="AR23" s="178">
        <v>2</v>
      </c>
      <c r="AS23" s="134">
        <f t="shared" si="26"/>
        <v>536.74789062499997</v>
      </c>
      <c r="AT23" s="135"/>
      <c r="AU23" s="136">
        <f t="shared" si="27"/>
        <v>536.74789062499997</v>
      </c>
      <c r="AV23" s="178">
        <v>2</v>
      </c>
      <c r="AW23" s="134">
        <f t="shared" si="28"/>
        <v>534.32199218749997</v>
      </c>
      <c r="AX23" s="135"/>
      <c r="AY23" s="136">
        <f t="shared" si="29"/>
        <v>534.32199218749997</v>
      </c>
      <c r="AZ23" s="138">
        <f t="shared" si="30"/>
        <v>690.22421585254369</v>
      </c>
      <c r="BA23" s="137">
        <f t="shared" si="31"/>
        <v>682.53046279226623</v>
      </c>
      <c r="BB23" s="138">
        <f t="shared" si="32"/>
        <v>1506.8046026997392</v>
      </c>
      <c r="BC23" s="138"/>
      <c r="BD23" s="137">
        <f t="shared" si="33"/>
        <v>1499.1108496394618</v>
      </c>
      <c r="BE23" s="138">
        <f t="shared" si="34"/>
        <v>3842.1878058247394</v>
      </c>
      <c r="BF23" s="138"/>
      <c r="BG23" s="140">
        <f t="shared" si="35"/>
        <v>3834.4940527644621</v>
      </c>
    </row>
    <row r="24" spans="1:59" ht="14">
      <c r="A24" s="132" t="s">
        <v>212</v>
      </c>
      <c r="B24" s="121"/>
      <c r="C24" s="121">
        <f>'Revised PS Model 2020'!BG35</f>
        <v>0</v>
      </c>
      <c r="D24" s="178">
        <v>2.5</v>
      </c>
      <c r="E24" s="134">
        <f t="shared" si="6"/>
        <v>214.79773820981714</v>
      </c>
      <c r="F24" s="135"/>
      <c r="G24" s="136">
        <f t="shared" si="7"/>
        <v>214.79773820981714</v>
      </c>
      <c r="H24" s="178">
        <v>2.5</v>
      </c>
      <c r="I24" s="134">
        <f t="shared" si="8"/>
        <v>272.41246390760347</v>
      </c>
      <c r="J24" s="135"/>
      <c r="K24" s="136">
        <f t="shared" si="9"/>
        <v>272.41246390760347</v>
      </c>
      <c r="L24" s="178">
        <v>2.5</v>
      </c>
      <c r="M24" s="134">
        <f t="shared" si="10"/>
        <v>375.57006769825921</v>
      </c>
      <c r="N24" s="135"/>
      <c r="O24" s="136">
        <f t="shared" si="11"/>
        <v>375.57006769825921</v>
      </c>
      <c r="P24" s="178">
        <v>2.5</v>
      </c>
      <c r="Q24" s="134">
        <f t="shared" si="12"/>
        <v>268.44472920696325</v>
      </c>
      <c r="R24" s="135"/>
      <c r="S24" s="136">
        <f t="shared" si="13"/>
        <v>268.44472920696325</v>
      </c>
      <c r="T24" s="178">
        <v>2.5</v>
      </c>
      <c r="U24" s="134">
        <f t="shared" si="14"/>
        <v>301.06199226305608</v>
      </c>
      <c r="V24" s="135"/>
      <c r="W24" s="136">
        <f t="shared" si="15"/>
        <v>301.06199226305608</v>
      </c>
      <c r="X24" s="178">
        <v>2.5</v>
      </c>
      <c r="Y24" s="123">
        <f t="shared" si="16"/>
        <v>451.21876208897481</v>
      </c>
      <c r="Z24" s="135"/>
      <c r="AA24" s="136">
        <f t="shared" si="17"/>
        <v>451.21876208897481</v>
      </c>
      <c r="AB24" s="178">
        <v>2.5</v>
      </c>
      <c r="AC24" s="134">
        <f t="shared" si="18"/>
        <v>319.63139648437499</v>
      </c>
      <c r="AD24" s="135"/>
      <c r="AE24" s="136">
        <f t="shared" si="19"/>
        <v>319.63139648437499</v>
      </c>
      <c r="AF24" s="178">
        <v>2.5</v>
      </c>
      <c r="AG24" s="134">
        <f t="shared" si="20"/>
        <v>522.63930664062502</v>
      </c>
      <c r="AH24" s="135"/>
      <c r="AI24" s="136">
        <f t="shared" si="21"/>
        <v>522.63930664062502</v>
      </c>
      <c r="AJ24" s="178">
        <v>2.5</v>
      </c>
      <c r="AK24" s="134">
        <f t="shared" si="22"/>
        <v>434.54316406250001</v>
      </c>
      <c r="AL24" s="135"/>
      <c r="AM24" s="136">
        <f t="shared" si="23"/>
        <v>434.54316406250001</v>
      </c>
      <c r="AN24" s="178">
        <v>2.5</v>
      </c>
      <c r="AO24" s="134">
        <f t="shared" si="24"/>
        <v>303.57778320312497</v>
      </c>
      <c r="AP24" s="135"/>
      <c r="AQ24" s="136">
        <f t="shared" si="25"/>
        <v>303.57778320312497</v>
      </c>
      <c r="AR24" s="178">
        <v>2.5</v>
      </c>
      <c r="AS24" s="134">
        <f t="shared" si="26"/>
        <v>670.93486328124993</v>
      </c>
      <c r="AT24" s="135"/>
      <c r="AU24" s="136">
        <f t="shared" si="27"/>
        <v>670.93486328124993</v>
      </c>
      <c r="AV24" s="178">
        <v>2.5</v>
      </c>
      <c r="AW24" s="134">
        <f t="shared" si="28"/>
        <v>667.90249023437491</v>
      </c>
      <c r="AX24" s="135"/>
      <c r="AY24" s="136">
        <f t="shared" si="29"/>
        <v>667.90249023437491</v>
      </c>
      <c r="AZ24" s="138">
        <f t="shared" si="30"/>
        <v>862.78026981567984</v>
      </c>
      <c r="BA24" s="137">
        <f t="shared" si="31"/>
        <v>862.78026981567984</v>
      </c>
      <c r="BB24" s="138">
        <f t="shared" si="32"/>
        <v>1883.5057533746742</v>
      </c>
      <c r="BC24" s="138"/>
      <c r="BD24" s="137">
        <f t="shared" si="33"/>
        <v>1883.5057533746742</v>
      </c>
      <c r="BE24" s="138">
        <f t="shared" si="34"/>
        <v>4802.734757280924</v>
      </c>
      <c r="BF24" s="138"/>
      <c r="BG24" s="140">
        <f t="shared" si="35"/>
        <v>4802.734757280924</v>
      </c>
    </row>
    <row r="25" spans="1:59" ht="14">
      <c r="A25" s="132" t="s">
        <v>214</v>
      </c>
      <c r="B25" s="121"/>
      <c r="C25" s="121">
        <f>'Revised PS Model 2020'!BG36</f>
        <v>0</v>
      </c>
      <c r="D25" s="178">
        <v>2.5</v>
      </c>
      <c r="E25" s="134">
        <f t="shared" si="6"/>
        <v>214.79773820981714</v>
      </c>
      <c r="F25" s="135"/>
      <c r="G25" s="136">
        <f t="shared" si="7"/>
        <v>214.79773820981714</v>
      </c>
      <c r="H25" s="178">
        <v>2.5</v>
      </c>
      <c r="I25" s="134">
        <f t="shared" si="8"/>
        <v>272.41246390760347</v>
      </c>
      <c r="J25" s="135"/>
      <c r="K25" s="136">
        <f t="shared" si="9"/>
        <v>272.41246390760347</v>
      </c>
      <c r="L25" s="178">
        <v>2.5</v>
      </c>
      <c r="M25" s="134">
        <f t="shared" si="10"/>
        <v>375.57006769825921</v>
      </c>
      <c r="N25" s="135"/>
      <c r="O25" s="136">
        <f t="shared" si="11"/>
        <v>375.57006769825921</v>
      </c>
      <c r="P25" s="178">
        <v>2.5</v>
      </c>
      <c r="Q25" s="134">
        <f t="shared" si="12"/>
        <v>268.44472920696325</v>
      </c>
      <c r="R25" s="135"/>
      <c r="S25" s="136">
        <f t="shared" si="13"/>
        <v>268.44472920696325</v>
      </c>
      <c r="T25" s="178">
        <v>2.5</v>
      </c>
      <c r="U25" s="134">
        <f t="shared" si="14"/>
        <v>301.06199226305608</v>
      </c>
      <c r="V25" s="135"/>
      <c r="W25" s="136">
        <f t="shared" si="15"/>
        <v>301.06199226305608</v>
      </c>
      <c r="X25" s="178">
        <v>2.5</v>
      </c>
      <c r="Y25" s="123">
        <f t="shared" si="16"/>
        <v>451.21876208897481</v>
      </c>
      <c r="Z25" s="135"/>
      <c r="AA25" s="136">
        <f t="shared" si="17"/>
        <v>451.21876208897481</v>
      </c>
      <c r="AB25" s="178">
        <v>2.5</v>
      </c>
      <c r="AC25" s="134">
        <f t="shared" si="18"/>
        <v>319.63139648437499</v>
      </c>
      <c r="AD25" s="135"/>
      <c r="AE25" s="136">
        <f t="shared" si="19"/>
        <v>319.63139648437499</v>
      </c>
      <c r="AF25" s="178">
        <v>2.5</v>
      </c>
      <c r="AG25" s="134">
        <f t="shared" si="20"/>
        <v>522.63930664062502</v>
      </c>
      <c r="AH25" s="135"/>
      <c r="AI25" s="136">
        <f t="shared" si="21"/>
        <v>522.63930664062502</v>
      </c>
      <c r="AJ25" s="178">
        <v>2.5</v>
      </c>
      <c r="AK25" s="134">
        <f t="shared" si="22"/>
        <v>434.54316406250001</v>
      </c>
      <c r="AL25" s="135"/>
      <c r="AM25" s="136">
        <f t="shared" si="23"/>
        <v>434.54316406250001</v>
      </c>
      <c r="AN25" s="178">
        <v>2.5</v>
      </c>
      <c r="AO25" s="134">
        <f t="shared" si="24"/>
        <v>303.57778320312497</v>
      </c>
      <c r="AP25" s="135"/>
      <c r="AQ25" s="136">
        <f t="shared" si="25"/>
        <v>303.57778320312497</v>
      </c>
      <c r="AR25" s="178">
        <v>2.5</v>
      </c>
      <c r="AS25" s="134">
        <f t="shared" si="26"/>
        <v>670.93486328124993</v>
      </c>
      <c r="AT25" s="135"/>
      <c r="AU25" s="136">
        <f t="shared" si="27"/>
        <v>670.93486328124993</v>
      </c>
      <c r="AV25" s="178">
        <v>2.5</v>
      </c>
      <c r="AW25" s="134">
        <f t="shared" si="28"/>
        <v>667.90249023437491</v>
      </c>
      <c r="AX25" s="135"/>
      <c r="AY25" s="136">
        <f t="shared" si="29"/>
        <v>667.90249023437491</v>
      </c>
      <c r="AZ25" s="138">
        <f t="shared" si="30"/>
        <v>862.78026981567984</v>
      </c>
      <c r="BA25" s="137">
        <f t="shared" si="31"/>
        <v>862.78026981567984</v>
      </c>
      <c r="BB25" s="138">
        <f t="shared" si="32"/>
        <v>1883.5057533746742</v>
      </c>
      <c r="BC25" s="138"/>
      <c r="BD25" s="137">
        <f t="shared" si="33"/>
        <v>1883.5057533746742</v>
      </c>
      <c r="BE25" s="138">
        <f t="shared" si="34"/>
        <v>4802.734757280924</v>
      </c>
      <c r="BF25" s="138"/>
      <c r="BG25" s="140">
        <f t="shared" si="35"/>
        <v>4802.734757280924</v>
      </c>
    </row>
    <row r="26" spans="1:59" ht="12" customHeight="1">
      <c r="A26" s="89"/>
      <c r="C26" s="61"/>
      <c r="D26" s="148">
        <f t="shared" ref="D26:E26" si="36">SUM(D16:D25)</f>
        <v>519.5</v>
      </c>
      <c r="E26" s="149">
        <f t="shared" si="36"/>
        <v>44634.970000000008</v>
      </c>
      <c r="F26" s="91"/>
      <c r="G26" s="91"/>
      <c r="H26" s="148">
        <f t="shared" ref="H26:I26" si="37">SUM(H16:H25)</f>
        <v>519.5</v>
      </c>
      <c r="I26" s="149">
        <f t="shared" si="37"/>
        <v>56607.310000000005</v>
      </c>
      <c r="J26" s="91"/>
      <c r="K26" s="91"/>
      <c r="L26" s="148">
        <f t="shared" ref="L26:M26" si="38">SUM(L16:L25)</f>
        <v>517</v>
      </c>
      <c r="M26" s="149">
        <f t="shared" si="38"/>
        <v>77667.889999999985</v>
      </c>
      <c r="N26" s="91"/>
      <c r="O26" s="91"/>
      <c r="P26" s="148">
        <f t="shared" ref="P26:Q26" si="39">SUM(P16:P25)</f>
        <v>517</v>
      </c>
      <c r="Q26" s="149">
        <f t="shared" si="39"/>
        <v>55514.369999999995</v>
      </c>
      <c r="R26" s="91"/>
      <c r="S26" s="91"/>
      <c r="T26" s="148">
        <f t="shared" ref="T26:U26" si="40">SUM(T16:T25)</f>
        <v>517</v>
      </c>
      <c r="U26" s="149">
        <f t="shared" si="40"/>
        <v>62259.62000000001</v>
      </c>
      <c r="V26" s="91"/>
      <c r="W26" s="91"/>
      <c r="X26" s="148">
        <f t="shared" ref="X26:Y26" si="41">SUM(X16:X25)</f>
        <v>517</v>
      </c>
      <c r="Y26" s="149">
        <f t="shared" si="41"/>
        <v>93312.039999999979</v>
      </c>
      <c r="Z26" s="91"/>
      <c r="AA26" s="92"/>
      <c r="AB26" s="148">
        <f t="shared" ref="AB26:AC26" si="42">SUM(AB16:AB25)</f>
        <v>512</v>
      </c>
      <c r="AC26" s="149">
        <f t="shared" si="42"/>
        <v>65460.509999999995</v>
      </c>
      <c r="AD26" s="91"/>
      <c r="AE26" s="92"/>
      <c r="AF26" s="148">
        <f t="shared" ref="AF26:AG26" si="43">SUM(AF16:AF25)</f>
        <v>512</v>
      </c>
      <c r="AG26" s="149">
        <f t="shared" si="43"/>
        <v>107036.53000000001</v>
      </c>
      <c r="AH26" s="91"/>
      <c r="AI26" s="91"/>
      <c r="AJ26" s="148">
        <f t="shared" ref="AJ26:AK26" si="44">SUM(AJ16:AJ25)</f>
        <v>512</v>
      </c>
      <c r="AK26" s="149">
        <f t="shared" si="44"/>
        <v>88994.440000000017</v>
      </c>
      <c r="AL26" s="91"/>
      <c r="AM26" s="91"/>
      <c r="AN26" s="148">
        <f t="shared" ref="AN26:AO26" si="45">SUM(AN16:AN25)</f>
        <v>512</v>
      </c>
      <c r="AO26" s="149">
        <f t="shared" si="45"/>
        <v>62172.729999999996</v>
      </c>
      <c r="AP26" s="91"/>
      <c r="AQ26" s="91"/>
      <c r="AR26" s="148">
        <f t="shared" ref="AR26:AS26" si="46">SUM(AR16:AR25)</f>
        <v>512</v>
      </c>
      <c r="AS26" s="149">
        <f t="shared" si="46"/>
        <v>137407.46000000002</v>
      </c>
      <c r="AT26" s="91"/>
      <c r="AU26" s="91"/>
      <c r="AV26" s="148">
        <f t="shared" ref="AV26:AW26" si="47">SUM(AV16:AV25)</f>
        <v>512</v>
      </c>
      <c r="AW26" s="149">
        <f t="shared" si="47"/>
        <v>136786.43000000002</v>
      </c>
      <c r="AX26" s="124"/>
      <c r="AY26" s="92"/>
      <c r="AZ26" s="91"/>
      <c r="BA26" s="150"/>
      <c r="BB26" s="91"/>
      <c r="BC26" s="91"/>
      <c r="BD26" s="150"/>
    </row>
    <row r="27" spans="1:59" ht="14">
      <c r="A27" s="89"/>
      <c r="B27" s="5"/>
      <c r="C27" s="61"/>
      <c r="D27" s="100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124"/>
      <c r="AW27" s="151"/>
      <c r="AX27" s="124"/>
      <c r="AY27" s="92"/>
      <c r="AZ27" s="216" t="str">
        <f>"PS paid for "&amp;AZ2</f>
        <v>PS paid for 1q</v>
      </c>
      <c r="BA27" s="217" t="s">
        <v>256</v>
      </c>
      <c r="BB27" s="216" t="str">
        <f>"PS paid for Q2"</f>
        <v>PS paid for Q2</v>
      </c>
      <c r="BC27" s="216" t="s">
        <v>230</v>
      </c>
      <c r="BD27" s="217" t="s">
        <v>256</v>
      </c>
      <c r="BE27" s="216" t="str">
        <f>"Paid for 3Q &amp; 4Q"</f>
        <v>Paid for 3Q &amp; 4Q</v>
      </c>
      <c r="BF27" s="216" t="s">
        <v>257</v>
      </c>
      <c r="BG27" s="217" t="s">
        <v>256</v>
      </c>
    </row>
    <row r="28" spans="1:59" ht="28">
      <c r="A28" s="89"/>
      <c r="B28" s="5"/>
      <c r="C28" s="61"/>
      <c r="D28" s="100"/>
      <c r="E28" s="91"/>
      <c r="F28" s="124"/>
      <c r="G28" s="91"/>
      <c r="H28" s="91"/>
      <c r="I28" s="91"/>
      <c r="J28" s="124"/>
      <c r="K28" s="91"/>
      <c r="L28" s="91"/>
      <c r="M28" s="91"/>
      <c r="N28" s="124">
        <v>923.31</v>
      </c>
      <c r="O28" s="91"/>
      <c r="P28" s="91"/>
      <c r="Q28" s="91"/>
      <c r="R28" s="124"/>
      <c r="S28" s="91"/>
      <c r="T28" s="91"/>
      <c r="U28" s="91"/>
      <c r="V28" s="124"/>
      <c r="W28" s="91"/>
      <c r="X28" s="91"/>
      <c r="Y28" s="91"/>
      <c r="Z28" s="124"/>
      <c r="AA28" s="91"/>
      <c r="AB28" s="91"/>
      <c r="AC28" s="91"/>
      <c r="AD28" s="124"/>
      <c r="AE28" s="91"/>
      <c r="AF28" s="91"/>
      <c r="AG28" s="91"/>
      <c r="AH28" s="124"/>
      <c r="AI28" s="91"/>
      <c r="AJ28" s="91"/>
      <c r="AK28" s="91"/>
      <c r="AL28" s="124"/>
      <c r="AM28" s="91"/>
      <c r="AN28" s="91"/>
      <c r="AO28" s="91"/>
      <c r="AP28" s="124"/>
      <c r="AQ28" s="91"/>
      <c r="AR28" s="91"/>
      <c r="AS28" s="91"/>
      <c r="AT28" s="91"/>
      <c r="AU28" s="180"/>
      <c r="AV28" s="218" t="s">
        <v>258</v>
      </c>
      <c r="AW28" s="219" t="s">
        <v>219</v>
      </c>
      <c r="AY28" s="220" t="s">
        <v>83</v>
      </c>
      <c r="AZ28" s="221">
        <f>AZ13</f>
        <v>35000</v>
      </c>
      <c r="BA28" s="222">
        <f t="shared" ref="BA28:BA36" si="48">BA16-AZ28</f>
        <v>164991.47566495233</v>
      </c>
      <c r="BB28" s="221">
        <f>BB13-AZ13</f>
        <v>155000</v>
      </c>
      <c r="BC28" s="223">
        <f t="shared" ref="BC28:BC37" si="49">AZ28+BB28</f>
        <v>190000</v>
      </c>
      <c r="BD28" s="224">
        <f t="shared" ref="BD28:BD36" si="50">BD16-BC28</f>
        <v>128292.76369203161</v>
      </c>
      <c r="BE28" s="221">
        <f>BE13-BB13</f>
        <v>231316</v>
      </c>
      <c r="BF28" s="223">
        <f t="shared" ref="BF28:BF37" si="51">BC28+BE28</f>
        <v>421316</v>
      </c>
      <c r="BG28" s="225">
        <f t="shared" ref="BG28:BG36" si="52">BG16-BF28</f>
        <v>214617.79416078154</v>
      </c>
    </row>
    <row r="29" spans="1:59" ht="14">
      <c r="A29" s="89"/>
      <c r="B29" s="5"/>
      <c r="C29" s="6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P29" s="91"/>
      <c r="AQ29" s="91"/>
      <c r="AR29" s="91"/>
      <c r="AS29" s="91"/>
      <c r="AT29" s="91"/>
      <c r="AU29" s="100" t="s">
        <v>83</v>
      </c>
      <c r="AV29" s="91"/>
      <c r="AW29" s="121">
        <f t="shared" ref="AW29:AW38" si="53">BA28</f>
        <v>164991.47566495233</v>
      </c>
      <c r="AY29" s="220" t="s">
        <v>209</v>
      </c>
      <c r="AZ29" s="165">
        <v>34211.15</v>
      </c>
      <c r="BA29" s="222">
        <f t="shared" si="48"/>
        <v>-469.40128636398003</v>
      </c>
      <c r="BB29" s="165">
        <v>40292.620000000003</v>
      </c>
      <c r="BC29" s="223">
        <f t="shared" si="49"/>
        <v>74503.77</v>
      </c>
      <c r="BD29" s="224">
        <f t="shared" si="50"/>
        <v>66.998055995791219</v>
      </c>
      <c r="BE29" s="165">
        <v>117464.17</v>
      </c>
      <c r="BF29" s="223">
        <f t="shared" si="51"/>
        <v>191967.94</v>
      </c>
      <c r="BG29" s="225">
        <f t="shared" si="52"/>
        <v>-628.01178775422159</v>
      </c>
    </row>
    <row r="30" spans="1:59" ht="14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>
        <f>AL16</f>
        <v>13727.7</v>
      </c>
      <c r="AM30" s="91" t="s">
        <v>154</v>
      </c>
      <c r="AN30" s="91"/>
      <c r="AP30" s="91"/>
      <c r="AQ30" s="91"/>
      <c r="AR30" s="91"/>
      <c r="AS30" s="124"/>
      <c r="AT30" s="91"/>
      <c r="AU30" s="100" t="s">
        <v>209</v>
      </c>
      <c r="AV30" s="91"/>
      <c r="AW30" s="121">
        <f t="shared" si="53"/>
        <v>-469.40128636398003</v>
      </c>
      <c r="AY30" s="220" t="s">
        <v>61</v>
      </c>
      <c r="AZ30" s="165">
        <v>17259.47</v>
      </c>
      <c r="BA30" s="222">
        <f t="shared" si="48"/>
        <v>-234.70147194215315</v>
      </c>
      <c r="BB30" s="165">
        <v>20146.310000000001</v>
      </c>
      <c r="BC30" s="223">
        <f t="shared" si="49"/>
        <v>37405.78</v>
      </c>
      <c r="BD30" s="224">
        <f t="shared" si="50"/>
        <v>33.498199237736117</v>
      </c>
      <c r="BE30" s="165">
        <v>58732.08</v>
      </c>
      <c r="BF30" s="223">
        <f t="shared" si="51"/>
        <v>96137.86</v>
      </c>
      <c r="BG30" s="225">
        <f t="shared" si="52"/>
        <v>-314.00172263727291</v>
      </c>
    </row>
    <row r="31" spans="1:59" ht="14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>
        <v>12433.33</v>
      </c>
      <c r="AM31" s="91" t="s">
        <v>259</v>
      </c>
      <c r="AN31" s="91"/>
      <c r="AP31" s="91"/>
      <c r="AQ31" s="91"/>
      <c r="AR31" s="91"/>
      <c r="AS31" s="91"/>
      <c r="AT31" s="91"/>
      <c r="AU31" s="100" t="s">
        <v>61</v>
      </c>
      <c r="AV31" s="91"/>
      <c r="AW31" s="121">
        <f t="shared" si="53"/>
        <v>-234.70147194215315</v>
      </c>
      <c r="AY31" s="226" t="s">
        <v>65</v>
      </c>
      <c r="AZ31" s="165">
        <v>17259.47</v>
      </c>
      <c r="BA31" s="227">
        <f t="shared" si="48"/>
        <v>-234.70147194215315</v>
      </c>
      <c r="BB31" s="165">
        <v>20146.310000000001</v>
      </c>
      <c r="BC31" s="223">
        <f t="shared" si="49"/>
        <v>37405.78</v>
      </c>
      <c r="BD31" s="224">
        <f t="shared" si="50"/>
        <v>33.498199237736117</v>
      </c>
      <c r="BE31" s="165">
        <v>58732.08</v>
      </c>
      <c r="BF31" s="223">
        <f t="shared" si="51"/>
        <v>96137.86</v>
      </c>
      <c r="BG31" s="225">
        <f t="shared" si="52"/>
        <v>-314.00172263727291</v>
      </c>
    </row>
    <row r="32" spans="1:59" ht="14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>
        <v>667.91</v>
      </c>
      <c r="AM32" s="91" t="s">
        <v>260</v>
      </c>
      <c r="AN32" s="91"/>
      <c r="AP32" s="91"/>
      <c r="AQ32" s="91"/>
      <c r="AR32" s="91"/>
      <c r="AS32" s="91"/>
      <c r="AT32" s="91"/>
      <c r="AU32" s="100" t="s">
        <v>65</v>
      </c>
      <c r="AV32" s="91"/>
      <c r="AW32" s="121">
        <f t="shared" si="53"/>
        <v>-234.70147194215315</v>
      </c>
      <c r="AY32" s="220" t="s">
        <v>210</v>
      </c>
      <c r="AZ32" s="165">
        <v>1729.79</v>
      </c>
      <c r="BA32" s="227">
        <f t="shared" si="48"/>
        <v>-23.468843019333463</v>
      </c>
      <c r="BB32" s="165">
        <v>2014.63</v>
      </c>
      <c r="BC32" s="223">
        <f t="shared" si="49"/>
        <v>3744.42</v>
      </c>
      <c r="BD32" s="224">
        <f t="shared" si="50"/>
        <v>3.3521240986551675</v>
      </c>
      <c r="BE32" s="165">
        <v>5873.21</v>
      </c>
      <c r="BF32" s="223">
        <f t="shared" si="51"/>
        <v>9617.630000000001</v>
      </c>
      <c r="BG32" s="225">
        <f t="shared" si="52"/>
        <v>-31.399868088847143</v>
      </c>
    </row>
    <row r="33" spans="1:59" ht="14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>
        <v>761.96</v>
      </c>
      <c r="AM33" s="91" t="s">
        <v>261</v>
      </c>
      <c r="AN33" s="91"/>
      <c r="AP33" s="91"/>
      <c r="AQ33" s="91"/>
      <c r="AR33" s="91"/>
      <c r="AS33" s="91"/>
      <c r="AT33" s="91"/>
      <c r="AU33" s="100" t="s">
        <v>210</v>
      </c>
      <c r="AV33" s="91"/>
      <c r="AW33" s="121">
        <f t="shared" si="53"/>
        <v>-23.468843019333463</v>
      </c>
      <c r="AY33" s="220" t="s">
        <v>254</v>
      </c>
      <c r="AZ33" s="165">
        <v>1729.79</v>
      </c>
      <c r="BA33" s="227">
        <f t="shared" si="48"/>
        <v>-23.468843019333463</v>
      </c>
      <c r="BB33" s="165">
        <v>2014.63</v>
      </c>
      <c r="BC33" s="223">
        <f t="shared" si="49"/>
        <v>3744.42</v>
      </c>
      <c r="BD33" s="224">
        <f t="shared" si="50"/>
        <v>3.3521240986551675</v>
      </c>
      <c r="BE33" s="165">
        <v>0</v>
      </c>
      <c r="BF33" s="223">
        <f t="shared" si="51"/>
        <v>3744.42</v>
      </c>
      <c r="BG33" s="225">
        <f t="shared" si="52"/>
        <v>3.3521240986551675</v>
      </c>
    </row>
    <row r="34" spans="1:59" ht="14">
      <c r="A34" s="89"/>
      <c r="B34" s="5"/>
      <c r="C34" s="61"/>
      <c r="D34" s="100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>
        <f>AL30-AL31-AL32-AL33</f>
        <v>-135.4999999999992</v>
      </c>
      <c r="AM34" s="91" t="s">
        <v>262</v>
      </c>
      <c r="AN34" s="91"/>
      <c r="AP34" s="91"/>
      <c r="AQ34" s="91"/>
      <c r="AR34" s="91"/>
      <c r="AS34" s="91"/>
      <c r="AT34" s="91"/>
      <c r="AU34" s="100" t="s">
        <v>254</v>
      </c>
      <c r="AV34" s="91"/>
      <c r="AW34" s="121">
        <f t="shared" si="53"/>
        <v>-23.468843019333463</v>
      </c>
      <c r="AY34" s="220" t="s">
        <v>255</v>
      </c>
      <c r="AZ34" s="165">
        <v>472.71</v>
      </c>
      <c r="BA34" s="227">
        <f t="shared" si="48"/>
        <v>-4.7391805332725312</v>
      </c>
      <c r="BB34" s="165">
        <v>0</v>
      </c>
      <c r="BC34" s="223">
        <f t="shared" si="49"/>
        <v>472.71</v>
      </c>
      <c r="BD34" s="224">
        <f t="shared" si="50"/>
        <v>-4.7391805332725312</v>
      </c>
      <c r="BE34" s="165">
        <v>0</v>
      </c>
      <c r="BF34" s="223">
        <f t="shared" si="51"/>
        <v>472.71</v>
      </c>
      <c r="BG34" s="225">
        <f t="shared" si="52"/>
        <v>-4.7391805332725312</v>
      </c>
    </row>
    <row r="35" spans="1:59" ht="14">
      <c r="A35" s="89"/>
      <c r="B35" s="5"/>
      <c r="C35" s="61"/>
      <c r="D35" s="100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P35" s="91"/>
      <c r="AQ35" s="91"/>
      <c r="AR35" s="91"/>
      <c r="AS35" s="91"/>
      <c r="AT35" s="91"/>
      <c r="AU35" s="100" t="s">
        <v>255</v>
      </c>
      <c r="AV35" s="91"/>
      <c r="AW35" s="121">
        <f t="shared" si="53"/>
        <v>-4.7391805332725312</v>
      </c>
      <c r="AY35" s="220" t="s">
        <v>211</v>
      </c>
      <c r="AZ35" s="165">
        <v>691.92</v>
      </c>
      <c r="BA35" s="227">
        <f t="shared" si="48"/>
        <v>-9.3895372077337242</v>
      </c>
      <c r="BB35" s="165">
        <v>805.85</v>
      </c>
      <c r="BC35" s="223">
        <f t="shared" si="49"/>
        <v>1497.77</v>
      </c>
      <c r="BD35" s="224">
        <f t="shared" si="50"/>
        <v>1.3408496394617941</v>
      </c>
      <c r="BE35" s="165">
        <v>2349.2800000000002</v>
      </c>
      <c r="BF35" s="223">
        <f t="shared" si="51"/>
        <v>3847.05</v>
      </c>
      <c r="BG35" s="225">
        <f t="shared" si="52"/>
        <v>-12.555947235538042</v>
      </c>
    </row>
    <row r="36" spans="1:59" ht="14">
      <c r="A36" s="89"/>
      <c r="B36" s="5"/>
      <c r="C36" s="61"/>
      <c r="D36" s="100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P36" s="91"/>
      <c r="AQ36" s="91"/>
      <c r="AR36" s="91"/>
      <c r="AS36" s="91"/>
      <c r="AT36" s="91"/>
      <c r="AU36" s="62" t="s">
        <v>211</v>
      </c>
      <c r="AV36" s="91"/>
      <c r="AW36" s="121">
        <f t="shared" si="53"/>
        <v>-9.3895372077337242</v>
      </c>
      <c r="AY36" s="220" t="s">
        <v>212</v>
      </c>
      <c r="AZ36" s="165">
        <v>874.52</v>
      </c>
      <c r="BA36" s="227">
        <f t="shared" si="48"/>
        <v>-11.739730184320138</v>
      </c>
      <c r="BB36" s="165">
        <v>1007.31</v>
      </c>
      <c r="BC36" s="223">
        <f t="shared" si="49"/>
        <v>1881.83</v>
      </c>
      <c r="BD36" s="224">
        <f t="shared" si="50"/>
        <v>1.6757533746742865</v>
      </c>
      <c r="BE36" s="165">
        <v>2936.61</v>
      </c>
      <c r="BF36" s="223">
        <f t="shared" si="51"/>
        <v>4818.4400000000005</v>
      </c>
      <c r="BG36" s="225">
        <f t="shared" si="52"/>
        <v>-15.705242719076523</v>
      </c>
    </row>
    <row r="37" spans="1:59" ht="14">
      <c r="A37" s="89"/>
      <c r="B37" s="5"/>
      <c r="C37" s="61"/>
      <c r="D37" s="100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P37" s="91"/>
      <c r="AQ37" s="91"/>
      <c r="AR37" s="91"/>
      <c r="AS37" s="91"/>
      <c r="AT37" s="91"/>
      <c r="AU37" s="100" t="s">
        <v>212</v>
      </c>
      <c r="AV37" s="91"/>
      <c r="AW37" s="121">
        <f t="shared" si="53"/>
        <v>-11.739730184320138</v>
      </c>
      <c r="AY37" s="220" t="s">
        <v>214</v>
      </c>
      <c r="AZ37" s="165">
        <v>874.52</v>
      </c>
      <c r="BA37" s="227">
        <f>BA24-AZ37</f>
        <v>-11.739730184320138</v>
      </c>
      <c r="BB37" s="165">
        <v>1007.31</v>
      </c>
      <c r="BC37" s="223">
        <f t="shared" si="49"/>
        <v>1881.83</v>
      </c>
      <c r="BD37" s="224">
        <f>BD24-BC37</f>
        <v>1.6757533746742865</v>
      </c>
      <c r="BE37" s="165">
        <v>2936.61</v>
      </c>
      <c r="BF37" s="223">
        <f t="shared" si="51"/>
        <v>4818.4400000000005</v>
      </c>
      <c r="BG37" s="225">
        <f>BG24-BF37</f>
        <v>-15.705242719076523</v>
      </c>
    </row>
    <row r="38" spans="1:59" ht="14">
      <c r="A38" s="89"/>
      <c r="C38" s="61"/>
      <c r="D38" s="62"/>
      <c r="AU38" s="182" t="s">
        <v>214</v>
      </c>
      <c r="AV38" s="228"/>
      <c r="AW38" s="229">
        <f t="shared" si="53"/>
        <v>-11.739730184320138</v>
      </c>
      <c r="BD38" s="91"/>
      <c r="BE38" s="91"/>
      <c r="BF38" s="91" t="s">
        <v>263</v>
      </c>
      <c r="BG38" s="80">
        <f>SUM(BG28:BG37)</f>
        <v>213285.02557055565</v>
      </c>
    </row>
    <row r="39" spans="1:59" ht="28">
      <c r="A39" s="89"/>
      <c r="C39" s="61"/>
      <c r="D39" s="62"/>
      <c r="AY39" s="1"/>
      <c r="BA39" s="230"/>
      <c r="BB39" s="230"/>
      <c r="BC39" s="230"/>
      <c r="BD39" s="91"/>
      <c r="BE39" s="91"/>
      <c r="BF39" s="91" t="s">
        <v>264</v>
      </c>
      <c r="BG39" s="91">
        <v>559251.67000000004</v>
      </c>
    </row>
    <row r="40" spans="1:59" ht="14">
      <c r="A40" s="89"/>
      <c r="C40" s="61"/>
      <c r="D40" s="62"/>
      <c r="AZ40" s="152"/>
      <c r="BA40" s="152"/>
      <c r="BB40" s="152"/>
      <c r="BC40" s="152"/>
      <c r="BD40" s="91"/>
      <c r="BE40" s="91"/>
      <c r="BF40" s="91" t="s">
        <v>265</v>
      </c>
      <c r="BG40" s="91">
        <v>659798.23</v>
      </c>
    </row>
    <row r="41" spans="1:59" ht="42">
      <c r="A41" s="89" t="s">
        <v>201</v>
      </c>
      <c r="C41" s="61"/>
      <c r="D41" s="62"/>
      <c r="AN41" s="1" t="s">
        <v>148</v>
      </c>
      <c r="AZ41" s="152"/>
      <c r="BA41" s="152"/>
      <c r="BB41" s="152"/>
      <c r="BC41" s="152"/>
      <c r="BD41" s="91"/>
      <c r="BE41" s="91"/>
      <c r="BF41" s="91" t="s">
        <v>266</v>
      </c>
      <c r="BG41" s="91">
        <v>66045.05</v>
      </c>
    </row>
    <row r="42" spans="1:59" ht="14">
      <c r="A42" s="89"/>
      <c r="C42" s="61"/>
      <c r="D42" s="62"/>
      <c r="BD42" s="91"/>
      <c r="BF42" s="1" t="s">
        <v>267</v>
      </c>
      <c r="BG42" s="231">
        <v>7695</v>
      </c>
    </row>
    <row r="43" spans="1:59" ht="14">
      <c r="A43" s="89"/>
      <c r="C43" s="61"/>
      <c r="D43" s="62"/>
      <c r="BB43" s="89"/>
      <c r="BF43" s="1" t="s">
        <v>268</v>
      </c>
      <c r="BG43" s="91">
        <f>BG41+BG40</f>
        <v>725843.28</v>
      </c>
    </row>
    <row r="44" spans="1:59" ht="13">
      <c r="A44" s="89"/>
      <c r="C44" s="61"/>
      <c r="D44" s="62"/>
      <c r="BB44" s="89"/>
    </row>
    <row r="45" spans="1:59" ht="13">
      <c r="A45" s="89"/>
      <c r="C45" s="61"/>
      <c r="D45" s="62"/>
      <c r="BB45" s="132"/>
    </row>
    <row r="46" spans="1:59" ht="13">
      <c r="A46" s="89"/>
      <c r="C46" s="61"/>
      <c r="D46" s="62"/>
      <c r="BB46" s="89"/>
    </row>
    <row r="47" spans="1:59" ht="13">
      <c r="A47" s="89"/>
      <c r="C47" s="61"/>
      <c r="D47" s="62"/>
      <c r="BB47" s="89"/>
    </row>
    <row r="48" spans="1:59" ht="13">
      <c r="A48" s="89"/>
      <c r="C48" s="61"/>
      <c r="D48" s="62"/>
      <c r="BB48" s="89"/>
    </row>
    <row r="49" spans="1:54" ht="13">
      <c r="A49" s="89"/>
      <c r="C49" s="61"/>
      <c r="D49" s="62"/>
      <c r="BB49" s="89"/>
    </row>
    <row r="50" spans="1:54" ht="13">
      <c r="A50" s="89"/>
      <c r="C50" s="61"/>
      <c r="D50" s="62"/>
      <c r="BB50" s="89"/>
    </row>
    <row r="51" spans="1:54" ht="13">
      <c r="A51" s="89"/>
      <c r="C51" s="61"/>
      <c r="D51" s="62"/>
      <c r="BB51" s="89"/>
    </row>
    <row r="52" spans="1:54" ht="13">
      <c r="A52" s="89"/>
      <c r="C52" s="61"/>
      <c r="D52" s="62"/>
    </row>
    <row r="53" spans="1:54" ht="13">
      <c r="A53" s="89"/>
      <c r="C53" s="61"/>
      <c r="D53" s="62"/>
    </row>
    <row r="54" spans="1:54" ht="13">
      <c r="A54" s="89"/>
      <c r="C54" s="61"/>
      <c r="D54" s="6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G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5" width="10.1640625" customWidth="1"/>
    <col min="6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49" width="13.5" customWidth="1"/>
    <col min="50" max="50" width="10.5" customWidth="1"/>
    <col min="51" max="51" width="10.83203125" customWidth="1"/>
    <col min="52" max="59" width="15.1640625" customWidth="1"/>
  </cols>
  <sheetData>
    <row r="1" spans="1:59" ht="42.75" customHeight="1">
      <c r="A1" s="5" t="s">
        <v>148</v>
      </c>
      <c r="C1" s="58" t="s">
        <v>131</v>
      </c>
      <c r="D1" s="59">
        <v>44227</v>
      </c>
      <c r="E1" s="60"/>
      <c r="F1" s="60"/>
      <c r="G1" s="61"/>
      <c r="H1" s="59">
        <v>44255</v>
      </c>
      <c r="I1" s="60"/>
      <c r="J1" s="60"/>
      <c r="K1" s="61"/>
      <c r="L1" s="59">
        <v>44286</v>
      </c>
      <c r="M1" s="60"/>
      <c r="N1" s="60"/>
      <c r="O1" s="61"/>
      <c r="P1" s="59">
        <v>44316</v>
      </c>
      <c r="Q1" s="60"/>
      <c r="R1" s="60"/>
      <c r="S1" s="61"/>
      <c r="T1" s="59">
        <v>44347</v>
      </c>
      <c r="U1" s="60"/>
      <c r="V1" s="60"/>
      <c r="W1" s="61"/>
      <c r="X1" s="59">
        <v>44377</v>
      </c>
      <c r="Y1" s="60"/>
      <c r="Z1" s="60"/>
      <c r="AA1" s="61"/>
      <c r="AB1" s="59">
        <v>44408</v>
      </c>
      <c r="AC1" s="60"/>
      <c r="AD1" s="60"/>
      <c r="AE1" s="61"/>
      <c r="AF1" s="59">
        <v>44439</v>
      </c>
      <c r="AG1" s="60"/>
      <c r="AH1" s="60"/>
      <c r="AI1" s="61"/>
      <c r="AJ1" s="59">
        <v>44469</v>
      </c>
      <c r="AK1" s="60"/>
      <c r="AL1" s="60"/>
      <c r="AM1" s="61"/>
      <c r="AN1" s="59">
        <v>44500</v>
      </c>
      <c r="AO1" s="60"/>
      <c r="AP1" s="60"/>
      <c r="AQ1" s="61"/>
      <c r="AR1" s="59">
        <v>44530</v>
      </c>
      <c r="AS1" s="60"/>
      <c r="AT1" s="60"/>
      <c r="AU1" s="61"/>
      <c r="AV1" s="59">
        <v>44561</v>
      </c>
      <c r="AW1" s="60"/>
      <c r="AX1" s="60"/>
      <c r="BB1" s="62"/>
      <c r="BD1" s="61"/>
    </row>
    <row r="2" spans="1:59" ht="14">
      <c r="A2" s="5"/>
      <c r="C2" s="61"/>
      <c r="D2" s="62">
        <f>YEAR(D1)</f>
        <v>2021</v>
      </c>
      <c r="G2" s="61"/>
      <c r="H2" s="62">
        <f>YEAR(H1)</f>
        <v>2021</v>
      </c>
      <c r="K2" s="61"/>
      <c r="L2" s="62">
        <f>YEAR(L1)</f>
        <v>2021</v>
      </c>
      <c r="O2" s="61"/>
      <c r="P2" s="62">
        <v>2021</v>
      </c>
      <c r="S2" s="61"/>
      <c r="T2" s="62">
        <f>YEAR(T1)</f>
        <v>2021</v>
      </c>
      <c r="W2" s="61"/>
      <c r="X2" s="62">
        <f>YEAR(X1)</f>
        <v>2021</v>
      </c>
      <c r="AA2" s="61"/>
      <c r="AB2" s="62">
        <f>YEAR(AB1)</f>
        <v>2021</v>
      </c>
      <c r="AE2" s="61"/>
      <c r="AF2" s="62">
        <f>YEAR(AF1)</f>
        <v>2021</v>
      </c>
      <c r="AI2" s="61"/>
      <c r="AJ2" s="62">
        <f>YEAR(AJ1)</f>
        <v>2021</v>
      </c>
      <c r="AM2" s="61"/>
      <c r="AN2" s="62">
        <f>YEAR(AN1)</f>
        <v>2021</v>
      </c>
      <c r="AQ2" s="61"/>
      <c r="AR2" s="62">
        <f>YEAR(AR1)</f>
        <v>2021</v>
      </c>
      <c r="AU2" s="61"/>
      <c r="AV2" s="62">
        <f>YEAR(AV1)</f>
        <v>2021</v>
      </c>
      <c r="AY2" s="61"/>
      <c r="AZ2" s="65" t="s">
        <v>132</v>
      </c>
      <c r="BA2" s="65"/>
      <c r="BB2" s="209" t="s">
        <v>247</v>
      </c>
      <c r="BC2" s="65"/>
      <c r="BD2" s="61"/>
      <c r="BE2" s="67">
        <v>2021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E4" s="74"/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C4" s="91">
        <f>AB5-AD4</f>
        <v>0</v>
      </c>
      <c r="AD4" s="1">
        <v>2180.6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70">
      <c r="A5" s="89" t="s">
        <v>136</v>
      </c>
      <c r="C5" s="61"/>
      <c r="D5" s="90">
        <v>54973.21</v>
      </c>
      <c r="E5" s="90"/>
      <c r="F5" s="124"/>
      <c r="G5" s="92"/>
      <c r="H5" s="90">
        <v>68427.399999999994</v>
      </c>
      <c r="I5" s="90"/>
      <c r="J5" s="91"/>
      <c r="K5" s="92"/>
      <c r="L5" s="90">
        <v>89060.55</v>
      </c>
      <c r="M5" s="90"/>
      <c r="N5" s="91"/>
      <c r="O5" s="92"/>
      <c r="P5" s="90">
        <v>66331.59</v>
      </c>
      <c r="Q5" s="90"/>
      <c r="R5" s="91"/>
      <c r="S5" s="92"/>
      <c r="T5" s="90">
        <v>73414.16</v>
      </c>
      <c r="U5" s="90"/>
      <c r="V5" s="91"/>
      <c r="W5" s="92"/>
      <c r="X5" s="211">
        <v>104308.14</v>
      </c>
      <c r="Y5" s="211">
        <v>104828.1</v>
      </c>
      <c r="Z5" s="212">
        <f>Y5-X5</f>
        <v>519.9600000000064</v>
      </c>
      <c r="AA5" s="91"/>
      <c r="AB5" s="90">
        <v>2180.6</v>
      </c>
      <c r="AC5" s="90">
        <v>3072.93</v>
      </c>
      <c r="AD5" s="212">
        <f>AC5-AB5</f>
        <v>892.32999999999993</v>
      </c>
      <c r="AE5" s="92"/>
      <c r="AF5" s="90">
        <v>115138.43</v>
      </c>
      <c r="AG5" s="90">
        <v>118642.21</v>
      </c>
      <c r="AH5" s="91"/>
      <c r="AI5" s="92"/>
      <c r="AJ5" s="90">
        <v>89331.72</v>
      </c>
      <c r="AK5" s="90">
        <v>101335.08</v>
      </c>
      <c r="AL5" s="91"/>
      <c r="AM5" s="232">
        <f>AK5-AJ5</f>
        <v>12003.36</v>
      </c>
      <c r="AN5" s="90">
        <v>-16121.01</v>
      </c>
      <c r="AO5" s="90">
        <v>-14917.58</v>
      </c>
      <c r="AP5" s="91"/>
      <c r="AQ5" s="90"/>
      <c r="AR5" s="90">
        <v>146538.99</v>
      </c>
      <c r="AS5" s="91"/>
      <c r="AT5" s="91"/>
      <c r="AU5" s="90"/>
      <c r="AV5" s="90">
        <v>107634.17</v>
      </c>
      <c r="AW5" s="151" t="s">
        <v>269</v>
      </c>
      <c r="AX5" s="90"/>
      <c r="AY5" s="92"/>
      <c r="AZ5" s="93">
        <f t="shared" ref="AZ5:AZ7" si="0">SUMIF($D$3:$AY$3,AZ$2,$D5:$AY5)</f>
        <v>212461.15999999997</v>
      </c>
      <c r="BA5" s="92"/>
      <c r="BB5" s="93">
        <f t="shared" ref="BB5:BB7" si="1">SUMIF($D$4:$AY$4,BB$2,$D5:$AY5)</f>
        <v>456515.05000000005</v>
      </c>
      <c r="BC5" s="94"/>
      <c r="BD5" s="92"/>
      <c r="BE5" s="94">
        <f t="shared" ref="BE5:BE7" si="2">SUMIF($D$2:$AY$2,$BE$2,$D5:$AY5)</f>
        <v>901217.95000000007</v>
      </c>
      <c r="BF5" s="94"/>
      <c r="BG5" s="94"/>
    </row>
    <row r="6" spans="1:59" ht="14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212" t="s">
        <v>249</v>
      </c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>
        <f>AL16-AL14</f>
        <v>12003.36</v>
      </c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4"/>
      <c r="BD6" s="92"/>
      <c r="BE6" s="94">
        <f t="shared" si="2"/>
        <v>0</v>
      </c>
      <c r="BF6" s="94"/>
      <c r="BG6" s="94"/>
    </row>
    <row r="7" spans="1:59" ht="42">
      <c r="A7" s="89" t="s">
        <v>143</v>
      </c>
      <c r="B7" s="99">
        <v>12500</v>
      </c>
      <c r="C7" s="61"/>
      <c r="D7" s="100">
        <f>'Revised PS Model 2021'!ColinSalary</f>
        <v>12500</v>
      </c>
      <c r="E7" s="91"/>
      <c r="F7" s="91"/>
      <c r="G7" s="92"/>
      <c r="H7" s="100">
        <f>'Revised PS Model 2021'!ColinSalary</f>
        <v>12500</v>
      </c>
      <c r="I7" s="91"/>
      <c r="J7" s="91"/>
      <c r="K7" s="92"/>
      <c r="L7" s="100">
        <f>'Revised PS Model 2021'!ColinSalary</f>
        <v>12500</v>
      </c>
      <c r="M7" s="91"/>
      <c r="N7" s="91"/>
      <c r="O7" s="92"/>
      <c r="P7" s="100">
        <f>'Revised PS Model 2021'!ColinSalary</f>
        <v>12500</v>
      </c>
      <c r="Q7" s="91"/>
      <c r="R7" s="91"/>
      <c r="S7" s="92"/>
      <c r="T7" s="100">
        <f>'Revised PS Model 2021'!ColinSalary</f>
        <v>12500</v>
      </c>
      <c r="U7" s="91"/>
      <c r="V7" s="91"/>
      <c r="W7" s="92"/>
      <c r="X7" s="100">
        <f>'Revised PS Model 2021'!ColinSalary</f>
        <v>12500</v>
      </c>
      <c r="Y7" s="91"/>
      <c r="Z7" s="91"/>
      <c r="AA7" s="92"/>
      <c r="AB7" s="100">
        <f>'Revised PS Model 2021'!ColinSalary</f>
        <v>12500</v>
      </c>
      <c r="AC7" s="91"/>
      <c r="AD7" s="91" t="s">
        <v>251</v>
      </c>
      <c r="AE7" s="92" t="s">
        <v>252</v>
      </c>
      <c r="AF7" s="100">
        <f>'Revised PS Model 2021'!ColinSalary</f>
        <v>12500</v>
      </c>
      <c r="AG7" s="91"/>
      <c r="AH7" s="91"/>
      <c r="AI7" s="92"/>
      <c r="AJ7" s="100">
        <f>'Revised PS Model 2021'!ColinSalary</f>
        <v>12500</v>
      </c>
      <c r="AK7" s="91"/>
      <c r="AL7" s="91"/>
      <c r="AM7" s="92"/>
      <c r="AN7" s="100">
        <f>'Revised PS Model 2021'!ColinSalary</f>
        <v>12500</v>
      </c>
      <c r="AO7" s="91"/>
      <c r="AP7" s="91"/>
      <c r="AQ7" s="92"/>
      <c r="AR7" s="100">
        <f>'Revised PS Model 2021'!ColinSalary</f>
        <v>12500</v>
      </c>
      <c r="AS7" s="91"/>
      <c r="AT7" s="91"/>
      <c r="AU7" s="92"/>
      <c r="AV7" s="100">
        <f>'Revised PS Model 2021'!ColinSalary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SUM(AZ29:AZ37)</f>
        <v>75103.34</v>
      </c>
      <c r="AC8" s="91"/>
      <c r="AD8" s="90">
        <v>2303.0300000000002</v>
      </c>
      <c r="AE8" s="92">
        <f>AD8-AB5</f>
        <v>122.43000000000029</v>
      </c>
      <c r="AF8" s="103">
        <v>0</v>
      </c>
      <c r="AG8" s="91"/>
      <c r="AH8" s="91"/>
      <c r="AI8" s="92"/>
      <c r="AJ8" s="103">
        <v>0</v>
      </c>
      <c r="AK8" s="91"/>
      <c r="AL8" s="91"/>
      <c r="AM8" s="92"/>
      <c r="AN8" s="103">
        <v>87434.97</v>
      </c>
      <c r="AO8" s="91"/>
      <c r="AP8" s="91"/>
      <c r="AQ8" s="92"/>
      <c r="AR8" s="103"/>
      <c r="AS8" s="91"/>
      <c r="AT8" s="91"/>
      <c r="AU8" s="92"/>
      <c r="AV8" s="103"/>
      <c r="AW8" s="91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28">
      <c r="A9" s="89" t="s">
        <v>145</v>
      </c>
      <c r="B9" s="101"/>
      <c r="C9" s="102"/>
      <c r="D9" s="104">
        <f>SUM(F16:F23)</f>
        <v>2161.7600000000002</v>
      </c>
      <c r="E9" s="91"/>
      <c r="F9" s="91"/>
      <c r="G9" s="92"/>
      <c r="H9" s="104">
        <f>SUM(J16:J23)</f>
        <v>679.91</v>
      </c>
      <c r="I9" s="91"/>
      <c r="J9" s="91"/>
      <c r="K9" s="92"/>
      <c r="L9" s="104">
        <f>SUM(N16:N23)</f>
        <v>1107.3399999999999</v>
      </c>
      <c r="M9" s="91"/>
      <c r="N9" s="91"/>
      <c r="O9" s="92"/>
      <c r="P9" s="104">
        <f>SUM(R16:R23)</f>
        <v>1682.78</v>
      </c>
      <c r="Q9" s="91"/>
      <c r="R9" s="91"/>
      <c r="S9" s="92"/>
      <c r="T9" s="104">
        <f>SUM(V16:V23)</f>
        <v>999.09</v>
      </c>
      <c r="U9" s="91"/>
      <c r="V9" s="91"/>
      <c r="W9" s="92"/>
      <c r="X9" s="104">
        <f>SUM(Z16:Z23)</f>
        <v>1503.9</v>
      </c>
      <c r="Y9" s="91"/>
      <c r="Z9" s="91"/>
      <c r="AA9" s="92"/>
      <c r="AB9" s="104">
        <f>SUM(AD16:AD23)</f>
        <v>2735.99</v>
      </c>
      <c r="AC9" s="91"/>
      <c r="AD9" s="91" t="s">
        <v>253</v>
      </c>
      <c r="AE9" s="92"/>
      <c r="AF9" s="104">
        <f>SUM(AH16:AH23)</f>
        <v>4398.1000000000004</v>
      </c>
      <c r="AG9" s="91"/>
      <c r="AH9" s="91"/>
      <c r="AI9" s="92"/>
      <c r="AJ9" s="104">
        <f>SUM(AL16:AL23)</f>
        <v>13727.7</v>
      </c>
      <c r="AK9" s="91"/>
      <c r="AL9" s="91"/>
      <c r="AM9" s="92"/>
      <c r="AN9" s="104">
        <f>SUM(AP16:AP23)</f>
        <v>3358.77</v>
      </c>
      <c r="AO9" s="91"/>
      <c r="AP9" s="91"/>
      <c r="AQ9" s="92"/>
      <c r="AR9" s="104">
        <f>SUM(AT16:AT23)</f>
        <v>3368.47</v>
      </c>
      <c r="AS9" s="91"/>
      <c r="AT9" s="91"/>
      <c r="AU9" s="92"/>
      <c r="AV9" s="104">
        <f>SUM(AX16:AX23)</f>
        <v>3955.19</v>
      </c>
      <c r="AW9" s="91"/>
      <c r="AX9" s="91"/>
      <c r="AY9" s="92"/>
      <c r="AZ9" s="93">
        <f t="shared" ref="AZ9:AZ13" si="3">SUMIF($D$3:$AY$3,AZ$2,$D9:$AY9)</f>
        <v>3949.01</v>
      </c>
      <c r="BA9" s="92"/>
      <c r="BB9" s="93">
        <f t="shared" ref="BB9:BB13" si="4">SUMIF($D$4:$AY$4,BB$2,$D9:$AY9)</f>
        <v>8134.7800000000007</v>
      </c>
      <c r="BC9" s="94"/>
      <c r="BD9" s="92"/>
      <c r="BE9" s="94">
        <f t="shared" ref="BE9:BE13" si="5">SUMIF($D$2:$AY$2,$BE$2,$D9:$AY9)</f>
        <v>39679</v>
      </c>
      <c r="BF9" s="94"/>
      <c r="BG9" s="94"/>
    </row>
    <row r="10" spans="1:59" ht="13">
      <c r="A10" s="89" t="s">
        <v>146</v>
      </c>
      <c r="C10" s="61"/>
      <c r="D10" s="104">
        <f>D5-D6-D7+D9+D8</f>
        <v>44634.97</v>
      </c>
      <c r="E10" s="91"/>
      <c r="F10" s="91"/>
      <c r="G10" s="92"/>
      <c r="H10" s="104">
        <f>H5-H6-H7+H9+H8</f>
        <v>56607.31</v>
      </c>
      <c r="I10" s="91"/>
      <c r="J10" s="91"/>
      <c r="K10" s="92"/>
      <c r="L10" s="104">
        <f>L5-L6-L7+L9+L8</f>
        <v>77667.89</v>
      </c>
      <c r="M10" s="91"/>
      <c r="N10" s="91"/>
      <c r="O10" s="92"/>
      <c r="P10" s="104">
        <f>P5-P6-P7+P9+P8</f>
        <v>55514.369999999995</v>
      </c>
      <c r="Q10" s="91"/>
      <c r="R10" s="91"/>
      <c r="S10" s="92"/>
      <c r="T10" s="104">
        <f>T5-T6-T7+T9+T8</f>
        <v>61913.25</v>
      </c>
      <c r="U10" s="91"/>
      <c r="V10" s="91"/>
      <c r="W10" s="92"/>
      <c r="X10" s="104">
        <f>X5-X6-X7+X9+X8</f>
        <v>93312.04</v>
      </c>
      <c r="Y10" s="91"/>
      <c r="Z10" s="91"/>
      <c r="AA10" s="92"/>
      <c r="AB10" s="104">
        <f>AB5-AB6-AB7+AB9+AB8</f>
        <v>67519.929999999993</v>
      </c>
      <c r="AC10" s="91"/>
      <c r="AD10" s="91">
        <v>2613.56</v>
      </c>
      <c r="AE10" s="92">
        <f>AD16-AD10</f>
        <v>122.42999999999984</v>
      </c>
      <c r="AF10" s="104">
        <f>AF5-AF6-AF7+AF9+AF8</f>
        <v>107036.53</v>
      </c>
      <c r="AG10" s="91"/>
      <c r="AH10" s="91"/>
      <c r="AI10" s="92"/>
      <c r="AJ10" s="104">
        <f>AJ5-AJ6-AJ7+AJ9+AJ8</f>
        <v>90559.42</v>
      </c>
      <c r="AK10" s="91"/>
      <c r="AL10" s="91"/>
      <c r="AM10" s="92"/>
      <c r="AN10" s="104">
        <f>AN5-AN6-AN7+AN9+AN8</f>
        <v>62172.729999999996</v>
      </c>
      <c r="AO10" s="91"/>
      <c r="AP10" s="91"/>
      <c r="AQ10" s="92"/>
      <c r="AR10" s="104">
        <f>AR5-AR6-AR7+AR9+AR8</f>
        <v>137407.46</v>
      </c>
      <c r="AS10" s="91"/>
      <c r="AT10" s="91"/>
      <c r="AU10" s="92"/>
      <c r="AV10" s="104">
        <f>AV5-AV6-AV7+AV9+AV8</f>
        <v>99089.36</v>
      </c>
      <c r="AW10" s="91"/>
      <c r="AX10" s="91"/>
      <c r="AY10" s="92"/>
      <c r="AZ10" s="93">
        <f t="shared" si="3"/>
        <v>178910.16999999998</v>
      </c>
      <c r="BA10" s="92"/>
      <c r="BB10" s="93">
        <f t="shared" si="4"/>
        <v>389649.82999999996</v>
      </c>
      <c r="BC10" s="94"/>
      <c r="BD10" s="92"/>
      <c r="BE10" s="94">
        <f t="shared" si="5"/>
        <v>953435.25999999989</v>
      </c>
      <c r="BF10" s="94"/>
      <c r="BG10" s="94"/>
    </row>
    <row r="11" spans="1:59" ht="14">
      <c r="A11" s="89" t="s">
        <v>147</v>
      </c>
      <c r="C11" s="61"/>
      <c r="D11" s="90">
        <v>0</v>
      </c>
      <c r="E11" s="91"/>
      <c r="F11" s="91"/>
      <c r="G11" s="92"/>
      <c r="H11" s="90">
        <v>12500</v>
      </c>
      <c r="I11" s="91"/>
      <c r="J11" s="91"/>
      <c r="K11" s="92"/>
      <c r="L11" s="90">
        <v>12903</v>
      </c>
      <c r="M11" s="91" t="s">
        <v>148</v>
      </c>
      <c r="N11" s="91"/>
      <c r="O11" s="92"/>
      <c r="P11" s="90">
        <v>12500</v>
      </c>
      <c r="Q11" s="91"/>
      <c r="R11" s="91"/>
      <c r="S11" s="92"/>
      <c r="T11" s="90">
        <v>0</v>
      </c>
      <c r="U11" s="91"/>
      <c r="V11" s="91"/>
      <c r="W11" s="92"/>
      <c r="X11" s="90">
        <v>0</v>
      </c>
      <c r="Y11" s="91"/>
      <c r="Z11" s="91"/>
      <c r="AA11" s="92"/>
      <c r="AB11" s="90">
        <v>0</v>
      </c>
      <c r="AC11" s="91"/>
      <c r="AD11" s="91"/>
      <c r="AE11" s="92"/>
      <c r="AF11" s="90">
        <v>0</v>
      </c>
      <c r="AG11" s="91"/>
      <c r="AH11" s="91"/>
      <c r="AI11" s="92"/>
      <c r="AJ11" s="90">
        <v>0</v>
      </c>
      <c r="AK11" s="91"/>
      <c r="AL11" s="91"/>
      <c r="AM11" s="92"/>
      <c r="AN11" s="90">
        <v>0</v>
      </c>
      <c r="AO11" s="91"/>
      <c r="AP11" s="91"/>
      <c r="AQ11" s="92"/>
      <c r="AR11" s="90">
        <v>0</v>
      </c>
      <c r="AS11" s="91"/>
      <c r="AT11" s="91"/>
      <c r="AU11" s="92"/>
      <c r="AV11" s="90">
        <v>0</v>
      </c>
      <c r="AW11" s="91"/>
      <c r="AX11" s="91"/>
      <c r="AY11" s="92"/>
      <c r="AZ11" s="93">
        <f t="shared" si="3"/>
        <v>25403</v>
      </c>
      <c r="BA11" s="92"/>
      <c r="BB11" s="93">
        <f t="shared" si="4"/>
        <v>37903</v>
      </c>
      <c r="BC11" s="94"/>
      <c r="BD11" s="92"/>
      <c r="BE11" s="94">
        <f t="shared" si="5"/>
        <v>37903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-12500</v>
      </c>
      <c r="E13" s="91"/>
      <c r="F13" s="91"/>
      <c r="G13" s="92"/>
      <c r="H13" s="100">
        <f>H11+H12-H7</f>
        <v>0</v>
      </c>
      <c r="I13" s="91"/>
      <c r="J13" s="91"/>
      <c r="K13" s="92"/>
      <c r="L13" s="100">
        <f>L11+L12-L7</f>
        <v>403</v>
      </c>
      <c r="M13" s="91"/>
      <c r="N13" s="91"/>
      <c r="O13" s="92"/>
      <c r="P13" s="100">
        <f>P11+P12-P7</f>
        <v>0</v>
      </c>
      <c r="Q13" s="91"/>
      <c r="R13" s="91"/>
      <c r="S13" s="92"/>
      <c r="T13" s="100">
        <f>T11+T12-T7</f>
        <v>-12500</v>
      </c>
      <c r="U13" s="91"/>
      <c r="V13" s="91"/>
      <c r="W13" s="92"/>
      <c r="X13" s="100">
        <f>X11+X12-X7</f>
        <v>-12500</v>
      </c>
      <c r="Y13" s="91"/>
      <c r="Z13" s="91"/>
      <c r="AA13" s="92"/>
      <c r="AB13" s="100">
        <f>AB11+AB12-AB7</f>
        <v>-12500</v>
      </c>
      <c r="AC13" s="91"/>
      <c r="AD13" s="91"/>
      <c r="AE13" s="92"/>
      <c r="AF13" s="100">
        <f>AF11+AF12-AF7</f>
        <v>-12500</v>
      </c>
      <c r="AG13" s="91"/>
      <c r="AH13" s="91"/>
      <c r="AI13" s="92"/>
      <c r="AJ13" s="100">
        <f>AJ11+AJ12-AJ7</f>
        <v>-12500</v>
      </c>
      <c r="AK13" s="91"/>
      <c r="AL13" s="91"/>
      <c r="AM13" s="92"/>
      <c r="AN13" s="100">
        <f>AN11+AN12-AN7</f>
        <v>-12500</v>
      </c>
      <c r="AO13" s="91"/>
      <c r="AP13" s="91"/>
      <c r="AQ13" s="92"/>
      <c r="AR13" s="100">
        <f>AR11+AR12-AR7</f>
        <v>-12500</v>
      </c>
      <c r="AS13" s="91"/>
      <c r="AT13" s="91"/>
      <c r="AU13" s="92"/>
      <c r="AV13" s="100">
        <f>AV11+AV12-AV7</f>
        <v>-12500</v>
      </c>
      <c r="AW13" s="91"/>
      <c r="AX13" s="91"/>
      <c r="AY13" s="92"/>
      <c r="AZ13" s="93">
        <f t="shared" si="3"/>
        <v>-12097</v>
      </c>
      <c r="BA13" s="92"/>
      <c r="BB13" s="93">
        <f t="shared" si="4"/>
        <v>-37097</v>
      </c>
      <c r="BC13" s="94"/>
      <c r="BD13" s="92"/>
      <c r="BE13" s="94">
        <f t="shared" si="5"/>
        <v>-112097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124">
        <v>894.32</v>
      </c>
      <c r="AI14" s="92"/>
      <c r="AJ14" s="100"/>
      <c r="AK14" s="91"/>
      <c r="AL14" s="124">
        <v>1724.34</v>
      </c>
      <c r="AM14" s="92"/>
      <c r="AN14" s="100"/>
      <c r="AO14" s="91"/>
      <c r="AP14" s="124">
        <v>2155.34</v>
      </c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93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121"/>
      <c r="C16" s="121">
        <f>'Revised PS Model 2020'!BG26</f>
        <v>112906.85328707076</v>
      </c>
      <c r="D16" s="214">
        <v>300</v>
      </c>
      <c r="E16" s="123">
        <f t="shared" ref="E16:E25" si="6">D$10*D16/D$26</f>
        <v>25775.728585178054</v>
      </c>
      <c r="F16" s="124">
        <v>2161.7600000000002</v>
      </c>
      <c r="G16" s="123">
        <f t="shared" ref="G16:G25" si="7">E16-F16</f>
        <v>23613.968585178052</v>
      </c>
      <c r="H16" s="214">
        <v>300</v>
      </c>
      <c r="I16" s="123">
        <f t="shared" ref="I16:I25" si="8">H$10*H16/H$26</f>
        <v>32689.495668912416</v>
      </c>
      <c r="J16" s="124">
        <v>679.91</v>
      </c>
      <c r="K16" s="123">
        <f t="shared" ref="K16:K25" si="9">I16-J16</f>
        <v>32009.585668912416</v>
      </c>
      <c r="L16" s="214">
        <v>300</v>
      </c>
      <c r="M16" s="123">
        <f t="shared" ref="M16:M25" si="10">L$10*L16/L$26</f>
        <v>45068.408123791101</v>
      </c>
      <c r="N16" s="124">
        <v>1107.3399999999999</v>
      </c>
      <c r="O16" s="123">
        <f t="shared" ref="O16:O25" si="11">M16-N16</f>
        <v>43961.068123791105</v>
      </c>
      <c r="P16" s="214">
        <v>300</v>
      </c>
      <c r="Q16" s="123">
        <f t="shared" ref="Q16:Q25" si="12">P$10*P16/P$26</f>
        <v>32213.367504835587</v>
      </c>
      <c r="R16" s="124">
        <v>1682.78</v>
      </c>
      <c r="S16" s="123">
        <f t="shared" ref="S16:S25" si="13">Q16-R16</f>
        <v>30530.587504835588</v>
      </c>
      <c r="T16" s="214">
        <v>300</v>
      </c>
      <c r="U16" s="123">
        <f t="shared" ref="U16:U25" si="14">T$10*T16/T$26</f>
        <v>35926.450676982589</v>
      </c>
      <c r="V16" s="124">
        <v>999.09</v>
      </c>
      <c r="W16" s="123">
        <f t="shared" ref="W16:W25" si="15">U16-V16</f>
        <v>34927.360676982593</v>
      </c>
      <c r="X16" s="214">
        <v>300</v>
      </c>
      <c r="Y16" s="123">
        <f t="shared" ref="Y16:Y25" si="16">X$10*X16/X$26</f>
        <v>54146.251450676973</v>
      </c>
      <c r="Z16" s="124">
        <v>1503.9</v>
      </c>
      <c r="AA16" s="123">
        <f t="shared" ref="AA16:AA25" si="17">Y16-Z16</f>
        <v>52642.351450676972</v>
      </c>
      <c r="AB16" s="214">
        <v>300</v>
      </c>
      <c r="AC16" s="123">
        <f t="shared" ref="AC16:AC25" si="18">AB$10*AB16/AB$26</f>
        <v>39562.458984374993</v>
      </c>
      <c r="AD16" s="124">
        <v>2735.99</v>
      </c>
      <c r="AE16" s="123">
        <f t="shared" ref="AE16:AE25" si="19">AC16-AD16</f>
        <v>36826.468984374995</v>
      </c>
      <c r="AF16" s="214">
        <v>300</v>
      </c>
      <c r="AG16" s="123">
        <f t="shared" ref="AG16:AG25" si="20">AF$10*AF16/AF$26</f>
        <v>62716.716796875</v>
      </c>
      <c r="AH16" s="124">
        <v>4398.1000000000004</v>
      </c>
      <c r="AI16" s="123">
        <f t="shared" ref="AI16:AI25" si="21">AG16-AH16</f>
        <v>58318.616796875001</v>
      </c>
      <c r="AJ16" s="214">
        <v>300</v>
      </c>
      <c r="AK16" s="123">
        <f t="shared" ref="AK16:AK25" si="22">AJ$10*AJ16/AJ$26</f>
        <v>53062.16015625</v>
      </c>
      <c r="AL16" s="124">
        <v>13727.7</v>
      </c>
      <c r="AM16" s="123">
        <f t="shared" ref="AM16:AM25" si="23">AK16-AL16</f>
        <v>39334.460156250003</v>
      </c>
      <c r="AN16" s="214">
        <v>300</v>
      </c>
      <c r="AO16" s="123">
        <f t="shared" ref="AO16:AO25" si="24">AN$10*AN16/AN$26</f>
        <v>36429.333984375</v>
      </c>
      <c r="AP16" s="124">
        <v>3358.77</v>
      </c>
      <c r="AQ16" s="123">
        <f t="shared" ref="AQ16:AQ25" si="25">AO16-AP16</f>
        <v>33070.563984375003</v>
      </c>
      <c r="AR16" s="214">
        <v>300</v>
      </c>
      <c r="AS16" s="123">
        <f t="shared" ref="AS16:AS25" si="26">AR$10*AR16/AR$26</f>
        <v>80512.18359375</v>
      </c>
      <c r="AT16" s="124">
        <v>3368.47</v>
      </c>
      <c r="AU16" s="123">
        <f t="shared" ref="AU16:AU25" si="27">AS16-AT16</f>
        <v>77143.713593749999</v>
      </c>
      <c r="AV16" s="214">
        <v>300</v>
      </c>
      <c r="AW16" s="123">
        <f t="shared" ref="AW16:AW25" si="28">AV$10*AV16/AV$26</f>
        <v>58060.171875</v>
      </c>
      <c r="AX16" s="124">
        <v>3955.19</v>
      </c>
      <c r="AY16" s="126">
        <f t="shared" ref="AY16:AY25" si="29">AW16-AX16</f>
        <v>54104.981874999998</v>
      </c>
      <c r="AZ16" s="127">
        <f t="shared" ref="AZ16:AZ25" si="30">IF($AV$3="1Q",AY16,0)+IF($AR$3="1Q",AU16,0)+IF($AN$3="1Q",AQ16,0)+IF($AJ$3="1Q",AM16,0)+IF($AF$3="1Q",AI16,0)+IF($AB$3="1Q",AE16,0)+IF($X$3="1Q",AA16,0)+IF($T$3="1Q",W16,0)+IF($P$3="1Q",S16,0)+IF($L$3="1Q",O16,0)+IF($H$3="1Q",K16,0)+IF($D$3="1Q",G16,0)</f>
        <v>99584.622377881577</v>
      </c>
      <c r="BA16" s="128">
        <f t="shared" ref="BA16:BA25" si="31">AZ16+$C16</f>
        <v>212491.47566495233</v>
      </c>
      <c r="BB16" s="127">
        <f t="shared" ref="BB16:BB25" si="32">IF($AV$4="1H",AY16,0)+IF($AR$4="1H",AU16,0)+IF($AN$4="1H",AQ16,0)+IF($AJ$4="1H",AM16,0)+IF($AF$4="1H",AI16,0)+IF($AB$4="1H",AE16,0)+IF($X$4="1H",AA16,0)+IF($T$4="1H",W16,0)+IF($P$4="1H",S16,0)+IF($L$4="1H",O16,0)+IF($H$4="1H",K16,0)+IF($D$4="1H",G16,0)</f>
        <v>217684.92201037673</v>
      </c>
      <c r="BC16" s="127"/>
      <c r="BD16" s="128">
        <f t="shared" ref="BD16:BD25" si="33">BB16+$C16</f>
        <v>330591.77529744746</v>
      </c>
      <c r="BE16" s="127">
        <f t="shared" ref="BE16:BE25" si="34">AY16+AU16+AQ16+AM16+AI16+AE16+AA16+W16+S16+O16+K16+G16</f>
        <v>516483.72740100161</v>
      </c>
      <c r="BF16" s="127"/>
      <c r="BG16" s="91">
        <f t="shared" ref="BG16:BG25" si="35">BE16+C16</f>
        <v>629390.58068807237</v>
      </c>
    </row>
    <row r="17" spans="1:59" ht="13">
      <c r="A17" s="89" t="s">
        <v>209</v>
      </c>
      <c r="B17" s="121"/>
      <c r="C17" s="121">
        <f>'Revised PS Model 2020'!BG27</f>
        <v>-769.46207899117144</v>
      </c>
      <c r="D17" s="214">
        <v>100</v>
      </c>
      <c r="E17" s="123">
        <f t="shared" si="6"/>
        <v>8591.9095283926854</v>
      </c>
      <c r="F17" s="124"/>
      <c r="G17" s="123">
        <f t="shared" si="7"/>
        <v>8591.9095283926854</v>
      </c>
      <c r="H17" s="214">
        <v>100</v>
      </c>
      <c r="I17" s="123">
        <f t="shared" si="8"/>
        <v>10896.498556304139</v>
      </c>
      <c r="J17" s="124"/>
      <c r="K17" s="123">
        <f t="shared" si="9"/>
        <v>10896.498556304139</v>
      </c>
      <c r="L17" s="214">
        <v>100</v>
      </c>
      <c r="M17" s="123">
        <f t="shared" si="10"/>
        <v>15022.802707930368</v>
      </c>
      <c r="N17" s="124"/>
      <c r="O17" s="123">
        <f t="shared" si="11"/>
        <v>15022.802707930368</v>
      </c>
      <c r="P17" s="214">
        <v>100</v>
      </c>
      <c r="Q17" s="123">
        <f t="shared" si="12"/>
        <v>10737.78916827853</v>
      </c>
      <c r="R17" s="124"/>
      <c r="S17" s="123">
        <f t="shared" si="13"/>
        <v>10737.78916827853</v>
      </c>
      <c r="T17" s="214">
        <v>100</v>
      </c>
      <c r="U17" s="123">
        <f t="shared" si="14"/>
        <v>11975.483558994198</v>
      </c>
      <c r="V17" s="124"/>
      <c r="W17" s="123">
        <f t="shared" si="15"/>
        <v>11975.483558994198</v>
      </c>
      <c r="X17" s="214">
        <v>100</v>
      </c>
      <c r="Y17" s="123">
        <f t="shared" si="16"/>
        <v>18048.750483558993</v>
      </c>
      <c r="Z17" s="124"/>
      <c r="AA17" s="123">
        <f t="shared" si="17"/>
        <v>18048.750483558993</v>
      </c>
      <c r="AB17" s="214">
        <v>100</v>
      </c>
      <c r="AC17" s="123">
        <f t="shared" si="18"/>
        <v>13187.486328124998</v>
      </c>
      <c r="AD17" s="124"/>
      <c r="AE17" s="123">
        <f t="shared" si="19"/>
        <v>13187.486328124998</v>
      </c>
      <c r="AF17" s="214">
        <v>100</v>
      </c>
      <c r="AG17" s="123">
        <f t="shared" si="20"/>
        <v>20905.572265625</v>
      </c>
      <c r="AH17" s="124"/>
      <c r="AI17" s="123">
        <f t="shared" si="21"/>
        <v>20905.572265625</v>
      </c>
      <c r="AJ17" s="214">
        <v>100</v>
      </c>
      <c r="AK17" s="123">
        <f t="shared" si="22"/>
        <v>17687.38671875</v>
      </c>
      <c r="AL17" s="124"/>
      <c r="AM17" s="123">
        <f t="shared" si="23"/>
        <v>17687.38671875</v>
      </c>
      <c r="AN17" s="214">
        <v>100</v>
      </c>
      <c r="AO17" s="123">
        <f t="shared" si="24"/>
        <v>12143.111328125</v>
      </c>
      <c r="AP17" s="124"/>
      <c r="AQ17" s="123">
        <f t="shared" si="25"/>
        <v>12143.111328125</v>
      </c>
      <c r="AR17" s="214">
        <v>100</v>
      </c>
      <c r="AS17" s="123">
        <f t="shared" si="26"/>
        <v>26837.39453125</v>
      </c>
      <c r="AT17" s="124"/>
      <c r="AU17" s="123">
        <f t="shared" si="27"/>
        <v>26837.39453125</v>
      </c>
      <c r="AV17" s="214">
        <v>100</v>
      </c>
      <c r="AW17" s="123">
        <f t="shared" si="28"/>
        <v>19353.390625</v>
      </c>
      <c r="AX17" s="124"/>
      <c r="AY17" s="126">
        <f t="shared" si="29"/>
        <v>19353.390625</v>
      </c>
      <c r="AZ17" s="127">
        <f t="shared" si="30"/>
        <v>34511.210792627193</v>
      </c>
      <c r="BA17" s="128">
        <f t="shared" si="31"/>
        <v>33741.748713636021</v>
      </c>
      <c r="BB17" s="127">
        <f t="shared" si="32"/>
        <v>75273.234003458914</v>
      </c>
      <c r="BC17" s="127"/>
      <c r="BD17" s="128">
        <f t="shared" si="33"/>
        <v>74503.771924467743</v>
      </c>
      <c r="BE17" s="127">
        <f t="shared" si="34"/>
        <v>185387.57580033393</v>
      </c>
      <c r="BF17" s="127"/>
      <c r="BG17" s="91">
        <f t="shared" si="35"/>
        <v>184618.11372134276</v>
      </c>
    </row>
    <row r="18" spans="1:59" ht="13">
      <c r="A18" s="89" t="s">
        <v>61</v>
      </c>
      <c r="B18" s="121"/>
      <c r="C18" s="121">
        <f>'Revised PS Model 2020'!BG28</f>
        <v>-230.83686825574841</v>
      </c>
      <c r="D18" s="53">
        <v>50</v>
      </c>
      <c r="E18" s="123">
        <f t="shared" si="6"/>
        <v>4295.9547641963427</v>
      </c>
      <c r="F18" s="124"/>
      <c r="G18" s="126">
        <f t="shared" si="7"/>
        <v>4295.9547641963427</v>
      </c>
      <c r="H18" s="53">
        <v>50</v>
      </c>
      <c r="I18" s="123">
        <f t="shared" si="8"/>
        <v>5448.2492781520696</v>
      </c>
      <c r="J18" s="124"/>
      <c r="K18" s="126">
        <f t="shared" si="9"/>
        <v>5448.2492781520696</v>
      </c>
      <c r="L18" s="53">
        <v>50</v>
      </c>
      <c r="M18" s="123">
        <f t="shared" si="10"/>
        <v>7511.4013539651842</v>
      </c>
      <c r="N18" s="124"/>
      <c r="O18" s="126">
        <f t="shared" si="11"/>
        <v>7511.4013539651842</v>
      </c>
      <c r="P18" s="53">
        <v>50</v>
      </c>
      <c r="Q18" s="123">
        <f t="shared" si="12"/>
        <v>5368.8945841392651</v>
      </c>
      <c r="R18" s="124"/>
      <c r="S18" s="126">
        <f t="shared" si="13"/>
        <v>5368.8945841392651</v>
      </c>
      <c r="T18" s="53">
        <v>50</v>
      </c>
      <c r="U18" s="123">
        <f t="shared" si="14"/>
        <v>5987.7417794970988</v>
      </c>
      <c r="V18" s="124"/>
      <c r="W18" s="126">
        <f t="shared" si="15"/>
        <v>5987.7417794970988</v>
      </c>
      <c r="X18" s="53">
        <v>50</v>
      </c>
      <c r="Y18" s="123">
        <f t="shared" si="16"/>
        <v>9024.3752417794967</v>
      </c>
      <c r="Z18" s="124"/>
      <c r="AA18" s="126">
        <f t="shared" si="17"/>
        <v>9024.3752417794967</v>
      </c>
      <c r="AB18" s="53">
        <v>50</v>
      </c>
      <c r="AC18" s="123">
        <f t="shared" si="18"/>
        <v>6593.7431640624991</v>
      </c>
      <c r="AD18" s="124"/>
      <c r="AE18" s="126">
        <f t="shared" si="19"/>
        <v>6593.7431640624991</v>
      </c>
      <c r="AF18" s="53">
        <v>50</v>
      </c>
      <c r="AG18" s="123">
        <f t="shared" si="20"/>
        <v>10452.7861328125</v>
      </c>
      <c r="AH18" s="124"/>
      <c r="AI18" s="126">
        <f t="shared" si="21"/>
        <v>10452.7861328125</v>
      </c>
      <c r="AJ18" s="53">
        <v>50</v>
      </c>
      <c r="AK18" s="123">
        <f t="shared" si="22"/>
        <v>8843.693359375</v>
      </c>
      <c r="AL18" s="124"/>
      <c r="AM18" s="126">
        <f t="shared" si="23"/>
        <v>8843.693359375</v>
      </c>
      <c r="AN18" s="53">
        <v>50</v>
      </c>
      <c r="AO18" s="123">
        <f t="shared" si="24"/>
        <v>6071.5556640625</v>
      </c>
      <c r="AP18" s="124"/>
      <c r="AQ18" s="126">
        <f t="shared" si="25"/>
        <v>6071.5556640625</v>
      </c>
      <c r="AR18" s="53">
        <v>50</v>
      </c>
      <c r="AS18" s="123">
        <f t="shared" si="26"/>
        <v>13418.697265625</v>
      </c>
      <c r="AT18" s="124"/>
      <c r="AU18" s="126">
        <f t="shared" si="27"/>
        <v>13418.697265625</v>
      </c>
      <c r="AV18" s="53">
        <v>50</v>
      </c>
      <c r="AW18" s="123">
        <f t="shared" si="28"/>
        <v>9676.6953125</v>
      </c>
      <c r="AX18" s="124"/>
      <c r="AY18" s="126">
        <f t="shared" si="29"/>
        <v>9676.6953125</v>
      </c>
      <c r="AZ18" s="127">
        <f t="shared" si="30"/>
        <v>17255.605396313596</v>
      </c>
      <c r="BA18" s="128">
        <f t="shared" si="31"/>
        <v>17024.768528057848</v>
      </c>
      <c r="BB18" s="127">
        <f t="shared" si="32"/>
        <v>37636.617001729457</v>
      </c>
      <c r="BC18" s="127"/>
      <c r="BD18" s="128">
        <f t="shared" si="33"/>
        <v>37405.780133473709</v>
      </c>
      <c r="BE18" s="127">
        <f t="shared" si="34"/>
        <v>92693.787900166964</v>
      </c>
      <c r="BF18" s="127"/>
      <c r="BG18" s="91">
        <f t="shared" si="35"/>
        <v>92462.951031911216</v>
      </c>
    </row>
    <row r="19" spans="1:59" ht="13">
      <c r="A19" s="89" t="s">
        <v>65</v>
      </c>
      <c r="B19" s="121"/>
      <c r="C19" s="121">
        <f>'Revised PS Model 2020'!BG29</f>
        <v>-230.83686825574841</v>
      </c>
      <c r="D19" s="53">
        <v>50</v>
      </c>
      <c r="E19" s="123">
        <f t="shared" si="6"/>
        <v>4295.9547641963427</v>
      </c>
      <c r="F19" s="124"/>
      <c r="G19" s="126">
        <f t="shared" si="7"/>
        <v>4295.9547641963427</v>
      </c>
      <c r="H19" s="53">
        <v>50</v>
      </c>
      <c r="I19" s="123">
        <f t="shared" si="8"/>
        <v>5448.2492781520696</v>
      </c>
      <c r="J19" s="124"/>
      <c r="K19" s="126">
        <f t="shared" si="9"/>
        <v>5448.2492781520696</v>
      </c>
      <c r="L19" s="53">
        <v>50</v>
      </c>
      <c r="M19" s="123">
        <f t="shared" si="10"/>
        <v>7511.4013539651842</v>
      </c>
      <c r="N19" s="124"/>
      <c r="O19" s="126">
        <f t="shared" si="11"/>
        <v>7511.4013539651842</v>
      </c>
      <c r="P19" s="53">
        <v>50</v>
      </c>
      <c r="Q19" s="123">
        <f t="shared" si="12"/>
        <v>5368.8945841392651</v>
      </c>
      <c r="R19" s="124"/>
      <c r="S19" s="126">
        <f t="shared" si="13"/>
        <v>5368.8945841392651</v>
      </c>
      <c r="T19" s="53">
        <v>50</v>
      </c>
      <c r="U19" s="123">
        <f t="shared" si="14"/>
        <v>5987.7417794970988</v>
      </c>
      <c r="V19" s="124"/>
      <c r="W19" s="126">
        <f t="shared" si="15"/>
        <v>5987.7417794970988</v>
      </c>
      <c r="X19" s="53">
        <v>50</v>
      </c>
      <c r="Y19" s="123">
        <f t="shared" si="16"/>
        <v>9024.3752417794967</v>
      </c>
      <c r="Z19" s="124"/>
      <c r="AA19" s="126">
        <f t="shared" si="17"/>
        <v>9024.3752417794967</v>
      </c>
      <c r="AB19" s="53">
        <v>50</v>
      </c>
      <c r="AC19" s="123">
        <f t="shared" si="18"/>
        <v>6593.7431640624991</v>
      </c>
      <c r="AD19" s="124"/>
      <c r="AE19" s="126">
        <f t="shared" si="19"/>
        <v>6593.7431640624991</v>
      </c>
      <c r="AF19" s="53">
        <v>50</v>
      </c>
      <c r="AG19" s="123">
        <f t="shared" si="20"/>
        <v>10452.7861328125</v>
      </c>
      <c r="AH19" s="124"/>
      <c r="AI19" s="126">
        <f t="shared" si="21"/>
        <v>10452.7861328125</v>
      </c>
      <c r="AJ19" s="53">
        <v>50</v>
      </c>
      <c r="AK19" s="123">
        <f t="shared" si="22"/>
        <v>8843.693359375</v>
      </c>
      <c r="AL19" s="124"/>
      <c r="AM19" s="126">
        <f t="shared" si="23"/>
        <v>8843.693359375</v>
      </c>
      <c r="AN19" s="53">
        <v>50</v>
      </c>
      <c r="AO19" s="123">
        <f t="shared" si="24"/>
        <v>6071.5556640625</v>
      </c>
      <c r="AP19" s="124"/>
      <c r="AQ19" s="126">
        <f t="shared" si="25"/>
        <v>6071.5556640625</v>
      </c>
      <c r="AR19" s="53">
        <v>50</v>
      </c>
      <c r="AS19" s="123">
        <f t="shared" si="26"/>
        <v>13418.697265625</v>
      </c>
      <c r="AT19" s="124"/>
      <c r="AU19" s="126">
        <f t="shared" si="27"/>
        <v>13418.697265625</v>
      </c>
      <c r="AV19" s="53">
        <v>50</v>
      </c>
      <c r="AW19" s="123">
        <f t="shared" si="28"/>
        <v>9676.6953125</v>
      </c>
      <c r="AX19" s="124"/>
      <c r="AY19" s="126">
        <f t="shared" si="29"/>
        <v>9676.6953125</v>
      </c>
      <c r="AZ19" s="127">
        <f t="shared" si="30"/>
        <v>17255.605396313596</v>
      </c>
      <c r="BA19" s="128">
        <f t="shared" si="31"/>
        <v>17024.768528057848</v>
      </c>
      <c r="BB19" s="127">
        <f t="shared" si="32"/>
        <v>37636.617001729457</v>
      </c>
      <c r="BC19" s="127"/>
      <c r="BD19" s="128">
        <f t="shared" si="33"/>
        <v>37405.780133473709</v>
      </c>
      <c r="BE19" s="127">
        <f t="shared" si="34"/>
        <v>92693.787900166964</v>
      </c>
      <c r="BF19" s="127"/>
      <c r="BG19" s="91">
        <f t="shared" si="35"/>
        <v>92462.951031911216</v>
      </c>
    </row>
    <row r="20" spans="1:59" ht="13">
      <c r="A20" s="89" t="s">
        <v>210</v>
      </c>
      <c r="B20" s="121"/>
      <c r="C20" s="121">
        <f>'Revised PS Model 2020'!BG30</f>
        <v>-19.239382650693187</v>
      </c>
      <c r="D20" s="53">
        <v>5</v>
      </c>
      <c r="E20" s="123">
        <f t="shared" si="6"/>
        <v>429.59547641963428</v>
      </c>
      <c r="F20" s="124"/>
      <c r="G20" s="126">
        <f t="shared" si="7"/>
        <v>429.59547641963428</v>
      </c>
      <c r="H20" s="53">
        <v>5</v>
      </c>
      <c r="I20" s="123">
        <f t="shared" si="8"/>
        <v>544.82492781520693</v>
      </c>
      <c r="J20" s="124"/>
      <c r="K20" s="126">
        <f t="shared" si="9"/>
        <v>544.82492781520693</v>
      </c>
      <c r="L20" s="53">
        <v>5</v>
      </c>
      <c r="M20" s="123">
        <f t="shared" si="10"/>
        <v>751.14013539651842</v>
      </c>
      <c r="N20" s="124"/>
      <c r="O20" s="126">
        <f t="shared" si="11"/>
        <v>751.14013539651842</v>
      </c>
      <c r="P20" s="53">
        <v>5</v>
      </c>
      <c r="Q20" s="123">
        <f t="shared" si="12"/>
        <v>536.88945841392649</v>
      </c>
      <c r="R20" s="124"/>
      <c r="S20" s="126">
        <f t="shared" si="13"/>
        <v>536.88945841392649</v>
      </c>
      <c r="T20" s="53">
        <v>5</v>
      </c>
      <c r="U20" s="123">
        <f t="shared" si="14"/>
        <v>598.77417794970984</v>
      </c>
      <c r="V20" s="124"/>
      <c r="W20" s="126">
        <f t="shared" si="15"/>
        <v>598.77417794970984</v>
      </c>
      <c r="X20" s="53">
        <v>5</v>
      </c>
      <c r="Y20" s="123">
        <f t="shared" si="16"/>
        <v>902.43752417794963</v>
      </c>
      <c r="Z20" s="124"/>
      <c r="AA20" s="126">
        <f t="shared" si="17"/>
        <v>902.43752417794963</v>
      </c>
      <c r="AB20" s="53">
        <v>5</v>
      </c>
      <c r="AC20" s="123">
        <f t="shared" si="18"/>
        <v>659.37431640624993</v>
      </c>
      <c r="AD20" s="124"/>
      <c r="AE20" s="126">
        <f t="shared" si="19"/>
        <v>659.37431640624993</v>
      </c>
      <c r="AF20" s="53">
        <v>5</v>
      </c>
      <c r="AG20" s="123">
        <f t="shared" si="20"/>
        <v>1045.27861328125</v>
      </c>
      <c r="AH20" s="124"/>
      <c r="AI20" s="126">
        <f t="shared" si="21"/>
        <v>1045.27861328125</v>
      </c>
      <c r="AJ20" s="53">
        <v>5</v>
      </c>
      <c r="AK20" s="123">
        <f t="shared" si="22"/>
        <v>884.36933593749995</v>
      </c>
      <c r="AL20" s="124"/>
      <c r="AM20" s="126">
        <f t="shared" si="23"/>
        <v>884.36933593749995</v>
      </c>
      <c r="AN20" s="53">
        <v>5</v>
      </c>
      <c r="AO20" s="123">
        <f t="shared" si="24"/>
        <v>607.15556640624993</v>
      </c>
      <c r="AP20" s="124"/>
      <c r="AQ20" s="126">
        <f t="shared" si="25"/>
        <v>607.15556640624993</v>
      </c>
      <c r="AR20" s="53">
        <v>5</v>
      </c>
      <c r="AS20" s="123">
        <f t="shared" si="26"/>
        <v>1341.8697265624999</v>
      </c>
      <c r="AT20" s="124"/>
      <c r="AU20" s="126">
        <f t="shared" si="27"/>
        <v>1341.8697265624999</v>
      </c>
      <c r="AV20" s="53">
        <v>5</v>
      </c>
      <c r="AW20" s="123">
        <f t="shared" si="28"/>
        <v>967.66953124999998</v>
      </c>
      <c r="AX20" s="124"/>
      <c r="AY20" s="126">
        <f t="shared" si="29"/>
        <v>967.66953124999998</v>
      </c>
      <c r="AZ20" s="127">
        <f t="shared" si="30"/>
        <v>1725.5605396313597</v>
      </c>
      <c r="BA20" s="128">
        <f t="shared" si="31"/>
        <v>1706.3211569806665</v>
      </c>
      <c r="BB20" s="127">
        <f t="shared" si="32"/>
        <v>3763.661700172946</v>
      </c>
      <c r="BC20" s="127"/>
      <c r="BD20" s="128">
        <f t="shared" si="33"/>
        <v>3744.4223175222528</v>
      </c>
      <c r="BE20" s="127">
        <f t="shared" si="34"/>
        <v>9269.3787900166953</v>
      </c>
      <c r="BF20" s="127"/>
      <c r="BG20" s="91">
        <f t="shared" si="35"/>
        <v>9250.1394073660013</v>
      </c>
    </row>
    <row r="21" spans="1:59" ht="13">
      <c r="A21" s="132" t="s">
        <v>254</v>
      </c>
      <c r="B21" s="121"/>
      <c r="C21" s="121">
        <f>'Revised PS Model 2020'!BG31</f>
        <v>-19.239382650693187</v>
      </c>
      <c r="D21" s="178">
        <v>5</v>
      </c>
      <c r="E21" s="134">
        <f t="shared" si="6"/>
        <v>429.59547641963428</v>
      </c>
      <c r="F21" s="135"/>
      <c r="G21" s="136">
        <f t="shared" si="7"/>
        <v>429.59547641963428</v>
      </c>
      <c r="H21" s="178">
        <v>5</v>
      </c>
      <c r="I21" s="134">
        <f t="shared" si="8"/>
        <v>544.82492781520693</v>
      </c>
      <c r="J21" s="135"/>
      <c r="K21" s="136">
        <f t="shared" si="9"/>
        <v>544.82492781520693</v>
      </c>
      <c r="L21" s="178">
        <v>5</v>
      </c>
      <c r="M21" s="134">
        <f t="shared" si="10"/>
        <v>751.14013539651842</v>
      </c>
      <c r="N21" s="135"/>
      <c r="O21" s="136">
        <f t="shared" si="11"/>
        <v>751.14013539651842</v>
      </c>
      <c r="P21" s="178">
        <v>5</v>
      </c>
      <c r="Q21" s="134">
        <f t="shared" si="12"/>
        <v>536.88945841392649</v>
      </c>
      <c r="R21" s="135"/>
      <c r="S21" s="136">
        <f t="shared" si="13"/>
        <v>536.88945841392649</v>
      </c>
      <c r="T21" s="178">
        <v>5</v>
      </c>
      <c r="U21" s="134">
        <f t="shared" si="14"/>
        <v>598.77417794970984</v>
      </c>
      <c r="V21" s="135"/>
      <c r="W21" s="136">
        <f t="shared" si="15"/>
        <v>598.77417794970984</v>
      </c>
      <c r="X21" s="178">
        <v>5</v>
      </c>
      <c r="Y21" s="123">
        <f t="shared" si="16"/>
        <v>902.43752417794963</v>
      </c>
      <c r="Z21" s="135"/>
      <c r="AA21" s="136">
        <f t="shared" si="17"/>
        <v>902.43752417794963</v>
      </c>
      <c r="AB21" s="178">
        <v>0</v>
      </c>
      <c r="AC21" s="134">
        <f t="shared" si="18"/>
        <v>0</v>
      </c>
      <c r="AD21" s="135"/>
      <c r="AE21" s="136">
        <f t="shared" si="19"/>
        <v>0</v>
      </c>
      <c r="AF21" s="178">
        <v>0</v>
      </c>
      <c r="AG21" s="134">
        <f t="shared" si="20"/>
        <v>0</v>
      </c>
      <c r="AH21" s="135"/>
      <c r="AI21" s="136">
        <f t="shared" si="21"/>
        <v>0</v>
      </c>
      <c r="AJ21" s="178">
        <v>0</v>
      </c>
      <c r="AK21" s="134">
        <f t="shared" si="22"/>
        <v>0</v>
      </c>
      <c r="AL21" s="135"/>
      <c r="AM21" s="136">
        <f t="shared" si="23"/>
        <v>0</v>
      </c>
      <c r="AN21" s="178">
        <v>0</v>
      </c>
      <c r="AO21" s="134">
        <f t="shared" si="24"/>
        <v>0</v>
      </c>
      <c r="AP21" s="135"/>
      <c r="AQ21" s="136">
        <f t="shared" si="25"/>
        <v>0</v>
      </c>
      <c r="AR21" s="178">
        <v>0</v>
      </c>
      <c r="AS21" s="134">
        <f t="shared" si="26"/>
        <v>0</v>
      </c>
      <c r="AT21" s="135"/>
      <c r="AU21" s="136">
        <f t="shared" si="27"/>
        <v>0</v>
      </c>
      <c r="AV21" s="178">
        <v>0</v>
      </c>
      <c r="AW21" s="134">
        <f t="shared" si="28"/>
        <v>0</v>
      </c>
      <c r="AX21" s="135"/>
      <c r="AY21" s="136">
        <f t="shared" si="29"/>
        <v>0</v>
      </c>
      <c r="AZ21" s="138">
        <f t="shared" si="30"/>
        <v>1725.5605396313597</v>
      </c>
      <c r="BA21" s="137">
        <f t="shared" si="31"/>
        <v>1706.3211569806665</v>
      </c>
      <c r="BB21" s="138">
        <f t="shared" si="32"/>
        <v>3763.661700172946</v>
      </c>
      <c r="BC21" s="138"/>
      <c r="BD21" s="137">
        <f t="shared" si="33"/>
        <v>3744.4223175222528</v>
      </c>
      <c r="BE21" s="138">
        <f t="shared" si="34"/>
        <v>3763.661700172946</v>
      </c>
      <c r="BF21" s="138"/>
      <c r="BG21" s="140">
        <f t="shared" si="35"/>
        <v>3744.4223175222528</v>
      </c>
    </row>
    <row r="22" spans="1:59" ht="13">
      <c r="A22" s="132" t="s">
        <v>255</v>
      </c>
      <c r="B22" s="121"/>
      <c r="C22" s="121">
        <f>'Revised PS Model 2020'!BG32</f>
        <v>-19.239382650693187</v>
      </c>
      <c r="D22" s="178">
        <v>2.5</v>
      </c>
      <c r="E22" s="134">
        <f t="shared" si="6"/>
        <v>214.79773820981714</v>
      </c>
      <c r="F22" s="135"/>
      <c r="G22" s="136">
        <f t="shared" si="7"/>
        <v>214.79773820981714</v>
      </c>
      <c r="H22" s="178">
        <v>2.5</v>
      </c>
      <c r="I22" s="134">
        <f t="shared" si="8"/>
        <v>272.41246390760347</v>
      </c>
      <c r="J22" s="135"/>
      <c r="K22" s="136">
        <f t="shared" si="9"/>
        <v>272.41246390760347</v>
      </c>
      <c r="L22" s="178">
        <v>0</v>
      </c>
      <c r="M22" s="134">
        <f t="shared" si="10"/>
        <v>0</v>
      </c>
      <c r="N22" s="135"/>
      <c r="O22" s="136">
        <f t="shared" si="11"/>
        <v>0</v>
      </c>
      <c r="P22" s="178">
        <v>0</v>
      </c>
      <c r="Q22" s="134">
        <f t="shared" si="12"/>
        <v>0</v>
      </c>
      <c r="R22" s="135"/>
      <c r="S22" s="136">
        <f t="shared" si="13"/>
        <v>0</v>
      </c>
      <c r="T22" s="178">
        <v>0</v>
      </c>
      <c r="U22" s="134">
        <f t="shared" si="14"/>
        <v>0</v>
      </c>
      <c r="V22" s="135"/>
      <c r="W22" s="136">
        <f t="shared" si="15"/>
        <v>0</v>
      </c>
      <c r="X22" s="178">
        <v>0</v>
      </c>
      <c r="Y22" s="123">
        <f t="shared" si="16"/>
        <v>0</v>
      </c>
      <c r="Z22" s="135"/>
      <c r="AA22" s="136">
        <f t="shared" si="17"/>
        <v>0</v>
      </c>
      <c r="AB22" s="178">
        <v>0</v>
      </c>
      <c r="AC22" s="134">
        <f t="shared" si="18"/>
        <v>0</v>
      </c>
      <c r="AD22" s="135"/>
      <c r="AE22" s="136">
        <f t="shared" si="19"/>
        <v>0</v>
      </c>
      <c r="AF22" s="178">
        <v>0</v>
      </c>
      <c r="AG22" s="134">
        <f t="shared" si="20"/>
        <v>0</v>
      </c>
      <c r="AH22" s="135"/>
      <c r="AI22" s="136">
        <f t="shared" si="21"/>
        <v>0</v>
      </c>
      <c r="AJ22" s="178">
        <v>0</v>
      </c>
      <c r="AK22" s="134">
        <f t="shared" si="22"/>
        <v>0</v>
      </c>
      <c r="AL22" s="135"/>
      <c r="AM22" s="136">
        <f t="shared" si="23"/>
        <v>0</v>
      </c>
      <c r="AN22" s="178">
        <v>0</v>
      </c>
      <c r="AO22" s="134">
        <f t="shared" si="24"/>
        <v>0</v>
      </c>
      <c r="AP22" s="135"/>
      <c r="AQ22" s="136">
        <f t="shared" si="25"/>
        <v>0</v>
      </c>
      <c r="AR22" s="178">
        <v>0</v>
      </c>
      <c r="AS22" s="134">
        <f t="shared" si="26"/>
        <v>0</v>
      </c>
      <c r="AT22" s="135"/>
      <c r="AU22" s="136">
        <f t="shared" si="27"/>
        <v>0</v>
      </c>
      <c r="AV22" s="178">
        <v>0</v>
      </c>
      <c r="AW22" s="134">
        <f t="shared" si="28"/>
        <v>0</v>
      </c>
      <c r="AX22" s="135"/>
      <c r="AY22" s="136">
        <f t="shared" si="29"/>
        <v>0</v>
      </c>
      <c r="AZ22" s="138">
        <f t="shared" si="30"/>
        <v>487.21020211742064</v>
      </c>
      <c r="BA22" s="137">
        <f t="shared" si="31"/>
        <v>467.97081946672745</v>
      </c>
      <c r="BB22" s="138">
        <f t="shared" si="32"/>
        <v>487.21020211742064</v>
      </c>
      <c r="BC22" s="138"/>
      <c r="BD22" s="137">
        <f t="shared" si="33"/>
        <v>467.97081946672745</v>
      </c>
      <c r="BE22" s="138">
        <f t="shared" si="34"/>
        <v>487.21020211742064</v>
      </c>
      <c r="BF22" s="138"/>
      <c r="BG22" s="140">
        <f t="shared" si="35"/>
        <v>467.97081946672745</v>
      </c>
    </row>
    <row r="23" spans="1:59" ht="13">
      <c r="A23" s="132" t="s">
        <v>211</v>
      </c>
      <c r="B23" s="121"/>
      <c r="C23" s="121">
        <f>'Revised PS Model 2020'!BG33</f>
        <v>-7.6937530602774586</v>
      </c>
      <c r="D23" s="178">
        <v>2</v>
      </c>
      <c r="E23" s="134">
        <f t="shared" si="6"/>
        <v>171.8381905678537</v>
      </c>
      <c r="F23" s="135"/>
      <c r="G23" s="136">
        <f t="shared" si="7"/>
        <v>171.8381905678537</v>
      </c>
      <c r="H23" s="178">
        <v>2</v>
      </c>
      <c r="I23" s="134">
        <f t="shared" si="8"/>
        <v>217.92997112608276</v>
      </c>
      <c r="J23" s="135"/>
      <c r="K23" s="136">
        <f t="shared" si="9"/>
        <v>217.92997112608276</v>
      </c>
      <c r="L23" s="178">
        <v>2</v>
      </c>
      <c r="M23" s="134">
        <f t="shared" si="10"/>
        <v>300.45605415860734</v>
      </c>
      <c r="N23" s="135"/>
      <c r="O23" s="136">
        <f t="shared" si="11"/>
        <v>300.45605415860734</v>
      </c>
      <c r="P23" s="178">
        <v>2</v>
      </c>
      <c r="Q23" s="134">
        <f t="shared" si="12"/>
        <v>214.75578336557058</v>
      </c>
      <c r="R23" s="135"/>
      <c r="S23" s="136">
        <f t="shared" si="13"/>
        <v>214.75578336557058</v>
      </c>
      <c r="T23" s="178">
        <v>2</v>
      </c>
      <c r="U23" s="134">
        <f t="shared" si="14"/>
        <v>239.50967117988395</v>
      </c>
      <c r="V23" s="135"/>
      <c r="W23" s="136">
        <f t="shared" si="15"/>
        <v>239.50967117988395</v>
      </c>
      <c r="X23" s="178">
        <v>2</v>
      </c>
      <c r="Y23" s="123">
        <f t="shared" si="16"/>
        <v>360.97500967117986</v>
      </c>
      <c r="Z23" s="135"/>
      <c r="AA23" s="136">
        <f t="shared" si="17"/>
        <v>360.97500967117986</v>
      </c>
      <c r="AB23" s="178">
        <v>2</v>
      </c>
      <c r="AC23" s="134">
        <f t="shared" si="18"/>
        <v>263.74972656249997</v>
      </c>
      <c r="AD23" s="135"/>
      <c r="AE23" s="136">
        <f t="shared" si="19"/>
        <v>263.74972656249997</v>
      </c>
      <c r="AF23" s="178">
        <v>2</v>
      </c>
      <c r="AG23" s="134">
        <f t="shared" si="20"/>
        <v>418.1114453125</v>
      </c>
      <c r="AH23" s="135"/>
      <c r="AI23" s="136">
        <f t="shared" si="21"/>
        <v>418.1114453125</v>
      </c>
      <c r="AJ23" s="178">
        <v>2</v>
      </c>
      <c r="AK23" s="134">
        <f t="shared" si="22"/>
        <v>353.74773437499999</v>
      </c>
      <c r="AL23" s="135"/>
      <c r="AM23" s="136">
        <f t="shared" si="23"/>
        <v>353.74773437499999</v>
      </c>
      <c r="AN23" s="178">
        <v>2</v>
      </c>
      <c r="AO23" s="134">
        <f t="shared" si="24"/>
        <v>242.86222656249998</v>
      </c>
      <c r="AP23" s="135"/>
      <c r="AQ23" s="136">
        <f t="shared" si="25"/>
        <v>242.86222656249998</v>
      </c>
      <c r="AR23" s="178">
        <v>2</v>
      </c>
      <c r="AS23" s="134">
        <f t="shared" si="26"/>
        <v>536.74789062499997</v>
      </c>
      <c r="AT23" s="135"/>
      <c r="AU23" s="136">
        <f t="shared" si="27"/>
        <v>536.74789062499997</v>
      </c>
      <c r="AV23" s="178">
        <v>2</v>
      </c>
      <c r="AW23" s="134">
        <f t="shared" si="28"/>
        <v>387.0678125</v>
      </c>
      <c r="AX23" s="135"/>
      <c r="AY23" s="136">
        <f t="shared" si="29"/>
        <v>387.0678125</v>
      </c>
      <c r="AZ23" s="138">
        <f t="shared" si="30"/>
        <v>690.22421585254369</v>
      </c>
      <c r="BA23" s="137">
        <f t="shared" si="31"/>
        <v>682.53046279226623</v>
      </c>
      <c r="BB23" s="138">
        <f t="shared" si="32"/>
        <v>1505.4646800691783</v>
      </c>
      <c r="BC23" s="138"/>
      <c r="BD23" s="137">
        <f t="shared" si="33"/>
        <v>1497.7709270089008</v>
      </c>
      <c r="BE23" s="138">
        <f t="shared" si="34"/>
        <v>3707.7515160066782</v>
      </c>
      <c r="BF23" s="138"/>
      <c r="BG23" s="140">
        <f t="shared" si="35"/>
        <v>3700.0577629464005</v>
      </c>
    </row>
    <row r="24" spans="1:59" ht="14">
      <c r="A24" s="132" t="s">
        <v>212</v>
      </c>
      <c r="B24" s="121"/>
      <c r="C24" s="121">
        <f>'Revised PS Model 2020'!BG35</f>
        <v>0</v>
      </c>
      <c r="D24" s="178">
        <v>2.5</v>
      </c>
      <c r="E24" s="134">
        <f t="shared" si="6"/>
        <v>214.79773820981714</v>
      </c>
      <c r="F24" s="135"/>
      <c r="G24" s="136">
        <f t="shared" si="7"/>
        <v>214.79773820981714</v>
      </c>
      <c r="H24" s="178">
        <v>2.5</v>
      </c>
      <c r="I24" s="134">
        <f t="shared" si="8"/>
        <v>272.41246390760347</v>
      </c>
      <c r="J24" s="135"/>
      <c r="K24" s="136">
        <f t="shared" si="9"/>
        <v>272.41246390760347</v>
      </c>
      <c r="L24" s="178">
        <v>2.5</v>
      </c>
      <c r="M24" s="134">
        <f t="shared" si="10"/>
        <v>375.57006769825921</v>
      </c>
      <c r="N24" s="135"/>
      <c r="O24" s="136">
        <f t="shared" si="11"/>
        <v>375.57006769825921</v>
      </c>
      <c r="P24" s="178">
        <v>2.5</v>
      </c>
      <c r="Q24" s="134">
        <f t="shared" si="12"/>
        <v>268.44472920696325</v>
      </c>
      <c r="R24" s="135"/>
      <c r="S24" s="136">
        <f t="shared" si="13"/>
        <v>268.44472920696325</v>
      </c>
      <c r="T24" s="178">
        <v>2.5</v>
      </c>
      <c r="U24" s="134">
        <f t="shared" si="14"/>
        <v>299.38708897485492</v>
      </c>
      <c r="V24" s="135"/>
      <c r="W24" s="136">
        <f t="shared" si="15"/>
        <v>299.38708897485492</v>
      </c>
      <c r="X24" s="178">
        <v>2.5</v>
      </c>
      <c r="Y24" s="123">
        <f t="shared" si="16"/>
        <v>451.21876208897481</v>
      </c>
      <c r="Z24" s="135"/>
      <c r="AA24" s="136">
        <f t="shared" si="17"/>
        <v>451.21876208897481</v>
      </c>
      <c r="AB24" s="178">
        <v>2.5</v>
      </c>
      <c r="AC24" s="134">
        <f t="shared" si="18"/>
        <v>329.68715820312497</v>
      </c>
      <c r="AD24" s="135"/>
      <c r="AE24" s="136">
        <f t="shared" si="19"/>
        <v>329.68715820312497</v>
      </c>
      <c r="AF24" s="178">
        <v>2.5</v>
      </c>
      <c r="AG24" s="134">
        <f t="shared" si="20"/>
        <v>522.63930664062502</v>
      </c>
      <c r="AH24" s="135"/>
      <c r="AI24" s="136">
        <f t="shared" si="21"/>
        <v>522.63930664062502</v>
      </c>
      <c r="AJ24" s="178">
        <v>2.5</v>
      </c>
      <c r="AK24" s="134">
        <f t="shared" si="22"/>
        <v>442.18466796874998</v>
      </c>
      <c r="AL24" s="135"/>
      <c r="AM24" s="136">
        <f t="shared" si="23"/>
        <v>442.18466796874998</v>
      </c>
      <c r="AN24" s="178">
        <v>2.5</v>
      </c>
      <c r="AO24" s="134">
        <f t="shared" si="24"/>
        <v>303.57778320312497</v>
      </c>
      <c r="AP24" s="135"/>
      <c r="AQ24" s="136">
        <f t="shared" si="25"/>
        <v>303.57778320312497</v>
      </c>
      <c r="AR24" s="178">
        <v>2.5</v>
      </c>
      <c r="AS24" s="134">
        <f t="shared" si="26"/>
        <v>670.93486328124993</v>
      </c>
      <c r="AT24" s="135"/>
      <c r="AU24" s="136">
        <f t="shared" si="27"/>
        <v>670.93486328124993</v>
      </c>
      <c r="AV24" s="178">
        <v>2.5</v>
      </c>
      <c r="AW24" s="134">
        <f t="shared" si="28"/>
        <v>483.83476562499999</v>
      </c>
      <c r="AX24" s="135"/>
      <c r="AY24" s="136">
        <f t="shared" si="29"/>
        <v>483.83476562499999</v>
      </c>
      <c r="AZ24" s="138">
        <f t="shared" si="30"/>
        <v>862.78026981567984</v>
      </c>
      <c r="BA24" s="137">
        <f t="shared" si="31"/>
        <v>862.78026981567984</v>
      </c>
      <c r="BB24" s="138">
        <f t="shared" si="32"/>
        <v>1881.830850086473</v>
      </c>
      <c r="BC24" s="138"/>
      <c r="BD24" s="137">
        <f t="shared" si="33"/>
        <v>1881.830850086473</v>
      </c>
      <c r="BE24" s="138">
        <f t="shared" si="34"/>
        <v>4634.6893950083477</v>
      </c>
      <c r="BF24" s="138"/>
      <c r="BG24" s="140">
        <f t="shared" si="35"/>
        <v>4634.6893950083477</v>
      </c>
    </row>
    <row r="25" spans="1:59" ht="14">
      <c r="A25" s="132" t="s">
        <v>214</v>
      </c>
      <c r="B25" s="121"/>
      <c r="C25" s="121">
        <f>'Revised PS Model 2020'!BG36</f>
        <v>0</v>
      </c>
      <c r="D25" s="178">
        <v>2.5</v>
      </c>
      <c r="E25" s="134">
        <f t="shared" si="6"/>
        <v>214.79773820981714</v>
      </c>
      <c r="F25" s="135"/>
      <c r="G25" s="136">
        <f t="shared" si="7"/>
        <v>214.79773820981714</v>
      </c>
      <c r="H25" s="178">
        <v>2.5</v>
      </c>
      <c r="I25" s="134">
        <f t="shared" si="8"/>
        <v>272.41246390760347</v>
      </c>
      <c r="J25" s="135"/>
      <c r="K25" s="136">
        <f t="shared" si="9"/>
        <v>272.41246390760347</v>
      </c>
      <c r="L25" s="178">
        <v>2.5</v>
      </c>
      <c r="M25" s="134">
        <f t="shared" si="10"/>
        <v>375.57006769825921</v>
      </c>
      <c r="N25" s="135"/>
      <c r="O25" s="136">
        <f t="shared" si="11"/>
        <v>375.57006769825921</v>
      </c>
      <c r="P25" s="178">
        <v>2.5</v>
      </c>
      <c r="Q25" s="134">
        <f t="shared" si="12"/>
        <v>268.44472920696325</v>
      </c>
      <c r="R25" s="135"/>
      <c r="S25" s="136">
        <f t="shared" si="13"/>
        <v>268.44472920696325</v>
      </c>
      <c r="T25" s="178">
        <v>2.5</v>
      </c>
      <c r="U25" s="134">
        <f t="shared" si="14"/>
        <v>299.38708897485492</v>
      </c>
      <c r="V25" s="135"/>
      <c r="W25" s="136">
        <f t="shared" si="15"/>
        <v>299.38708897485492</v>
      </c>
      <c r="X25" s="178">
        <v>2.5</v>
      </c>
      <c r="Y25" s="123">
        <f t="shared" si="16"/>
        <v>451.21876208897481</v>
      </c>
      <c r="Z25" s="135"/>
      <c r="AA25" s="136">
        <f t="shared" si="17"/>
        <v>451.21876208897481</v>
      </c>
      <c r="AB25" s="178">
        <v>2.5</v>
      </c>
      <c r="AC25" s="134">
        <f t="shared" si="18"/>
        <v>329.68715820312497</v>
      </c>
      <c r="AD25" s="135"/>
      <c r="AE25" s="136">
        <f t="shared" si="19"/>
        <v>329.68715820312497</v>
      </c>
      <c r="AF25" s="178">
        <v>2.5</v>
      </c>
      <c r="AG25" s="134">
        <f t="shared" si="20"/>
        <v>522.63930664062502</v>
      </c>
      <c r="AH25" s="135"/>
      <c r="AI25" s="136">
        <f t="shared" si="21"/>
        <v>522.63930664062502</v>
      </c>
      <c r="AJ25" s="178">
        <v>2.5</v>
      </c>
      <c r="AK25" s="134">
        <f t="shared" si="22"/>
        <v>442.18466796874998</v>
      </c>
      <c r="AL25" s="135"/>
      <c r="AM25" s="136">
        <f t="shared" si="23"/>
        <v>442.18466796874998</v>
      </c>
      <c r="AN25" s="178">
        <v>2.5</v>
      </c>
      <c r="AO25" s="134">
        <f t="shared" si="24"/>
        <v>303.57778320312497</v>
      </c>
      <c r="AP25" s="135"/>
      <c r="AQ25" s="136">
        <f t="shared" si="25"/>
        <v>303.57778320312497</v>
      </c>
      <c r="AR25" s="178">
        <v>2.5</v>
      </c>
      <c r="AS25" s="134">
        <f t="shared" si="26"/>
        <v>670.93486328124993</v>
      </c>
      <c r="AT25" s="135"/>
      <c r="AU25" s="136">
        <f t="shared" si="27"/>
        <v>670.93486328124993</v>
      </c>
      <c r="AV25" s="178">
        <v>2.5</v>
      </c>
      <c r="AW25" s="134">
        <f t="shared" si="28"/>
        <v>483.83476562499999</v>
      </c>
      <c r="AX25" s="135"/>
      <c r="AY25" s="136">
        <f t="shared" si="29"/>
        <v>483.83476562499999</v>
      </c>
      <c r="AZ25" s="138">
        <f t="shared" si="30"/>
        <v>862.78026981567984</v>
      </c>
      <c r="BA25" s="137">
        <f t="shared" si="31"/>
        <v>862.78026981567984</v>
      </c>
      <c r="BB25" s="138">
        <f t="shared" si="32"/>
        <v>1881.830850086473</v>
      </c>
      <c r="BC25" s="138"/>
      <c r="BD25" s="137">
        <f t="shared" si="33"/>
        <v>1881.830850086473</v>
      </c>
      <c r="BE25" s="138">
        <f t="shared" si="34"/>
        <v>4634.6893950083477</v>
      </c>
      <c r="BF25" s="138"/>
      <c r="BG25" s="140">
        <f t="shared" si="35"/>
        <v>4634.6893950083477</v>
      </c>
    </row>
    <row r="26" spans="1:59" ht="12" customHeight="1">
      <c r="A26" s="89"/>
      <c r="C26" s="61"/>
      <c r="D26" s="148">
        <f t="shared" ref="D26:E26" si="36">SUM(D16:D25)</f>
        <v>519.5</v>
      </c>
      <c r="E26" s="149">
        <f t="shared" si="36"/>
        <v>44634.970000000008</v>
      </c>
      <c r="F26" s="91"/>
      <c r="G26" s="91"/>
      <c r="H26" s="148">
        <f t="shared" ref="H26:I26" si="37">SUM(H16:H25)</f>
        <v>519.5</v>
      </c>
      <c r="I26" s="149">
        <f t="shared" si="37"/>
        <v>56607.310000000005</v>
      </c>
      <c r="J26" s="91"/>
      <c r="K26" s="91"/>
      <c r="L26" s="148">
        <f t="shared" ref="L26:M26" si="38">SUM(L16:L25)</f>
        <v>517</v>
      </c>
      <c r="M26" s="149">
        <f t="shared" si="38"/>
        <v>77667.889999999985</v>
      </c>
      <c r="N26" s="91"/>
      <c r="O26" s="91"/>
      <c r="P26" s="148">
        <f t="shared" ref="P26:Q26" si="39">SUM(P16:P25)</f>
        <v>517</v>
      </c>
      <c r="Q26" s="149">
        <f t="shared" si="39"/>
        <v>55514.369999999995</v>
      </c>
      <c r="R26" s="91"/>
      <c r="S26" s="91"/>
      <c r="T26" s="148">
        <f t="shared" ref="T26:U26" si="40">SUM(T16:T25)</f>
        <v>517</v>
      </c>
      <c r="U26" s="149">
        <f t="shared" si="40"/>
        <v>61913.25</v>
      </c>
      <c r="V26" s="91"/>
      <c r="W26" s="91"/>
      <c r="X26" s="148">
        <f t="shared" ref="X26:Y26" si="41">SUM(X16:X25)</f>
        <v>517</v>
      </c>
      <c r="Y26" s="149">
        <f t="shared" si="41"/>
        <v>93312.039999999979</v>
      </c>
      <c r="Z26" s="91"/>
      <c r="AA26" s="92"/>
      <c r="AB26" s="148">
        <f t="shared" ref="AB26:AC26" si="42">SUM(AB16:AB25)</f>
        <v>512</v>
      </c>
      <c r="AC26" s="149">
        <f t="shared" si="42"/>
        <v>67519.929999999993</v>
      </c>
      <c r="AD26" s="91"/>
      <c r="AE26" s="92"/>
      <c r="AF26" s="148">
        <f t="shared" ref="AF26:AG26" si="43">SUM(AF16:AF25)</f>
        <v>512</v>
      </c>
      <c r="AG26" s="149">
        <f t="shared" si="43"/>
        <v>107036.53000000001</v>
      </c>
      <c r="AH26" s="91"/>
      <c r="AI26" s="91"/>
      <c r="AJ26" s="148">
        <f t="shared" ref="AJ26:AK26" si="44">SUM(AJ16:AJ25)</f>
        <v>512</v>
      </c>
      <c r="AK26" s="149">
        <f t="shared" si="44"/>
        <v>90559.42</v>
      </c>
      <c r="AL26" s="91"/>
      <c r="AM26" s="91"/>
      <c r="AN26" s="148">
        <f t="shared" ref="AN26:AO26" si="45">SUM(AN16:AN25)</f>
        <v>512</v>
      </c>
      <c r="AO26" s="149">
        <f t="shared" si="45"/>
        <v>62172.729999999996</v>
      </c>
      <c r="AP26" s="91"/>
      <c r="AQ26" s="91"/>
      <c r="AR26" s="148">
        <f t="shared" ref="AR26:AS26" si="46">SUM(AR16:AR25)</f>
        <v>512</v>
      </c>
      <c r="AS26" s="149">
        <f t="shared" si="46"/>
        <v>137407.46000000002</v>
      </c>
      <c r="AT26" s="91"/>
      <c r="AU26" s="91"/>
      <c r="AV26" s="148">
        <f t="shared" ref="AV26:AW26" si="47">SUM(AV16:AV25)</f>
        <v>512</v>
      </c>
      <c r="AW26" s="149">
        <f t="shared" si="47"/>
        <v>99089.359999999986</v>
      </c>
      <c r="AX26" s="124"/>
      <c r="AY26" s="92"/>
      <c r="AZ26" s="91"/>
      <c r="BA26" s="150"/>
      <c r="BB26" s="91"/>
      <c r="BC26" s="91"/>
      <c r="BD26" s="150"/>
    </row>
    <row r="27" spans="1:59" ht="14">
      <c r="A27" s="89"/>
      <c r="B27" s="5"/>
      <c r="C27" s="61"/>
      <c r="D27" s="100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124"/>
      <c r="AW27" s="151"/>
      <c r="AX27" s="124"/>
      <c r="AY27" s="92"/>
      <c r="AZ27" s="216" t="str">
        <f>"Paid for "&amp;AZ2</f>
        <v>Paid for 1Q</v>
      </c>
      <c r="BA27" s="217" t="s">
        <v>256</v>
      </c>
      <c r="BB27" s="216" t="str">
        <f>"Paid for "&amp;BB2</f>
        <v>Paid for 1H</v>
      </c>
      <c r="BC27" s="216" t="s">
        <v>270</v>
      </c>
      <c r="BD27" s="217" t="s">
        <v>256</v>
      </c>
      <c r="BE27" s="216" t="str">
        <f>"Paid for "&amp;BE2</f>
        <v>Paid for 2021</v>
      </c>
      <c r="BF27" s="216" t="s">
        <v>270</v>
      </c>
      <c r="BG27" s="217" t="s">
        <v>256</v>
      </c>
    </row>
    <row r="28" spans="1:59" ht="28">
      <c r="A28" s="89"/>
      <c r="B28" s="5"/>
      <c r="C28" s="61"/>
      <c r="D28" s="100"/>
      <c r="E28" s="91"/>
      <c r="F28" s="124"/>
      <c r="G28" s="91"/>
      <c r="H28" s="91"/>
      <c r="I28" s="91"/>
      <c r="J28" s="124"/>
      <c r="K28" s="91"/>
      <c r="L28" s="91"/>
      <c r="M28" s="91"/>
      <c r="N28" s="124">
        <v>923.31</v>
      </c>
      <c r="O28" s="91"/>
      <c r="P28" s="91"/>
      <c r="Q28" s="91"/>
      <c r="R28" s="124"/>
      <c r="S28" s="91"/>
      <c r="T28" s="91"/>
      <c r="U28" s="91"/>
      <c r="V28" s="124"/>
      <c r="W28" s="91"/>
      <c r="X28" s="91"/>
      <c r="Y28" s="91"/>
      <c r="Z28" s="124"/>
      <c r="AA28" s="91"/>
      <c r="AB28" s="91"/>
      <c r="AC28" s="91"/>
      <c r="AD28" s="124"/>
      <c r="AE28" s="91"/>
      <c r="AF28" s="91"/>
      <c r="AG28" s="91"/>
      <c r="AH28" s="124"/>
      <c r="AI28" s="91"/>
      <c r="AJ28" s="91"/>
      <c r="AK28" s="91"/>
      <c r="AL28" s="124"/>
      <c r="AM28" s="91"/>
      <c r="AN28" s="91"/>
      <c r="AO28" s="91"/>
      <c r="AP28" s="124"/>
      <c r="AQ28" s="91"/>
      <c r="AR28" s="91"/>
      <c r="AS28" s="91"/>
      <c r="AT28" s="91"/>
      <c r="AU28" s="1"/>
      <c r="AV28" s="152" t="s">
        <v>258</v>
      </c>
      <c r="AW28" s="118" t="s">
        <v>219</v>
      </c>
      <c r="AY28" s="220" t="s">
        <v>83</v>
      </c>
      <c r="AZ28" s="223">
        <v>0</v>
      </c>
      <c r="BA28" s="222">
        <f t="shared" ref="BA28:BA36" si="48">BA16-AZ28</f>
        <v>212491.47566495233</v>
      </c>
      <c r="BB28" s="223">
        <v>0</v>
      </c>
      <c r="BC28" s="223">
        <f t="shared" ref="BC28:BC37" si="49">AZ28+BB28</f>
        <v>0</v>
      </c>
      <c r="BD28" s="224">
        <f t="shared" ref="BD28:BD36" si="50">BD16-BC28</f>
        <v>330591.77529744746</v>
      </c>
      <c r="BE28" s="223">
        <v>0</v>
      </c>
      <c r="BF28" s="223">
        <f t="shared" ref="BF28:BF37" si="51">BC28+BE28</f>
        <v>0</v>
      </c>
      <c r="BG28" s="224">
        <f t="shared" ref="BG28:BG36" si="52">BG16-BF28</f>
        <v>629390.58068807237</v>
      </c>
    </row>
    <row r="29" spans="1:59" ht="14">
      <c r="A29" s="89"/>
      <c r="B29" s="5"/>
      <c r="C29" s="6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P29" s="91"/>
      <c r="AQ29" s="91"/>
      <c r="AR29" s="91"/>
      <c r="AS29" s="91"/>
      <c r="AT29" s="91"/>
      <c r="AU29" s="91" t="s">
        <v>83</v>
      </c>
      <c r="AV29" s="91"/>
      <c r="AW29" s="151">
        <f t="shared" ref="AW29:AW38" si="53">BA28</f>
        <v>212491.47566495233</v>
      </c>
      <c r="AY29" s="220" t="s">
        <v>209</v>
      </c>
      <c r="AZ29" s="165">
        <v>34211.15</v>
      </c>
      <c r="BA29" s="222">
        <f t="shared" si="48"/>
        <v>-469.40128636398003</v>
      </c>
      <c r="BB29" s="165">
        <v>40292.620000000003</v>
      </c>
      <c r="BC29" s="223">
        <f t="shared" si="49"/>
        <v>74503.77</v>
      </c>
      <c r="BD29" s="224">
        <f t="shared" si="50"/>
        <v>1.9244677387177944E-3</v>
      </c>
      <c r="BE29" s="165">
        <v>0</v>
      </c>
      <c r="BF29" s="223">
        <f t="shared" si="51"/>
        <v>74503.77</v>
      </c>
      <c r="BG29" s="224">
        <f t="shared" si="52"/>
        <v>110114.34372134275</v>
      </c>
    </row>
    <row r="30" spans="1:59" ht="14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>
        <f>AL16</f>
        <v>13727.7</v>
      </c>
      <c r="AM30" s="91" t="s">
        <v>154</v>
      </c>
      <c r="AN30" s="91"/>
      <c r="AP30" s="91"/>
      <c r="AQ30" s="91"/>
      <c r="AR30" s="91"/>
      <c r="AS30" s="124"/>
      <c r="AT30" s="91"/>
      <c r="AU30" s="91" t="s">
        <v>209</v>
      </c>
      <c r="AV30" s="91"/>
      <c r="AW30" s="151">
        <f t="shared" si="53"/>
        <v>-469.40128636398003</v>
      </c>
      <c r="AY30" s="220" t="s">
        <v>61</v>
      </c>
      <c r="AZ30" s="165">
        <v>17259.47</v>
      </c>
      <c r="BA30" s="222">
        <f t="shared" si="48"/>
        <v>-234.70147194215315</v>
      </c>
      <c r="BB30" s="165">
        <v>20146.310000000001</v>
      </c>
      <c r="BC30" s="223">
        <f t="shared" si="49"/>
        <v>37405.78</v>
      </c>
      <c r="BD30" s="224">
        <f t="shared" si="50"/>
        <v>1.3347370986593887E-4</v>
      </c>
      <c r="BE30" s="165">
        <v>0</v>
      </c>
      <c r="BF30" s="223">
        <f t="shared" si="51"/>
        <v>37405.78</v>
      </c>
      <c r="BG30" s="224">
        <f t="shared" si="52"/>
        <v>55057.171031911217</v>
      </c>
    </row>
    <row r="31" spans="1:59" ht="14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>
        <v>12433.33</v>
      </c>
      <c r="AM31" s="91" t="s">
        <v>259</v>
      </c>
      <c r="AN31" s="91"/>
      <c r="AP31" s="91"/>
      <c r="AQ31" s="91"/>
      <c r="AR31" s="91"/>
      <c r="AS31" s="91"/>
      <c r="AT31" s="91"/>
      <c r="AU31" s="91" t="s">
        <v>61</v>
      </c>
      <c r="AV31" s="91"/>
      <c r="AW31" s="151">
        <f t="shared" si="53"/>
        <v>-234.70147194215315</v>
      </c>
      <c r="AY31" s="226" t="s">
        <v>65</v>
      </c>
      <c r="AZ31" s="165">
        <v>17259.47</v>
      </c>
      <c r="BA31" s="227">
        <f t="shared" si="48"/>
        <v>-234.70147194215315</v>
      </c>
      <c r="BB31" s="165">
        <v>20146.310000000001</v>
      </c>
      <c r="BC31" s="223">
        <f t="shared" si="49"/>
        <v>37405.78</v>
      </c>
      <c r="BD31" s="224">
        <f t="shared" si="50"/>
        <v>1.3347370986593887E-4</v>
      </c>
      <c r="BE31" s="165">
        <v>0</v>
      </c>
      <c r="BF31" s="223">
        <f t="shared" si="51"/>
        <v>37405.78</v>
      </c>
      <c r="BG31" s="224">
        <f t="shared" si="52"/>
        <v>55057.171031911217</v>
      </c>
    </row>
    <row r="32" spans="1:59" ht="14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>
        <v>667.91</v>
      </c>
      <c r="AM32" s="91" t="s">
        <v>260</v>
      </c>
      <c r="AN32" s="91"/>
      <c r="AP32" s="91"/>
      <c r="AQ32" s="91"/>
      <c r="AR32" s="91"/>
      <c r="AS32" s="91"/>
      <c r="AT32" s="91"/>
      <c r="AU32" s="91" t="s">
        <v>65</v>
      </c>
      <c r="AV32" s="91"/>
      <c r="AW32" s="151">
        <f t="shared" si="53"/>
        <v>-234.70147194215315</v>
      </c>
      <c r="AY32" s="220" t="s">
        <v>210</v>
      </c>
      <c r="AZ32" s="165">
        <v>1729.79</v>
      </c>
      <c r="BA32" s="227">
        <f t="shared" si="48"/>
        <v>-23.468843019333463</v>
      </c>
      <c r="BB32" s="165">
        <v>2014.63</v>
      </c>
      <c r="BC32" s="223">
        <f t="shared" si="49"/>
        <v>3744.42</v>
      </c>
      <c r="BD32" s="224">
        <f t="shared" si="50"/>
        <v>2.3175222527243022E-3</v>
      </c>
      <c r="BE32" s="165">
        <v>0</v>
      </c>
      <c r="BF32" s="223">
        <f t="shared" si="51"/>
        <v>3744.42</v>
      </c>
      <c r="BG32" s="224">
        <f t="shared" si="52"/>
        <v>5505.7194073660012</v>
      </c>
    </row>
    <row r="33" spans="1:59" ht="14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>
        <v>761.96</v>
      </c>
      <c r="AM33" s="91" t="s">
        <v>261</v>
      </c>
      <c r="AN33" s="91"/>
      <c r="AP33" s="91"/>
      <c r="AQ33" s="91"/>
      <c r="AR33" s="91"/>
      <c r="AS33" s="91"/>
      <c r="AT33" s="91"/>
      <c r="AU33" s="91" t="s">
        <v>210</v>
      </c>
      <c r="AV33" s="91"/>
      <c r="AW33" s="151">
        <f t="shared" si="53"/>
        <v>-23.468843019333463</v>
      </c>
      <c r="AY33" s="220" t="s">
        <v>254</v>
      </c>
      <c r="AZ33" s="165">
        <v>1729.79</v>
      </c>
      <c r="BA33" s="227">
        <f t="shared" si="48"/>
        <v>-23.468843019333463</v>
      </c>
      <c r="BB33" s="165">
        <v>2014.63</v>
      </c>
      <c r="BC33" s="223">
        <f t="shared" si="49"/>
        <v>3744.42</v>
      </c>
      <c r="BD33" s="224">
        <f t="shared" si="50"/>
        <v>2.3175222527243022E-3</v>
      </c>
      <c r="BE33" s="165">
        <v>0</v>
      </c>
      <c r="BF33" s="223">
        <f t="shared" si="51"/>
        <v>3744.42</v>
      </c>
      <c r="BG33" s="224">
        <f t="shared" si="52"/>
        <v>2.3175222527243022E-3</v>
      </c>
    </row>
    <row r="34" spans="1:59" ht="14">
      <c r="A34" s="89"/>
      <c r="B34" s="5"/>
      <c r="C34" s="61"/>
      <c r="D34" s="100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>
        <f>AL30-AL31-AL32-AL33</f>
        <v>-135.4999999999992</v>
      </c>
      <c r="AM34" s="91" t="s">
        <v>262</v>
      </c>
      <c r="AN34" s="91"/>
      <c r="AP34" s="91"/>
      <c r="AQ34" s="91"/>
      <c r="AR34" s="91"/>
      <c r="AS34" s="91"/>
      <c r="AT34" s="91"/>
      <c r="AU34" s="91" t="s">
        <v>254</v>
      </c>
      <c r="AV34" s="91"/>
      <c r="AW34" s="151">
        <f t="shared" si="53"/>
        <v>-23.468843019333463</v>
      </c>
      <c r="AY34" s="220" t="s">
        <v>255</v>
      </c>
      <c r="AZ34" s="165">
        <v>472.71</v>
      </c>
      <c r="BA34" s="227">
        <f t="shared" si="48"/>
        <v>-4.7391805332725312</v>
      </c>
      <c r="BB34" s="165">
        <v>0</v>
      </c>
      <c r="BC34" s="223">
        <f t="shared" si="49"/>
        <v>472.71</v>
      </c>
      <c r="BD34" s="224">
        <f t="shared" si="50"/>
        <v>-4.7391805332725312</v>
      </c>
      <c r="BE34" s="165">
        <v>0</v>
      </c>
      <c r="BF34" s="223">
        <f t="shared" si="51"/>
        <v>472.71</v>
      </c>
      <c r="BG34" s="224">
        <f t="shared" si="52"/>
        <v>-4.7391805332725312</v>
      </c>
    </row>
    <row r="35" spans="1:59" ht="14">
      <c r="A35" s="89"/>
      <c r="B35" s="5"/>
      <c r="C35" s="61"/>
      <c r="D35" s="100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P35" s="91"/>
      <c r="AQ35" s="91"/>
      <c r="AR35" s="91"/>
      <c r="AS35" s="91"/>
      <c r="AT35" s="91"/>
      <c r="AU35" s="91" t="s">
        <v>255</v>
      </c>
      <c r="AV35" s="91"/>
      <c r="AW35" s="151">
        <f t="shared" si="53"/>
        <v>-4.7391805332725312</v>
      </c>
      <c r="AY35" s="220" t="s">
        <v>211</v>
      </c>
      <c r="AZ35" s="165">
        <v>691.92</v>
      </c>
      <c r="BA35" s="227">
        <f t="shared" si="48"/>
        <v>-9.3895372077337242</v>
      </c>
      <c r="BB35" s="165">
        <v>805.85</v>
      </c>
      <c r="BC35" s="223">
        <f t="shared" si="49"/>
        <v>1497.77</v>
      </c>
      <c r="BD35" s="224">
        <f t="shared" si="50"/>
        <v>9.2700890081687248E-4</v>
      </c>
      <c r="BE35" s="165">
        <v>0</v>
      </c>
      <c r="BF35" s="223">
        <f t="shared" si="51"/>
        <v>1497.77</v>
      </c>
      <c r="BG35" s="224">
        <f t="shared" si="52"/>
        <v>2202.2877629464006</v>
      </c>
    </row>
    <row r="36" spans="1:59" ht="14">
      <c r="A36" s="89"/>
      <c r="B36" s="5"/>
      <c r="C36" s="61"/>
      <c r="D36" s="100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P36" s="91"/>
      <c r="AQ36" s="91"/>
      <c r="AR36" s="91"/>
      <c r="AS36" s="91"/>
      <c r="AT36" s="91"/>
      <c r="AU36" s="1" t="s">
        <v>211</v>
      </c>
      <c r="AV36" s="91"/>
      <c r="AW36" s="151">
        <f t="shared" si="53"/>
        <v>-9.3895372077337242</v>
      </c>
      <c r="AY36" s="220" t="s">
        <v>212</v>
      </c>
      <c r="AZ36" s="165">
        <v>874.52</v>
      </c>
      <c r="BA36" s="227">
        <f t="shared" si="48"/>
        <v>-11.739730184320138</v>
      </c>
      <c r="BB36" s="165">
        <v>1007.31</v>
      </c>
      <c r="BC36" s="223">
        <f t="shared" si="49"/>
        <v>1881.83</v>
      </c>
      <c r="BD36" s="224">
        <f t="shared" si="50"/>
        <v>8.5008647306494822E-4</v>
      </c>
      <c r="BE36" s="165">
        <v>0</v>
      </c>
      <c r="BF36" s="223">
        <f t="shared" si="51"/>
        <v>1881.83</v>
      </c>
      <c r="BG36" s="224">
        <f t="shared" si="52"/>
        <v>2752.8593950083477</v>
      </c>
    </row>
    <row r="37" spans="1:59" ht="14">
      <c r="A37" s="89"/>
      <c r="B37" s="5"/>
      <c r="C37" s="61"/>
      <c r="D37" s="100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P37" s="91"/>
      <c r="AQ37" s="91"/>
      <c r="AR37" s="91"/>
      <c r="AS37" s="91"/>
      <c r="AT37" s="91"/>
      <c r="AU37" s="91" t="s">
        <v>212</v>
      </c>
      <c r="AV37" s="91"/>
      <c r="AW37" s="151">
        <f t="shared" si="53"/>
        <v>-11.739730184320138</v>
      </c>
      <c r="AY37" s="220" t="s">
        <v>214</v>
      </c>
      <c r="AZ37" s="165">
        <v>874.52</v>
      </c>
      <c r="BA37" s="227">
        <f>BA24-AZ37</f>
        <v>-11.739730184320138</v>
      </c>
      <c r="BB37" s="165">
        <v>1007.31</v>
      </c>
      <c r="BC37" s="223">
        <f t="shared" si="49"/>
        <v>1881.83</v>
      </c>
      <c r="BD37" s="224">
        <f>BD24-BC37</f>
        <v>8.5008647306494822E-4</v>
      </c>
      <c r="BE37" s="165">
        <v>0</v>
      </c>
      <c r="BF37" s="223">
        <f t="shared" si="51"/>
        <v>1881.83</v>
      </c>
      <c r="BG37" s="224">
        <f>BG24-BF37</f>
        <v>2752.8593950083477</v>
      </c>
    </row>
    <row r="38" spans="1:59" ht="14">
      <c r="A38" s="89"/>
      <c r="C38" s="61"/>
      <c r="D38" s="62"/>
      <c r="AU38" s="1" t="s">
        <v>214</v>
      </c>
      <c r="AV38" s="91"/>
      <c r="AW38" s="151">
        <f t="shared" si="53"/>
        <v>-11.739730184320138</v>
      </c>
      <c r="BD38" s="91"/>
      <c r="BE38" s="91"/>
      <c r="BF38" s="91"/>
      <c r="BG38" s="91"/>
    </row>
    <row r="39" spans="1:59" ht="13">
      <c r="A39" s="89"/>
      <c r="C39" s="61"/>
      <c r="D39" s="62"/>
      <c r="AY39" s="1"/>
      <c r="BA39" s="230"/>
      <c r="BB39" s="230"/>
      <c r="BC39" s="230"/>
      <c r="BD39" s="91"/>
      <c r="BE39" s="91"/>
      <c r="BF39" s="91"/>
      <c r="BG39" s="91"/>
    </row>
    <row r="40" spans="1:59" ht="13">
      <c r="A40" s="89"/>
      <c r="C40" s="61"/>
      <c r="D40" s="62"/>
      <c r="AZ40" s="152"/>
      <c r="BA40" s="152"/>
      <c r="BB40" s="152"/>
      <c r="BC40" s="152"/>
      <c r="BD40" s="91"/>
      <c r="BE40" s="91"/>
      <c r="BF40" s="91"/>
      <c r="BG40" s="91"/>
    </row>
    <row r="41" spans="1:59" ht="14">
      <c r="A41" s="89" t="s">
        <v>201</v>
      </c>
      <c r="C41" s="61"/>
      <c r="D41" s="62"/>
      <c r="AN41" s="1" t="s">
        <v>148</v>
      </c>
      <c r="AZ41" s="152"/>
      <c r="BA41" s="152"/>
      <c r="BB41" s="152"/>
      <c r="BC41" s="152"/>
      <c r="BD41" s="91"/>
      <c r="BE41" s="91"/>
      <c r="BF41" s="91"/>
      <c r="BG41" s="91"/>
    </row>
    <row r="42" spans="1:59" ht="13">
      <c r="A42" s="89"/>
      <c r="C42" s="61"/>
      <c r="D42" s="62"/>
      <c r="BD42" s="91"/>
    </row>
    <row r="43" spans="1:59" ht="13">
      <c r="A43" s="89"/>
      <c r="C43" s="61"/>
      <c r="D43" s="62"/>
    </row>
    <row r="44" spans="1:59" ht="13">
      <c r="A44" s="89"/>
      <c r="C44" s="61"/>
      <c r="D44" s="62"/>
    </row>
    <row r="45" spans="1:59" ht="13">
      <c r="A45" s="89"/>
      <c r="C45" s="61"/>
      <c r="D45" s="62"/>
    </row>
    <row r="46" spans="1:59" ht="13">
      <c r="A46" s="89"/>
      <c r="C46" s="61"/>
      <c r="D46" s="62"/>
    </row>
    <row r="47" spans="1:59" ht="13">
      <c r="A47" s="89"/>
      <c r="C47" s="61"/>
      <c r="D47" s="62"/>
    </row>
    <row r="48" spans="1:59" ht="13">
      <c r="A48" s="89"/>
      <c r="C48" s="61"/>
      <c r="D48" s="62"/>
    </row>
    <row r="49" spans="1:4" ht="13">
      <c r="A49" s="89"/>
      <c r="C49" s="61"/>
      <c r="D49" s="62"/>
    </row>
    <row r="50" spans="1:4" ht="13">
      <c r="A50" s="89"/>
      <c r="C50" s="61"/>
      <c r="D50" s="62"/>
    </row>
    <row r="51" spans="1:4" ht="13">
      <c r="A51" s="89"/>
      <c r="C51" s="61"/>
      <c r="D51" s="62"/>
    </row>
    <row r="52" spans="1:4" ht="13">
      <c r="A52" s="89"/>
      <c r="C52" s="61"/>
      <c r="D52" s="62"/>
    </row>
    <row r="53" spans="1:4" ht="13">
      <c r="A53" s="89"/>
      <c r="C53" s="61"/>
      <c r="D53" s="62"/>
    </row>
    <row r="54" spans="1:4" ht="13">
      <c r="A54" s="89"/>
      <c r="C54" s="61"/>
      <c r="D54" s="6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G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5" width="10.1640625" customWidth="1"/>
    <col min="6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9" width="15.1640625" customWidth="1"/>
  </cols>
  <sheetData>
    <row r="1" spans="1:59" ht="42.75" customHeight="1">
      <c r="A1" s="5" t="s">
        <v>148</v>
      </c>
      <c r="C1" s="58" t="s">
        <v>131</v>
      </c>
      <c r="D1" s="59">
        <v>44227</v>
      </c>
      <c r="E1" s="60"/>
      <c r="F1" s="60"/>
      <c r="G1" s="61"/>
      <c r="H1" s="59">
        <v>44255</v>
      </c>
      <c r="I1" s="60"/>
      <c r="J1" s="60"/>
      <c r="K1" s="61"/>
      <c r="L1" s="59">
        <v>44286</v>
      </c>
      <c r="M1" s="60"/>
      <c r="N1" s="60"/>
      <c r="O1" s="61"/>
      <c r="P1" s="59">
        <v>44316</v>
      </c>
      <c r="Q1" s="60"/>
      <c r="R1" s="60"/>
      <c r="S1" s="61"/>
      <c r="T1" s="59">
        <v>44347</v>
      </c>
      <c r="U1" s="60"/>
      <c r="V1" s="60"/>
      <c r="W1" s="61"/>
      <c r="X1" s="59">
        <v>44377</v>
      </c>
      <c r="Y1" s="60"/>
      <c r="Z1" s="60"/>
      <c r="AA1" s="61"/>
      <c r="AB1" s="59">
        <v>44408</v>
      </c>
      <c r="AC1" s="60"/>
      <c r="AD1" s="60"/>
      <c r="AE1" s="61"/>
      <c r="AF1" s="59">
        <v>44439</v>
      </c>
      <c r="AG1" s="60"/>
      <c r="AH1" s="60"/>
      <c r="AI1" s="61"/>
      <c r="AJ1" s="59">
        <v>44469</v>
      </c>
      <c r="AK1" s="60"/>
      <c r="AL1" s="60"/>
      <c r="AM1" s="61"/>
      <c r="AN1" s="59">
        <v>44500</v>
      </c>
      <c r="AO1" s="60"/>
      <c r="AP1" s="60"/>
      <c r="AQ1" s="61"/>
      <c r="AR1" s="59">
        <v>44530</v>
      </c>
      <c r="AS1" s="60"/>
      <c r="AT1" s="60"/>
      <c r="AU1" s="61"/>
      <c r="AV1" s="59">
        <v>44561</v>
      </c>
      <c r="AW1" s="60"/>
      <c r="AX1" s="60"/>
      <c r="BB1" s="62"/>
      <c r="BD1" s="61"/>
    </row>
    <row r="2" spans="1:59" ht="14">
      <c r="A2" s="5"/>
      <c r="C2" s="61"/>
      <c r="D2" s="62">
        <f>YEAR(D1)</f>
        <v>2021</v>
      </c>
      <c r="G2" s="61"/>
      <c r="H2" s="62">
        <f>YEAR(H1)</f>
        <v>2021</v>
      </c>
      <c r="K2" s="61"/>
      <c r="L2" s="62">
        <f>YEAR(L1)</f>
        <v>2021</v>
      </c>
      <c r="O2" s="61"/>
      <c r="P2" s="62">
        <v>2021</v>
      </c>
      <c r="S2" s="61"/>
      <c r="T2" s="62">
        <f>YEAR(T1)</f>
        <v>2021</v>
      </c>
      <c r="W2" s="61"/>
      <c r="X2" s="62">
        <f>YEAR(X1)</f>
        <v>2021</v>
      </c>
      <c r="AA2" s="61"/>
      <c r="AB2" s="62">
        <f>YEAR(AB1)</f>
        <v>2021</v>
      </c>
      <c r="AE2" s="61"/>
      <c r="AF2" s="62">
        <f>YEAR(AF1)</f>
        <v>2021</v>
      </c>
      <c r="AI2" s="61"/>
      <c r="AJ2" s="62">
        <f>YEAR(AJ1)</f>
        <v>2021</v>
      </c>
      <c r="AM2" s="61"/>
      <c r="AN2" s="62">
        <f>YEAR(AN1)</f>
        <v>2021</v>
      </c>
      <c r="AQ2" s="61"/>
      <c r="AR2" s="62">
        <f>YEAR(AR1)</f>
        <v>2021</v>
      </c>
      <c r="AU2" s="61"/>
      <c r="AV2" s="62">
        <f>YEAR(AV1)</f>
        <v>2021</v>
      </c>
      <c r="AY2" s="61"/>
      <c r="AZ2" s="65" t="s">
        <v>132</v>
      </c>
      <c r="BA2" s="65"/>
      <c r="BB2" s="209" t="s">
        <v>247</v>
      </c>
      <c r="BC2" s="65"/>
      <c r="BD2" s="61"/>
      <c r="BE2" s="67">
        <v>2021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E4" s="74"/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13">
      <c r="A5" s="89" t="s">
        <v>136</v>
      </c>
      <c r="C5" s="61"/>
      <c r="D5" s="90">
        <v>54973.21</v>
      </c>
      <c r="E5" s="90"/>
      <c r="F5" s="124"/>
      <c r="G5" s="92"/>
      <c r="H5" s="90">
        <v>68427.399999999994</v>
      </c>
      <c r="I5" s="90"/>
      <c r="J5" s="91"/>
      <c r="K5" s="92"/>
      <c r="L5" s="90">
        <v>89060.55</v>
      </c>
      <c r="M5" s="90"/>
      <c r="N5" s="91"/>
      <c r="O5" s="92"/>
      <c r="P5" s="90">
        <v>66331.59</v>
      </c>
      <c r="Q5" s="90"/>
      <c r="R5" s="91"/>
      <c r="S5" s="92"/>
      <c r="T5" s="90">
        <v>73414.16</v>
      </c>
      <c r="U5" s="90"/>
      <c r="V5" s="91"/>
      <c r="W5" s="92"/>
      <c r="X5" s="90">
        <v>104308.14</v>
      </c>
      <c r="Y5" s="90">
        <v>104828.1</v>
      </c>
      <c r="Z5" s="91">
        <f>Y5-X5</f>
        <v>519.9600000000064</v>
      </c>
      <c r="AA5" s="91"/>
      <c r="AB5" s="90">
        <v>3072.93</v>
      </c>
      <c r="AC5" s="90"/>
      <c r="AD5" s="91"/>
      <c r="AE5" s="92"/>
      <c r="AF5" s="90">
        <v>118642.21</v>
      </c>
      <c r="AG5" s="90"/>
      <c r="AH5" s="91"/>
      <c r="AI5" s="92"/>
      <c r="AJ5" s="90">
        <v>0</v>
      </c>
      <c r="AK5" s="91"/>
      <c r="AL5" s="91"/>
      <c r="AM5" s="90"/>
      <c r="AN5" s="90">
        <v>0</v>
      </c>
      <c r="AO5" s="91"/>
      <c r="AP5" s="91"/>
      <c r="AQ5" s="90"/>
      <c r="AR5" s="90">
        <v>0</v>
      </c>
      <c r="AS5" s="91"/>
      <c r="AT5" s="91"/>
      <c r="AU5" s="90"/>
      <c r="AV5" s="90">
        <v>0</v>
      </c>
      <c r="AW5" s="151"/>
      <c r="AX5" s="90"/>
      <c r="AY5" s="92"/>
      <c r="AZ5" s="93">
        <f t="shared" ref="AZ5:AZ7" si="0">SUMIF($D$3:$AY$3,AZ$2,$D5:$AY5)</f>
        <v>212461.15999999997</v>
      </c>
      <c r="BA5" s="92"/>
      <c r="BB5" s="93">
        <f t="shared" ref="BB5:BB7" si="1">SUMIF($D$4:$AY$4,BB$2,$D5:$AY5)</f>
        <v>456515.05000000005</v>
      </c>
      <c r="BC5" s="94"/>
      <c r="BD5" s="92"/>
      <c r="BE5" s="94">
        <f t="shared" ref="BE5:BE7" si="2">SUMIF($D$2:$AY$2,$BE$2,$D5:$AY5)</f>
        <v>578230.19000000006</v>
      </c>
      <c r="BF5" s="94"/>
      <c r="BG5" s="94"/>
    </row>
    <row r="6" spans="1:59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4"/>
      <c r="BD6" s="92"/>
      <c r="BE6" s="94">
        <f t="shared" si="2"/>
        <v>0</v>
      </c>
      <c r="BF6" s="94"/>
      <c r="BG6" s="94"/>
    </row>
    <row r="7" spans="1:59" ht="13">
      <c r="A7" s="89" t="s">
        <v>143</v>
      </c>
      <c r="B7" s="99">
        <v>12500</v>
      </c>
      <c r="C7" s="61"/>
      <c r="D7" s="100">
        <f>'PS Model 2021'!ColinSalary</f>
        <v>12500</v>
      </c>
      <c r="E7" s="91"/>
      <c r="F7" s="91"/>
      <c r="G7" s="92"/>
      <c r="H7" s="100">
        <f>'PS Model 2021'!ColinSalary</f>
        <v>12500</v>
      </c>
      <c r="I7" s="91"/>
      <c r="J7" s="91"/>
      <c r="K7" s="92"/>
      <c r="L7" s="100">
        <f>'PS Model 2021'!ColinSalary</f>
        <v>12500</v>
      </c>
      <c r="M7" s="91"/>
      <c r="N7" s="91"/>
      <c r="O7" s="92"/>
      <c r="P7" s="100">
        <f>'PS Model 2021'!ColinSalary</f>
        <v>12500</v>
      </c>
      <c r="Q7" s="91"/>
      <c r="R7" s="91"/>
      <c r="S7" s="92"/>
      <c r="T7" s="100">
        <f>'PS Model 2021'!ColinSalary</f>
        <v>12500</v>
      </c>
      <c r="U7" s="91"/>
      <c r="V7" s="91"/>
      <c r="W7" s="92"/>
      <c r="X7" s="100">
        <f>'PS Model 2021'!ColinSalary</f>
        <v>12500</v>
      </c>
      <c r="Y7" s="91"/>
      <c r="Z7" s="91"/>
      <c r="AA7" s="92"/>
      <c r="AB7" s="100">
        <f>'PS Model 2021'!ColinSalary</f>
        <v>12500</v>
      </c>
      <c r="AC7" s="91"/>
      <c r="AD7" s="91"/>
      <c r="AE7" s="92"/>
      <c r="AF7" s="100">
        <f>'PS Model 2021'!ColinSalary</f>
        <v>12500</v>
      </c>
      <c r="AG7" s="91"/>
      <c r="AH7" s="91"/>
      <c r="AI7" s="92"/>
      <c r="AJ7" s="100">
        <f>'PS Model 2021'!ColinSalary</f>
        <v>12500</v>
      </c>
      <c r="AK7" s="91"/>
      <c r="AL7" s="91"/>
      <c r="AM7" s="92"/>
      <c r="AN7" s="100">
        <f>'PS Model 2021'!ColinSalary</f>
        <v>12500</v>
      </c>
      <c r="AO7" s="91"/>
      <c r="AP7" s="91"/>
      <c r="AQ7" s="92"/>
      <c r="AR7" s="100">
        <f>'PS Model 2021'!ColinSalary</f>
        <v>12500</v>
      </c>
      <c r="AS7" s="91"/>
      <c r="AT7" s="91"/>
      <c r="AU7" s="92"/>
      <c r="AV7" s="100">
        <f>'PS Model 2021'!ColinSalary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v>75103.34</v>
      </c>
      <c r="AC8" s="91"/>
      <c r="AD8" s="91"/>
      <c r="AE8" s="92"/>
      <c r="AF8" s="103">
        <v>0</v>
      </c>
      <c r="AG8" s="91"/>
      <c r="AH8" s="91"/>
      <c r="AI8" s="92"/>
      <c r="AJ8" s="103">
        <v>0</v>
      </c>
      <c r="AK8" s="91"/>
      <c r="AL8" s="91"/>
      <c r="AM8" s="92"/>
      <c r="AN8" s="103">
        <v>0</v>
      </c>
      <c r="AO8" s="91"/>
      <c r="AP8" s="91"/>
      <c r="AQ8" s="92"/>
      <c r="AR8" s="103"/>
      <c r="AS8" s="91"/>
      <c r="AT8" s="91"/>
      <c r="AU8" s="92"/>
      <c r="AV8" s="103"/>
      <c r="AW8" s="91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13">
      <c r="A9" s="89" t="s">
        <v>145</v>
      </c>
      <c r="B9" s="101"/>
      <c r="C9" s="102"/>
      <c r="D9" s="104">
        <f>SUM(F16:F23)</f>
        <v>2161.7600000000002</v>
      </c>
      <c r="E9" s="91"/>
      <c r="F9" s="91"/>
      <c r="G9" s="92"/>
      <c r="H9" s="104">
        <f>SUM(J16:J23)</f>
        <v>679.91</v>
      </c>
      <c r="I9" s="91"/>
      <c r="J9" s="91"/>
      <c r="K9" s="92"/>
      <c r="L9" s="104">
        <f>SUM(N16:N23)</f>
        <v>1107.3399999999999</v>
      </c>
      <c r="M9" s="91"/>
      <c r="N9" s="91"/>
      <c r="O9" s="92"/>
      <c r="P9" s="104">
        <f>SUM(R16:R23)</f>
        <v>1682.78</v>
      </c>
      <c r="Q9" s="91"/>
      <c r="R9" s="91"/>
      <c r="S9" s="92"/>
      <c r="T9" s="104">
        <f>SUM(V16:V23)</f>
        <v>999.09</v>
      </c>
      <c r="U9" s="91"/>
      <c r="V9" s="91"/>
      <c r="W9" s="92"/>
      <c r="X9" s="104">
        <f>SUM(Z16:Z23)</f>
        <v>1503.9</v>
      </c>
      <c r="Y9" s="91"/>
      <c r="Z9" s="91"/>
      <c r="AA9" s="92"/>
      <c r="AB9" s="104">
        <f>SUM(AD16:AD23)</f>
        <v>2613.56</v>
      </c>
      <c r="AC9" s="91"/>
      <c r="AD9" s="91"/>
      <c r="AE9" s="92"/>
      <c r="AF9" s="104">
        <f>SUM(AH16:AH23)</f>
        <v>894.32</v>
      </c>
      <c r="AG9" s="91"/>
      <c r="AH9" s="91"/>
      <c r="AI9" s="92"/>
      <c r="AJ9" s="104">
        <f>SUM(AL16:AL23)</f>
        <v>0</v>
      </c>
      <c r="AK9" s="91"/>
      <c r="AL9" s="91"/>
      <c r="AM9" s="92"/>
      <c r="AN9" s="104">
        <f>SUM(AP16:AP23)</f>
        <v>0</v>
      </c>
      <c r="AO9" s="91"/>
      <c r="AP9" s="91"/>
      <c r="AQ9" s="92"/>
      <c r="AR9" s="104">
        <f>SUM(AT16:AT23)</f>
        <v>0</v>
      </c>
      <c r="AS9" s="91"/>
      <c r="AT9" s="91"/>
      <c r="AU9" s="92"/>
      <c r="AV9" s="104">
        <f>SUM(AX16:AX23)</f>
        <v>0</v>
      </c>
      <c r="AW9" s="91"/>
      <c r="AX9" s="91"/>
      <c r="AY9" s="92"/>
      <c r="AZ9" s="93">
        <f t="shared" ref="AZ9:AZ13" si="3">SUMIF($D$3:$AY$3,AZ$2,$D9:$AY9)</f>
        <v>3949.01</v>
      </c>
      <c r="BA9" s="92"/>
      <c r="BB9" s="93">
        <f t="shared" ref="BB9:BB13" si="4">SUMIF($D$4:$AY$4,BB$2,$D9:$AY9)</f>
        <v>8134.7800000000007</v>
      </c>
      <c r="BC9" s="94"/>
      <c r="BD9" s="92"/>
      <c r="BE9" s="94">
        <f t="shared" ref="BE9:BE13" si="5">SUMIF($D$2:$AY$2,$BE$2,$D9:$AY9)</f>
        <v>11642.66</v>
      </c>
      <c r="BF9" s="94"/>
      <c r="BG9" s="94"/>
    </row>
    <row r="10" spans="1:59" ht="13">
      <c r="A10" s="89" t="s">
        <v>146</v>
      </c>
      <c r="C10" s="61"/>
      <c r="D10" s="104">
        <f>D5-D6-D7+D9+D8</f>
        <v>44634.97</v>
      </c>
      <c r="E10" s="91"/>
      <c r="F10" s="91"/>
      <c r="G10" s="92"/>
      <c r="H10" s="104">
        <f>H5-H6-H7+H9+H8</f>
        <v>56607.31</v>
      </c>
      <c r="I10" s="91"/>
      <c r="J10" s="91"/>
      <c r="K10" s="92"/>
      <c r="L10" s="104">
        <f>L5-L6-L7+L9+L8</f>
        <v>77667.89</v>
      </c>
      <c r="M10" s="91"/>
      <c r="N10" s="91"/>
      <c r="O10" s="92"/>
      <c r="P10" s="104">
        <f>P5-P6-P7+P9+P8</f>
        <v>55514.369999999995</v>
      </c>
      <c r="Q10" s="91"/>
      <c r="R10" s="91"/>
      <c r="S10" s="92"/>
      <c r="T10" s="104">
        <f>T5-T6-T7+T9+T8</f>
        <v>61913.25</v>
      </c>
      <c r="U10" s="91"/>
      <c r="V10" s="91"/>
      <c r="W10" s="92"/>
      <c r="X10" s="104">
        <f>X5-X6-X7+X9+X8</f>
        <v>93312.04</v>
      </c>
      <c r="Y10" s="91"/>
      <c r="Z10" s="91"/>
      <c r="AA10" s="92"/>
      <c r="AB10" s="104">
        <f>AB5-AB6-AB7+AB9+AB8</f>
        <v>68289.83</v>
      </c>
      <c r="AC10" s="91"/>
      <c r="AD10" s="91"/>
      <c r="AE10" s="92"/>
      <c r="AF10" s="104">
        <f>AF5-AF6-AF7+AF9+AF8</f>
        <v>107036.53000000001</v>
      </c>
      <c r="AG10" s="91"/>
      <c r="AH10" s="91"/>
      <c r="AI10" s="92"/>
      <c r="AJ10" s="104">
        <f>AJ5-AJ6-AJ7+AJ9+AJ8</f>
        <v>-12500</v>
      </c>
      <c r="AK10" s="91"/>
      <c r="AL10" s="91"/>
      <c r="AM10" s="92"/>
      <c r="AN10" s="104">
        <f>AN5-AN6-AN7+AN9+AN8</f>
        <v>-12500</v>
      </c>
      <c r="AO10" s="91"/>
      <c r="AP10" s="91"/>
      <c r="AQ10" s="92"/>
      <c r="AR10" s="104">
        <f>AR5-AR6-AR7+AR9+AR8</f>
        <v>-12500</v>
      </c>
      <c r="AS10" s="91"/>
      <c r="AT10" s="91"/>
      <c r="AU10" s="92"/>
      <c r="AV10" s="104">
        <f>AV5-AV6-AV7+AV9+AV8</f>
        <v>-12500</v>
      </c>
      <c r="AW10" s="91"/>
      <c r="AX10" s="91"/>
      <c r="AY10" s="92"/>
      <c r="AZ10" s="93">
        <f t="shared" si="3"/>
        <v>178910.16999999998</v>
      </c>
      <c r="BA10" s="92"/>
      <c r="BB10" s="93">
        <f t="shared" si="4"/>
        <v>389649.82999999996</v>
      </c>
      <c r="BC10" s="94"/>
      <c r="BD10" s="92"/>
      <c r="BE10" s="94">
        <f t="shared" si="5"/>
        <v>514976.18999999994</v>
      </c>
      <c r="BF10" s="94"/>
      <c r="BG10" s="94"/>
    </row>
    <row r="11" spans="1:59" ht="14">
      <c r="A11" s="89" t="s">
        <v>147</v>
      </c>
      <c r="C11" s="61"/>
      <c r="D11" s="90">
        <v>0</v>
      </c>
      <c r="E11" s="91"/>
      <c r="F11" s="91"/>
      <c r="G11" s="92"/>
      <c r="H11" s="90">
        <v>12500</v>
      </c>
      <c r="I11" s="91"/>
      <c r="J11" s="91"/>
      <c r="K11" s="92"/>
      <c r="L11" s="90">
        <v>12903</v>
      </c>
      <c r="M11" s="91" t="s">
        <v>148</v>
      </c>
      <c r="N11" s="91"/>
      <c r="O11" s="92"/>
      <c r="P11" s="90">
        <v>12500</v>
      </c>
      <c r="Q11" s="91"/>
      <c r="R11" s="91"/>
      <c r="S11" s="92"/>
      <c r="T11" s="90">
        <v>0</v>
      </c>
      <c r="U11" s="91"/>
      <c r="V11" s="91"/>
      <c r="W11" s="92"/>
      <c r="X11" s="90">
        <v>0</v>
      </c>
      <c r="Y11" s="91"/>
      <c r="Z11" s="91"/>
      <c r="AA11" s="92"/>
      <c r="AB11" s="90">
        <v>0</v>
      </c>
      <c r="AC11" s="91"/>
      <c r="AD11" s="91"/>
      <c r="AE11" s="92"/>
      <c r="AF11" s="90">
        <v>0</v>
      </c>
      <c r="AG11" s="91"/>
      <c r="AH11" s="91"/>
      <c r="AI11" s="92"/>
      <c r="AJ11" s="90">
        <v>0</v>
      </c>
      <c r="AK11" s="91"/>
      <c r="AL11" s="91"/>
      <c r="AM11" s="92"/>
      <c r="AN11" s="90">
        <v>0</v>
      </c>
      <c r="AO11" s="91"/>
      <c r="AP11" s="91"/>
      <c r="AQ11" s="92"/>
      <c r="AR11" s="90">
        <v>0</v>
      </c>
      <c r="AS11" s="91"/>
      <c r="AT11" s="91"/>
      <c r="AU11" s="92"/>
      <c r="AV11" s="90">
        <v>0</v>
      </c>
      <c r="AW11" s="91"/>
      <c r="AX11" s="91"/>
      <c r="AY11" s="92"/>
      <c r="AZ11" s="93">
        <f t="shared" si="3"/>
        <v>25403</v>
      </c>
      <c r="BA11" s="92"/>
      <c r="BB11" s="93">
        <f t="shared" si="4"/>
        <v>37903</v>
      </c>
      <c r="BC11" s="94"/>
      <c r="BD11" s="92"/>
      <c r="BE11" s="94">
        <f t="shared" si="5"/>
        <v>37903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-12500</v>
      </c>
      <c r="E13" s="91"/>
      <c r="F13" s="91"/>
      <c r="G13" s="92"/>
      <c r="H13" s="100">
        <f>H11+H12-H7</f>
        <v>0</v>
      </c>
      <c r="I13" s="91"/>
      <c r="J13" s="91"/>
      <c r="K13" s="92"/>
      <c r="L13" s="100">
        <f>L11+L12-L7</f>
        <v>403</v>
      </c>
      <c r="M13" s="91"/>
      <c r="N13" s="91"/>
      <c r="O13" s="92"/>
      <c r="P13" s="100">
        <f>P11+P12-P7</f>
        <v>0</v>
      </c>
      <c r="Q13" s="91"/>
      <c r="R13" s="91"/>
      <c r="S13" s="92"/>
      <c r="T13" s="100">
        <f>T11+T12-T7</f>
        <v>-12500</v>
      </c>
      <c r="U13" s="91"/>
      <c r="V13" s="91"/>
      <c r="W13" s="92"/>
      <c r="X13" s="100">
        <f>X11+X12-X7</f>
        <v>-12500</v>
      </c>
      <c r="Y13" s="91"/>
      <c r="Z13" s="91"/>
      <c r="AA13" s="92"/>
      <c r="AB13" s="100">
        <f>AB11+AB12-AB7</f>
        <v>-12500</v>
      </c>
      <c r="AC13" s="91"/>
      <c r="AD13" s="91"/>
      <c r="AE13" s="92"/>
      <c r="AF13" s="100">
        <f>AF11+AF12-AF7</f>
        <v>-12500</v>
      </c>
      <c r="AG13" s="91"/>
      <c r="AH13" s="91"/>
      <c r="AI13" s="92"/>
      <c r="AJ13" s="100">
        <f>AJ11+AJ12-AJ7</f>
        <v>-12500</v>
      </c>
      <c r="AK13" s="91"/>
      <c r="AL13" s="91"/>
      <c r="AM13" s="92"/>
      <c r="AN13" s="100">
        <f>AN11+AN12-AN7</f>
        <v>-12500</v>
      </c>
      <c r="AO13" s="91"/>
      <c r="AP13" s="91"/>
      <c r="AQ13" s="92"/>
      <c r="AR13" s="100">
        <f>AR11+AR12-AR7</f>
        <v>-12500</v>
      </c>
      <c r="AS13" s="91"/>
      <c r="AT13" s="91"/>
      <c r="AU13" s="92"/>
      <c r="AV13" s="100">
        <f>AV11+AV12-AV7</f>
        <v>-12500</v>
      </c>
      <c r="AW13" s="91"/>
      <c r="AX13" s="91"/>
      <c r="AY13" s="92"/>
      <c r="AZ13" s="93">
        <f t="shared" si="3"/>
        <v>-12097</v>
      </c>
      <c r="BA13" s="92"/>
      <c r="BB13" s="93">
        <f t="shared" si="4"/>
        <v>-37097</v>
      </c>
      <c r="BC13" s="94"/>
      <c r="BD13" s="92"/>
      <c r="BE13" s="94">
        <f t="shared" si="5"/>
        <v>-112097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93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121"/>
      <c r="C16" s="121">
        <f>'Revised PS Model 2020'!BG26</f>
        <v>112906.85328707076</v>
      </c>
      <c r="D16" s="214">
        <v>300</v>
      </c>
      <c r="E16" s="123">
        <f t="shared" ref="E16:E25" si="6">D$10*D16/D$26</f>
        <v>25775.728585178054</v>
      </c>
      <c r="F16" s="124">
        <v>2161.7600000000002</v>
      </c>
      <c r="G16" s="123">
        <f t="shared" ref="G16:G25" si="7">E16-F16</f>
        <v>23613.968585178052</v>
      </c>
      <c r="H16" s="214">
        <v>300</v>
      </c>
      <c r="I16" s="123">
        <f t="shared" ref="I16:I25" si="8">H$10*H16/H$26</f>
        <v>32689.495668912416</v>
      </c>
      <c r="J16" s="124">
        <v>679.91</v>
      </c>
      <c r="K16" s="123">
        <f t="shared" ref="K16:K25" si="9">I16-J16</f>
        <v>32009.585668912416</v>
      </c>
      <c r="L16" s="214">
        <v>300</v>
      </c>
      <c r="M16" s="123">
        <f t="shared" ref="M16:M25" si="10">L$10*L16/L$26</f>
        <v>45068.408123791101</v>
      </c>
      <c r="N16" s="124">
        <v>1107.3399999999999</v>
      </c>
      <c r="O16" s="123">
        <f t="shared" ref="O16:O25" si="11">M16-N16</f>
        <v>43961.068123791105</v>
      </c>
      <c r="P16" s="214">
        <v>300</v>
      </c>
      <c r="Q16" s="123">
        <f t="shared" ref="Q16:Q25" si="12">P$10*P16/P$26</f>
        <v>32213.367504835587</v>
      </c>
      <c r="R16" s="124">
        <v>1682.78</v>
      </c>
      <c r="S16" s="123">
        <f t="shared" ref="S16:S25" si="13">Q16-R16</f>
        <v>30530.587504835588</v>
      </c>
      <c r="T16" s="214">
        <v>300</v>
      </c>
      <c r="U16" s="123">
        <f t="shared" ref="U16:U25" si="14">T$10*T16/T$26</f>
        <v>35926.450676982589</v>
      </c>
      <c r="V16" s="124">
        <v>999.09</v>
      </c>
      <c r="W16" s="123">
        <f t="shared" ref="W16:W25" si="15">U16-V16</f>
        <v>34927.360676982593</v>
      </c>
      <c r="X16" s="214">
        <v>300</v>
      </c>
      <c r="Y16" s="123">
        <f t="shared" ref="Y16:Y25" si="16">X$10*X16/X$26</f>
        <v>54146.251450676973</v>
      </c>
      <c r="Z16" s="124">
        <v>1503.9</v>
      </c>
      <c r="AA16" s="123">
        <f t="shared" ref="AA16:AA25" si="17">Y16-Z16</f>
        <v>52642.351450676972</v>
      </c>
      <c r="AB16" s="214">
        <v>300</v>
      </c>
      <c r="AC16" s="123">
        <f t="shared" ref="AC16:AC25" si="18">AB$10*AB16/AB$26</f>
        <v>40408.183431952661</v>
      </c>
      <c r="AD16" s="124">
        <v>2613.56</v>
      </c>
      <c r="AE16" s="123">
        <f t="shared" ref="AE16:AE25" si="19">AC16-AD16</f>
        <v>37794.623431952663</v>
      </c>
      <c r="AF16" s="214">
        <v>300</v>
      </c>
      <c r="AG16" s="123">
        <f t="shared" ref="AG16:AG25" si="20">AF$10*AF16/AF$26</f>
        <v>63335.224852071013</v>
      </c>
      <c r="AH16" s="124">
        <v>894.32</v>
      </c>
      <c r="AI16" s="123">
        <f t="shared" ref="AI16:AI25" si="21">AG16-AH16</f>
        <v>62440.904852071013</v>
      </c>
      <c r="AJ16" s="214">
        <v>300</v>
      </c>
      <c r="AK16" s="123">
        <f t="shared" ref="AK16:AK25" si="22">AJ$10*AJ16/AJ$26</f>
        <v>-7396.4497041420118</v>
      </c>
      <c r="AL16" s="124">
        <v>0</v>
      </c>
      <c r="AM16" s="123">
        <f t="shared" ref="AM16:AM25" si="23">AK16-AL16</f>
        <v>-7396.4497041420118</v>
      </c>
      <c r="AN16" s="214">
        <v>300</v>
      </c>
      <c r="AO16" s="123">
        <f t="shared" ref="AO16:AO25" si="24">AN$10*AN16/AN$26</f>
        <v>-7396.4497041420118</v>
      </c>
      <c r="AP16" s="124">
        <v>0</v>
      </c>
      <c r="AQ16" s="123">
        <f t="shared" ref="AQ16:AQ25" si="25">AO16-AP16</f>
        <v>-7396.4497041420118</v>
      </c>
      <c r="AR16" s="214">
        <v>300</v>
      </c>
      <c r="AS16" s="123">
        <f t="shared" ref="AS16:AS25" si="26">AR$10*AR16/AR$26</f>
        <v>-7396.4497041420118</v>
      </c>
      <c r="AT16" s="124">
        <v>0</v>
      </c>
      <c r="AU16" s="123">
        <f t="shared" ref="AU16:AU25" si="27">AS16-AT16</f>
        <v>-7396.4497041420118</v>
      </c>
      <c r="AV16" s="214">
        <v>300</v>
      </c>
      <c r="AW16" s="123">
        <f t="shared" ref="AW16:AW25" si="28">AV$10*AV16/AV$26</f>
        <v>-7396.4497041420118</v>
      </c>
      <c r="AX16" s="124">
        <v>0</v>
      </c>
      <c r="AY16" s="126">
        <f t="shared" ref="AY16:AY25" si="29">AW16-AX16</f>
        <v>-7396.4497041420118</v>
      </c>
      <c r="AZ16" s="127">
        <f t="shared" ref="AZ16:AZ25" si="30">IF($AV$3="1Q",AY16,0)+IF($AR$3="1Q",AU16,0)+IF($AN$3="1Q",AQ16,0)+IF($AJ$3="1Q",AM16,0)+IF($AF$3="1Q",AI16,0)+IF($AB$3="1Q",AE16,0)+IF($X$3="1Q",AA16,0)+IF($T$3="1Q",W16,0)+IF($P$3="1Q",S16,0)+IF($L$3="1Q",O16,0)+IF($H$3="1Q",K16,0)+IF($D$3="1Q",G16,0)</f>
        <v>99584.622377881577</v>
      </c>
      <c r="BA16" s="128">
        <f t="shared" ref="BA16:BA25" si="31">AZ16+$C16</f>
        <v>212491.47566495233</v>
      </c>
      <c r="BB16" s="127">
        <f t="shared" ref="BB16:BB25" si="32">IF($AV$4="1H",AY16,0)+IF($AR$4="1H",AU16,0)+IF($AN$4="1H",AQ16,0)+IF($AJ$4="1H",AM16,0)+IF($AF$4="1H",AI16,0)+IF($AB$4="1H",AE16,0)+IF($X$4="1H",AA16,0)+IF($T$4="1H",W16,0)+IF($P$4="1H",S16,0)+IF($L$4="1H",O16,0)+IF($H$4="1H",K16,0)+IF($D$4="1H",G16,0)</f>
        <v>217684.92201037673</v>
      </c>
      <c r="BC16" s="127"/>
      <c r="BD16" s="128">
        <f t="shared" ref="BD16:BD25" si="33">BB16+$C16</f>
        <v>330591.77529744746</v>
      </c>
      <c r="BE16" s="127">
        <f t="shared" ref="BE16:BE25" si="34">AY16+AU16+AQ16+AM16+AI16+AE16+AA16+W16+S16+O16+K16+G16</f>
        <v>288334.65147783235</v>
      </c>
      <c r="BF16" s="127"/>
      <c r="BG16" s="91">
        <f t="shared" ref="BG16:BG25" si="35">BE16+C16</f>
        <v>401241.5047649031</v>
      </c>
    </row>
    <row r="17" spans="1:59" ht="13">
      <c r="A17" s="89" t="s">
        <v>209</v>
      </c>
      <c r="B17" s="121"/>
      <c r="C17" s="121">
        <f>'Revised PS Model 2020'!BG27</f>
        <v>-769.46207899117144</v>
      </c>
      <c r="D17" s="214">
        <v>100</v>
      </c>
      <c r="E17" s="123">
        <f t="shared" si="6"/>
        <v>8591.9095283926854</v>
      </c>
      <c r="F17" s="124"/>
      <c r="G17" s="123">
        <f t="shared" si="7"/>
        <v>8591.9095283926854</v>
      </c>
      <c r="H17" s="214">
        <v>100</v>
      </c>
      <c r="I17" s="123">
        <f t="shared" si="8"/>
        <v>10896.498556304139</v>
      </c>
      <c r="J17" s="124"/>
      <c r="K17" s="123">
        <f t="shared" si="9"/>
        <v>10896.498556304139</v>
      </c>
      <c r="L17" s="214">
        <v>100</v>
      </c>
      <c r="M17" s="123">
        <f t="shared" si="10"/>
        <v>15022.802707930368</v>
      </c>
      <c r="N17" s="124"/>
      <c r="O17" s="123">
        <f t="shared" si="11"/>
        <v>15022.802707930368</v>
      </c>
      <c r="P17" s="214">
        <v>100</v>
      </c>
      <c r="Q17" s="123">
        <f t="shared" si="12"/>
        <v>10737.78916827853</v>
      </c>
      <c r="R17" s="124"/>
      <c r="S17" s="123">
        <f t="shared" si="13"/>
        <v>10737.78916827853</v>
      </c>
      <c r="T17" s="214">
        <v>100</v>
      </c>
      <c r="U17" s="123">
        <f t="shared" si="14"/>
        <v>11975.483558994198</v>
      </c>
      <c r="V17" s="124"/>
      <c r="W17" s="123">
        <f t="shared" si="15"/>
        <v>11975.483558994198</v>
      </c>
      <c r="X17" s="214">
        <v>100</v>
      </c>
      <c r="Y17" s="123">
        <f t="shared" si="16"/>
        <v>18048.750483558993</v>
      </c>
      <c r="Z17" s="124"/>
      <c r="AA17" s="123">
        <f t="shared" si="17"/>
        <v>18048.750483558993</v>
      </c>
      <c r="AB17" s="214">
        <v>100</v>
      </c>
      <c r="AC17" s="123">
        <f t="shared" si="18"/>
        <v>13469.394477317554</v>
      </c>
      <c r="AD17" s="124"/>
      <c r="AE17" s="123">
        <f t="shared" si="19"/>
        <v>13469.394477317554</v>
      </c>
      <c r="AF17" s="214">
        <v>100</v>
      </c>
      <c r="AG17" s="123">
        <f t="shared" si="20"/>
        <v>21111.741617357005</v>
      </c>
      <c r="AH17" s="124"/>
      <c r="AI17" s="123">
        <f t="shared" si="21"/>
        <v>21111.741617357005</v>
      </c>
      <c r="AJ17" s="214">
        <v>100</v>
      </c>
      <c r="AK17" s="123">
        <f t="shared" si="22"/>
        <v>-2465.4832347140041</v>
      </c>
      <c r="AL17" s="124"/>
      <c r="AM17" s="123">
        <f t="shared" si="23"/>
        <v>-2465.4832347140041</v>
      </c>
      <c r="AN17" s="214">
        <v>100</v>
      </c>
      <c r="AO17" s="123">
        <f t="shared" si="24"/>
        <v>-2465.4832347140041</v>
      </c>
      <c r="AP17" s="124"/>
      <c r="AQ17" s="123">
        <f t="shared" si="25"/>
        <v>-2465.4832347140041</v>
      </c>
      <c r="AR17" s="214">
        <v>100</v>
      </c>
      <c r="AS17" s="123">
        <f t="shared" si="26"/>
        <v>-2465.4832347140041</v>
      </c>
      <c r="AT17" s="124"/>
      <c r="AU17" s="123">
        <f t="shared" si="27"/>
        <v>-2465.4832347140041</v>
      </c>
      <c r="AV17" s="214">
        <v>100</v>
      </c>
      <c r="AW17" s="123">
        <f t="shared" si="28"/>
        <v>-2465.4832347140041</v>
      </c>
      <c r="AX17" s="124"/>
      <c r="AY17" s="126">
        <f t="shared" si="29"/>
        <v>-2465.4832347140041</v>
      </c>
      <c r="AZ17" s="127">
        <f t="shared" si="30"/>
        <v>34511.210792627193</v>
      </c>
      <c r="BA17" s="128">
        <f t="shared" si="31"/>
        <v>33741.748713636021</v>
      </c>
      <c r="BB17" s="127">
        <f t="shared" si="32"/>
        <v>75273.234003458914</v>
      </c>
      <c r="BC17" s="127"/>
      <c r="BD17" s="128">
        <f t="shared" si="33"/>
        <v>74503.771924467743</v>
      </c>
      <c r="BE17" s="127">
        <f t="shared" si="34"/>
        <v>99992.437159277455</v>
      </c>
      <c r="BF17" s="127"/>
      <c r="BG17" s="91">
        <f t="shared" si="35"/>
        <v>99222.975080286284</v>
      </c>
    </row>
    <row r="18" spans="1:59" ht="13">
      <c r="A18" s="89" t="s">
        <v>61</v>
      </c>
      <c r="B18" s="121"/>
      <c r="C18" s="121">
        <f>'Revised PS Model 2020'!BG28</f>
        <v>-230.83686825574841</v>
      </c>
      <c r="D18" s="53">
        <v>50</v>
      </c>
      <c r="E18" s="123">
        <f t="shared" si="6"/>
        <v>4295.9547641963427</v>
      </c>
      <c r="F18" s="124"/>
      <c r="G18" s="126">
        <f t="shared" si="7"/>
        <v>4295.9547641963427</v>
      </c>
      <c r="H18" s="53">
        <v>50</v>
      </c>
      <c r="I18" s="123">
        <f t="shared" si="8"/>
        <v>5448.2492781520696</v>
      </c>
      <c r="J18" s="124"/>
      <c r="K18" s="126">
        <f t="shared" si="9"/>
        <v>5448.2492781520696</v>
      </c>
      <c r="L18" s="53">
        <v>50</v>
      </c>
      <c r="M18" s="123">
        <f t="shared" si="10"/>
        <v>7511.4013539651842</v>
      </c>
      <c r="N18" s="124"/>
      <c r="O18" s="126">
        <f t="shared" si="11"/>
        <v>7511.4013539651842</v>
      </c>
      <c r="P18" s="53">
        <v>50</v>
      </c>
      <c r="Q18" s="123">
        <f t="shared" si="12"/>
        <v>5368.8945841392651</v>
      </c>
      <c r="R18" s="124"/>
      <c r="S18" s="126">
        <f t="shared" si="13"/>
        <v>5368.8945841392651</v>
      </c>
      <c r="T18" s="53">
        <v>50</v>
      </c>
      <c r="U18" s="123">
        <f t="shared" si="14"/>
        <v>5987.7417794970988</v>
      </c>
      <c r="V18" s="124"/>
      <c r="W18" s="126">
        <f t="shared" si="15"/>
        <v>5987.7417794970988</v>
      </c>
      <c r="X18" s="53">
        <v>50</v>
      </c>
      <c r="Y18" s="123">
        <f t="shared" si="16"/>
        <v>9024.3752417794967</v>
      </c>
      <c r="Z18" s="124"/>
      <c r="AA18" s="126">
        <f t="shared" si="17"/>
        <v>9024.3752417794967</v>
      </c>
      <c r="AB18" s="53">
        <v>50</v>
      </c>
      <c r="AC18" s="123">
        <f t="shared" si="18"/>
        <v>6734.6972386587768</v>
      </c>
      <c r="AD18" s="124"/>
      <c r="AE18" s="126">
        <f t="shared" si="19"/>
        <v>6734.6972386587768</v>
      </c>
      <c r="AF18" s="53">
        <v>50</v>
      </c>
      <c r="AG18" s="123">
        <f t="shared" si="20"/>
        <v>10555.870808678503</v>
      </c>
      <c r="AH18" s="124"/>
      <c r="AI18" s="126">
        <f t="shared" si="21"/>
        <v>10555.870808678503</v>
      </c>
      <c r="AJ18" s="53">
        <v>50</v>
      </c>
      <c r="AK18" s="123">
        <f t="shared" si="22"/>
        <v>-1232.741617357002</v>
      </c>
      <c r="AL18" s="124"/>
      <c r="AM18" s="126">
        <f t="shared" si="23"/>
        <v>-1232.741617357002</v>
      </c>
      <c r="AN18" s="53">
        <v>50</v>
      </c>
      <c r="AO18" s="123">
        <f t="shared" si="24"/>
        <v>-1232.741617357002</v>
      </c>
      <c r="AP18" s="124"/>
      <c r="AQ18" s="126">
        <f t="shared" si="25"/>
        <v>-1232.741617357002</v>
      </c>
      <c r="AR18" s="53">
        <v>50</v>
      </c>
      <c r="AS18" s="123">
        <f t="shared" si="26"/>
        <v>-1232.741617357002</v>
      </c>
      <c r="AT18" s="124"/>
      <c r="AU18" s="126">
        <f t="shared" si="27"/>
        <v>-1232.741617357002</v>
      </c>
      <c r="AV18" s="53">
        <v>50</v>
      </c>
      <c r="AW18" s="123">
        <f t="shared" si="28"/>
        <v>-1232.741617357002</v>
      </c>
      <c r="AX18" s="124"/>
      <c r="AY18" s="126">
        <f t="shared" si="29"/>
        <v>-1232.741617357002</v>
      </c>
      <c r="AZ18" s="127">
        <f t="shared" si="30"/>
        <v>17255.605396313596</v>
      </c>
      <c r="BA18" s="128">
        <f t="shared" si="31"/>
        <v>17024.768528057848</v>
      </c>
      <c r="BB18" s="127">
        <f t="shared" si="32"/>
        <v>37636.617001729457</v>
      </c>
      <c r="BC18" s="127"/>
      <c r="BD18" s="128">
        <f t="shared" si="33"/>
        <v>37405.780133473709</v>
      </c>
      <c r="BE18" s="127">
        <f t="shared" si="34"/>
        <v>49996.218579638728</v>
      </c>
      <c r="BF18" s="127"/>
      <c r="BG18" s="91">
        <f t="shared" si="35"/>
        <v>49765.381711382979</v>
      </c>
    </row>
    <row r="19" spans="1:59" ht="13">
      <c r="A19" s="89" t="s">
        <v>65</v>
      </c>
      <c r="B19" s="121"/>
      <c r="C19" s="121">
        <f>'Revised PS Model 2020'!BG29</f>
        <v>-230.83686825574841</v>
      </c>
      <c r="D19" s="53">
        <v>50</v>
      </c>
      <c r="E19" s="123">
        <f t="shared" si="6"/>
        <v>4295.9547641963427</v>
      </c>
      <c r="F19" s="124"/>
      <c r="G19" s="126">
        <f t="shared" si="7"/>
        <v>4295.9547641963427</v>
      </c>
      <c r="H19" s="53">
        <v>50</v>
      </c>
      <c r="I19" s="123">
        <f t="shared" si="8"/>
        <v>5448.2492781520696</v>
      </c>
      <c r="J19" s="124"/>
      <c r="K19" s="126">
        <f t="shared" si="9"/>
        <v>5448.2492781520696</v>
      </c>
      <c r="L19" s="53">
        <v>50</v>
      </c>
      <c r="M19" s="123">
        <f t="shared" si="10"/>
        <v>7511.4013539651842</v>
      </c>
      <c r="N19" s="124"/>
      <c r="O19" s="126">
        <f t="shared" si="11"/>
        <v>7511.4013539651842</v>
      </c>
      <c r="P19" s="53">
        <v>50</v>
      </c>
      <c r="Q19" s="123">
        <f t="shared" si="12"/>
        <v>5368.8945841392651</v>
      </c>
      <c r="R19" s="124"/>
      <c r="S19" s="126">
        <f t="shared" si="13"/>
        <v>5368.8945841392651</v>
      </c>
      <c r="T19" s="53">
        <v>50</v>
      </c>
      <c r="U19" s="123">
        <f t="shared" si="14"/>
        <v>5987.7417794970988</v>
      </c>
      <c r="V19" s="124"/>
      <c r="W19" s="126">
        <f t="shared" si="15"/>
        <v>5987.7417794970988</v>
      </c>
      <c r="X19" s="53">
        <v>50</v>
      </c>
      <c r="Y19" s="123">
        <f t="shared" si="16"/>
        <v>9024.3752417794967</v>
      </c>
      <c r="Z19" s="124"/>
      <c r="AA19" s="126">
        <f t="shared" si="17"/>
        <v>9024.3752417794967</v>
      </c>
      <c r="AB19" s="53">
        <v>50</v>
      </c>
      <c r="AC19" s="123">
        <f t="shared" si="18"/>
        <v>6734.6972386587768</v>
      </c>
      <c r="AD19" s="124"/>
      <c r="AE19" s="126">
        <f t="shared" si="19"/>
        <v>6734.6972386587768</v>
      </c>
      <c r="AF19" s="53">
        <v>50</v>
      </c>
      <c r="AG19" s="123">
        <f t="shared" si="20"/>
        <v>10555.870808678503</v>
      </c>
      <c r="AH19" s="124"/>
      <c r="AI19" s="126">
        <f t="shared" si="21"/>
        <v>10555.870808678503</v>
      </c>
      <c r="AJ19" s="53">
        <v>50</v>
      </c>
      <c r="AK19" s="123">
        <f t="shared" si="22"/>
        <v>-1232.741617357002</v>
      </c>
      <c r="AL19" s="124"/>
      <c r="AM19" s="126">
        <f t="shared" si="23"/>
        <v>-1232.741617357002</v>
      </c>
      <c r="AN19" s="53">
        <v>50</v>
      </c>
      <c r="AO19" s="123">
        <f t="shared" si="24"/>
        <v>-1232.741617357002</v>
      </c>
      <c r="AP19" s="124"/>
      <c r="AQ19" s="126">
        <f t="shared" si="25"/>
        <v>-1232.741617357002</v>
      </c>
      <c r="AR19" s="53">
        <v>50</v>
      </c>
      <c r="AS19" s="123">
        <f t="shared" si="26"/>
        <v>-1232.741617357002</v>
      </c>
      <c r="AT19" s="124"/>
      <c r="AU19" s="126">
        <f t="shared" si="27"/>
        <v>-1232.741617357002</v>
      </c>
      <c r="AV19" s="53">
        <v>50</v>
      </c>
      <c r="AW19" s="123">
        <f t="shared" si="28"/>
        <v>-1232.741617357002</v>
      </c>
      <c r="AX19" s="124"/>
      <c r="AY19" s="126">
        <f t="shared" si="29"/>
        <v>-1232.741617357002</v>
      </c>
      <c r="AZ19" s="127">
        <f t="shared" si="30"/>
        <v>17255.605396313596</v>
      </c>
      <c r="BA19" s="128">
        <f t="shared" si="31"/>
        <v>17024.768528057848</v>
      </c>
      <c r="BB19" s="127">
        <f t="shared" si="32"/>
        <v>37636.617001729457</v>
      </c>
      <c r="BC19" s="127"/>
      <c r="BD19" s="128">
        <f t="shared" si="33"/>
        <v>37405.780133473709</v>
      </c>
      <c r="BE19" s="127">
        <f t="shared" si="34"/>
        <v>49996.218579638728</v>
      </c>
      <c r="BF19" s="127"/>
      <c r="BG19" s="91">
        <f t="shared" si="35"/>
        <v>49765.381711382979</v>
      </c>
    </row>
    <row r="20" spans="1:59" ht="13">
      <c r="A20" s="89" t="s">
        <v>210</v>
      </c>
      <c r="B20" s="121"/>
      <c r="C20" s="121">
        <f>'Revised PS Model 2020'!BG30</f>
        <v>-19.239382650693187</v>
      </c>
      <c r="D20" s="53">
        <v>5</v>
      </c>
      <c r="E20" s="123">
        <f t="shared" si="6"/>
        <v>429.59547641963428</v>
      </c>
      <c r="F20" s="124"/>
      <c r="G20" s="126">
        <f t="shared" si="7"/>
        <v>429.59547641963428</v>
      </c>
      <c r="H20" s="53">
        <v>5</v>
      </c>
      <c r="I20" s="123">
        <f t="shared" si="8"/>
        <v>544.82492781520693</v>
      </c>
      <c r="J20" s="124"/>
      <c r="K20" s="126">
        <f t="shared" si="9"/>
        <v>544.82492781520693</v>
      </c>
      <c r="L20" s="53">
        <v>5</v>
      </c>
      <c r="M20" s="123">
        <f t="shared" si="10"/>
        <v>751.14013539651842</v>
      </c>
      <c r="N20" s="124"/>
      <c r="O20" s="126">
        <f t="shared" si="11"/>
        <v>751.14013539651842</v>
      </c>
      <c r="P20" s="53">
        <v>5</v>
      </c>
      <c r="Q20" s="123">
        <f t="shared" si="12"/>
        <v>536.88945841392649</v>
      </c>
      <c r="R20" s="124"/>
      <c r="S20" s="126">
        <f t="shared" si="13"/>
        <v>536.88945841392649</v>
      </c>
      <c r="T20" s="53">
        <v>5</v>
      </c>
      <c r="U20" s="123">
        <f t="shared" si="14"/>
        <v>598.77417794970984</v>
      </c>
      <c r="V20" s="124"/>
      <c r="W20" s="126">
        <f t="shared" si="15"/>
        <v>598.77417794970984</v>
      </c>
      <c r="X20" s="53">
        <v>5</v>
      </c>
      <c r="Y20" s="123">
        <f t="shared" si="16"/>
        <v>902.43752417794963</v>
      </c>
      <c r="Z20" s="124"/>
      <c r="AA20" s="126">
        <f t="shared" si="17"/>
        <v>902.43752417794963</v>
      </c>
      <c r="AB20" s="53">
        <v>5</v>
      </c>
      <c r="AC20" s="123">
        <f t="shared" si="18"/>
        <v>673.46972386587777</v>
      </c>
      <c r="AD20" s="124"/>
      <c r="AE20" s="126">
        <f t="shared" si="19"/>
        <v>673.46972386587777</v>
      </c>
      <c r="AF20" s="53">
        <v>5</v>
      </c>
      <c r="AG20" s="123">
        <f t="shared" si="20"/>
        <v>1055.5870808678501</v>
      </c>
      <c r="AH20" s="124"/>
      <c r="AI20" s="126">
        <f t="shared" si="21"/>
        <v>1055.5870808678501</v>
      </c>
      <c r="AJ20" s="53">
        <v>5</v>
      </c>
      <c r="AK20" s="123">
        <f t="shared" si="22"/>
        <v>-123.2741617357002</v>
      </c>
      <c r="AL20" s="124"/>
      <c r="AM20" s="126">
        <f t="shared" si="23"/>
        <v>-123.2741617357002</v>
      </c>
      <c r="AN20" s="53">
        <v>5</v>
      </c>
      <c r="AO20" s="123">
        <f t="shared" si="24"/>
        <v>-123.2741617357002</v>
      </c>
      <c r="AP20" s="124"/>
      <c r="AQ20" s="126">
        <f t="shared" si="25"/>
        <v>-123.2741617357002</v>
      </c>
      <c r="AR20" s="53">
        <v>5</v>
      </c>
      <c r="AS20" s="123">
        <f t="shared" si="26"/>
        <v>-123.2741617357002</v>
      </c>
      <c r="AT20" s="124"/>
      <c r="AU20" s="126">
        <f t="shared" si="27"/>
        <v>-123.2741617357002</v>
      </c>
      <c r="AV20" s="53">
        <v>5</v>
      </c>
      <c r="AW20" s="123">
        <f t="shared" si="28"/>
        <v>-123.2741617357002</v>
      </c>
      <c r="AX20" s="124"/>
      <c r="AY20" s="126">
        <f t="shared" si="29"/>
        <v>-123.2741617357002</v>
      </c>
      <c r="AZ20" s="127">
        <f t="shared" si="30"/>
        <v>1725.5605396313597</v>
      </c>
      <c r="BA20" s="128">
        <f t="shared" si="31"/>
        <v>1706.3211569806665</v>
      </c>
      <c r="BB20" s="127">
        <f t="shared" si="32"/>
        <v>3763.661700172946</v>
      </c>
      <c r="BC20" s="127"/>
      <c r="BD20" s="128">
        <f t="shared" si="33"/>
        <v>3744.4223175222528</v>
      </c>
      <c r="BE20" s="127">
        <f t="shared" si="34"/>
        <v>4999.6218579638726</v>
      </c>
      <c r="BF20" s="127"/>
      <c r="BG20" s="91">
        <f t="shared" si="35"/>
        <v>4980.3824753131794</v>
      </c>
    </row>
    <row r="21" spans="1:59" ht="13">
      <c r="A21" s="132" t="s">
        <v>254</v>
      </c>
      <c r="B21" s="121"/>
      <c r="C21" s="121">
        <f>'Revised PS Model 2020'!BG31</f>
        <v>-19.239382650693187</v>
      </c>
      <c r="D21" s="178">
        <v>5</v>
      </c>
      <c r="E21" s="134">
        <f t="shared" si="6"/>
        <v>429.59547641963428</v>
      </c>
      <c r="F21" s="135"/>
      <c r="G21" s="136">
        <f t="shared" si="7"/>
        <v>429.59547641963428</v>
      </c>
      <c r="H21" s="178">
        <v>5</v>
      </c>
      <c r="I21" s="134">
        <f t="shared" si="8"/>
        <v>544.82492781520693</v>
      </c>
      <c r="J21" s="135"/>
      <c r="K21" s="136">
        <f t="shared" si="9"/>
        <v>544.82492781520693</v>
      </c>
      <c r="L21" s="178">
        <v>5</v>
      </c>
      <c r="M21" s="134">
        <f t="shared" si="10"/>
        <v>751.14013539651842</v>
      </c>
      <c r="N21" s="135"/>
      <c r="O21" s="136">
        <f t="shared" si="11"/>
        <v>751.14013539651842</v>
      </c>
      <c r="P21" s="178">
        <v>5</v>
      </c>
      <c r="Q21" s="134">
        <f t="shared" si="12"/>
        <v>536.88945841392649</v>
      </c>
      <c r="R21" s="135"/>
      <c r="S21" s="136">
        <f t="shared" si="13"/>
        <v>536.88945841392649</v>
      </c>
      <c r="T21" s="178">
        <v>5</v>
      </c>
      <c r="U21" s="134">
        <f t="shared" si="14"/>
        <v>598.77417794970984</v>
      </c>
      <c r="V21" s="135"/>
      <c r="W21" s="136">
        <f t="shared" si="15"/>
        <v>598.77417794970984</v>
      </c>
      <c r="X21" s="178">
        <v>5</v>
      </c>
      <c r="Y21" s="123">
        <f t="shared" si="16"/>
        <v>902.43752417794963</v>
      </c>
      <c r="Z21" s="135"/>
      <c r="AA21" s="136">
        <f t="shared" si="17"/>
        <v>902.43752417794963</v>
      </c>
      <c r="AB21" s="178">
        <v>0</v>
      </c>
      <c r="AC21" s="134">
        <f t="shared" si="18"/>
        <v>0</v>
      </c>
      <c r="AD21" s="135"/>
      <c r="AE21" s="136">
        <f t="shared" si="19"/>
        <v>0</v>
      </c>
      <c r="AF21" s="178">
        <v>0</v>
      </c>
      <c r="AG21" s="134">
        <f t="shared" si="20"/>
        <v>0</v>
      </c>
      <c r="AH21" s="135"/>
      <c r="AI21" s="136">
        <f t="shared" si="21"/>
        <v>0</v>
      </c>
      <c r="AJ21" s="178">
        <v>0</v>
      </c>
      <c r="AK21" s="134">
        <f t="shared" si="22"/>
        <v>0</v>
      </c>
      <c r="AL21" s="135"/>
      <c r="AM21" s="136">
        <f t="shared" si="23"/>
        <v>0</v>
      </c>
      <c r="AN21" s="178">
        <v>0</v>
      </c>
      <c r="AO21" s="134">
        <f t="shared" si="24"/>
        <v>0</v>
      </c>
      <c r="AP21" s="135"/>
      <c r="AQ21" s="136">
        <f t="shared" si="25"/>
        <v>0</v>
      </c>
      <c r="AR21" s="178">
        <v>0</v>
      </c>
      <c r="AS21" s="134">
        <f t="shared" si="26"/>
        <v>0</v>
      </c>
      <c r="AT21" s="135"/>
      <c r="AU21" s="136">
        <f t="shared" si="27"/>
        <v>0</v>
      </c>
      <c r="AV21" s="178">
        <v>0</v>
      </c>
      <c r="AW21" s="134">
        <f t="shared" si="28"/>
        <v>0</v>
      </c>
      <c r="AX21" s="135"/>
      <c r="AY21" s="136">
        <f t="shared" si="29"/>
        <v>0</v>
      </c>
      <c r="AZ21" s="138">
        <f t="shared" si="30"/>
        <v>1725.5605396313597</v>
      </c>
      <c r="BA21" s="137">
        <f t="shared" si="31"/>
        <v>1706.3211569806665</v>
      </c>
      <c r="BB21" s="138">
        <f t="shared" si="32"/>
        <v>3763.661700172946</v>
      </c>
      <c r="BC21" s="138"/>
      <c r="BD21" s="137">
        <f t="shared" si="33"/>
        <v>3744.4223175222528</v>
      </c>
      <c r="BE21" s="138">
        <f t="shared" si="34"/>
        <v>3763.661700172946</v>
      </c>
      <c r="BF21" s="138"/>
      <c r="BG21" s="140">
        <f t="shared" si="35"/>
        <v>3744.4223175222528</v>
      </c>
    </row>
    <row r="22" spans="1:59" ht="13">
      <c r="A22" s="132" t="s">
        <v>255</v>
      </c>
      <c r="B22" s="121"/>
      <c r="C22" s="121">
        <f>'Revised PS Model 2020'!BG32</f>
        <v>-19.239382650693187</v>
      </c>
      <c r="D22" s="178">
        <v>2.5</v>
      </c>
      <c r="E22" s="134">
        <f t="shared" si="6"/>
        <v>214.79773820981714</v>
      </c>
      <c r="F22" s="135"/>
      <c r="G22" s="136">
        <f t="shared" si="7"/>
        <v>214.79773820981714</v>
      </c>
      <c r="H22" s="178">
        <v>2.5</v>
      </c>
      <c r="I22" s="134">
        <f t="shared" si="8"/>
        <v>272.41246390760347</v>
      </c>
      <c r="J22" s="135"/>
      <c r="K22" s="136">
        <f t="shared" si="9"/>
        <v>272.41246390760347</v>
      </c>
      <c r="L22" s="178">
        <v>0</v>
      </c>
      <c r="M22" s="134">
        <f t="shared" si="10"/>
        <v>0</v>
      </c>
      <c r="N22" s="135"/>
      <c r="O22" s="136">
        <f t="shared" si="11"/>
        <v>0</v>
      </c>
      <c r="P22" s="178">
        <v>0</v>
      </c>
      <c r="Q22" s="134">
        <f t="shared" si="12"/>
        <v>0</v>
      </c>
      <c r="R22" s="135"/>
      <c r="S22" s="136">
        <f t="shared" si="13"/>
        <v>0</v>
      </c>
      <c r="T22" s="178">
        <v>0</v>
      </c>
      <c r="U22" s="134">
        <f t="shared" si="14"/>
        <v>0</v>
      </c>
      <c r="V22" s="135"/>
      <c r="W22" s="136">
        <f t="shared" si="15"/>
        <v>0</v>
      </c>
      <c r="X22" s="178">
        <v>0</v>
      </c>
      <c r="Y22" s="123">
        <f t="shared" si="16"/>
        <v>0</v>
      </c>
      <c r="Z22" s="135"/>
      <c r="AA22" s="136">
        <f t="shared" si="17"/>
        <v>0</v>
      </c>
      <c r="AB22" s="178">
        <v>0</v>
      </c>
      <c r="AC22" s="134">
        <f t="shared" si="18"/>
        <v>0</v>
      </c>
      <c r="AD22" s="135"/>
      <c r="AE22" s="136">
        <f t="shared" si="19"/>
        <v>0</v>
      </c>
      <c r="AF22" s="178">
        <v>0</v>
      </c>
      <c r="AG22" s="134">
        <f t="shared" si="20"/>
        <v>0</v>
      </c>
      <c r="AH22" s="135"/>
      <c r="AI22" s="136">
        <f t="shared" si="21"/>
        <v>0</v>
      </c>
      <c r="AJ22" s="178">
        <v>0</v>
      </c>
      <c r="AK22" s="134">
        <f t="shared" si="22"/>
        <v>0</v>
      </c>
      <c r="AL22" s="135"/>
      <c r="AM22" s="136">
        <f t="shared" si="23"/>
        <v>0</v>
      </c>
      <c r="AN22" s="178">
        <v>0</v>
      </c>
      <c r="AO22" s="134">
        <f t="shared" si="24"/>
        <v>0</v>
      </c>
      <c r="AP22" s="135"/>
      <c r="AQ22" s="136">
        <f t="shared" si="25"/>
        <v>0</v>
      </c>
      <c r="AR22" s="178">
        <v>0</v>
      </c>
      <c r="AS22" s="134">
        <f t="shared" si="26"/>
        <v>0</v>
      </c>
      <c r="AT22" s="135"/>
      <c r="AU22" s="136">
        <f t="shared" si="27"/>
        <v>0</v>
      </c>
      <c r="AV22" s="178">
        <v>0</v>
      </c>
      <c r="AW22" s="134">
        <f t="shared" si="28"/>
        <v>0</v>
      </c>
      <c r="AX22" s="135"/>
      <c r="AY22" s="136">
        <f t="shared" si="29"/>
        <v>0</v>
      </c>
      <c r="AZ22" s="138">
        <f t="shared" si="30"/>
        <v>487.21020211742064</v>
      </c>
      <c r="BA22" s="137">
        <f t="shared" si="31"/>
        <v>467.97081946672745</v>
      </c>
      <c r="BB22" s="138">
        <f t="shared" si="32"/>
        <v>487.21020211742064</v>
      </c>
      <c r="BC22" s="138"/>
      <c r="BD22" s="137">
        <f t="shared" si="33"/>
        <v>467.97081946672745</v>
      </c>
      <c r="BE22" s="138">
        <f t="shared" si="34"/>
        <v>487.21020211742064</v>
      </c>
      <c r="BF22" s="138"/>
      <c r="BG22" s="140">
        <f t="shared" si="35"/>
        <v>467.97081946672745</v>
      </c>
    </row>
    <row r="23" spans="1:59" ht="13">
      <c r="A23" s="132" t="s">
        <v>211</v>
      </c>
      <c r="B23" s="121"/>
      <c r="C23" s="121">
        <f>'Revised PS Model 2020'!BG33</f>
        <v>-7.6937530602774586</v>
      </c>
      <c r="D23" s="178">
        <v>2</v>
      </c>
      <c r="E23" s="134">
        <f t="shared" si="6"/>
        <v>171.8381905678537</v>
      </c>
      <c r="F23" s="135"/>
      <c r="G23" s="136">
        <f t="shared" si="7"/>
        <v>171.8381905678537</v>
      </c>
      <c r="H23" s="178">
        <v>2</v>
      </c>
      <c r="I23" s="134">
        <f t="shared" si="8"/>
        <v>217.92997112608276</v>
      </c>
      <c r="J23" s="135"/>
      <c r="K23" s="136">
        <f t="shared" si="9"/>
        <v>217.92997112608276</v>
      </c>
      <c r="L23" s="178">
        <v>2</v>
      </c>
      <c r="M23" s="134">
        <f t="shared" si="10"/>
        <v>300.45605415860734</v>
      </c>
      <c r="N23" s="135"/>
      <c r="O23" s="136">
        <f t="shared" si="11"/>
        <v>300.45605415860734</v>
      </c>
      <c r="P23" s="178">
        <v>2</v>
      </c>
      <c r="Q23" s="134">
        <f t="shared" si="12"/>
        <v>214.75578336557058</v>
      </c>
      <c r="R23" s="135"/>
      <c r="S23" s="136">
        <f t="shared" si="13"/>
        <v>214.75578336557058</v>
      </c>
      <c r="T23" s="178">
        <v>2</v>
      </c>
      <c r="U23" s="134">
        <f t="shared" si="14"/>
        <v>239.50967117988395</v>
      </c>
      <c r="V23" s="135"/>
      <c r="W23" s="136">
        <f t="shared" si="15"/>
        <v>239.50967117988395</v>
      </c>
      <c r="X23" s="178">
        <v>2</v>
      </c>
      <c r="Y23" s="123">
        <f t="shared" si="16"/>
        <v>360.97500967117986</v>
      </c>
      <c r="Z23" s="135"/>
      <c r="AA23" s="136">
        <f t="shared" si="17"/>
        <v>360.97500967117986</v>
      </c>
      <c r="AB23" s="178">
        <v>2</v>
      </c>
      <c r="AC23" s="134">
        <f t="shared" si="18"/>
        <v>269.38788954635112</v>
      </c>
      <c r="AD23" s="135"/>
      <c r="AE23" s="136">
        <f t="shared" si="19"/>
        <v>269.38788954635112</v>
      </c>
      <c r="AF23" s="178">
        <v>2</v>
      </c>
      <c r="AG23" s="134">
        <f t="shared" si="20"/>
        <v>422.23483234714007</v>
      </c>
      <c r="AH23" s="135"/>
      <c r="AI23" s="136">
        <f t="shared" si="21"/>
        <v>422.23483234714007</v>
      </c>
      <c r="AJ23" s="178">
        <v>2</v>
      </c>
      <c r="AK23" s="134">
        <f t="shared" si="22"/>
        <v>-49.30966469428008</v>
      </c>
      <c r="AL23" s="135"/>
      <c r="AM23" s="136">
        <f t="shared" si="23"/>
        <v>-49.30966469428008</v>
      </c>
      <c r="AN23" s="178">
        <v>2</v>
      </c>
      <c r="AO23" s="134">
        <f t="shared" si="24"/>
        <v>-49.30966469428008</v>
      </c>
      <c r="AP23" s="135"/>
      <c r="AQ23" s="136">
        <f t="shared" si="25"/>
        <v>-49.30966469428008</v>
      </c>
      <c r="AR23" s="178">
        <v>2</v>
      </c>
      <c r="AS23" s="134">
        <f t="shared" si="26"/>
        <v>-49.30966469428008</v>
      </c>
      <c r="AT23" s="135"/>
      <c r="AU23" s="136">
        <f t="shared" si="27"/>
        <v>-49.30966469428008</v>
      </c>
      <c r="AV23" s="178">
        <v>2</v>
      </c>
      <c r="AW23" s="134">
        <f t="shared" si="28"/>
        <v>-49.30966469428008</v>
      </c>
      <c r="AX23" s="135"/>
      <c r="AY23" s="136">
        <f t="shared" si="29"/>
        <v>-49.30966469428008</v>
      </c>
      <c r="AZ23" s="138">
        <f t="shared" si="30"/>
        <v>690.22421585254369</v>
      </c>
      <c r="BA23" s="137">
        <f t="shared" si="31"/>
        <v>682.53046279226623</v>
      </c>
      <c r="BB23" s="138">
        <f t="shared" si="32"/>
        <v>1505.4646800691783</v>
      </c>
      <c r="BC23" s="138"/>
      <c r="BD23" s="137">
        <f t="shared" si="33"/>
        <v>1497.7709270089008</v>
      </c>
      <c r="BE23" s="138">
        <f t="shared" si="34"/>
        <v>1999.848743185549</v>
      </c>
      <c r="BF23" s="138"/>
      <c r="BG23" s="140">
        <f t="shared" si="35"/>
        <v>1992.1549901252715</v>
      </c>
    </row>
    <row r="24" spans="1:59" ht="14">
      <c r="A24" s="132" t="s">
        <v>212</v>
      </c>
      <c r="B24" s="121"/>
      <c r="C24" s="121">
        <f>'Revised PS Model 2020'!BG35</f>
        <v>0</v>
      </c>
      <c r="D24" s="178">
        <v>2.5</v>
      </c>
      <c r="E24" s="134">
        <f t="shared" si="6"/>
        <v>214.79773820981714</v>
      </c>
      <c r="F24" s="135"/>
      <c r="G24" s="136">
        <f t="shared" si="7"/>
        <v>214.79773820981714</v>
      </c>
      <c r="H24" s="178">
        <v>2.5</v>
      </c>
      <c r="I24" s="134">
        <f t="shared" si="8"/>
        <v>272.41246390760347</v>
      </c>
      <c r="J24" s="135"/>
      <c r="K24" s="136">
        <f t="shared" si="9"/>
        <v>272.41246390760347</v>
      </c>
      <c r="L24" s="178">
        <v>2.5</v>
      </c>
      <c r="M24" s="134">
        <f t="shared" si="10"/>
        <v>375.57006769825921</v>
      </c>
      <c r="N24" s="135"/>
      <c r="O24" s="136">
        <f t="shared" si="11"/>
        <v>375.57006769825921</v>
      </c>
      <c r="P24" s="178">
        <v>2.5</v>
      </c>
      <c r="Q24" s="134">
        <f t="shared" si="12"/>
        <v>268.44472920696325</v>
      </c>
      <c r="R24" s="135"/>
      <c r="S24" s="136">
        <f t="shared" si="13"/>
        <v>268.44472920696325</v>
      </c>
      <c r="T24" s="178">
        <v>2.5</v>
      </c>
      <c r="U24" s="134">
        <f t="shared" si="14"/>
        <v>299.38708897485492</v>
      </c>
      <c r="V24" s="135"/>
      <c r="W24" s="136">
        <f t="shared" si="15"/>
        <v>299.38708897485492</v>
      </c>
      <c r="X24" s="178">
        <v>2.5</v>
      </c>
      <c r="Y24" s="123">
        <f t="shared" si="16"/>
        <v>451.21876208897481</v>
      </c>
      <c r="Z24" s="135"/>
      <c r="AA24" s="136">
        <f t="shared" si="17"/>
        <v>451.21876208897481</v>
      </c>
      <c r="AB24" s="178">
        <v>2.5</v>
      </c>
      <c r="AC24" s="134">
        <f t="shared" si="18"/>
        <v>336.73486193293888</v>
      </c>
      <c r="AD24" s="135"/>
      <c r="AE24" s="136">
        <f t="shared" si="19"/>
        <v>336.73486193293888</v>
      </c>
      <c r="AF24" s="178">
        <v>2.5</v>
      </c>
      <c r="AG24" s="134">
        <f t="shared" si="20"/>
        <v>527.79354043392505</v>
      </c>
      <c r="AH24" s="135"/>
      <c r="AI24" s="136">
        <f t="shared" si="21"/>
        <v>527.79354043392505</v>
      </c>
      <c r="AJ24" s="178">
        <v>2.5</v>
      </c>
      <c r="AK24" s="134">
        <f t="shared" si="22"/>
        <v>-61.637080867850102</v>
      </c>
      <c r="AL24" s="135"/>
      <c r="AM24" s="136">
        <f t="shared" si="23"/>
        <v>-61.637080867850102</v>
      </c>
      <c r="AN24" s="178">
        <v>2.5</v>
      </c>
      <c r="AO24" s="134">
        <f t="shared" si="24"/>
        <v>-61.637080867850102</v>
      </c>
      <c r="AP24" s="135"/>
      <c r="AQ24" s="136">
        <f t="shared" si="25"/>
        <v>-61.637080867850102</v>
      </c>
      <c r="AR24" s="178">
        <v>2.5</v>
      </c>
      <c r="AS24" s="134">
        <f t="shared" si="26"/>
        <v>-61.637080867850102</v>
      </c>
      <c r="AT24" s="135"/>
      <c r="AU24" s="136">
        <f t="shared" si="27"/>
        <v>-61.637080867850102</v>
      </c>
      <c r="AV24" s="178">
        <v>2.5</v>
      </c>
      <c r="AW24" s="134">
        <f t="shared" si="28"/>
        <v>-61.637080867850102</v>
      </c>
      <c r="AX24" s="135"/>
      <c r="AY24" s="136">
        <f t="shared" si="29"/>
        <v>-61.637080867850102</v>
      </c>
      <c r="AZ24" s="138">
        <f t="shared" si="30"/>
        <v>862.78026981567984</v>
      </c>
      <c r="BA24" s="137">
        <f t="shared" si="31"/>
        <v>862.78026981567984</v>
      </c>
      <c r="BB24" s="138">
        <f t="shared" si="32"/>
        <v>1881.830850086473</v>
      </c>
      <c r="BC24" s="138"/>
      <c r="BD24" s="137">
        <f t="shared" si="33"/>
        <v>1881.830850086473</v>
      </c>
      <c r="BE24" s="138">
        <f t="shared" si="34"/>
        <v>2499.8109289819363</v>
      </c>
      <c r="BF24" s="138"/>
      <c r="BG24" s="140">
        <f t="shared" si="35"/>
        <v>2499.8109289819363</v>
      </c>
    </row>
    <row r="25" spans="1:59" ht="14">
      <c r="A25" s="132" t="s">
        <v>214</v>
      </c>
      <c r="B25" s="121"/>
      <c r="C25" s="121">
        <f>'Revised PS Model 2020'!BG36</f>
        <v>0</v>
      </c>
      <c r="D25" s="178">
        <v>2.5</v>
      </c>
      <c r="E25" s="134">
        <f t="shared" si="6"/>
        <v>214.79773820981714</v>
      </c>
      <c r="F25" s="135"/>
      <c r="G25" s="136">
        <f t="shared" si="7"/>
        <v>214.79773820981714</v>
      </c>
      <c r="H25" s="178">
        <v>2.5</v>
      </c>
      <c r="I25" s="134">
        <f t="shared" si="8"/>
        <v>272.41246390760347</v>
      </c>
      <c r="J25" s="135"/>
      <c r="K25" s="136">
        <f t="shared" si="9"/>
        <v>272.41246390760347</v>
      </c>
      <c r="L25" s="178">
        <v>2.5</v>
      </c>
      <c r="M25" s="134">
        <f t="shared" si="10"/>
        <v>375.57006769825921</v>
      </c>
      <c r="N25" s="135"/>
      <c r="O25" s="136">
        <f t="shared" si="11"/>
        <v>375.57006769825921</v>
      </c>
      <c r="P25" s="178">
        <v>2.5</v>
      </c>
      <c r="Q25" s="134">
        <f t="shared" si="12"/>
        <v>268.44472920696325</v>
      </c>
      <c r="R25" s="135"/>
      <c r="S25" s="136">
        <f t="shared" si="13"/>
        <v>268.44472920696325</v>
      </c>
      <c r="T25" s="178">
        <v>2.5</v>
      </c>
      <c r="U25" s="134">
        <f t="shared" si="14"/>
        <v>299.38708897485492</v>
      </c>
      <c r="V25" s="135"/>
      <c r="W25" s="136">
        <f t="shared" si="15"/>
        <v>299.38708897485492</v>
      </c>
      <c r="X25" s="178">
        <v>2.5</v>
      </c>
      <c r="Y25" s="123">
        <f t="shared" si="16"/>
        <v>451.21876208897481</v>
      </c>
      <c r="Z25" s="135"/>
      <c r="AA25" s="136">
        <f t="shared" si="17"/>
        <v>451.21876208897481</v>
      </c>
      <c r="AB25" s="178">
        <v>2.5</v>
      </c>
      <c r="AC25" s="134">
        <f t="shared" si="18"/>
        <v>336.73486193293888</v>
      </c>
      <c r="AD25" s="135"/>
      <c r="AE25" s="136">
        <f t="shared" si="19"/>
        <v>336.73486193293888</v>
      </c>
      <c r="AF25" s="178">
        <v>2.5</v>
      </c>
      <c r="AG25" s="134">
        <f t="shared" si="20"/>
        <v>527.79354043392505</v>
      </c>
      <c r="AH25" s="135"/>
      <c r="AI25" s="136">
        <f t="shared" si="21"/>
        <v>527.79354043392505</v>
      </c>
      <c r="AJ25" s="178">
        <v>2.5</v>
      </c>
      <c r="AK25" s="134">
        <f t="shared" si="22"/>
        <v>-61.637080867850102</v>
      </c>
      <c r="AL25" s="135"/>
      <c r="AM25" s="136">
        <f t="shared" si="23"/>
        <v>-61.637080867850102</v>
      </c>
      <c r="AN25" s="178">
        <v>2.5</v>
      </c>
      <c r="AO25" s="134">
        <f t="shared" si="24"/>
        <v>-61.637080867850102</v>
      </c>
      <c r="AP25" s="135"/>
      <c r="AQ25" s="136">
        <f t="shared" si="25"/>
        <v>-61.637080867850102</v>
      </c>
      <c r="AR25" s="178">
        <v>2.5</v>
      </c>
      <c r="AS25" s="134">
        <f t="shared" si="26"/>
        <v>-61.637080867850102</v>
      </c>
      <c r="AT25" s="135"/>
      <c r="AU25" s="136">
        <f t="shared" si="27"/>
        <v>-61.637080867850102</v>
      </c>
      <c r="AV25" s="178">
        <v>2.5</v>
      </c>
      <c r="AW25" s="134">
        <f t="shared" si="28"/>
        <v>-61.637080867850102</v>
      </c>
      <c r="AX25" s="135"/>
      <c r="AY25" s="136">
        <f t="shared" si="29"/>
        <v>-61.637080867850102</v>
      </c>
      <c r="AZ25" s="138">
        <f t="shared" si="30"/>
        <v>862.78026981567984</v>
      </c>
      <c r="BA25" s="137">
        <f t="shared" si="31"/>
        <v>862.78026981567984</v>
      </c>
      <c r="BB25" s="138">
        <f t="shared" si="32"/>
        <v>1881.830850086473</v>
      </c>
      <c r="BC25" s="138"/>
      <c r="BD25" s="137">
        <f t="shared" si="33"/>
        <v>1881.830850086473</v>
      </c>
      <c r="BE25" s="138">
        <f t="shared" si="34"/>
        <v>2499.8109289819363</v>
      </c>
      <c r="BF25" s="138"/>
      <c r="BG25" s="140">
        <f t="shared" si="35"/>
        <v>2499.8109289819363</v>
      </c>
    </row>
    <row r="26" spans="1:59" ht="12" customHeight="1">
      <c r="A26" s="89"/>
      <c r="C26" s="61"/>
      <c r="D26" s="148">
        <f t="shared" ref="D26:E26" si="36">SUM(D16:D25)</f>
        <v>519.5</v>
      </c>
      <c r="E26" s="149">
        <f t="shared" si="36"/>
        <v>44634.970000000008</v>
      </c>
      <c r="F26" s="91"/>
      <c r="G26" s="91"/>
      <c r="H26" s="148">
        <f t="shared" ref="H26:I26" si="37">SUM(H16:H25)</f>
        <v>519.5</v>
      </c>
      <c r="I26" s="149">
        <f t="shared" si="37"/>
        <v>56607.310000000005</v>
      </c>
      <c r="J26" s="91"/>
      <c r="K26" s="91"/>
      <c r="L26" s="148">
        <f t="shared" ref="L26:M26" si="38">SUM(L16:L25)</f>
        <v>517</v>
      </c>
      <c r="M26" s="149">
        <f t="shared" si="38"/>
        <v>77667.889999999985</v>
      </c>
      <c r="N26" s="91"/>
      <c r="O26" s="91"/>
      <c r="P26" s="148">
        <f t="shared" ref="P26:Q26" si="39">SUM(P16:P25)</f>
        <v>517</v>
      </c>
      <c r="Q26" s="149">
        <f t="shared" si="39"/>
        <v>55514.369999999995</v>
      </c>
      <c r="R26" s="91"/>
      <c r="S26" s="91"/>
      <c r="T26" s="148">
        <f t="shared" ref="T26:U26" si="40">SUM(T16:T25)</f>
        <v>517</v>
      </c>
      <c r="U26" s="149">
        <f t="shared" si="40"/>
        <v>61913.25</v>
      </c>
      <c r="V26" s="91"/>
      <c r="W26" s="91"/>
      <c r="X26" s="148">
        <f t="shared" ref="X26:Y26" si="41">SUM(X16:X25)</f>
        <v>517</v>
      </c>
      <c r="Y26" s="149">
        <f t="shared" si="41"/>
        <v>93312.039999999979</v>
      </c>
      <c r="Z26" s="91"/>
      <c r="AA26" s="92"/>
      <c r="AB26" s="148">
        <f t="shared" ref="AB26:AC26" si="42">SUM(AB16:AB23)</f>
        <v>507</v>
      </c>
      <c r="AC26" s="149">
        <f t="shared" si="42"/>
        <v>68289.83</v>
      </c>
      <c r="AD26" s="91"/>
      <c r="AE26" s="92"/>
      <c r="AF26" s="148">
        <f t="shared" ref="AF26:AG26" si="43">SUM(AF16:AF23)</f>
        <v>507</v>
      </c>
      <c r="AG26" s="149">
        <f t="shared" si="43"/>
        <v>107036.53000000001</v>
      </c>
      <c r="AH26" s="91"/>
      <c r="AI26" s="91"/>
      <c r="AJ26" s="148">
        <f t="shared" ref="AJ26:AK26" si="44">SUM(AJ16:AJ23)</f>
        <v>507</v>
      </c>
      <c r="AK26" s="149">
        <f t="shared" si="44"/>
        <v>-12500</v>
      </c>
      <c r="AL26" s="91"/>
      <c r="AM26" s="91"/>
      <c r="AN26" s="148">
        <f t="shared" ref="AN26:AO26" si="45">SUM(AN16:AN23)</f>
        <v>507</v>
      </c>
      <c r="AO26" s="149">
        <f t="shared" si="45"/>
        <v>-12500</v>
      </c>
      <c r="AP26" s="91"/>
      <c r="AQ26" s="91"/>
      <c r="AR26" s="148">
        <f t="shared" ref="AR26:AS26" si="46">SUM(AR16:AR23)</f>
        <v>507</v>
      </c>
      <c r="AS26" s="149">
        <f t="shared" si="46"/>
        <v>-12500</v>
      </c>
      <c r="AT26" s="91"/>
      <c r="AU26" s="91"/>
      <c r="AV26" s="148">
        <f t="shared" ref="AV26:AW26" si="47">SUM(AV16:AV23)</f>
        <v>507</v>
      </c>
      <c r="AW26" s="149">
        <f t="shared" si="47"/>
        <v>-12500</v>
      </c>
      <c r="AX26" s="124"/>
      <c r="AY26" s="92"/>
      <c r="AZ26" s="91"/>
      <c r="BA26" s="150"/>
      <c r="BB26" s="91"/>
      <c r="BC26" s="91"/>
      <c r="BD26" s="150"/>
    </row>
    <row r="27" spans="1:59" ht="14">
      <c r="A27" s="89"/>
      <c r="B27" s="5"/>
      <c r="C27" s="61"/>
      <c r="D27" s="100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124"/>
      <c r="AW27" s="151"/>
      <c r="AX27" s="124"/>
      <c r="AY27" s="92"/>
      <c r="AZ27" s="216" t="str">
        <f>"Paid for "&amp;AZ2</f>
        <v>Paid for 1Q</v>
      </c>
      <c r="BA27" s="217" t="s">
        <v>256</v>
      </c>
      <c r="BB27" s="216" t="str">
        <f>"Paid for "&amp;BB2</f>
        <v>Paid for 1H</v>
      </c>
      <c r="BC27" s="216" t="s">
        <v>270</v>
      </c>
      <c r="BD27" s="217" t="s">
        <v>256</v>
      </c>
      <c r="BE27" s="216" t="str">
        <f>"Paid for "&amp;BE2</f>
        <v>Paid for 2021</v>
      </c>
      <c r="BF27" s="216" t="s">
        <v>270</v>
      </c>
      <c r="BG27" s="217" t="s">
        <v>256</v>
      </c>
    </row>
    <row r="28" spans="1:59" ht="28">
      <c r="A28" s="89"/>
      <c r="B28" s="5"/>
      <c r="C28" s="61"/>
      <c r="D28" s="100"/>
      <c r="E28" s="91"/>
      <c r="F28" s="124"/>
      <c r="G28" s="91"/>
      <c r="H28" s="91"/>
      <c r="I28" s="91"/>
      <c r="J28" s="124"/>
      <c r="K28" s="91"/>
      <c r="L28" s="91"/>
      <c r="M28" s="91"/>
      <c r="N28" s="124">
        <v>923.31</v>
      </c>
      <c r="O28" s="91"/>
      <c r="P28" s="91"/>
      <c r="Q28" s="91"/>
      <c r="R28" s="124"/>
      <c r="S28" s="91"/>
      <c r="T28" s="91"/>
      <c r="U28" s="91"/>
      <c r="V28" s="124"/>
      <c r="W28" s="91"/>
      <c r="X28" s="91"/>
      <c r="Y28" s="91"/>
      <c r="Z28" s="124"/>
      <c r="AA28" s="91"/>
      <c r="AB28" s="91"/>
      <c r="AC28" s="91"/>
      <c r="AD28" s="124"/>
      <c r="AE28" s="91"/>
      <c r="AF28" s="91"/>
      <c r="AG28" s="91"/>
      <c r="AH28" s="124"/>
      <c r="AI28" s="91"/>
      <c r="AJ28" s="91"/>
      <c r="AK28" s="91"/>
      <c r="AL28" s="124"/>
      <c r="AM28" s="91"/>
      <c r="AN28" s="91"/>
      <c r="AO28" s="91"/>
      <c r="AP28" s="124"/>
      <c r="AQ28" s="91"/>
      <c r="AR28" s="91"/>
      <c r="AS28" s="91"/>
      <c r="AT28" s="91"/>
      <c r="AU28" s="1"/>
      <c r="AV28" s="152" t="s">
        <v>258</v>
      </c>
      <c r="AW28" s="118" t="s">
        <v>219</v>
      </c>
      <c r="AY28" s="220" t="s">
        <v>83</v>
      </c>
      <c r="AZ28" s="223">
        <v>0</v>
      </c>
      <c r="BA28" s="222">
        <f t="shared" ref="BA28:BA36" si="48">BA16-AZ28</f>
        <v>212491.47566495233</v>
      </c>
      <c r="BB28" s="223">
        <v>0</v>
      </c>
      <c r="BC28" s="223">
        <f t="shared" ref="BC28:BC37" si="49">AZ28+BB28</f>
        <v>0</v>
      </c>
      <c r="BD28" s="224">
        <f t="shared" ref="BD28:BD36" si="50">BD16-BC28</f>
        <v>330591.77529744746</v>
      </c>
      <c r="BE28" s="223">
        <v>0</v>
      </c>
      <c r="BF28" s="223">
        <f t="shared" ref="BF28:BF37" si="51">BC28+BE28</f>
        <v>0</v>
      </c>
      <c r="BG28" s="224">
        <f t="shared" ref="BG28:BG36" si="52">BG16-BF28</f>
        <v>401241.5047649031</v>
      </c>
    </row>
    <row r="29" spans="1:59" ht="14">
      <c r="A29" s="89"/>
      <c r="B29" s="5"/>
      <c r="C29" s="6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P29" s="91"/>
      <c r="AQ29" s="91"/>
      <c r="AR29" s="91"/>
      <c r="AS29" s="91"/>
      <c r="AT29" s="91"/>
      <c r="AU29" s="91" t="s">
        <v>83</v>
      </c>
      <c r="AV29" s="91"/>
      <c r="AW29" s="151">
        <f t="shared" ref="AW29:AW38" si="53">BA28</f>
        <v>212491.47566495233</v>
      </c>
      <c r="AY29" s="220" t="s">
        <v>209</v>
      </c>
      <c r="AZ29" s="165">
        <v>34211.15</v>
      </c>
      <c r="BA29" s="222">
        <f t="shared" si="48"/>
        <v>-469.40128636398003</v>
      </c>
      <c r="BB29" s="165">
        <v>0</v>
      </c>
      <c r="BC29" s="223">
        <f t="shared" si="49"/>
        <v>34211.15</v>
      </c>
      <c r="BD29" s="224">
        <f t="shared" si="50"/>
        <v>40292.621924467741</v>
      </c>
      <c r="BE29" s="165">
        <v>0</v>
      </c>
      <c r="BF29" s="223">
        <f t="shared" si="51"/>
        <v>34211.15</v>
      </c>
      <c r="BG29" s="224">
        <f t="shared" si="52"/>
        <v>65011.825080286282</v>
      </c>
    </row>
    <row r="30" spans="1:59" ht="14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P30" s="91"/>
      <c r="AQ30" s="91"/>
      <c r="AR30" s="91"/>
      <c r="AS30" s="124"/>
      <c r="AT30" s="91"/>
      <c r="AU30" s="91" t="s">
        <v>209</v>
      </c>
      <c r="AV30" s="91"/>
      <c r="AW30" s="151">
        <f t="shared" si="53"/>
        <v>-469.40128636398003</v>
      </c>
      <c r="AY30" s="220" t="s">
        <v>61</v>
      </c>
      <c r="AZ30" s="165">
        <v>17259.47</v>
      </c>
      <c r="BA30" s="222">
        <f t="shared" si="48"/>
        <v>-234.70147194215315</v>
      </c>
      <c r="BB30" s="165">
        <v>0</v>
      </c>
      <c r="BC30" s="223">
        <f t="shared" si="49"/>
        <v>17259.47</v>
      </c>
      <c r="BD30" s="224">
        <f t="shared" si="50"/>
        <v>20146.310133473708</v>
      </c>
      <c r="BE30" s="165">
        <v>0</v>
      </c>
      <c r="BF30" s="223">
        <f t="shared" si="51"/>
        <v>17259.47</v>
      </c>
      <c r="BG30" s="224">
        <f t="shared" si="52"/>
        <v>32505.911711382978</v>
      </c>
    </row>
    <row r="31" spans="1:59" ht="14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P31" s="91"/>
      <c r="AQ31" s="91"/>
      <c r="AR31" s="91"/>
      <c r="AS31" s="91"/>
      <c r="AT31" s="91"/>
      <c r="AU31" s="91" t="s">
        <v>61</v>
      </c>
      <c r="AV31" s="91"/>
      <c r="AW31" s="151">
        <f t="shared" si="53"/>
        <v>-234.70147194215315</v>
      </c>
      <c r="AY31" s="226" t="s">
        <v>65</v>
      </c>
      <c r="AZ31" s="165">
        <v>17259.47</v>
      </c>
      <c r="BA31" s="227">
        <f t="shared" si="48"/>
        <v>-234.70147194215315</v>
      </c>
      <c r="BB31" s="165">
        <v>0</v>
      </c>
      <c r="BC31" s="223">
        <f t="shared" si="49"/>
        <v>17259.47</v>
      </c>
      <c r="BD31" s="224">
        <f t="shared" si="50"/>
        <v>20146.310133473708</v>
      </c>
      <c r="BE31" s="165">
        <v>0</v>
      </c>
      <c r="BF31" s="223">
        <f t="shared" si="51"/>
        <v>17259.47</v>
      </c>
      <c r="BG31" s="224">
        <f t="shared" si="52"/>
        <v>32505.911711382978</v>
      </c>
    </row>
    <row r="32" spans="1:59" ht="14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P32" s="91"/>
      <c r="AQ32" s="91"/>
      <c r="AR32" s="91"/>
      <c r="AS32" s="91"/>
      <c r="AT32" s="91"/>
      <c r="AU32" s="91" t="s">
        <v>65</v>
      </c>
      <c r="AV32" s="91"/>
      <c r="AW32" s="151">
        <f t="shared" si="53"/>
        <v>-234.70147194215315</v>
      </c>
      <c r="AY32" s="220" t="s">
        <v>210</v>
      </c>
      <c r="AZ32" s="165">
        <v>1729.79</v>
      </c>
      <c r="BA32" s="227">
        <f t="shared" si="48"/>
        <v>-23.468843019333463</v>
      </c>
      <c r="BB32" s="165">
        <v>0</v>
      </c>
      <c r="BC32" s="223">
        <f t="shared" si="49"/>
        <v>1729.79</v>
      </c>
      <c r="BD32" s="224">
        <f t="shared" si="50"/>
        <v>2014.6323175222528</v>
      </c>
      <c r="BE32" s="165">
        <v>0</v>
      </c>
      <c r="BF32" s="223">
        <f t="shared" si="51"/>
        <v>1729.79</v>
      </c>
      <c r="BG32" s="224">
        <f t="shared" si="52"/>
        <v>3250.5924753131794</v>
      </c>
    </row>
    <row r="33" spans="1:59" ht="14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P33" s="91"/>
      <c r="AQ33" s="91"/>
      <c r="AR33" s="91"/>
      <c r="AS33" s="91"/>
      <c r="AT33" s="91"/>
      <c r="AU33" s="91" t="s">
        <v>210</v>
      </c>
      <c r="AV33" s="91"/>
      <c r="AW33" s="151">
        <f t="shared" si="53"/>
        <v>-23.468843019333463</v>
      </c>
      <c r="AY33" s="220" t="s">
        <v>254</v>
      </c>
      <c r="AZ33" s="165">
        <v>1729.79</v>
      </c>
      <c r="BA33" s="227">
        <f t="shared" si="48"/>
        <v>-23.468843019333463</v>
      </c>
      <c r="BB33" s="165">
        <v>0</v>
      </c>
      <c r="BC33" s="223">
        <f t="shared" si="49"/>
        <v>1729.79</v>
      </c>
      <c r="BD33" s="224">
        <f t="shared" si="50"/>
        <v>2014.6323175222528</v>
      </c>
      <c r="BE33" s="165">
        <v>0</v>
      </c>
      <c r="BF33" s="223">
        <f t="shared" si="51"/>
        <v>1729.79</v>
      </c>
      <c r="BG33" s="224">
        <f t="shared" si="52"/>
        <v>2014.6323175222528</v>
      </c>
    </row>
    <row r="34" spans="1:59" ht="14">
      <c r="A34" s="89"/>
      <c r="B34" s="5"/>
      <c r="C34" s="61"/>
      <c r="D34" s="100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P34" s="91"/>
      <c r="AQ34" s="91"/>
      <c r="AR34" s="91"/>
      <c r="AS34" s="91"/>
      <c r="AT34" s="91"/>
      <c r="AU34" s="91" t="s">
        <v>254</v>
      </c>
      <c r="AV34" s="91"/>
      <c r="AW34" s="151">
        <f t="shared" si="53"/>
        <v>-23.468843019333463</v>
      </c>
      <c r="AY34" s="220" t="s">
        <v>255</v>
      </c>
      <c r="AZ34" s="165">
        <v>472.71</v>
      </c>
      <c r="BA34" s="227">
        <f t="shared" si="48"/>
        <v>-4.7391805332725312</v>
      </c>
      <c r="BB34" s="165">
        <v>0</v>
      </c>
      <c r="BC34" s="223">
        <f t="shared" si="49"/>
        <v>472.71</v>
      </c>
      <c r="BD34" s="224">
        <f t="shared" si="50"/>
        <v>-4.7391805332725312</v>
      </c>
      <c r="BE34" s="165">
        <v>0</v>
      </c>
      <c r="BF34" s="223">
        <f t="shared" si="51"/>
        <v>472.71</v>
      </c>
      <c r="BG34" s="224">
        <f t="shared" si="52"/>
        <v>-4.7391805332725312</v>
      </c>
    </row>
    <row r="35" spans="1:59" ht="14">
      <c r="A35" s="89"/>
      <c r="B35" s="5"/>
      <c r="C35" s="61"/>
      <c r="D35" s="100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P35" s="91"/>
      <c r="AQ35" s="91"/>
      <c r="AR35" s="91"/>
      <c r="AS35" s="91"/>
      <c r="AT35" s="91"/>
      <c r="AU35" s="91" t="s">
        <v>255</v>
      </c>
      <c r="AV35" s="91"/>
      <c r="AW35" s="151">
        <f t="shared" si="53"/>
        <v>-4.7391805332725312</v>
      </c>
      <c r="AY35" s="220" t="s">
        <v>211</v>
      </c>
      <c r="AZ35" s="165">
        <v>691.92</v>
      </c>
      <c r="BA35" s="227">
        <f t="shared" si="48"/>
        <v>-9.3895372077337242</v>
      </c>
      <c r="BB35" s="165">
        <v>0</v>
      </c>
      <c r="BC35" s="223">
        <f t="shared" si="49"/>
        <v>691.92</v>
      </c>
      <c r="BD35" s="224">
        <f t="shared" si="50"/>
        <v>805.85092700890084</v>
      </c>
      <c r="BE35" s="165">
        <v>0</v>
      </c>
      <c r="BF35" s="223">
        <f t="shared" si="51"/>
        <v>691.92</v>
      </c>
      <c r="BG35" s="224">
        <f t="shared" si="52"/>
        <v>1300.2349901252715</v>
      </c>
    </row>
    <row r="36" spans="1:59" ht="14">
      <c r="A36" s="89"/>
      <c r="B36" s="5"/>
      <c r="C36" s="61"/>
      <c r="D36" s="100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P36" s="91"/>
      <c r="AQ36" s="91"/>
      <c r="AR36" s="91"/>
      <c r="AS36" s="91"/>
      <c r="AT36" s="91"/>
      <c r="AU36" s="1" t="s">
        <v>211</v>
      </c>
      <c r="AV36" s="91"/>
      <c r="AW36" s="151">
        <f t="shared" si="53"/>
        <v>-9.3895372077337242</v>
      </c>
      <c r="AY36" s="220" t="s">
        <v>212</v>
      </c>
      <c r="AZ36" s="165">
        <v>874.52</v>
      </c>
      <c r="BA36" s="227">
        <f t="shared" si="48"/>
        <v>-11.739730184320138</v>
      </c>
      <c r="BB36" s="165">
        <v>0</v>
      </c>
      <c r="BC36" s="223">
        <f t="shared" si="49"/>
        <v>874.52</v>
      </c>
      <c r="BD36" s="224">
        <f t="shared" si="50"/>
        <v>1007.310850086473</v>
      </c>
      <c r="BE36" s="165">
        <v>0</v>
      </c>
      <c r="BF36" s="223">
        <f t="shared" si="51"/>
        <v>874.52</v>
      </c>
      <c r="BG36" s="224">
        <f t="shared" si="52"/>
        <v>1625.2909289819363</v>
      </c>
    </row>
    <row r="37" spans="1:59" ht="14">
      <c r="A37" s="89"/>
      <c r="B37" s="5"/>
      <c r="C37" s="61"/>
      <c r="D37" s="100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P37" s="91"/>
      <c r="AQ37" s="91"/>
      <c r="AR37" s="91"/>
      <c r="AS37" s="91"/>
      <c r="AT37" s="91"/>
      <c r="AU37" s="91" t="s">
        <v>212</v>
      </c>
      <c r="AV37" s="91"/>
      <c r="AW37" s="151">
        <f t="shared" si="53"/>
        <v>-11.739730184320138</v>
      </c>
      <c r="AY37" s="220" t="s">
        <v>214</v>
      </c>
      <c r="AZ37" s="165">
        <v>874.52</v>
      </c>
      <c r="BA37" s="227">
        <f>BA24-AZ37</f>
        <v>-11.739730184320138</v>
      </c>
      <c r="BB37" s="165">
        <v>0</v>
      </c>
      <c r="BC37" s="223">
        <f t="shared" si="49"/>
        <v>874.52</v>
      </c>
      <c r="BD37" s="224">
        <f>BD24-BC37</f>
        <v>1007.310850086473</v>
      </c>
      <c r="BE37" s="165">
        <v>0</v>
      </c>
      <c r="BF37" s="223">
        <f t="shared" si="51"/>
        <v>874.52</v>
      </c>
      <c r="BG37" s="224">
        <f>BG24-BF37</f>
        <v>1625.2909289819363</v>
      </c>
    </row>
    <row r="38" spans="1:59" ht="14">
      <c r="A38" s="89"/>
      <c r="C38" s="61"/>
      <c r="D38" s="62"/>
      <c r="AU38" s="1" t="s">
        <v>214</v>
      </c>
      <c r="AV38" s="91"/>
      <c r="AW38" s="151">
        <f t="shared" si="53"/>
        <v>-11.739730184320138</v>
      </c>
      <c r="BD38" s="91"/>
      <c r="BE38" s="91"/>
      <c r="BF38" s="91"/>
      <c r="BG38" s="91"/>
    </row>
    <row r="39" spans="1:59" ht="13">
      <c r="A39" s="89"/>
      <c r="C39" s="61"/>
      <c r="D39" s="62"/>
      <c r="AY39" s="1"/>
      <c r="BA39" s="230"/>
      <c r="BB39" s="230"/>
      <c r="BC39" s="230"/>
      <c r="BD39" s="91"/>
      <c r="BE39" s="91"/>
      <c r="BF39" s="91"/>
      <c r="BG39" s="91"/>
    </row>
    <row r="40" spans="1:59" ht="13">
      <c r="A40" s="89"/>
      <c r="C40" s="61"/>
      <c r="D40" s="62"/>
      <c r="AZ40" s="152"/>
      <c r="BA40" s="152"/>
      <c r="BB40" s="152"/>
      <c r="BC40" s="152"/>
      <c r="BD40" s="91"/>
      <c r="BE40" s="91"/>
      <c r="BF40" s="91"/>
      <c r="BG40" s="91"/>
    </row>
    <row r="41" spans="1:59" ht="14">
      <c r="A41" s="89" t="s">
        <v>201</v>
      </c>
      <c r="C41" s="61"/>
      <c r="D41" s="62"/>
      <c r="AN41" s="1" t="s">
        <v>148</v>
      </c>
      <c r="AZ41" s="152"/>
      <c r="BA41" s="152"/>
      <c r="BB41" s="152"/>
      <c r="BC41" s="152"/>
      <c r="BD41" s="91"/>
      <c r="BE41" s="91"/>
      <c r="BF41" s="91"/>
      <c r="BG41" s="91"/>
    </row>
    <row r="42" spans="1:59" ht="13">
      <c r="A42" s="89"/>
      <c r="C42" s="61"/>
      <c r="D42" s="62"/>
      <c r="BD42" s="91"/>
    </row>
    <row r="43" spans="1:59" ht="13">
      <c r="A43" s="89"/>
      <c r="C43" s="61"/>
      <c r="D43" s="62"/>
    </row>
    <row r="44" spans="1:59" ht="13">
      <c r="A44" s="89"/>
      <c r="C44" s="61"/>
      <c r="D44" s="62"/>
    </row>
    <row r="45" spans="1:59" ht="13">
      <c r="A45" s="89"/>
      <c r="C45" s="61"/>
      <c r="D45" s="62"/>
    </row>
    <row r="46" spans="1:59" ht="13">
      <c r="A46" s="89"/>
      <c r="C46" s="61"/>
      <c r="D46" s="62"/>
    </row>
    <row r="47" spans="1:59" ht="13">
      <c r="A47" s="89"/>
      <c r="C47" s="61"/>
      <c r="D47" s="62"/>
    </row>
    <row r="48" spans="1:59" ht="13">
      <c r="A48" s="89"/>
      <c r="C48" s="61"/>
      <c r="D48" s="62"/>
    </row>
    <row r="49" spans="1:4" ht="13">
      <c r="A49" s="89"/>
      <c r="C49" s="61"/>
      <c r="D49" s="62"/>
    </row>
    <row r="50" spans="1:4" ht="13">
      <c r="A50" s="89"/>
      <c r="C50" s="61"/>
      <c r="D50" s="62"/>
    </row>
    <row r="51" spans="1:4" ht="13">
      <c r="A51" s="89"/>
      <c r="C51" s="61"/>
      <c r="D51" s="62"/>
    </row>
    <row r="52" spans="1:4" ht="13">
      <c r="A52" s="89"/>
      <c r="C52" s="61"/>
      <c r="D52" s="62"/>
    </row>
    <row r="53" spans="1:4" ht="13">
      <c r="A53" s="89"/>
      <c r="C53" s="61"/>
      <c r="D53" s="62"/>
    </row>
    <row r="54" spans="1:4" ht="13">
      <c r="A54" s="89"/>
      <c r="C54" s="61"/>
      <c r="D54" s="6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G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18.1640625" customWidth="1"/>
    <col min="15" max="16" width="15.1640625" customWidth="1"/>
    <col min="17" max="17" width="20.33203125" customWidth="1"/>
    <col min="18" max="18" width="11.1640625" customWidth="1"/>
    <col min="19" max="31" width="15.1640625" customWidth="1"/>
    <col min="32" max="32" width="21.83203125" customWidth="1"/>
    <col min="33" max="48" width="15.1640625" customWidth="1"/>
    <col min="49" max="50" width="10.5" customWidth="1"/>
    <col min="51" max="51" width="10.83203125" customWidth="1"/>
    <col min="52" max="59" width="15.1640625" customWidth="1"/>
  </cols>
  <sheetData>
    <row r="1" spans="1:59" ht="42.75" customHeight="1">
      <c r="A1" s="5" t="s">
        <v>148</v>
      </c>
      <c r="C1" s="61" t="s">
        <v>131</v>
      </c>
      <c r="D1" s="59">
        <v>43861</v>
      </c>
      <c r="E1" s="60"/>
      <c r="F1" s="60"/>
      <c r="G1" s="61"/>
      <c r="H1" s="59">
        <v>43889</v>
      </c>
      <c r="I1" s="60"/>
      <c r="J1" s="60"/>
      <c r="K1" s="61"/>
      <c r="L1" s="59">
        <v>43921</v>
      </c>
      <c r="M1" s="60"/>
      <c r="N1" s="60"/>
      <c r="O1" s="61"/>
      <c r="P1" s="59">
        <v>43951</v>
      </c>
      <c r="Q1" s="60"/>
      <c r="R1" s="60"/>
      <c r="S1" s="61"/>
      <c r="T1" s="59">
        <v>43982</v>
      </c>
      <c r="U1" s="60"/>
      <c r="V1" s="60"/>
      <c r="W1" s="61"/>
      <c r="X1" s="59">
        <v>44012</v>
      </c>
      <c r="Y1" s="60"/>
      <c r="Z1" s="60"/>
      <c r="AA1" s="61"/>
      <c r="AB1" s="59">
        <v>44043</v>
      </c>
      <c r="AC1" s="60"/>
      <c r="AD1" s="60"/>
      <c r="AE1" s="61"/>
      <c r="AF1" s="59">
        <v>44074</v>
      </c>
      <c r="AG1" s="60"/>
      <c r="AH1" s="60"/>
      <c r="AI1" s="61"/>
      <c r="AJ1" s="59">
        <v>44104</v>
      </c>
      <c r="AK1" s="60"/>
      <c r="AL1" s="60"/>
      <c r="AM1" s="61"/>
      <c r="AN1" s="59">
        <v>44135</v>
      </c>
      <c r="AO1" s="60"/>
      <c r="AP1" s="60"/>
      <c r="AQ1" s="61"/>
      <c r="AR1" s="59">
        <v>44165</v>
      </c>
      <c r="AS1" s="60"/>
      <c r="AT1" s="60"/>
      <c r="AU1" s="61"/>
      <c r="AV1" s="59">
        <v>44196</v>
      </c>
      <c r="AW1" s="60"/>
      <c r="AX1" s="60"/>
      <c r="BB1" s="62"/>
      <c r="BD1" s="61"/>
    </row>
    <row r="2" spans="1:59" ht="14">
      <c r="A2" s="5"/>
      <c r="C2" s="61"/>
      <c r="D2" s="62">
        <f>YEAR(D1)</f>
        <v>2020</v>
      </c>
      <c r="G2" s="61"/>
      <c r="H2" s="62">
        <f>YEAR(H1)</f>
        <v>2020</v>
      </c>
      <c r="K2" s="61"/>
      <c r="L2" s="62">
        <f>YEAR(L1)</f>
        <v>2020</v>
      </c>
      <c r="O2" s="61"/>
      <c r="P2" s="62">
        <v>2020</v>
      </c>
      <c r="S2" s="61"/>
      <c r="T2" s="62">
        <f>YEAR(T1)</f>
        <v>2020</v>
      </c>
      <c r="W2" s="61"/>
      <c r="X2" s="62">
        <f>YEAR(X1)</f>
        <v>2020</v>
      </c>
      <c r="AA2" s="61"/>
      <c r="AB2" s="62">
        <f>YEAR(AB1)</f>
        <v>2020</v>
      </c>
      <c r="AE2" s="61"/>
      <c r="AF2" s="62">
        <f>YEAR(AF1)</f>
        <v>2020</v>
      </c>
      <c r="AI2" s="61"/>
      <c r="AJ2" s="62">
        <f>YEAR(AJ1)</f>
        <v>2020</v>
      </c>
      <c r="AM2" s="61"/>
      <c r="AN2" s="62">
        <f>YEAR(AN1)</f>
        <v>2020</v>
      </c>
      <c r="AQ2" s="61"/>
      <c r="AR2" s="62">
        <f>YEAR(AR1)</f>
        <v>2020</v>
      </c>
      <c r="AU2" s="61"/>
      <c r="AV2" s="62">
        <f>YEAR(AV1)</f>
        <v>2020</v>
      </c>
      <c r="AY2" s="61"/>
      <c r="AZ2" s="65" t="s">
        <v>132</v>
      </c>
      <c r="BA2" s="65"/>
      <c r="BB2" s="209" t="s">
        <v>247</v>
      </c>
      <c r="BC2" s="65"/>
      <c r="BD2" s="61"/>
      <c r="BE2" s="67">
        <v>2020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150.75" customHeight="1">
      <c r="A5" s="233" t="s">
        <v>136</v>
      </c>
      <c r="B5" s="234"/>
      <c r="C5" s="235"/>
      <c r="D5" s="236">
        <v>52237.91</v>
      </c>
      <c r="E5" s="237">
        <v>53798.239999999998</v>
      </c>
      <c r="F5" s="237" t="s">
        <v>271</v>
      </c>
      <c r="G5" s="238" t="s">
        <v>272</v>
      </c>
      <c r="H5" s="236">
        <v>53664.19</v>
      </c>
      <c r="I5" s="236">
        <v>60113.91</v>
      </c>
      <c r="J5" s="237"/>
      <c r="K5" s="238"/>
      <c r="L5" s="236">
        <v>27480.38</v>
      </c>
      <c r="M5" s="236">
        <v>37278</v>
      </c>
      <c r="N5" s="236" t="s">
        <v>273</v>
      </c>
      <c r="O5" s="238"/>
      <c r="P5" s="236">
        <v>56970.16</v>
      </c>
      <c r="Q5" s="236">
        <v>75903.45</v>
      </c>
      <c r="R5" s="237"/>
      <c r="S5" s="238"/>
      <c r="T5" s="236">
        <v>65277.48</v>
      </c>
      <c r="U5" s="236">
        <v>73383.429999999993</v>
      </c>
      <c r="V5" s="237"/>
      <c r="W5" s="238"/>
      <c r="X5" s="236">
        <v>77756.28</v>
      </c>
      <c r="Y5" s="236">
        <v>89485.15</v>
      </c>
      <c r="Z5" s="237">
        <v>35188</v>
      </c>
      <c r="AA5" s="237" t="s">
        <v>274</v>
      </c>
      <c r="AB5" s="236">
        <v>9891.6</v>
      </c>
      <c r="AC5" s="236">
        <v>14418.02</v>
      </c>
      <c r="AD5" s="237"/>
      <c r="AE5" s="238"/>
      <c r="AF5" s="236">
        <v>-11529.32</v>
      </c>
      <c r="AG5" s="236">
        <v>-9841.6</v>
      </c>
      <c r="AH5" s="237"/>
      <c r="AI5" s="238"/>
      <c r="AJ5" s="236">
        <v>48893.29</v>
      </c>
      <c r="AK5" s="237">
        <v>50731.16</v>
      </c>
      <c r="AL5" s="237" t="s">
        <v>275</v>
      </c>
      <c r="AM5" s="236" t="s">
        <v>276</v>
      </c>
      <c r="AN5" s="236">
        <v>19264.12</v>
      </c>
      <c r="AO5" s="237">
        <v>21822.01</v>
      </c>
      <c r="AP5" s="237" t="s">
        <v>277</v>
      </c>
      <c r="AQ5" s="236">
        <v>20017.650000000001</v>
      </c>
      <c r="AR5" s="236">
        <v>35141.93</v>
      </c>
      <c r="AS5" s="237">
        <v>32870.28</v>
      </c>
      <c r="AT5" s="237" t="s">
        <v>278</v>
      </c>
      <c r="AU5" s="236">
        <v>36154.31</v>
      </c>
      <c r="AV5" s="236">
        <v>-673.09</v>
      </c>
      <c r="AW5" s="239">
        <v>74364.600000000006</v>
      </c>
      <c r="AX5" s="236">
        <v>78410.17</v>
      </c>
      <c r="AY5" s="236" t="s">
        <v>279</v>
      </c>
      <c r="AZ5" s="240">
        <f t="shared" ref="AZ5:AZ7" si="0">SUMIF($D$3:$AY$3,AZ$2,$D5:$AY5)</f>
        <v>133382.48000000001</v>
      </c>
      <c r="BA5" s="238"/>
      <c r="BB5" s="240">
        <f t="shared" ref="BB5:BB7" si="1">SUMIF($D$4:$AY$4,BB$2,$D5:$AY5)</f>
        <v>333386.40000000002</v>
      </c>
      <c r="BC5" s="241"/>
      <c r="BD5" s="238"/>
      <c r="BE5" s="241">
        <f t="shared" ref="BE5:BE7" si="2">SUMIF($D$2:$AY$2,$BE$2,$D5:$AY5)</f>
        <v>434374.92999999993</v>
      </c>
      <c r="BF5" s="241"/>
      <c r="BG5" s="241"/>
    </row>
    <row r="6" spans="1:59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/>
      <c r="M6" s="91"/>
      <c r="N6" s="91"/>
      <c r="O6" s="92"/>
      <c r="P6" s="242"/>
      <c r="Q6" s="243"/>
      <c r="R6" s="243"/>
      <c r="S6" s="92"/>
      <c r="T6" s="242"/>
      <c r="U6" s="243"/>
      <c r="V6" s="243"/>
      <c r="W6" s="92"/>
      <c r="X6" s="242"/>
      <c r="Y6" s="243"/>
      <c r="Z6" s="91"/>
      <c r="AA6" s="92"/>
      <c r="AB6" s="242"/>
      <c r="AC6" s="243"/>
      <c r="AD6" s="243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>
        <v>74364.600000000006</v>
      </c>
      <c r="AY6" s="92">
        <v>78410.17</v>
      </c>
      <c r="AZ6" s="93">
        <f t="shared" si="0"/>
        <v>0</v>
      </c>
      <c r="BA6" s="92"/>
      <c r="BB6" s="93">
        <f t="shared" si="1"/>
        <v>0</v>
      </c>
      <c r="BC6" s="94"/>
      <c r="BD6" s="92"/>
      <c r="BE6" s="94">
        <f t="shared" si="2"/>
        <v>0</v>
      </c>
      <c r="BF6" s="94"/>
      <c r="BG6" s="94"/>
    </row>
    <row r="7" spans="1:59" ht="13">
      <c r="A7" s="89" t="s">
        <v>143</v>
      </c>
      <c r="B7" s="99">
        <v>12500</v>
      </c>
      <c r="C7" s="61"/>
      <c r="D7" s="100">
        <f>'Mirek Revised PS Model 2020'!ColinSalary</f>
        <v>12500</v>
      </c>
      <c r="E7" s="91"/>
      <c r="F7" s="91"/>
      <c r="G7" s="92"/>
      <c r="H7" s="100">
        <f>'Mirek Revised PS Model 2020'!ColinSalary</f>
        <v>12500</v>
      </c>
      <c r="I7" s="91"/>
      <c r="J7" s="91"/>
      <c r="K7" s="92"/>
      <c r="L7" s="100">
        <f>'Mirek Revised PS Model 2020'!ColinSalary</f>
        <v>12500</v>
      </c>
      <c r="M7" s="91"/>
      <c r="N7" s="91"/>
      <c r="O7" s="92"/>
      <c r="P7" s="100">
        <f>'Mirek Revised PS Model 2020'!ColinSalary</f>
        <v>12500</v>
      </c>
      <c r="Q7" s="91"/>
      <c r="R7" s="91"/>
      <c r="S7" s="92"/>
      <c r="T7" s="100">
        <f>'Mirek Revised PS Model 2020'!ColinSalary</f>
        <v>12500</v>
      </c>
      <c r="U7" s="91"/>
      <c r="V7" s="91"/>
      <c r="W7" s="92"/>
      <c r="X7" s="100">
        <f>'Mirek Revised PS Model 2020'!ColinSalary</f>
        <v>12500</v>
      </c>
      <c r="Y7" s="91"/>
      <c r="Z7" s="91"/>
      <c r="AA7" s="92"/>
      <c r="AB7" s="100">
        <f>'Mirek Revised PS Model 2020'!ColinSalary</f>
        <v>12500</v>
      </c>
      <c r="AC7" s="91"/>
      <c r="AD7" s="91"/>
      <c r="AE7" s="92"/>
      <c r="AF7" s="100">
        <f>'Mirek Revised PS Model 2020'!ColinSalary</f>
        <v>12500</v>
      </c>
      <c r="AG7" s="91"/>
      <c r="AH7" s="91"/>
      <c r="AI7" s="92"/>
      <c r="AJ7" s="100">
        <f>'Mirek Revised PS Model 2020'!ColinSalary</f>
        <v>12500</v>
      </c>
      <c r="AK7" s="91"/>
      <c r="AL7" s="91"/>
      <c r="AM7" s="92"/>
      <c r="AN7" s="100">
        <f>'Mirek Revised PS Model 2020'!ColinSalary</f>
        <v>12500</v>
      </c>
      <c r="AO7" s="91"/>
      <c r="AP7" s="91"/>
      <c r="AQ7" s="92"/>
      <c r="AR7" s="100">
        <f>'Mirek Revised PS Model 2020'!ColinSalary</f>
        <v>12500</v>
      </c>
      <c r="AS7" s="91"/>
      <c r="AT7" s="91"/>
      <c r="AU7" s="92"/>
      <c r="AV7" s="100">
        <f>'Mirek Revised PS Model 2020'!ColinSalary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SUM(AZ27:AZ33)</f>
        <v>29972.760000000006</v>
      </c>
      <c r="AC8" s="91"/>
      <c r="AD8" s="91"/>
      <c r="AE8" s="92"/>
      <c r="AF8" s="103">
        <v>0</v>
      </c>
      <c r="AG8" s="91"/>
      <c r="AH8" s="91"/>
      <c r="AI8" s="92"/>
      <c r="AJ8" s="103"/>
      <c r="AK8" s="91"/>
      <c r="AL8" s="91"/>
      <c r="AM8" s="92"/>
      <c r="AN8" s="244">
        <f>SUM(BB27:BB33)</f>
        <v>62312.86</v>
      </c>
      <c r="AO8" s="91"/>
      <c r="AP8" s="91"/>
      <c r="AQ8" s="92"/>
      <c r="AR8" s="103"/>
      <c r="AS8" s="91"/>
      <c r="AT8" s="91"/>
      <c r="AU8" s="92"/>
      <c r="AV8" s="103">
        <f>SUM(BE27:BE33)</f>
        <v>73383.090000000011</v>
      </c>
      <c r="AW8" s="91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13">
      <c r="A9" s="89" t="s">
        <v>145</v>
      </c>
      <c r="B9" s="101"/>
      <c r="C9" s="102"/>
      <c r="D9" s="104">
        <f>SUM(F16:F23)</f>
        <v>2378.11</v>
      </c>
      <c r="E9" s="91"/>
      <c r="F9" s="91"/>
      <c r="G9" s="92"/>
      <c r="H9" s="104">
        <f>SUM(J16:J23)</f>
        <v>7598.04</v>
      </c>
      <c r="I9" s="91"/>
      <c r="J9" s="91"/>
      <c r="K9" s="92"/>
      <c r="L9" s="104">
        <f>SUM(N16:N23)</f>
        <v>5400.4</v>
      </c>
      <c r="M9" s="91"/>
      <c r="N9" s="91"/>
      <c r="O9" s="92"/>
      <c r="P9" s="104">
        <f>SUM(R16:R23)</f>
        <v>7662.16</v>
      </c>
      <c r="Q9" s="91"/>
      <c r="R9" s="91"/>
      <c r="S9" s="92"/>
      <c r="T9" s="104">
        <f>SUM(V16:V23)</f>
        <v>5516.82</v>
      </c>
      <c r="U9" s="91"/>
      <c r="V9" s="91"/>
      <c r="W9" s="92"/>
      <c r="X9" s="104">
        <f>SUM(Z16:Z23)</f>
        <v>2739</v>
      </c>
      <c r="Y9" s="91"/>
      <c r="Z9" s="91"/>
      <c r="AA9" s="92"/>
      <c r="AB9" s="104">
        <f>SUM(AD16:AD23)</f>
        <v>3245.94</v>
      </c>
      <c r="AC9" s="91"/>
      <c r="AD9" s="91"/>
      <c r="AE9" s="92"/>
      <c r="AF9" s="104">
        <f>SUM(AH16:AH23)</f>
        <v>2418.7800000000002</v>
      </c>
      <c r="AG9" s="91"/>
      <c r="AH9" s="91"/>
      <c r="AI9" s="92"/>
      <c r="AJ9" s="104">
        <f>SUM(AL16:AL23)</f>
        <v>1389.95</v>
      </c>
      <c r="AK9" s="91"/>
      <c r="AL9" s="91"/>
      <c r="AM9" s="92"/>
      <c r="AN9" s="104">
        <f>SUM(AP16:AP23)</f>
        <v>2103.59</v>
      </c>
      <c r="AO9" s="91"/>
      <c r="AP9" s="91"/>
      <c r="AQ9" s="92"/>
      <c r="AR9" s="104">
        <f>SUM(AT16:AT23)</f>
        <v>1078.97</v>
      </c>
      <c r="AS9" s="91"/>
      <c r="AT9" s="91"/>
      <c r="AU9" s="92"/>
      <c r="AV9" s="104">
        <f>SUM(AX16:AX23)</f>
        <v>2124.7800000000002</v>
      </c>
      <c r="AW9" s="91"/>
      <c r="AX9" s="91"/>
      <c r="AY9" s="92"/>
      <c r="AZ9" s="93">
        <f t="shared" ref="AZ9:AZ13" si="3">SUMIF($D$3:$AY$3,AZ$2,$D9:$AY9)</f>
        <v>15376.55</v>
      </c>
      <c r="BA9" s="92"/>
      <c r="BB9" s="93">
        <f t="shared" ref="BB9:BB13" si="4">SUMIF($D$4:$AY$4,BB$2,$D9:$AY9)</f>
        <v>31294.53</v>
      </c>
      <c r="BC9" s="94"/>
      <c r="BD9" s="92"/>
      <c r="BE9" s="94">
        <f t="shared" ref="BE9:BE13" si="5">SUMIF($D$2:$AY$2,$BE$2,$D9:$AY9)</f>
        <v>43656.539999999994</v>
      </c>
      <c r="BF9" s="94"/>
      <c r="BG9" s="94"/>
    </row>
    <row r="10" spans="1:59" ht="13">
      <c r="A10" s="89" t="s">
        <v>146</v>
      </c>
      <c r="C10" s="61"/>
      <c r="D10" s="104">
        <f>D5-D6-D7+D9+D8</f>
        <v>42116.020000000004</v>
      </c>
      <c r="E10" s="91"/>
      <c r="F10" s="91"/>
      <c r="G10" s="92"/>
      <c r="H10" s="104">
        <f>H5-H6-H7+H9+H8</f>
        <v>48762.23</v>
      </c>
      <c r="I10" s="91"/>
      <c r="J10" s="91"/>
      <c r="K10" s="92"/>
      <c r="L10" s="104">
        <f>L5-L6-L7+L9+L8</f>
        <v>20380.78</v>
      </c>
      <c r="M10" s="91"/>
      <c r="N10" s="91"/>
      <c r="O10" s="92"/>
      <c r="P10" s="104">
        <f>P5-P6-P7+P9+P8</f>
        <v>52132.320000000007</v>
      </c>
      <c r="Q10" s="91"/>
      <c r="R10" s="91"/>
      <c r="S10" s="92"/>
      <c r="T10" s="104">
        <f>T5-T6-T7+T9+T8</f>
        <v>58294.3</v>
      </c>
      <c r="U10" s="91"/>
      <c r="V10" s="91"/>
      <c r="W10" s="92"/>
      <c r="X10" s="104">
        <f>X5-X6-X7+X9+X8</f>
        <v>67995.28</v>
      </c>
      <c r="Y10" s="91"/>
      <c r="Z10" s="91"/>
      <c r="AA10" s="92"/>
      <c r="AB10" s="104">
        <f>AB5-AB6-AB7+AB9+AB8</f>
        <v>30610.300000000007</v>
      </c>
      <c r="AC10" s="91"/>
      <c r="AD10" s="91"/>
      <c r="AE10" s="92"/>
      <c r="AF10" s="104">
        <f>AF5-AF6-AF7+AF9+AF8</f>
        <v>-21610.54</v>
      </c>
      <c r="AG10" s="91"/>
      <c r="AH10" s="91"/>
      <c r="AI10" s="92"/>
      <c r="AJ10" s="104">
        <f>AJ5-AJ6-AJ7+AJ9+AJ8</f>
        <v>37783.24</v>
      </c>
      <c r="AK10" s="91"/>
      <c r="AL10" s="91"/>
      <c r="AM10" s="92"/>
      <c r="AN10" s="104">
        <f>AN5-AN6-AN7+AN9+AN8</f>
        <v>71180.570000000007</v>
      </c>
      <c r="AO10" s="91"/>
      <c r="AP10" s="91"/>
      <c r="AQ10" s="92"/>
      <c r="AR10" s="104">
        <f>AR5-AR6-AR7+AR9+AR8</f>
        <v>23720.9</v>
      </c>
      <c r="AS10" s="91"/>
      <c r="AT10" s="91"/>
      <c r="AU10" s="92"/>
      <c r="AV10" s="104">
        <f>AV5-AV6-AV7+AV9+AV8</f>
        <v>62334.780000000013</v>
      </c>
      <c r="AW10" s="91"/>
      <c r="AX10" s="91"/>
      <c r="AY10" s="92"/>
      <c r="AZ10" s="93">
        <f t="shared" si="3"/>
        <v>111259.03</v>
      </c>
      <c r="BA10" s="92"/>
      <c r="BB10" s="93">
        <f t="shared" si="4"/>
        <v>289680.93000000005</v>
      </c>
      <c r="BC10" s="94"/>
      <c r="BD10" s="92"/>
      <c r="BE10" s="94">
        <f t="shared" si="5"/>
        <v>493700.18000000011</v>
      </c>
      <c r="BF10" s="94"/>
      <c r="BG10" s="94"/>
    </row>
    <row r="11" spans="1:59" ht="14">
      <c r="A11" s="89" t="s">
        <v>147</v>
      </c>
      <c r="C11" s="61"/>
      <c r="D11" s="90">
        <v>61500</v>
      </c>
      <c r="E11" s="91"/>
      <c r="F11" s="91"/>
      <c r="G11" s="92"/>
      <c r="H11" s="90">
        <v>12500</v>
      </c>
      <c r="I11" s="91"/>
      <c r="J11" s="91"/>
      <c r="K11" s="92"/>
      <c r="L11" s="90">
        <v>12903</v>
      </c>
      <c r="M11" s="91" t="s">
        <v>148</v>
      </c>
      <c r="N11" s="91"/>
      <c r="O11" s="92"/>
      <c r="P11" s="90">
        <v>12500</v>
      </c>
      <c r="Q11" s="91"/>
      <c r="R11" s="91"/>
      <c r="S11" s="92"/>
      <c r="T11" s="90">
        <v>0</v>
      </c>
      <c r="U11" s="91"/>
      <c r="V11" s="91"/>
      <c r="W11" s="92"/>
      <c r="X11" s="90">
        <v>12500</v>
      </c>
      <c r="Y11" s="91"/>
      <c r="Z11" s="91"/>
      <c r="AA11" s="92"/>
      <c r="AB11" s="90">
        <v>85173</v>
      </c>
      <c r="AC11" s="91"/>
      <c r="AD11" s="91"/>
      <c r="AE11" s="92"/>
      <c r="AF11" s="90">
        <v>18077.75</v>
      </c>
      <c r="AG11" s="91"/>
      <c r="AH11" s="91"/>
      <c r="AI11" s="92"/>
      <c r="AJ11" s="90">
        <v>0</v>
      </c>
      <c r="AK11" s="91"/>
      <c r="AL11" s="91"/>
      <c r="AM11" s="92"/>
      <c r="AN11" s="90">
        <v>75000</v>
      </c>
      <c r="AO11" s="91"/>
      <c r="AP11" s="91"/>
      <c r="AQ11" s="92"/>
      <c r="AR11" s="90">
        <v>12500</v>
      </c>
      <c r="AS11" s="91"/>
      <c r="AT11" s="91"/>
      <c r="AU11" s="92"/>
      <c r="AV11" s="213">
        <v>25000</v>
      </c>
      <c r="AW11" s="213">
        <v>12500</v>
      </c>
      <c r="AX11" s="91"/>
      <c r="AY11" s="92"/>
      <c r="AZ11" s="93">
        <f t="shared" si="3"/>
        <v>86903</v>
      </c>
      <c r="BA11" s="92"/>
      <c r="BB11" s="93">
        <f t="shared" si="4"/>
        <v>111903</v>
      </c>
      <c r="BC11" s="94"/>
      <c r="BD11" s="92"/>
      <c r="BE11" s="94">
        <f t="shared" si="5"/>
        <v>327653.75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49000</v>
      </c>
      <c r="E13" s="91"/>
      <c r="F13" s="91"/>
      <c r="G13" s="92"/>
      <c r="H13" s="100">
        <f>H11+H12-H7</f>
        <v>0</v>
      </c>
      <c r="I13" s="91"/>
      <c r="J13" s="91"/>
      <c r="K13" s="92"/>
      <c r="L13" s="100">
        <f>L11+L12-L7</f>
        <v>403</v>
      </c>
      <c r="M13" s="91"/>
      <c r="N13" s="91"/>
      <c r="O13" s="92"/>
      <c r="P13" s="100">
        <f>P11+P12-P7</f>
        <v>0</v>
      </c>
      <c r="Q13" s="91"/>
      <c r="R13" s="91"/>
      <c r="S13" s="92"/>
      <c r="T13" s="100">
        <f>T11+T12-T7</f>
        <v>-12500</v>
      </c>
      <c r="U13" s="91"/>
      <c r="V13" s="91"/>
      <c r="W13" s="92"/>
      <c r="X13" s="100">
        <f>X11+X12-X7</f>
        <v>0</v>
      </c>
      <c r="Y13" s="91"/>
      <c r="Z13" s="91"/>
      <c r="AA13" s="92"/>
      <c r="AB13" s="100">
        <f>AB11+AB12-AB7</f>
        <v>72673</v>
      </c>
      <c r="AC13" s="91"/>
      <c r="AD13" s="91"/>
      <c r="AE13" s="92"/>
      <c r="AF13" s="100">
        <f>AF11+AF12-AF7</f>
        <v>5577.75</v>
      </c>
      <c r="AG13" s="91"/>
      <c r="AH13" s="91"/>
      <c r="AI13" s="92"/>
      <c r="AJ13" s="100">
        <f>AJ11+AJ12-AJ7</f>
        <v>-12500</v>
      </c>
      <c r="AK13" s="91"/>
      <c r="AL13" s="91"/>
      <c r="AM13" s="92"/>
      <c r="AN13" s="100">
        <f>AN11+AN12-AN7</f>
        <v>62500</v>
      </c>
      <c r="AO13" s="91"/>
      <c r="AP13" s="91"/>
      <c r="AQ13" s="92"/>
      <c r="AR13" s="100">
        <f>AR11+AR12-AR7</f>
        <v>0</v>
      </c>
      <c r="AS13" s="91"/>
      <c r="AT13" s="91"/>
      <c r="AU13" s="92"/>
      <c r="AV13" s="100">
        <f>AV11+AV12-AV7</f>
        <v>12500</v>
      </c>
      <c r="AW13" s="91"/>
      <c r="AX13" s="91"/>
      <c r="AY13" s="92"/>
      <c r="AZ13" s="93">
        <f t="shared" si="3"/>
        <v>49403</v>
      </c>
      <c r="BA13" s="92"/>
      <c r="BB13" s="93">
        <f t="shared" si="4"/>
        <v>36903</v>
      </c>
      <c r="BC13" s="94"/>
      <c r="BD13" s="92"/>
      <c r="BE13" s="94">
        <f t="shared" si="5"/>
        <v>177653.75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93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121"/>
      <c r="C16" s="121">
        <f>'Mirek Revised PS Model 2019'!BG26</f>
        <v>5580.4218356299534</v>
      </c>
      <c r="D16" s="214">
        <v>300</v>
      </c>
      <c r="E16" s="123">
        <f t="shared" ref="E16:E23" si="6">D$10*D16/D$24</f>
        <v>26968.636072572044</v>
      </c>
      <c r="F16" s="124">
        <v>2378.11</v>
      </c>
      <c r="G16" s="123">
        <f t="shared" ref="G16:G23" si="7">E16-F16</f>
        <v>24590.526072572044</v>
      </c>
      <c r="H16" s="214">
        <v>300</v>
      </c>
      <c r="I16" s="123">
        <f t="shared" ref="I16:I23" si="8">H$10*H16/H$24</f>
        <v>31224.480256136609</v>
      </c>
      <c r="J16" s="124">
        <v>7598.04</v>
      </c>
      <c r="K16" s="123">
        <f t="shared" ref="K16:K23" si="9">I16-J16</f>
        <v>23626.440256136608</v>
      </c>
      <c r="L16" s="214">
        <v>300</v>
      </c>
      <c r="M16" s="123">
        <f t="shared" ref="M16:M23" si="10">L$10*L16/L$24</f>
        <v>13050.659551760938</v>
      </c>
      <c r="N16" s="124">
        <v>5400.4</v>
      </c>
      <c r="O16" s="123">
        <f t="shared" ref="O16:O23" si="11">M16-N16</f>
        <v>7650.2595517609388</v>
      </c>
      <c r="P16" s="214">
        <v>300</v>
      </c>
      <c r="Q16" s="123">
        <f t="shared" ref="Q16:Q23" si="12">P$10*P16/P$24</f>
        <v>33382.488794023484</v>
      </c>
      <c r="R16" s="124">
        <v>7662.16</v>
      </c>
      <c r="S16" s="123">
        <f t="shared" ref="S16:S23" si="13">Q16-R16</f>
        <v>25720.328794023484</v>
      </c>
      <c r="T16" s="214">
        <v>300</v>
      </c>
      <c r="U16" s="123">
        <f t="shared" ref="U16:U23" si="14">T$10*T16/T$24</f>
        <v>37328.260405549627</v>
      </c>
      <c r="V16" s="124">
        <v>5516.82</v>
      </c>
      <c r="W16" s="123">
        <f t="shared" ref="W16:W23" si="15">U16-V16</f>
        <v>31811.440405549627</v>
      </c>
      <c r="X16" s="214">
        <v>300</v>
      </c>
      <c r="Y16" s="123">
        <f t="shared" ref="Y16:Y23" si="16">X$10*X16/X$24</f>
        <v>43540.200640341514</v>
      </c>
      <c r="Z16" s="124">
        <v>2739</v>
      </c>
      <c r="AA16" s="123">
        <f t="shared" ref="AA16:AA23" si="17">Y16-Z16</f>
        <v>40801.200640341514</v>
      </c>
      <c r="AB16" s="214">
        <v>300</v>
      </c>
      <c r="AC16" s="123">
        <f t="shared" ref="AC16:AC23" si="18">AB$10*AB16/AB$24</f>
        <v>19601.045891141945</v>
      </c>
      <c r="AD16" s="124">
        <v>3245.94</v>
      </c>
      <c r="AE16" s="123">
        <f t="shared" ref="AE16:AE23" si="19">AC16-AD16</f>
        <v>16355.105891141944</v>
      </c>
      <c r="AF16" s="214">
        <v>300</v>
      </c>
      <c r="AG16" s="123">
        <f t="shared" ref="AG16:AG23" si="20">AF$10*AF16/AF$24</f>
        <v>-13838.125933831378</v>
      </c>
      <c r="AH16" s="124">
        <v>2418.7800000000002</v>
      </c>
      <c r="AI16" s="123">
        <f t="shared" ref="AI16:AI23" si="21">AG16-AH16</f>
        <v>-16256.905933831378</v>
      </c>
      <c r="AJ16" s="214">
        <v>300</v>
      </c>
      <c r="AK16" s="123">
        <f t="shared" ref="AK16:AK23" si="22">AJ$10*AJ16/AJ$24</f>
        <v>24194.177161152616</v>
      </c>
      <c r="AL16" s="124">
        <v>1389.95</v>
      </c>
      <c r="AM16" s="123">
        <f t="shared" ref="AM16:AM23" si="23">AK16-AL16</f>
        <v>22804.227161152616</v>
      </c>
      <c r="AN16" s="214">
        <v>300</v>
      </c>
      <c r="AO16" s="123">
        <f t="shared" ref="AO16:AO23" si="24">AN$10*AN16/AN$24</f>
        <v>45579.874066168632</v>
      </c>
      <c r="AP16" s="124">
        <v>2103.59</v>
      </c>
      <c r="AQ16" s="123">
        <f t="shared" ref="AQ16:AQ23" si="25">AO16-AP16</f>
        <v>43476.284066168635</v>
      </c>
      <c r="AR16" s="214">
        <v>300</v>
      </c>
      <c r="AS16" s="123">
        <f t="shared" ref="AS16:AS23" si="26">AR$10*AR16/AR$24</f>
        <v>15189.47705442903</v>
      </c>
      <c r="AT16" s="124">
        <v>1078.97</v>
      </c>
      <c r="AU16" s="123">
        <f t="shared" ref="AU16:AU23" si="27">AS16-AT16</f>
        <v>14110.50705442903</v>
      </c>
      <c r="AV16" s="214">
        <v>300</v>
      </c>
      <c r="AW16" s="123">
        <f t="shared" ref="AW16:AW23" si="28">AV$10*AV16/AV$24</f>
        <v>39915.547491995741</v>
      </c>
      <c r="AX16" s="124">
        <v>2124.7800000000002</v>
      </c>
      <c r="AY16" s="126">
        <f t="shared" ref="AY16:AY23" si="29">AW16-AX16</f>
        <v>37790.767491995743</v>
      </c>
      <c r="AZ16" s="127">
        <f t="shared" ref="AZ16:AZ23" si="30">IF($AV$3="1Q",AY16,0)+IF($AR$3="1Q",AU16,0)+IF($AN$3="1Q",AQ16,0)+IF($AJ$3="1Q",AM16,0)+IF($AF$3="1Q",AI16,0)+IF($AB$3="1Q",AE16,0)+IF($X$3="1Q",AA16,0)+IF($T$3="1Q",W16,0)+IF($P$3="1Q",S16,0)+IF($L$3="1Q",O16,0)+IF($H$3="1Q",K16,0)+IF($D$3="1Q",G16,0)</f>
        <v>55867.225880469588</v>
      </c>
      <c r="BA16" s="128">
        <f t="shared" ref="BA16:BA23" si="31">AZ16+$C16</f>
        <v>61447.647716099542</v>
      </c>
      <c r="BB16" s="127">
        <f t="shared" ref="BB16:BB23" si="32">IF($AV$4="1H",AY16,0)+IF($AR$4="1H",AU16,0)+IF($AN$4="1H",AQ16,0)+IF($AJ$4="1H",AM16,0)+IF($AF$4="1H",AI16,0)+IF($AB$4="1H",AE16,0)+IF($X$4="1H",AA16,0)+IF($T$4="1H",W16,0)+IF($P$4="1H",S16,0)+IF($L$4="1H",O16,0)+IF($H$4="1H",K16,0)+IF($D$4="1H",G16,0)</f>
        <v>154200.19572038422</v>
      </c>
      <c r="BC16" s="127"/>
      <c r="BD16" s="128">
        <f t="shared" ref="BD16:BD23" si="33">BB16+$C16</f>
        <v>159780.61755601416</v>
      </c>
      <c r="BE16" s="127">
        <f t="shared" ref="BE16:BE23" si="34">AY16+AU16+AQ16+AM16+AI16+AE16+AA16+W16+S16+O16+K16+G16</f>
        <v>272480.18145144079</v>
      </c>
      <c r="BF16" s="127"/>
      <c r="BG16" s="91">
        <f t="shared" ref="BG16:BG23" si="35">BE16+C16</f>
        <v>278060.60328707076</v>
      </c>
    </row>
    <row r="17" spans="1:59" ht="13">
      <c r="A17" s="89" t="s">
        <v>209</v>
      </c>
      <c r="B17" s="121"/>
      <c r="C17" s="121">
        <f>'Revised PS Model 2019'!BG27</f>
        <v>-8714.8292294714192</v>
      </c>
      <c r="D17" s="214">
        <v>100</v>
      </c>
      <c r="E17" s="123">
        <f t="shared" si="6"/>
        <v>8989.5453575240135</v>
      </c>
      <c r="F17" s="124"/>
      <c r="G17" s="123">
        <f t="shared" si="7"/>
        <v>8989.5453575240135</v>
      </c>
      <c r="H17" s="214">
        <v>100</v>
      </c>
      <c r="I17" s="123">
        <f t="shared" si="8"/>
        <v>10408.16008537887</v>
      </c>
      <c r="J17" s="124"/>
      <c r="K17" s="123">
        <f t="shared" si="9"/>
        <v>10408.16008537887</v>
      </c>
      <c r="L17" s="214">
        <v>100</v>
      </c>
      <c r="M17" s="123">
        <f t="shared" si="10"/>
        <v>4350.2198505869801</v>
      </c>
      <c r="N17" s="124"/>
      <c r="O17" s="123">
        <f t="shared" si="11"/>
        <v>4350.2198505869801</v>
      </c>
      <c r="P17" s="214">
        <v>100</v>
      </c>
      <c r="Q17" s="123">
        <f t="shared" si="12"/>
        <v>11127.496264674495</v>
      </c>
      <c r="R17" s="124"/>
      <c r="S17" s="123">
        <f t="shared" si="13"/>
        <v>11127.496264674495</v>
      </c>
      <c r="T17" s="214">
        <v>100</v>
      </c>
      <c r="U17" s="123">
        <f t="shared" si="14"/>
        <v>12442.753468516543</v>
      </c>
      <c r="V17" s="124"/>
      <c r="W17" s="123">
        <f t="shared" si="15"/>
        <v>12442.753468516543</v>
      </c>
      <c r="X17" s="214">
        <v>100</v>
      </c>
      <c r="Y17" s="123">
        <f t="shared" si="16"/>
        <v>14513.400213447172</v>
      </c>
      <c r="Z17" s="124"/>
      <c r="AA17" s="123">
        <f t="shared" si="17"/>
        <v>14513.400213447172</v>
      </c>
      <c r="AB17" s="214">
        <v>100</v>
      </c>
      <c r="AC17" s="123">
        <f t="shared" si="18"/>
        <v>6533.6819637139815</v>
      </c>
      <c r="AD17" s="124"/>
      <c r="AE17" s="123">
        <f t="shared" si="19"/>
        <v>6533.6819637139815</v>
      </c>
      <c r="AF17" s="214">
        <v>100</v>
      </c>
      <c r="AG17" s="123">
        <f t="shared" si="20"/>
        <v>-4612.7086446104586</v>
      </c>
      <c r="AH17" s="124"/>
      <c r="AI17" s="123">
        <f t="shared" si="21"/>
        <v>-4612.7086446104586</v>
      </c>
      <c r="AJ17" s="214">
        <v>100</v>
      </c>
      <c r="AK17" s="123">
        <f t="shared" si="22"/>
        <v>8064.7257203842046</v>
      </c>
      <c r="AL17" s="124"/>
      <c r="AM17" s="123">
        <f t="shared" si="23"/>
        <v>8064.7257203842046</v>
      </c>
      <c r="AN17" s="214">
        <v>100</v>
      </c>
      <c r="AO17" s="123">
        <f t="shared" si="24"/>
        <v>15193.291355389543</v>
      </c>
      <c r="AP17" s="124"/>
      <c r="AQ17" s="123">
        <f t="shared" si="25"/>
        <v>15193.291355389543</v>
      </c>
      <c r="AR17" s="214">
        <v>100</v>
      </c>
      <c r="AS17" s="123">
        <f t="shared" si="26"/>
        <v>5063.1590181430092</v>
      </c>
      <c r="AT17" s="124"/>
      <c r="AU17" s="123">
        <f t="shared" si="27"/>
        <v>5063.1590181430092</v>
      </c>
      <c r="AV17" s="214">
        <v>100</v>
      </c>
      <c r="AW17" s="123">
        <f t="shared" si="28"/>
        <v>13305.182497331913</v>
      </c>
      <c r="AX17" s="124"/>
      <c r="AY17" s="126">
        <f t="shared" si="29"/>
        <v>13305.182497331913</v>
      </c>
      <c r="AZ17" s="127">
        <f t="shared" si="30"/>
        <v>23747.925293489861</v>
      </c>
      <c r="BA17" s="128">
        <f t="shared" si="31"/>
        <v>15033.096064018442</v>
      </c>
      <c r="BB17" s="127">
        <f t="shared" si="32"/>
        <v>61831.575240128077</v>
      </c>
      <c r="BC17" s="127"/>
      <c r="BD17" s="128">
        <f t="shared" si="33"/>
        <v>53116.746010656658</v>
      </c>
      <c r="BE17" s="127">
        <f t="shared" si="34"/>
        <v>105378.90715048026</v>
      </c>
      <c r="BF17" s="127"/>
      <c r="BG17" s="91">
        <f t="shared" si="35"/>
        <v>96664.077921008837</v>
      </c>
    </row>
    <row r="18" spans="1:59" ht="13">
      <c r="A18" s="89" t="s">
        <v>61</v>
      </c>
      <c r="B18" s="121"/>
      <c r="C18" s="121">
        <f>'Revised PS Model 2019'!BG28</f>
        <v>-1867.8490133998312</v>
      </c>
      <c r="D18" s="53">
        <v>30</v>
      </c>
      <c r="E18" s="123">
        <f t="shared" si="6"/>
        <v>2696.863607257204</v>
      </c>
      <c r="F18" s="124"/>
      <c r="G18" s="126">
        <f t="shared" si="7"/>
        <v>2696.863607257204</v>
      </c>
      <c r="H18" s="53">
        <v>30</v>
      </c>
      <c r="I18" s="123">
        <f t="shared" si="8"/>
        <v>3122.4480256136608</v>
      </c>
      <c r="J18" s="124"/>
      <c r="K18" s="126">
        <f t="shared" si="9"/>
        <v>3122.4480256136608</v>
      </c>
      <c r="L18" s="53">
        <v>30</v>
      </c>
      <c r="M18" s="123">
        <f t="shared" si="10"/>
        <v>1305.0659551760937</v>
      </c>
      <c r="N18" s="124"/>
      <c r="O18" s="126">
        <f t="shared" si="11"/>
        <v>1305.0659551760937</v>
      </c>
      <c r="P18" s="53">
        <v>30</v>
      </c>
      <c r="Q18" s="123">
        <f t="shared" si="12"/>
        <v>3338.2488794023479</v>
      </c>
      <c r="R18" s="124"/>
      <c r="S18" s="126">
        <f t="shared" si="13"/>
        <v>3338.2488794023479</v>
      </c>
      <c r="T18" s="53">
        <v>30</v>
      </c>
      <c r="U18" s="123">
        <f t="shared" si="14"/>
        <v>3732.8260405549627</v>
      </c>
      <c r="V18" s="124"/>
      <c r="W18" s="126">
        <f t="shared" si="15"/>
        <v>3732.8260405549627</v>
      </c>
      <c r="X18" s="53">
        <v>30</v>
      </c>
      <c r="Y18" s="123">
        <f t="shared" si="16"/>
        <v>4354.0200640341518</v>
      </c>
      <c r="Z18" s="124"/>
      <c r="AA18" s="126">
        <f t="shared" si="17"/>
        <v>4354.0200640341518</v>
      </c>
      <c r="AB18" s="53">
        <v>30</v>
      </c>
      <c r="AC18" s="123">
        <f t="shared" si="18"/>
        <v>1960.1045891141948</v>
      </c>
      <c r="AD18" s="124"/>
      <c r="AE18" s="126">
        <f t="shared" si="19"/>
        <v>1960.1045891141948</v>
      </c>
      <c r="AF18" s="53">
        <v>30</v>
      </c>
      <c r="AG18" s="123">
        <f t="shared" si="20"/>
        <v>-1383.8125933831377</v>
      </c>
      <c r="AH18" s="124"/>
      <c r="AI18" s="126">
        <f t="shared" si="21"/>
        <v>-1383.8125933831377</v>
      </c>
      <c r="AJ18" s="53">
        <v>30</v>
      </c>
      <c r="AK18" s="123">
        <f t="shared" si="22"/>
        <v>2419.4177161152616</v>
      </c>
      <c r="AL18" s="124"/>
      <c r="AM18" s="126">
        <f t="shared" si="23"/>
        <v>2419.4177161152616</v>
      </c>
      <c r="AN18" s="53">
        <v>30</v>
      </c>
      <c r="AO18" s="123">
        <f t="shared" si="24"/>
        <v>4557.9874066168622</v>
      </c>
      <c r="AP18" s="124"/>
      <c r="AQ18" s="126">
        <f t="shared" si="25"/>
        <v>4557.9874066168622</v>
      </c>
      <c r="AR18" s="53">
        <v>30</v>
      </c>
      <c r="AS18" s="123">
        <f t="shared" si="26"/>
        <v>1518.9477054429028</v>
      </c>
      <c r="AT18" s="124"/>
      <c r="AU18" s="126">
        <f t="shared" si="27"/>
        <v>1518.9477054429028</v>
      </c>
      <c r="AV18" s="53">
        <v>30</v>
      </c>
      <c r="AW18" s="123">
        <f t="shared" si="28"/>
        <v>3991.554749199574</v>
      </c>
      <c r="AX18" s="124"/>
      <c r="AY18" s="126">
        <f t="shared" si="29"/>
        <v>3991.554749199574</v>
      </c>
      <c r="AZ18" s="127">
        <f t="shared" si="30"/>
        <v>7124.3775880469584</v>
      </c>
      <c r="BA18" s="128">
        <f t="shared" si="31"/>
        <v>5256.5285746471272</v>
      </c>
      <c r="BB18" s="127">
        <f t="shared" si="32"/>
        <v>18549.472572038419</v>
      </c>
      <c r="BC18" s="127"/>
      <c r="BD18" s="128">
        <f t="shared" si="33"/>
        <v>16681.623558638588</v>
      </c>
      <c r="BE18" s="127">
        <f t="shared" si="34"/>
        <v>31613.672145144079</v>
      </c>
      <c r="BF18" s="127"/>
      <c r="BG18" s="91">
        <f t="shared" si="35"/>
        <v>29745.823131744248</v>
      </c>
    </row>
    <row r="19" spans="1:59" ht="13">
      <c r="A19" s="89" t="s">
        <v>65</v>
      </c>
      <c r="B19" s="121"/>
      <c r="C19" s="121">
        <f>'Revised PS Model 2019'!BG29</f>
        <v>-1867.8490133998312</v>
      </c>
      <c r="D19" s="53">
        <v>30</v>
      </c>
      <c r="E19" s="123">
        <f t="shared" si="6"/>
        <v>2696.863607257204</v>
      </c>
      <c r="F19" s="124"/>
      <c r="G19" s="126">
        <f t="shared" si="7"/>
        <v>2696.863607257204</v>
      </c>
      <c r="H19" s="53">
        <v>30</v>
      </c>
      <c r="I19" s="123">
        <f t="shared" si="8"/>
        <v>3122.4480256136608</v>
      </c>
      <c r="J19" s="124"/>
      <c r="K19" s="126">
        <f t="shared" si="9"/>
        <v>3122.4480256136608</v>
      </c>
      <c r="L19" s="53">
        <v>30</v>
      </c>
      <c r="M19" s="123">
        <f t="shared" si="10"/>
        <v>1305.0659551760937</v>
      </c>
      <c r="N19" s="124"/>
      <c r="O19" s="126">
        <f t="shared" si="11"/>
        <v>1305.0659551760937</v>
      </c>
      <c r="P19" s="53">
        <v>30</v>
      </c>
      <c r="Q19" s="123">
        <f t="shared" si="12"/>
        <v>3338.2488794023479</v>
      </c>
      <c r="R19" s="124"/>
      <c r="S19" s="126">
        <f t="shared" si="13"/>
        <v>3338.2488794023479</v>
      </c>
      <c r="T19" s="53">
        <v>30</v>
      </c>
      <c r="U19" s="123">
        <f t="shared" si="14"/>
        <v>3732.8260405549627</v>
      </c>
      <c r="V19" s="124"/>
      <c r="W19" s="126">
        <f t="shared" si="15"/>
        <v>3732.8260405549627</v>
      </c>
      <c r="X19" s="53">
        <v>30</v>
      </c>
      <c r="Y19" s="123">
        <f t="shared" si="16"/>
        <v>4354.0200640341518</v>
      </c>
      <c r="Z19" s="124"/>
      <c r="AA19" s="126">
        <f t="shared" si="17"/>
        <v>4354.0200640341518</v>
      </c>
      <c r="AB19" s="53">
        <v>30</v>
      </c>
      <c r="AC19" s="123">
        <f t="shared" si="18"/>
        <v>1960.1045891141948</v>
      </c>
      <c r="AD19" s="124"/>
      <c r="AE19" s="126">
        <f t="shared" si="19"/>
        <v>1960.1045891141948</v>
      </c>
      <c r="AF19" s="53">
        <v>30</v>
      </c>
      <c r="AG19" s="123">
        <f t="shared" si="20"/>
        <v>-1383.8125933831377</v>
      </c>
      <c r="AH19" s="124"/>
      <c r="AI19" s="126">
        <f t="shared" si="21"/>
        <v>-1383.8125933831377</v>
      </c>
      <c r="AJ19" s="53">
        <v>30</v>
      </c>
      <c r="AK19" s="123">
        <f t="shared" si="22"/>
        <v>2419.4177161152616</v>
      </c>
      <c r="AL19" s="124"/>
      <c r="AM19" s="126">
        <f t="shared" si="23"/>
        <v>2419.4177161152616</v>
      </c>
      <c r="AN19" s="53">
        <v>30</v>
      </c>
      <c r="AO19" s="123">
        <f t="shared" si="24"/>
        <v>4557.9874066168622</v>
      </c>
      <c r="AP19" s="124"/>
      <c r="AQ19" s="126">
        <f t="shared" si="25"/>
        <v>4557.9874066168622</v>
      </c>
      <c r="AR19" s="53">
        <v>30</v>
      </c>
      <c r="AS19" s="123">
        <f t="shared" si="26"/>
        <v>1518.9477054429028</v>
      </c>
      <c r="AT19" s="124"/>
      <c r="AU19" s="126">
        <f t="shared" si="27"/>
        <v>1518.9477054429028</v>
      </c>
      <c r="AV19" s="53">
        <v>30</v>
      </c>
      <c r="AW19" s="123">
        <f t="shared" si="28"/>
        <v>3991.554749199574</v>
      </c>
      <c r="AX19" s="124"/>
      <c r="AY19" s="126">
        <f t="shared" si="29"/>
        <v>3991.554749199574</v>
      </c>
      <c r="AZ19" s="127">
        <f t="shared" si="30"/>
        <v>7124.3775880469584</v>
      </c>
      <c r="BA19" s="128">
        <f t="shared" si="31"/>
        <v>5256.5285746471272</v>
      </c>
      <c r="BB19" s="127">
        <f t="shared" si="32"/>
        <v>18549.472572038419</v>
      </c>
      <c r="BC19" s="127"/>
      <c r="BD19" s="128">
        <f t="shared" si="33"/>
        <v>16681.623558638588</v>
      </c>
      <c r="BE19" s="127">
        <f t="shared" si="34"/>
        <v>31613.672145144079</v>
      </c>
      <c r="BF19" s="127"/>
      <c r="BG19" s="91">
        <f t="shared" si="35"/>
        <v>29745.823131744248</v>
      </c>
    </row>
    <row r="20" spans="1:59" ht="13">
      <c r="A20" s="89" t="s">
        <v>210</v>
      </c>
      <c r="B20" s="121"/>
      <c r="C20" s="121">
        <f>'Revised PS Model 2019'!BG30</f>
        <v>-217.87206141270008</v>
      </c>
      <c r="D20" s="53">
        <v>2.5</v>
      </c>
      <c r="E20" s="123">
        <f t="shared" si="6"/>
        <v>224.73863393810035</v>
      </c>
      <c r="F20" s="124"/>
      <c r="G20" s="126">
        <f t="shared" si="7"/>
        <v>224.73863393810035</v>
      </c>
      <c r="H20" s="53">
        <v>2.5</v>
      </c>
      <c r="I20" s="123">
        <f t="shared" si="8"/>
        <v>260.20400213447175</v>
      </c>
      <c r="J20" s="124"/>
      <c r="K20" s="126">
        <f t="shared" si="9"/>
        <v>260.20400213447175</v>
      </c>
      <c r="L20" s="53">
        <v>2.5</v>
      </c>
      <c r="M20" s="123">
        <f t="shared" si="10"/>
        <v>108.75549626467449</v>
      </c>
      <c r="N20" s="124"/>
      <c r="O20" s="126">
        <f t="shared" si="11"/>
        <v>108.75549626467449</v>
      </c>
      <c r="P20" s="53">
        <v>2.5</v>
      </c>
      <c r="Q20" s="123">
        <f t="shared" si="12"/>
        <v>278.18740661686235</v>
      </c>
      <c r="R20" s="124"/>
      <c r="S20" s="126">
        <f t="shared" si="13"/>
        <v>278.18740661686235</v>
      </c>
      <c r="T20" s="53">
        <v>2.5</v>
      </c>
      <c r="U20" s="123">
        <f t="shared" si="14"/>
        <v>311.06883671291354</v>
      </c>
      <c r="V20" s="124"/>
      <c r="W20" s="126">
        <f t="shared" si="15"/>
        <v>311.06883671291354</v>
      </c>
      <c r="X20" s="53">
        <v>2.5</v>
      </c>
      <c r="Y20" s="123">
        <f t="shared" si="16"/>
        <v>362.83500533617934</v>
      </c>
      <c r="Z20" s="124"/>
      <c r="AA20" s="126">
        <f t="shared" si="17"/>
        <v>362.83500533617934</v>
      </c>
      <c r="AB20" s="53">
        <v>2.5</v>
      </c>
      <c r="AC20" s="123">
        <f t="shared" si="18"/>
        <v>163.34204909284955</v>
      </c>
      <c r="AD20" s="124"/>
      <c r="AE20" s="126">
        <f t="shared" si="19"/>
        <v>163.34204909284955</v>
      </c>
      <c r="AF20" s="53">
        <v>2.5</v>
      </c>
      <c r="AG20" s="123">
        <f t="shared" si="20"/>
        <v>-115.31771611526149</v>
      </c>
      <c r="AH20" s="124"/>
      <c r="AI20" s="126">
        <f t="shared" si="21"/>
        <v>-115.31771611526149</v>
      </c>
      <c r="AJ20" s="53">
        <v>2.5</v>
      </c>
      <c r="AK20" s="123">
        <f t="shared" si="22"/>
        <v>201.61814300960509</v>
      </c>
      <c r="AL20" s="124"/>
      <c r="AM20" s="126">
        <f t="shared" si="23"/>
        <v>201.61814300960509</v>
      </c>
      <c r="AN20" s="53">
        <v>2.5</v>
      </c>
      <c r="AO20" s="123">
        <f t="shared" si="24"/>
        <v>379.83228388473856</v>
      </c>
      <c r="AP20" s="124"/>
      <c r="AQ20" s="126">
        <f t="shared" si="25"/>
        <v>379.83228388473856</v>
      </c>
      <c r="AR20" s="53">
        <v>2.5</v>
      </c>
      <c r="AS20" s="123">
        <f t="shared" si="26"/>
        <v>126.57897545357524</v>
      </c>
      <c r="AT20" s="124"/>
      <c r="AU20" s="126">
        <f t="shared" si="27"/>
        <v>126.57897545357524</v>
      </c>
      <c r="AV20" s="53">
        <v>2.5</v>
      </c>
      <c r="AW20" s="123">
        <f t="shared" si="28"/>
        <v>332.62956243329785</v>
      </c>
      <c r="AX20" s="124"/>
      <c r="AY20" s="126">
        <f t="shared" si="29"/>
        <v>332.62956243329785</v>
      </c>
      <c r="AZ20" s="127">
        <f t="shared" si="30"/>
        <v>593.69813233724653</v>
      </c>
      <c r="BA20" s="128">
        <f t="shared" si="31"/>
        <v>375.82607092454646</v>
      </c>
      <c r="BB20" s="127">
        <f t="shared" si="32"/>
        <v>1545.7893810032017</v>
      </c>
      <c r="BC20" s="127"/>
      <c r="BD20" s="128">
        <f t="shared" si="33"/>
        <v>1327.9173195905016</v>
      </c>
      <c r="BE20" s="127">
        <f t="shared" si="34"/>
        <v>2634.472678762007</v>
      </c>
      <c r="BF20" s="127"/>
      <c r="BG20" s="91">
        <f t="shared" si="35"/>
        <v>2416.600617349307</v>
      </c>
    </row>
    <row r="21" spans="1:59" ht="13">
      <c r="A21" s="132" t="s">
        <v>254</v>
      </c>
      <c r="B21" s="121"/>
      <c r="C21" s="121">
        <f>'Revised PS Model 2019'!BG31</f>
        <v>-217.87206141270008</v>
      </c>
      <c r="D21" s="178">
        <v>2.5</v>
      </c>
      <c r="E21" s="134">
        <f t="shared" si="6"/>
        <v>224.73863393810035</v>
      </c>
      <c r="F21" s="135"/>
      <c r="G21" s="136">
        <f t="shared" si="7"/>
        <v>224.73863393810035</v>
      </c>
      <c r="H21" s="178">
        <v>2.5</v>
      </c>
      <c r="I21" s="134">
        <f t="shared" si="8"/>
        <v>260.20400213447175</v>
      </c>
      <c r="J21" s="135"/>
      <c r="K21" s="136">
        <f t="shared" si="9"/>
        <v>260.20400213447175</v>
      </c>
      <c r="L21" s="178">
        <v>2.5</v>
      </c>
      <c r="M21" s="134">
        <f t="shared" si="10"/>
        <v>108.75549626467449</v>
      </c>
      <c r="N21" s="135"/>
      <c r="O21" s="136">
        <f t="shared" si="11"/>
        <v>108.75549626467449</v>
      </c>
      <c r="P21" s="178">
        <v>2.5</v>
      </c>
      <c r="Q21" s="134">
        <f t="shared" si="12"/>
        <v>278.18740661686235</v>
      </c>
      <c r="R21" s="135"/>
      <c r="S21" s="136">
        <f t="shared" si="13"/>
        <v>278.18740661686235</v>
      </c>
      <c r="T21" s="178">
        <v>2.5</v>
      </c>
      <c r="U21" s="134">
        <f t="shared" si="14"/>
        <v>311.06883671291354</v>
      </c>
      <c r="V21" s="135"/>
      <c r="W21" s="136">
        <f t="shared" si="15"/>
        <v>311.06883671291354</v>
      </c>
      <c r="X21" s="178">
        <v>2.5</v>
      </c>
      <c r="Y21" s="134">
        <f t="shared" si="16"/>
        <v>362.83500533617934</v>
      </c>
      <c r="Z21" s="135"/>
      <c r="AA21" s="136">
        <f t="shared" si="17"/>
        <v>362.83500533617934</v>
      </c>
      <c r="AB21" s="178">
        <v>2.5</v>
      </c>
      <c r="AC21" s="134">
        <f t="shared" si="18"/>
        <v>163.34204909284955</v>
      </c>
      <c r="AD21" s="135"/>
      <c r="AE21" s="136">
        <f t="shared" si="19"/>
        <v>163.34204909284955</v>
      </c>
      <c r="AF21" s="178">
        <v>2.5</v>
      </c>
      <c r="AG21" s="134">
        <f t="shared" si="20"/>
        <v>-115.31771611526149</v>
      </c>
      <c r="AH21" s="135"/>
      <c r="AI21" s="136">
        <f t="shared" si="21"/>
        <v>-115.31771611526149</v>
      </c>
      <c r="AJ21" s="178">
        <v>2.5</v>
      </c>
      <c r="AK21" s="134">
        <f t="shared" si="22"/>
        <v>201.61814300960509</v>
      </c>
      <c r="AL21" s="135"/>
      <c r="AM21" s="136">
        <f t="shared" si="23"/>
        <v>201.61814300960509</v>
      </c>
      <c r="AN21" s="178">
        <v>2.5</v>
      </c>
      <c r="AO21" s="134">
        <f t="shared" si="24"/>
        <v>379.83228388473856</v>
      </c>
      <c r="AP21" s="135"/>
      <c r="AQ21" s="136">
        <f t="shared" si="25"/>
        <v>379.83228388473856</v>
      </c>
      <c r="AR21" s="178">
        <v>2.5</v>
      </c>
      <c r="AS21" s="134">
        <f t="shared" si="26"/>
        <v>126.57897545357524</v>
      </c>
      <c r="AT21" s="135"/>
      <c r="AU21" s="136">
        <f t="shared" si="27"/>
        <v>126.57897545357524</v>
      </c>
      <c r="AV21" s="178">
        <v>2.5</v>
      </c>
      <c r="AW21" s="134">
        <f t="shared" si="28"/>
        <v>332.62956243329785</v>
      </c>
      <c r="AX21" s="135"/>
      <c r="AY21" s="136">
        <f t="shared" si="29"/>
        <v>332.62956243329785</v>
      </c>
      <c r="AZ21" s="138">
        <f t="shared" si="30"/>
        <v>593.69813233724653</v>
      </c>
      <c r="BA21" s="137">
        <f t="shared" si="31"/>
        <v>375.82607092454646</v>
      </c>
      <c r="BB21" s="138">
        <f t="shared" si="32"/>
        <v>1545.7893810032017</v>
      </c>
      <c r="BC21" s="138"/>
      <c r="BD21" s="137">
        <f t="shared" si="33"/>
        <v>1327.9173195905016</v>
      </c>
      <c r="BE21" s="138">
        <f t="shared" si="34"/>
        <v>2634.472678762007</v>
      </c>
      <c r="BF21" s="138"/>
      <c r="BG21" s="140">
        <f t="shared" si="35"/>
        <v>2416.600617349307</v>
      </c>
    </row>
    <row r="22" spans="1:59" ht="13">
      <c r="A22" s="132" t="s">
        <v>255</v>
      </c>
      <c r="B22" s="121"/>
      <c r="C22" s="121">
        <f>'Revised PS Model 2019'!BG32</f>
        <v>-217.87206141270008</v>
      </c>
      <c r="D22" s="178">
        <v>2.5</v>
      </c>
      <c r="E22" s="134">
        <f t="shared" si="6"/>
        <v>224.73863393810035</v>
      </c>
      <c r="F22" s="135"/>
      <c r="G22" s="136">
        <f t="shared" si="7"/>
        <v>224.73863393810035</v>
      </c>
      <c r="H22" s="178">
        <v>2.5</v>
      </c>
      <c r="I22" s="134">
        <f t="shared" si="8"/>
        <v>260.20400213447175</v>
      </c>
      <c r="J22" s="135"/>
      <c r="K22" s="136">
        <f t="shared" si="9"/>
        <v>260.20400213447175</v>
      </c>
      <c r="L22" s="178">
        <v>2.5</v>
      </c>
      <c r="M22" s="134">
        <f t="shared" si="10"/>
        <v>108.75549626467449</v>
      </c>
      <c r="N22" s="135"/>
      <c r="O22" s="136">
        <f t="shared" si="11"/>
        <v>108.75549626467449</v>
      </c>
      <c r="P22" s="178">
        <v>2.5</v>
      </c>
      <c r="Q22" s="134">
        <f t="shared" si="12"/>
        <v>278.18740661686235</v>
      </c>
      <c r="R22" s="135"/>
      <c r="S22" s="136">
        <f t="shared" si="13"/>
        <v>278.18740661686235</v>
      </c>
      <c r="T22" s="178">
        <v>2.5</v>
      </c>
      <c r="U22" s="134">
        <f t="shared" si="14"/>
        <v>311.06883671291354</v>
      </c>
      <c r="V22" s="135"/>
      <c r="W22" s="136">
        <f t="shared" si="15"/>
        <v>311.06883671291354</v>
      </c>
      <c r="X22" s="178">
        <v>2.5</v>
      </c>
      <c r="Y22" s="134">
        <f t="shared" si="16"/>
        <v>362.83500533617934</v>
      </c>
      <c r="Z22" s="135"/>
      <c r="AA22" s="136">
        <f t="shared" si="17"/>
        <v>362.83500533617934</v>
      </c>
      <c r="AB22" s="178">
        <v>2.5</v>
      </c>
      <c r="AC22" s="134">
        <f t="shared" si="18"/>
        <v>163.34204909284955</v>
      </c>
      <c r="AD22" s="135"/>
      <c r="AE22" s="136">
        <f t="shared" si="19"/>
        <v>163.34204909284955</v>
      </c>
      <c r="AF22" s="178">
        <v>2.5</v>
      </c>
      <c r="AG22" s="134">
        <f t="shared" si="20"/>
        <v>-115.31771611526149</v>
      </c>
      <c r="AH22" s="135"/>
      <c r="AI22" s="136">
        <f t="shared" si="21"/>
        <v>-115.31771611526149</v>
      </c>
      <c r="AJ22" s="178">
        <v>2.5</v>
      </c>
      <c r="AK22" s="134">
        <f t="shared" si="22"/>
        <v>201.61814300960509</v>
      </c>
      <c r="AL22" s="135"/>
      <c r="AM22" s="136">
        <f t="shared" si="23"/>
        <v>201.61814300960509</v>
      </c>
      <c r="AN22" s="178">
        <v>2.5</v>
      </c>
      <c r="AO22" s="134">
        <f t="shared" si="24"/>
        <v>379.83228388473856</v>
      </c>
      <c r="AP22" s="135"/>
      <c r="AQ22" s="136">
        <f t="shared" si="25"/>
        <v>379.83228388473856</v>
      </c>
      <c r="AR22" s="178">
        <v>2.5</v>
      </c>
      <c r="AS22" s="134">
        <f t="shared" si="26"/>
        <v>126.57897545357524</v>
      </c>
      <c r="AT22" s="135"/>
      <c r="AU22" s="136">
        <f t="shared" si="27"/>
        <v>126.57897545357524</v>
      </c>
      <c r="AV22" s="178">
        <v>2.5</v>
      </c>
      <c r="AW22" s="134">
        <f t="shared" si="28"/>
        <v>332.62956243329785</v>
      </c>
      <c r="AX22" s="135"/>
      <c r="AY22" s="136">
        <f t="shared" si="29"/>
        <v>332.62956243329785</v>
      </c>
      <c r="AZ22" s="138">
        <f t="shared" si="30"/>
        <v>593.69813233724653</v>
      </c>
      <c r="BA22" s="137">
        <f t="shared" si="31"/>
        <v>375.82607092454646</v>
      </c>
      <c r="BB22" s="138">
        <f t="shared" si="32"/>
        <v>1545.7893810032017</v>
      </c>
      <c r="BC22" s="138"/>
      <c r="BD22" s="137">
        <f t="shared" si="33"/>
        <v>1327.9173195905016</v>
      </c>
      <c r="BE22" s="138">
        <f t="shared" si="34"/>
        <v>2634.472678762007</v>
      </c>
      <c r="BF22" s="138"/>
      <c r="BG22" s="140">
        <f t="shared" si="35"/>
        <v>2416.600617349307</v>
      </c>
    </row>
    <row r="23" spans="1:59" ht="13">
      <c r="A23" s="132" t="s">
        <v>211</v>
      </c>
      <c r="B23" s="121"/>
      <c r="C23" s="121">
        <f>'Revised PS Model 2019'!BG33</f>
        <v>-87.152824565080209</v>
      </c>
      <c r="D23" s="178">
        <v>1</v>
      </c>
      <c r="E23" s="134">
        <f t="shared" si="6"/>
        <v>89.89545357524014</v>
      </c>
      <c r="F23" s="135"/>
      <c r="G23" s="136">
        <f t="shared" si="7"/>
        <v>89.89545357524014</v>
      </c>
      <c r="H23" s="178">
        <v>1</v>
      </c>
      <c r="I23" s="134">
        <f t="shared" si="8"/>
        <v>104.0816008537887</v>
      </c>
      <c r="J23" s="135"/>
      <c r="K23" s="136">
        <f t="shared" si="9"/>
        <v>104.0816008537887</v>
      </c>
      <c r="L23" s="178">
        <v>1</v>
      </c>
      <c r="M23" s="134">
        <f t="shared" si="10"/>
        <v>43.502198505869792</v>
      </c>
      <c r="N23" s="135"/>
      <c r="O23" s="136">
        <f t="shared" si="11"/>
        <v>43.502198505869792</v>
      </c>
      <c r="P23" s="178">
        <v>1</v>
      </c>
      <c r="Q23" s="134">
        <f t="shared" si="12"/>
        <v>111.27496264674494</v>
      </c>
      <c r="R23" s="135"/>
      <c r="S23" s="136">
        <f t="shared" si="13"/>
        <v>111.27496264674494</v>
      </c>
      <c r="T23" s="178">
        <v>1</v>
      </c>
      <c r="U23" s="134">
        <f t="shared" si="14"/>
        <v>124.42753468516543</v>
      </c>
      <c r="V23" s="135"/>
      <c r="W23" s="136">
        <f t="shared" si="15"/>
        <v>124.42753468516543</v>
      </c>
      <c r="X23" s="178">
        <v>1</v>
      </c>
      <c r="Y23" s="134">
        <f t="shared" si="16"/>
        <v>145.13400213447173</v>
      </c>
      <c r="Z23" s="135"/>
      <c r="AA23" s="136">
        <f t="shared" si="17"/>
        <v>145.13400213447173</v>
      </c>
      <c r="AB23" s="178">
        <v>1</v>
      </c>
      <c r="AC23" s="134">
        <f t="shared" si="18"/>
        <v>65.336819637139826</v>
      </c>
      <c r="AD23" s="135"/>
      <c r="AE23" s="136">
        <f t="shared" si="19"/>
        <v>65.336819637139826</v>
      </c>
      <c r="AF23" s="178">
        <v>1</v>
      </c>
      <c r="AG23" s="134">
        <f t="shared" si="20"/>
        <v>-46.127086446104592</v>
      </c>
      <c r="AH23" s="135"/>
      <c r="AI23" s="136">
        <f t="shared" si="21"/>
        <v>-46.127086446104592</v>
      </c>
      <c r="AJ23" s="178">
        <v>1</v>
      </c>
      <c r="AK23" s="134">
        <f t="shared" si="22"/>
        <v>80.647257203842045</v>
      </c>
      <c r="AL23" s="135"/>
      <c r="AM23" s="136">
        <f t="shared" si="23"/>
        <v>80.647257203842045</v>
      </c>
      <c r="AN23" s="178">
        <v>1</v>
      </c>
      <c r="AO23" s="134">
        <f t="shared" si="24"/>
        <v>151.93291355389542</v>
      </c>
      <c r="AP23" s="135"/>
      <c r="AQ23" s="136">
        <f t="shared" si="25"/>
        <v>151.93291355389542</v>
      </c>
      <c r="AR23" s="178">
        <v>1</v>
      </c>
      <c r="AS23" s="134">
        <f t="shared" si="26"/>
        <v>50.631590181430099</v>
      </c>
      <c r="AT23" s="135"/>
      <c r="AU23" s="136">
        <f t="shared" si="27"/>
        <v>50.631590181430099</v>
      </c>
      <c r="AV23" s="178">
        <v>1</v>
      </c>
      <c r="AW23" s="134">
        <f t="shared" si="28"/>
        <v>133.05182497331913</v>
      </c>
      <c r="AX23" s="135"/>
      <c r="AY23" s="136">
        <f t="shared" si="29"/>
        <v>133.05182497331913</v>
      </c>
      <c r="AZ23" s="138">
        <f t="shared" si="30"/>
        <v>237.47925293489862</v>
      </c>
      <c r="BA23" s="137">
        <f t="shared" si="31"/>
        <v>150.32642836981842</v>
      </c>
      <c r="BB23" s="138">
        <f t="shared" si="32"/>
        <v>618.31575240128075</v>
      </c>
      <c r="BC23" s="138"/>
      <c r="BD23" s="137">
        <f t="shared" si="33"/>
        <v>531.16292783620054</v>
      </c>
      <c r="BE23" s="138">
        <f t="shared" si="34"/>
        <v>1053.7890715048027</v>
      </c>
      <c r="BF23" s="138"/>
      <c r="BG23" s="140">
        <f t="shared" si="35"/>
        <v>966.63624693972247</v>
      </c>
    </row>
    <row r="24" spans="1:59" ht="12" customHeight="1">
      <c r="A24" s="89"/>
      <c r="C24" s="61"/>
      <c r="D24" s="148">
        <f t="shared" ref="D24:E24" si="36">SUM(D16:D23)</f>
        <v>468.5</v>
      </c>
      <c r="E24" s="149">
        <f t="shared" si="36"/>
        <v>42116.02</v>
      </c>
      <c r="F24" s="91"/>
      <c r="G24" s="91"/>
      <c r="H24" s="148">
        <f t="shared" ref="H24:I24" si="37">SUM(H16:H23)</f>
        <v>468.5</v>
      </c>
      <c r="I24" s="148">
        <f t="shared" si="37"/>
        <v>48762.23</v>
      </c>
      <c r="J24" s="91"/>
      <c r="K24" s="91"/>
      <c r="L24" s="148">
        <f t="shared" ref="L24:M24" si="38">SUM(L16:L23)</f>
        <v>468.5</v>
      </c>
      <c r="M24" s="149">
        <f t="shared" si="38"/>
        <v>20380.780000000006</v>
      </c>
      <c r="N24" s="91"/>
      <c r="O24" s="91"/>
      <c r="P24" s="148">
        <f t="shared" ref="P24:Q24" si="39">SUM(P16:P23)</f>
        <v>468.5</v>
      </c>
      <c r="Q24" s="149">
        <f t="shared" si="39"/>
        <v>52132.32</v>
      </c>
      <c r="R24" s="91"/>
      <c r="S24" s="91"/>
      <c r="T24" s="148">
        <f t="shared" ref="T24:U24" si="40">SUM(T16:T23)</f>
        <v>468.5</v>
      </c>
      <c r="U24" s="149">
        <f t="shared" si="40"/>
        <v>58294.299999999996</v>
      </c>
      <c r="V24" s="91"/>
      <c r="W24" s="91"/>
      <c r="X24" s="148">
        <f t="shared" ref="X24:Y24" si="41">SUM(X16:X23)</f>
        <v>468.5</v>
      </c>
      <c r="Y24" s="149">
        <f t="shared" si="41"/>
        <v>67995.28</v>
      </c>
      <c r="Z24" s="91"/>
      <c r="AA24" s="91"/>
      <c r="AB24" s="148">
        <f t="shared" ref="AB24:AC24" si="42">SUM(AB16:AB23)</f>
        <v>468.5</v>
      </c>
      <c r="AC24" s="149">
        <f t="shared" si="42"/>
        <v>30610.30000000001</v>
      </c>
      <c r="AD24" s="91"/>
      <c r="AE24" s="91"/>
      <c r="AF24" s="148">
        <f t="shared" ref="AF24:AG24" si="43">SUM(AF16:AF23)</f>
        <v>468.5</v>
      </c>
      <c r="AG24" s="149">
        <f t="shared" si="43"/>
        <v>-21610.53999999999</v>
      </c>
      <c r="AH24" s="91"/>
      <c r="AI24" s="91"/>
      <c r="AJ24" s="148">
        <f t="shared" ref="AJ24:AK24" si="44">SUM(AJ16:AJ23)</f>
        <v>468.5</v>
      </c>
      <c r="AK24" s="149">
        <f t="shared" si="44"/>
        <v>37783.24</v>
      </c>
      <c r="AL24" s="91"/>
      <c r="AM24" s="91"/>
      <c r="AN24" s="148">
        <f t="shared" ref="AN24:AO24" si="45">SUM(AN16:AN23)</f>
        <v>468.5</v>
      </c>
      <c r="AO24" s="149">
        <f t="shared" si="45"/>
        <v>71180.570000000007</v>
      </c>
      <c r="AP24" s="91"/>
      <c r="AQ24" s="91"/>
      <c r="AR24" s="148">
        <f t="shared" ref="AR24:AS24" si="46">SUM(AR16:AR23)</f>
        <v>468.5</v>
      </c>
      <c r="AS24" s="149">
        <f t="shared" si="46"/>
        <v>23720.900000000005</v>
      </c>
      <c r="AT24" s="91"/>
      <c r="AU24" s="91"/>
      <c r="AV24" s="148">
        <f t="shared" ref="AV24:AW24" si="47">SUM(AV16:AV23)</f>
        <v>468.5</v>
      </c>
      <c r="AW24" s="149">
        <f t="shared" si="47"/>
        <v>62334.780000000021</v>
      </c>
      <c r="AX24" s="124"/>
      <c r="AY24" s="92"/>
      <c r="AZ24" s="91"/>
      <c r="BA24" s="150"/>
      <c r="BB24" s="91"/>
      <c r="BC24" s="91"/>
      <c r="BD24" s="150"/>
    </row>
    <row r="25" spans="1:59" ht="14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124">
        <v>141.59</v>
      </c>
      <c r="AW25" s="151"/>
      <c r="AX25" s="124">
        <v>887.11</v>
      </c>
      <c r="AY25" s="92"/>
      <c r="AZ25" s="216" t="str">
        <f>"Paid for "&amp;AZ2</f>
        <v>Paid for 1Q</v>
      </c>
      <c r="BA25" s="217" t="s">
        <v>256</v>
      </c>
      <c r="BB25" s="216" t="str">
        <f>"Paid for "&amp;BB2</f>
        <v>Paid for 1H</v>
      </c>
      <c r="BC25" s="216" t="s">
        <v>270</v>
      </c>
      <c r="BD25" s="217" t="s">
        <v>256</v>
      </c>
      <c r="BE25" s="216" t="str">
        <f>"Paid for "&amp;BE2</f>
        <v>Paid for 2020</v>
      </c>
      <c r="BF25" s="216" t="s">
        <v>270</v>
      </c>
      <c r="BG25" s="217" t="s">
        <v>256</v>
      </c>
    </row>
    <row r="26" spans="1:59" ht="28">
      <c r="A26" s="89"/>
      <c r="B26" s="5"/>
      <c r="C26" s="61"/>
      <c r="D26" s="100"/>
      <c r="E26" s="91"/>
      <c r="F26" s="124">
        <v>937.78</v>
      </c>
      <c r="G26" s="91"/>
      <c r="H26" s="91"/>
      <c r="I26" s="91"/>
      <c r="J26" s="124">
        <v>1388.32</v>
      </c>
      <c r="K26" s="91"/>
      <c r="L26" s="91"/>
      <c r="M26" s="91"/>
      <c r="N26" s="124">
        <v>3897.78</v>
      </c>
      <c r="O26" s="91"/>
      <c r="P26" s="91"/>
      <c r="Q26" s="91"/>
      <c r="R26" s="124">
        <v>1299.32</v>
      </c>
      <c r="S26" s="91"/>
      <c r="T26" s="91"/>
      <c r="U26" s="91"/>
      <c r="V26" s="124">
        <v>5258.75</v>
      </c>
      <c r="W26" s="91"/>
      <c r="X26" s="91"/>
      <c r="Y26" s="91"/>
      <c r="Z26" s="124">
        <v>613.51</v>
      </c>
      <c r="AA26" s="91"/>
      <c r="AB26" s="91"/>
      <c r="AC26" s="91"/>
      <c r="AD26" s="124">
        <v>1482.31</v>
      </c>
      <c r="AE26" s="91"/>
      <c r="AF26" s="91"/>
      <c r="AG26" s="91"/>
      <c r="AH26" s="124">
        <v>811.06</v>
      </c>
      <c r="AI26" s="91"/>
      <c r="AJ26" s="91"/>
      <c r="AK26" s="91"/>
      <c r="AL26" s="124">
        <v>114.13</v>
      </c>
      <c r="AM26" s="91"/>
      <c r="AN26" s="91"/>
      <c r="AO26" s="91"/>
      <c r="AP26" s="124">
        <v>1350.06</v>
      </c>
      <c r="AQ26" s="91"/>
      <c r="AR26" s="91"/>
      <c r="AS26" s="91"/>
      <c r="AT26" s="91"/>
      <c r="AU26" s="1"/>
      <c r="AV26" s="152" t="s">
        <v>280</v>
      </c>
      <c r="AW26" s="118" t="s">
        <v>219</v>
      </c>
      <c r="AY26" s="245" t="s">
        <v>83</v>
      </c>
      <c r="AZ26" s="246">
        <f>AZ13+0</f>
        <v>49403</v>
      </c>
      <c r="BA26" s="247">
        <f t="shared" ref="BA26:BA33" si="48">BA16-AZ26</f>
        <v>12044.647716099542</v>
      </c>
      <c r="BB26" s="248">
        <f>BB13-AZ13+0</f>
        <v>-12500</v>
      </c>
      <c r="BC26" s="248">
        <f t="shared" ref="BC26:BC33" si="49">AZ26+BB26</f>
        <v>36903</v>
      </c>
      <c r="BD26" s="249">
        <f t="shared" ref="BD26:BD33" si="50">BD16-BC26</f>
        <v>122877.61755601416</v>
      </c>
      <c r="BE26" s="248">
        <f>BE13-BB13+0</f>
        <v>140750.75</v>
      </c>
      <c r="BF26" s="248">
        <f t="shared" ref="BF26:BF33" si="51">BC26+BE26</f>
        <v>177653.75</v>
      </c>
      <c r="BG26" s="249">
        <f t="shared" ref="BG26:BG33" si="52">BG16-BF26</f>
        <v>100406.85328707076</v>
      </c>
    </row>
    <row r="27" spans="1:59" ht="14">
      <c r="A27" s="89"/>
      <c r="B27" s="5"/>
      <c r="C27" s="61"/>
      <c r="D27" s="100"/>
      <c r="E27" s="100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P27" s="91"/>
      <c r="AQ27" s="91"/>
      <c r="AR27" s="91"/>
      <c r="AS27" s="91"/>
      <c r="AT27" s="91"/>
      <c r="AU27" s="91" t="s">
        <v>83</v>
      </c>
      <c r="AV27" s="91">
        <v>165153.75</v>
      </c>
      <c r="AW27" s="151">
        <v>425660.85</v>
      </c>
      <c r="AY27" s="250" t="s">
        <v>209</v>
      </c>
      <c r="AZ27" s="251">
        <v>16901.830000000002</v>
      </c>
      <c r="BA27" s="252">
        <f t="shared" si="48"/>
        <v>-1868.7339359815596</v>
      </c>
      <c r="BB27" s="251">
        <v>36980.92</v>
      </c>
      <c r="BC27" s="248">
        <f t="shared" si="49"/>
        <v>53882.75</v>
      </c>
      <c r="BD27" s="249">
        <f t="shared" si="50"/>
        <v>-766.00398934334225</v>
      </c>
      <c r="BE27" s="251">
        <v>43550.79</v>
      </c>
      <c r="BF27" s="248">
        <f t="shared" si="51"/>
        <v>97433.540000000008</v>
      </c>
      <c r="BG27" s="249">
        <f t="shared" si="52"/>
        <v>-769.46207899117144</v>
      </c>
    </row>
    <row r="28" spans="1:59" ht="14">
      <c r="A28" s="89"/>
      <c r="B28" s="5"/>
      <c r="C28" s="61"/>
      <c r="D28" s="100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P28" s="91"/>
      <c r="AQ28" s="91"/>
      <c r="AR28" s="91"/>
      <c r="AS28" s="124"/>
      <c r="AT28" s="91"/>
      <c r="AU28" s="91" t="s">
        <v>209</v>
      </c>
      <c r="AV28" s="91">
        <v>53882.75</v>
      </c>
      <c r="AW28" s="151">
        <v>43550.787899664108</v>
      </c>
      <c r="AY28" s="250" t="s">
        <v>61</v>
      </c>
      <c r="AZ28" s="251">
        <v>5817.15</v>
      </c>
      <c r="BA28" s="252">
        <f t="shared" si="48"/>
        <v>-560.62142535287239</v>
      </c>
      <c r="BB28" s="251">
        <v>11094.27</v>
      </c>
      <c r="BC28" s="248">
        <f t="shared" si="49"/>
        <v>16911.419999999998</v>
      </c>
      <c r="BD28" s="249">
        <f t="shared" si="50"/>
        <v>-229.79644136140996</v>
      </c>
      <c r="BE28" s="251">
        <v>13065.24</v>
      </c>
      <c r="BF28" s="248">
        <f t="shared" si="51"/>
        <v>29976.659999999996</v>
      </c>
      <c r="BG28" s="249">
        <f t="shared" si="52"/>
        <v>-230.83686825574841</v>
      </c>
    </row>
    <row r="29" spans="1:59" ht="14">
      <c r="A29" s="89"/>
      <c r="B29" s="5"/>
      <c r="C29" s="61"/>
      <c r="D29" s="100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P29" s="91"/>
      <c r="AQ29" s="91"/>
      <c r="AR29" s="91"/>
      <c r="AS29" s="91"/>
      <c r="AT29" s="91"/>
      <c r="AU29" s="91" t="s">
        <v>61</v>
      </c>
      <c r="AV29" s="91">
        <v>16911.419999999998</v>
      </c>
      <c r="AW29" s="151">
        <v>13065.241125340832</v>
      </c>
      <c r="AY29" s="253" t="s">
        <v>65</v>
      </c>
      <c r="AZ29" s="251">
        <v>5817.15</v>
      </c>
      <c r="BA29" s="254">
        <f t="shared" si="48"/>
        <v>-560.62142535287239</v>
      </c>
      <c r="BB29" s="251">
        <v>11094.27</v>
      </c>
      <c r="BC29" s="248">
        <f t="shared" si="49"/>
        <v>16911.419999999998</v>
      </c>
      <c r="BD29" s="249">
        <f t="shared" si="50"/>
        <v>-229.79644136140996</v>
      </c>
      <c r="BE29" s="251">
        <v>13065.24</v>
      </c>
      <c r="BF29" s="248">
        <f t="shared" si="51"/>
        <v>29976.659999999996</v>
      </c>
      <c r="BG29" s="249">
        <f t="shared" si="52"/>
        <v>-230.83686825574841</v>
      </c>
    </row>
    <row r="30" spans="1:59" ht="14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P30" s="91"/>
      <c r="AQ30" s="91"/>
      <c r="AR30" s="91"/>
      <c r="AS30" s="91"/>
      <c r="AT30" s="91"/>
      <c r="AU30" s="91" t="s">
        <v>65</v>
      </c>
      <c r="AV30" s="91">
        <v>16911.419999999998</v>
      </c>
      <c r="AW30" s="151">
        <v>13065.241125340832</v>
      </c>
      <c r="AY30" s="250" t="s">
        <v>210</v>
      </c>
      <c r="AZ30" s="251">
        <v>422.54</v>
      </c>
      <c r="BA30" s="254">
        <f t="shared" si="48"/>
        <v>-46.713929075453564</v>
      </c>
      <c r="BB30" s="251">
        <v>924.53</v>
      </c>
      <c r="BC30" s="248">
        <f t="shared" si="49"/>
        <v>1347.07</v>
      </c>
      <c r="BD30" s="249">
        <f t="shared" si="50"/>
        <v>-19.152680409498316</v>
      </c>
      <c r="BE30" s="251">
        <v>1088.77</v>
      </c>
      <c r="BF30" s="248">
        <f t="shared" si="51"/>
        <v>2435.84</v>
      </c>
      <c r="BG30" s="249">
        <f t="shared" si="52"/>
        <v>-19.239382650693187</v>
      </c>
    </row>
    <row r="31" spans="1:59" ht="14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P31" s="91"/>
      <c r="AQ31" s="91"/>
      <c r="AR31" s="91"/>
      <c r="AS31" s="91"/>
      <c r="AT31" s="91"/>
      <c r="AU31" s="91" t="s">
        <v>210</v>
      </c>
      <c r="AV31" s="91">
        <v>1347.07</v>
      </c>
      <c r="AW31" s="151">
        <v>1088.7671168156883</v>
      </c>
      <c r="AY31" s="250" t="s">
        <v>254</v>
      </c>
      <c r="AZ31" s="251">
        <v>422.54</v>
      </c>
      <c r="BA31" s="254">
        <f t="shared" si="48"/>
        <v>-46.713929075453564</v>
      </c>
      <c r="BB31" s="251">
        <v>924.53</v>
      </c>
      <c r="BC31" s="248">
        <f t="shared" si="49"/>
        <v>1347.07</v>
      </c>
      <c r="BD31" s="249">
        <f t="shared" si="50"/>
        <v>-19.152680409498316</v>
      </c>
      <c r="BE31" s="251">
        <v>1088.77</v>
      </c>
      <c r="BF31" s="248">
        <f t="shared" si="51"/>
        <v>2435.84</v>
      </c>
      <c r="BG31" s="249">
        <f t="shared" si="52"/>
        <v>-19.239382650693187</v>
      </c>
    </row>
    <row r="32" spans="1:59" ht="14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P32" s="91"/>
      <c r="AQ32" s="91"/>
      <c r="AR32" s="91"/>
      <c r="AS32" s="91"/>
      <c r="AT32" s="91"/>
      <c r="AU32" s="91" t="s">
        <v>254</v>
      </c>
      <c r="AV32" s="91">
        <v>1347.07</v>
      </c>
      <c r="AW32" s="151">
        <v>1088.7671168156883</v>
      </c>
      <c r="AY32" s="250" t="s">
        <v>255</v>
      </c>
      <c r="AZ32" s="251">
        <v>422.54</v>
      </c>
      <c r="BA32" s="254">
        <f t="shared" si="48"/>
        <v>-46.713929075453564</v>
      </c>
      <c r="BB32" s="251">
        <v>924.53</v>
      </c>
      <c r="BC32" s="248">
        <f t="shared" si="49"/>
        <v>1347.07</v>
      </c>
      <c r="BD32" s="249">
        <f t="shared" si="50"/>
        <v>-19.152680409498316</v>
      </c>
      <c r="BE32" s="251">
        <v>1088.77</v>
      </c>
      <c r="BF32" s="248">
        <f t="shared" si="51"/>
        <v>2435.84</v>
      </c>
      <c r="BG32" s="249">
        <f t="shared" si="52"/>
        <v>-19.239382650693187</v>
      </c>
    </row>
    <row r="33" spans="1:59" ht="14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P33" s="91"/>
      <c r="AQ33" s="91"/>
      <c r="AR33" s="91"/>
      <c r="AS33" s="91"/>
      <c r="AT33" s="91"/>
      <c r="AU33" s="91" t="s">
        <v>255</v>
      </c>
      <c r="AV33" s="91">
        <v>1347.07</v>
      </c>
      <c r="AW33" s="151">
        <v>1088.7671168156883</v>
      </c>
      <c r="AY33" s="255" t="s">
        <v>211</v>
      </c>
      <c r="AZ33" s="256">
        <v>169.01</v>
      </c>
      <c r="BA33" s="257">
        <f t="shared" si="48"/>
        <v>-18.683571630181575</v>
      </c>
      <c r="BB33" s="256">
        <v>369.81</v>
      </c>
      <c r="BC33" s="258">
        <f t="shared" si="49"/>
        <v>538.81999999999994</v>
      </c>
      <c r="BD33" s="259">
        <f t="shared" si="50"/>
        <v>-7.6570721637993984</v>
      </c>
      <c r="BE33" s="256">
        <v>435.51</v>
      </c>
      <c r="BF33" s="258">
        <f t="shared" si="51"/>
        <v>974.32999999999993</v>
      </c>
      <c r="BG33" s="259">
        <f t="shared" si="52"/>
        <v>-7.6937530602774586</v>
      </c>
    </row>
    <row r="34" spans="1:59" ht="14">
      <c r="A34" s="89"/>
      <c r="C34" s="61"/>
      <c r="D34" s="62"/>
      <c r="AU34" s="1" t="s">
        <v>211</v>
      </c>
      <c r="AV34" s="91">
        <v>538.81999999999994</v>
      </c>
      <c r="AW34" s="149">
        <v>435.51084672627508</v>
      </c>
      <c r="BD34" s="91"/>
      <c r="BE34" s="91"/>
      <c r="BF34" s="91"/>
      <c r="BG34" s="91"/>
    </row>
    <row r="35" spans="1:59" ht="13">
      <c r="A35" s="89"/>
      <c r="C35" s="61"/>
      <c r="D35" s="62"/>
      <c r="AY35" s="1"/>
      <c r="BA35" s="230"/>
      <c r="BB35" s="230"/>
      <c r="BC35" s="230"/>
      <c r="BD35" s="91"/>
      <c r="BE35" s="91"/>
      <c r="BF35" s="91"/>
      <c r="BG35" s="91"/>
    </row>
    <row r="36" spans="1:59" ht="13">
      <c r="A36" s="89"/>
      <c r="C36" s="61"/>
      <c r="D36" s="62"/>
      <c r="AZ36" s="152"/>
      <c r="BA36" s="152"/>
      <c r="BB36" s="152"/>
      <c r="BC36" s="152"/>
      <c r="BD36" s="91"/>
      <c r="BE36" s="91"/>
      <c r="BF36" s="91"/>
      <c r="BG36" s="91"/>
    </row>
    <row r="37" spans="1:59" ht="14">
      <c r="A37" s="89" t="s">
        <v>201</v>
      </c>
      <c r="C37" s="61"/>
      <c r="D37" s="62"/>
      <c r="AN37" s="1" t="s">
        <v>148</v>
      </c>
      <c r="AZ37" s="18"/>
      <c r="BA37" s="18"/>
      <c r="BB37" s="18"/>
      <c r="BC37" s="18"/>
      <c r="BD37" s="17"/>
      <c r="BE37" s="17"/>
      <c r="BF37" s="17"/>
      <c r="BG37" s="17"/>
    </row>
    <row r="38" spans="1:59" ht="13">
      <c r="A38" s="89"/>
      <c r="C38" s="61"/>
      <c r="D38" s="62"/>
      <c r="AZ38" s="18"/>
      <c r="BA38" s="18"/>
      <c r="BB38" s="18"/>
      <c r="BC38" s="18"/>
      <c r="BD38" s="17"/>
      <c r="BE38" s="17"/>
      <c r="BF38" s="17"/>
      <c r="BG38" s="17"/>
    </row>
    <row r="39" spans="1:59" ht="13">
      <c r="A39" s="89"/>
      <c r="C39" s="61"/>
      <c r="D39" s="62"/>
      <c r="AZ39" s="17"/>
      <c r="BA39" s="17"/>
      <c r="BB39" s="17"/>
      <c r="BC39" s="17"/>
      <c r="BD39" s="17"/>
      <c r="BE39" s="17"/>
      <c r="BF39" s="17"/>
      <c r="BG39" s="17"/>
    </row>
    <row r="40" spans="1:59" ht="13">
      <c r="A40" s="89"/>
      <c r="C40" s="61"/>
      <c r="D40" s="62"/>
      <c r="AZ40" s="17"/>
      <c r="BA40" s="17"/>
      <c r="BB40" s="17"/>
      <c r="BC40" s="17"/>
      <c r="BD40" s="17"/>
      <c r="BE40" s="17"/>
      <c r="BF40" s="17"/>
      <c r="BG40" s="17"/>
    </row>
    <row r="41" spans="1:59" ht="13">
      <c r="A41" s="89"/>
      <c r="C41" s="61"/>
      <c r="D41" s="62"/>
      <c r="AZ41" s="17"/>
      <c r="BA41" s="17"/>
      <c r="BB41" s="17"/>
      <c r="BC41" s="17"/>
      <c r="BD41" s="17"/>
      <c r="BE41" s="17"/>
      <c r="BF41" s="17"/>
      <c r="BG41" s="17"/>
    </row>
    <row r="42" spans="1:59" ht="13">
      <c r="A42" s="89"/>
      <c r="C42" s="61"/>
      <c r="D42" s="62"/>
      <c r="AZ42" s="17"/>
      <c r="BA42" s="17"/>
      <c r="BB42" s="17"/>
      <c r="BC42" s="17"/>
      <c r="BD42" s="17"/>
      <c r="BE42" s="17"/>
      <c r="BF42" s="17"/>
      <c r="BG42" s="17"/>
    </row>
    <row r="43" spans="1:59" ht="13">
      <c r="A43" s="89"/>
      <c r="C43" s="61"/>
      <c r="D43" s="62"/>
      <c r="AZ43" s="17"/>
      <c r="BA43" s="17"/>
      <c r="BB43" s="17"/>
      <c r="BC43" s="17"/>
      <c r="BD43" s="17"/>
      <c r="BE43" s="17"/>
      <c r="BF43" s="17"/>
      <c r="BG43" s="17"/>
    </row>
    <row r="44" spans="1:59" ht="13">
      <c r="A44" s="89"/>
      <c r="C44" s="61"/>
      <c r="D44" s="62"/>
      <c r="AZ44" s="17"/>
      <c r="BA44" s="17"/>
      <c r="BB44" s="17"/>
      <c r="BC44" s="17"/>
      <c r="BD44" s="17"/>
      <c r="BE44" s="17"/>
      <c r="BF44" s="17"/>
      <c r="BG44" s="17"/>
    </row>
    <row r="45" spans="1:59" ht="13">
      <c r="A45" s="89"/>
      <c r="C45" s="61"/>
      <c r="D45" s="62"/>
    </row>
    <row r="46" spans="1:59" ht="13">
      <c r="A46" s="89"/>
      <c r="C46" s="61"/>
      <c r="D46" s="62"/>
    </row>
    <row r="47" spans="1:59" ht="13">
      <c r="A47" s="89"/>
      <c r="C47" s="61"/>
      <c r="D47" s="62"/>
    </row>
    <row r="48" spans="1:59" ht="13">
      <c r="A48" s="89"/>
      <c r="C48" s="61"/>
      <c r="D48" s="62"/>
    </row>
    <row r="49" spans="1:4" ht="13">
      <c r="A49" s="89"/>
      <c r="C49" s="61"/>
      <c r="D49" s="62"/>
    </row>
    <row r="50" spans="1:4" ht="13">
      <c r="A50" s="89"/>
      <c r="C50" s="61"/>
      <c r="D50" s="62"/>
    </row>
    <row r="51" spans="1:4" ht="13">
      <c r="A51" s="89"/>
    </row>
    <row r="52" spans="1:4" ht="13">
      <c r="A52" s="89"/>
    </row>
    <row r="53" spans="1:4" ht="13">
      <c r="A53" s="89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G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18.1640625" customWidth="1"/>
    <col min="15" max="16" width="15.1640625" customWidth="1"/>
    <col min="17" max="17" width="20.33203125" customWidth="1"/>
    <col min="18" max="18" width="11.1640625" customWidth="1"/>
    <col min="19" max="31" width="15.1640625" customWidth="1"/>
    <col min="32" max="32" width="21.83203125" customWidth="1"/>
    <col min="33" max="48" width="15.1640625" customWidth="1"/>
    <col min="49" max="50" width="10.5" customWidth="1"/>
    <col min="51" max="51" width="10.83203125" customWidth="1"/>
    <col min="52" max="59" width="15.1640625" customWidth="1"/>
  </cols>
  <sheetData>
    <row r="1" spans="1:59" ht="42.75" customHeight="1">
      <c r="A1" s="5" t="s">
        <v>148</v>
      </c>
      <c r="C1" s="61" t="s">
        <v>131</v>
      </c>
      <c r="D1" s="59">
        <v>43861</v>
      </c>
      <c r="E1" s="60"/>
      <c r="F1" s="60"/>
      <c r="G1" s="61"/>
      <c r="H1" s="59">
        <v>43889</v>
      </c>
      <c r="I1" s="60"/>
      <c r="J1" s="60"/>
      <c r="K1" s="61"/>
      <c r="L1" s="59">
        <v>43921</v>
      </c>
      <c r="M1" s="60"/>
      <c r="N1" s="60"/>
      <c r="O1" s="61"/>
      <c r="P1" s="59">
        <v>43951</v>
      </c>
      <c r="Q1" s="60"/>
      <c r="R1" s="60"/>
      <c r="S1" s="61"/>
      <c r="T1" s="59">
        <v>43982</v>
      </c>
      <c r="U1" s="60"/>
      <c r="V1" s="60"/>
      <c r="W1" s="61"/>
      <c r="X1" s="59">
        <v>44012</v>
      </c>
      <c r="Y1" s="60"/>
      <c r="Z1" s="60"/>
      <c r="AA1" s="61"/>
      <c r="AB1" s="59">
        <v>44043</v>
      </c>
      <c r="AC1" s="60"/>
      <c r="AD1" s="60"/>
      <c r="AE1" s="61"/>
      <c r="AF1" s="59">
        <v>44074</v>
      </c>
      <c r="AG1" s="60"/>
      <c r="AH1" s="60"/>
      <c r="AI1" s="61"/>
      <c r="AJ1" s="59">
        <v>44104</v>
      </c>
      <c r="AK1" s="60"/>
      <c r="AL1" s="60"/>
      <c r="AM1" s="61"/>
      <c r="AN1" s="59">
        <v>44135</v>
      </c>
      <c r="AO1" s="60"/>
      <c r="AP1" s="60"/>
      <c r="AQ1" s="61"/>
      <c r="AR1" s="59">
        <v>44165</v>
      </c>
      <c r="AS1" s="60"/>
      <c r="AT1" s="60"/>
      <c r="AU1" s="61"/>
      <c r="AV1" s="59">
        <v>44196</v>
      </c>
      <c r="AW1" s="60"/>
      <c r="AX1" s="60"/>
      <c r="BB1" s="62"/>
      <c r="BD1" s="61"/>
    </row>
    <row r="2" spans="1:59" ht="14">
      <c r="A2" s="5"/>
      <c r="C2" s="61"/>
      <c r="D2" s="62">
        <f>YEAR(D1)</f>
        <v>2020</v>
      </c>
      <c r="G2" s="61"/>
      <c r="H2" s="62">
        <f>YEAR(H1)</f>
        <v>2020</v>
      </c>
      <c r="K2" s="61"/>
      <c r="L2" s="62">
        <f>YEAR(L1)</f>
        <v>2020</v>
      </c>
      <c r="O2" s="61"/>
      <c r="P2" s="62">
        <v>2020</v>
      </c>
      <c r="S2" s="61"/>
      <c r="T2" s="62">
        <f>YEAR(T1)</f>
        <v>2020</v>
      </c>
      <c r="W2" s="61"/>
      <c r="X2" s="62">
        <f>YEAR(X1)</f>
        <v>2020</v>
      </c>
      <c r="AA2" s="61"/>
      <c r="AB2" s="62">
        <f>YEAR(AB1)</f>
        <v>2020</v>
      </c>
      <c r="AE2" s="61"/>
      <c r="AF2" s="62">
        <f>YEAR(AF1)</f>
        <v>2020</v>
      </c>
      <c r="AI2" s="61"/>
      <c r="AJ2" s="62">
        <f>YEAR(AJ1)</f>
        <v>2020</v>
      </c>
      <c r="AM2" s="61"/>
      <c r="AN2" s="62">
        <f>YEAR(AN1)</f>
        <v>2020</v>
      </c>
      <c r="AQ2" s="61"/>
      <c r="AR2" s="62">
        <f>YEAR(AR1)</f>
        <v>2020</v>
      </c>
      <c r="AU2" s="61"/>
      <c r="AV2" s="62">
        <f>YEAR(AV1)</f>
        <v>2020</v>
      </c>
      <c r="AY2" s="61"/>
      <c r="AZ2" s="65" t="s">
        <v>132</v>
      </c>
      <c r="BA2" s="65"/>
      <c r="BB2" s="209" t="s">
        <v>247</v>
      </c>
      <c r="BC2" s="65"/>
      <c r="BD2" s="61"/>
      <c r="BE2" s="67">
        <v>2020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150.75" customHeight="1">
      <c r="A5" s="233" t="s">
        <v>136</v>
      </c>
      <c r="B5" s="234"/>
      <c r="C5" s="235"/>
      <c r="D5" s="236">
        <v>52237.91</v>
      </c>
      <c r="E5" s="237">
        <v>53798.239999999998</v>
      </c>
      <c r="F5" s="237" t="s">
        <v>271</v>
      </c>
      <c r="G5" s="238" t="s">
        <v>272</v>
      </c>
      <c r="H5" s="236">
        <v>53664.19</v>
      </c>
      <c r="I5" s="236">
        <v>60113.91</v>
      </c>
      <c r="J5" s="237"/>
      <c r="K5" s="238"/>
      <c r="L5" s="236">
        <v>27480.38</v>
      </c>
      <c r="M5" s="236">
        <v>37278</v>
      </c>
      <c r="N5" s="236" t="s">
        <v>273</v>
      </c>
      <c r="O5" s="238"/>
      <c r="P5" s="236">
        <v>56970.16</v>
      </c>
      <c r="Q5" s="236">
        <v>75903.45</v>
      </c>
      <c r="R5" s="237"/>
      <c r="S5" s="238"/>
      <c r="T5" s="236">
        <v>65277.48</v>
      </c>
      <c r="U5" s="236">
        <v>73383.429999999993</v>
      </c>
      <c r="V5" s="237"/>
      <c r="W5" s="238"/>
      <c r="X5" s="236">
        <v>77756.28</v>
      </c>
      <c r="Y5" s="236">
        <v>89485.15</v>
      </c>
      <c r="Z5" s="237">
        <v>35188</v>
      </c>
      <c r="AA5" s="237" t="s">
        <v>274</v>
      </c>
      <c r="AB5" s="236">
        <v>9891.6</v>
      </c>
      <c r="AC5" s="236">
        <v>14418.02</v>
      </c>
      <c r="AD5" s="237"/>
      <c r="AE5" s="238"/>
      <c r="AF5" s="236">
        <v>-11529.32</v>
      </c>
      <c r="AG5" s="236">
        <v>-9841.6</v>
      </c>
      <c r="AH5" s="237"/>
      <c r="AI5" s="238"/>
      <c r="AJ5" s="236">
        <v>48893.29</v>
      </c>
      <c r="AK5" s="237">
        <v>50731.16</v>
      </c>
      <c r="AL5" s="237" t="s">
        <v>275</v>
      </c>
      <c r="AM5" s="236" t="s">
        <v>276</v>
      </c>
      <c r="AN5" s="236">
        <v>19264.12</v>
      </c>
      <c r="AO5" s="237">
        <v>21822.01</v>
      </c>
      <c r="AP5" s="237" t="s">
        <v>277</v>
      </c>
      <c r="AQ5" s="236">
        <v>20017.650000000001</v>
      </c>
      <c r="AR5" s="236">
        <v>35141.93</v>
      </c>
      <c r="AS5" s="237">
        <v>32870.28</v>
      </c>
      <c r="AT5" s="237" t="s">
        <v>278</v>
      </c>
      <c r="AU5" s="236">
        <v>36154.31</v>
      </c>
      <c r="AV5" s="236">
        <v>-673.09</v>
      </c>
      <c r="AW5" s="239">
        <v>74364.600000000006</v>
      </c>
      <c r="AX5" s="236">
        <v>78410.17</v>
      </c>
      <c r="AY5" s="236" t="s">
        <v>279</v>
      </c>
      <c r="AZ5" s="240">
        <f t="shared" ref="AZ5:AZ7" si="0">SUMIF($D$3:$AY$3,AZ$2,$D5:$AY5)</f>
        <v>133382.48000000001</v>
      </c>
      <c r="BA5" s="238"/>
      <c r="BB5" s="240">
        <f t="shared" ref="BB5:BB7" si="1">SUMIF($D$4:$AY$4,BB$2,$D5:$AY5)</f>
        <v>333386.40000000002</v>
      </c>
      <c r="BC5" s="241"/>
      <c r="BD5" s="238"/>
      <c r="BE5" s="241">
        <f t="shared" ref="BE5:BE7" si="2">SUMIF($D$2:$AY$2,$BE$2,$D5:$AY5)</f>
        <v>434374.92999999993</v>
      </c>
      <c r="BF5" s="241"/>
      <c r="BG5" s="241"/>
    </row>
    <row r="6" spans="1:59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/>
      <c r="M6" s="91"/>
      <c r="N6" s="91"/>
      <c r="O6" s="92"/>
      <c r="P6" s="242"/>
      <c r="Q6" s="243"/>
      <c r="R6" s="243"/>
      <c r="S6" s="92"/>
      <c r="T6" s="242"/>
      <c r="U6" s="243"/>
      <c r="V6" s="243"/>
      <c r="W6" s="92"/>
      <c r="X6" s="242"/>
      <c r="Y6" s="243"/>
      <c r="Z6" s="91"/>
      <c r="AA6" s="92"/>
      <c r="AB6" s="242"/>
      <c r="AC6" s="243"/>
      <c r="AD6" s="243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>
        <v>74364.600000000006</v>
      </c>
      <c r="AY6" s="92">
        <v>78410.17</v>
      </c>
      <c r="AZ6" s="93">
        <f t="shared" si="0"/>
        <v>0</v>
      </c>
      <c r="BA6" s="92"/>
      <c r="BB6" s="93">
        <f t="shared" si="1"/>
        <v>0</v>
      </c>
      <c r="BC6" s="94"/>
      <c r="BD6" s="92"/>
      <c r="BE6" s="94">
        <f t="shared" si="2"/>
        <v>0</v>
      </c>
      <c r="BF6" s="94"/>
      <c r="BG6" s="94"/>
    </row>
    <row r="7" spans="1:59" ht="13">
      <c r="A7" s="89" t="s">
        <v>143</v>
      </c>
      <c r="B7" s="99">
        <v>12500</v>
      </c>
      <c r="C7" s="61"/>
      <c r="D7" s="100">
        <f>'Revised PS Model 2020'!ColinSalary</f>
        <v>12500</v>
      </c>
      <c r="E7" s="91"/>
      <c r="F7" s="91"/>
      <c r="G7" s="92"/>
      <c r="H7" s="100">
        <f>'Revised PS Model 2020'!ColinSalary</f>
        <v>12500</v>
      </c>
      <c r="I7" s="91"/>
      <c r="J7" s="91"/>
      <c r="K7" s="92"/>
      <c r="L7" s="100">
        <f>'Revised PS Model 2020'!ColinSalary</f>
        <v>12500</v>
      </c>
      <c r="M7" s="91"/>
      <c r="N7" s="91"/>
      <c r="O7" s="92"/>
      <c r="P7" s="100">
        <f>'Revised PS Model 2020'!ColinSalary</f>
        <v>12500</v>
      </c>
      <c r="Q7" s="91"/>
      <c r="R7" s="91"/>
      <c r="S7" s="92"/>
      <c r="T7" s="100">
        <f>'Revised PS Model 2020'!ColinSalary</f>
        <v>12500</v>
      </c>
      <c r="U7" s="91"/>
      <c r="V7" s="91"/>
      <c r="W7" s="92"/>
      <c r="X7" s="100">
        <f>'Revised PS Model 2020'!ColinSalary</f>
        <v>12500</v>
      </c>
      <c r="Y7" s="91"/>
      <c r="Z7" s="91"/>
      <c r="AA7" s="92"/>
      <c r="AB7" s="100">
        <f>'Revised PS Model 2020'!ColinSalary</f>
        <v>12500</v>
      </c>
      <c r="AC7" s="91"/>
      <c r="AD7" s="91"/>
      <c r="AE7" s="92"/>
      <c r="AF7" s="100">
        <f>'Revised PS Model 2020'!ColinSalary</f>
        <v>12500</v>
      </c>
      <c r="AG7" s="91"/>
      <c r="AH7" s="91"/>
      <c r="AI7" s="92"/>
      <c r="AJ7" s="100">
        <f>'Revised PS Model 2020'!ColinSalary</f>
        <v>12500</v>
      </c>
      <c r="AK7" s="91"/>
      <c r="AL7" s="91"/>
      <c r="AM7" s="92"/>
      <c r="AN7" s="100">
        <f>'Revised PS Model 2020'!ColinSalary</f>
        <v>12500</v>
      </c>
      <c r="AO7" s="91"/>
      <c r="AP7" s="91"/>
      <c r="AQ7" s="92"/>
      <c r="AR7" s="100">
        <f>'Revised PS Model 2020'!ColinSalary</f>
        <v>12500</v>
      </c>
      <c r="AS7" s="91"/>
      <c r="AT7" s="91"/>
      <c r="AU7" s="92"/>
      <c r="AV7" s="100">
        <f>'Revised PS Model 2020'!ColinSalary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SUM(AZ27:AZ33)</f>
        <v>29972.760000000006</v>
      </c>
      <c r="AC8" s="91"/>
      <c r="AD8" s="91"/>
      <c r="AE8" s="92"/>
      <c r="AF8" s="103">
        <v>0</v>
      </c>
      <c r="AG8" s="91"/>
      <c r="AH8" s="91"/>
      <c r="AI8" s="92"/>
      <c r="AJ8" s="103"/>
      <c r="AK8" s="91"/>
      <c r="AL8" s="91"/>
      <c r="AM8" s="92"/>
      <c r="AN8" s="244">
        <f>SUM(BB27:BB33)</f>
        <v>62312.86</v>
      </c>
      <c r="AO8" s="91"/>
      <c r="AP8" s="91"/>
      <c r="AQ8" s="92"/>
      <c r="AR8" s="103"/>
      <c r="AS8" s="91"/>
      <c r="AT8" s="91"/>
      <c r="AU8" s="92"/>
      <c r="AV8" s="103">
        <f>SUM(BE27:BE33)</f>
        <v>73383.090000000011</v>
      </c>
      <c r="AW8" s="91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13">
      <c r="A9" s="89" t="s">
        <v>145</v>
      </c>
      <c r="B9" s="101"/>
      <c r="C9" s="102"/>
      <c r="D9" s="104">
        <f>SUM(F16:F23)</f>
        <v>2378.11</v>
      </c>
      <c r="E9" s="91"/>
      <c r="F9" s="91"/>
      <c r="G9" s="92"/>
      <c r="H9" s="104">
        <f>SUM(J16:J23)</f>
        <v>7598.04</v>
      </c>
      <c r="I9" s="91"/>
      <c r="J9" s="91"/>
      <c r="K9" s="92"/>
      <c r="L9" s="104">
        <f>SUM(N16:N23)</f>
        <v>5400.4</v>
      </c>
      <c r="M9" s="91"/>
      <c r="N9" s="91"/>
      <c r="O9" s="92"/>
      <c r="P9" s="104">
        <f>SUM(R16:R23)</f>
        <v>7662.16</v>
      </c>
      <c r="Q9" s="91"/>
      <c r="R9" s="91"/>
      <c r="S9" s="92"/>
      <c r="T9" s="104">
        <f>SUM(V16:V23)</f>
        <v>5516.82</v>
      </c>
      <c r="U9" s="91"/>
      <c r="V9" s="91"/>
      <c r="W9" s="92"/>
      <c r="X9" s="104">
        <f>SUM(Z16:Z23)</f>
        <v>2739</v>
      </c>
      <c r="Y9" s="91"/>
      <c r="Z9" s="91"/>
      <c r="AA9" s="92"/>
      <c r="AB9" s="104">
        <f>SUM(AD16:AD23)</f>
        <v>3245.94</v>
      </c>
      <c r="AC9" s="91"/>
      <c r="AD9" s="91"/>
      <c r="AE9" s="92"/>
      <c r="AF9" s="104">
        <f>SUM(AH16:AH23)</f>
        <v>2418.7800000000002</v>
      </c>
      <c r="AG9" s="91"/>
      <c r="AH9" s="91"/>
      <c r="AI9" s="92"/>
      <c r="AJ9" s="104">
        <f>SUM(AL16:AL23)</f>
        <v>1389.95</v>
      </c>
      <c r="AK9" s="91"/>
      <c r="AL9" s="91"/>
      <c r="AM9" s="92"/>
      <c r="AN9" s="104">
        <f>SUM(AP16:AP23)</f>
        <v>2103.59</v>
      </c>
      <c r="AO9" s="91"/>
      <c r="AP9" s="91"/>
      <c r="AQ9" s="92"/>
      <c r="AR9" s="104">
        <f>SUM(AT16:AT23)</f>
        <v>1078.97</v>
      </c>
      <c r="AS9" s="91"/>
      <c r="AT9" s="91"/>
      <c r="AU9" s="92"/>
      <c r="AV9" s="104">
        <f>SUM(AX16:AX23)</f>
        <v>2124.7800000000002</v>
      </c>
      <c r="AW9" s="91"/>
      <c r="AX9" s="91"/>
      <c r="AY9" s="92"/>
      <c r="AZ9" s="93">
        <f t="shared" ref="AZ9:AZ13" si="3">SUMIF($D$3:$AY$3,AZ$2,$D9:$AY9)</f>
        <v>15376.55</v>
      </c>
      <c r="BA9" s="92"/>
      <c r="BB9" s="93">
        <f t="shared" ref="BB9:BB13" si="4">SUMIF($D$4:$AY$4,BB$2,$D9:$AY9)</f>
        <v>31294.53</v>
      </c>
      <c r="BC9" s="94"/>
      <c r="BD9" s="92"/>
      <c r="BE9" s="94">
        <f t="shared" ref="BE9:BE13" si="5">SUMIF($D$2:$AY$2,$BE$2,$D9:$AY9)</f>
        <v>43656.539999999994</v>
      </c>
      <c r="BF9" s="94"/>
      <c r="BG9" s="94"/>
    </row>
    <row r="10" spans="1:59" ht="13">
      <c r="A10" s="89" t="s">
        <v>146</v>
      </c>
      <c r="C10" s="61"/>
      <c r="D10" s="104">
        <f>D5-D6-D7+D9+D8</f>
        <v>42116.020000000004</v>
      </c>
      <c r="E10" s="91"/>
      <c r="F10" s="91"/>
      <c r="G10" s="92"/>
      <c r="H10" s="104">
        <f>H5-H6-H7+H9+H8</f>
        <v>48762.23</v>
      </c>
      <c r="I10" s="91"/>
      <c r="J10" s="91"/>
      <c r="K10" s="92"/>
      <c r="L10" s="104">
        <f>L5-L6-L7+L9+L8</f>
        <v>20380.78</v>
      </c>
      <c r="M10" s="91"/>
      <c r="N10" s="91"/>
      <c r="O10" s="92"/>
      <c r="P10" s="104">
        <f>P5-P6-P7+P9+P8</f>
        <v>52132.320000000007</v>
      </c>
      <c r="Q10" s="91"/>
      <c r="R10" s="91"/>
      <c r="S10" s="92"/>
      <c r="T10" s="104">
        <f>T5-T6-T7+T9+T8</f>
        <v>58294.3</v>
      </c>
      <c r="U10" s="91"/>
      <c r="V10" s="91"/>
      <c r="W10" s="92"/>
      <c r="X10" s="104">
        <f>X5-X6-X7+X9+X8</f>
        <v>67995.28</v>
      </c>
      <c r="Y10" s="91"/>
      <c r="Z10" s="91"/>
      <c r="AA10" s="92"/>
      <c r="AB10" s="104">
        <f>AB5-AB6-AB7+AB9+AB8</f>
        <v>30610.300000000007</v>
      </c>
      <c r="AC10" s="91"/>
      <c r="AD10" s="91"/>
      <c r="AE10" s="92"/>
      <c r="AF10" s="104">
        <f>AF5-AF6-AF7+AF9+AF8</f>
        <v>-21610.54</v>
      </c>
      <c r="AG10" s="91"/>
      <c r="AH10" s="91"/>
      <c r="AI10" s="92"/>
      <c r="AJ10" s="104">
        <f>AJ5-AJ6-AJ7+AJ9+AJ8</f>
        <v>37783.24</v>
      </c>
      <c r="AK10" s="91"/>
      <c r="AL10" s="91"/>
      <c r="AM10" s="92"/>
      <c r="AN10" s="104">
        <f>AN5-AN6-AN7+AN9+AN8</f>
        <v>71180.570000000007</v>
      </c>
      <c r="AO10" s="91"/>
      <c r="AP10" s="91"/>
      <c r="AQ10" s="92"/>
      <c r="AR10" s="104">
        <f>AR5-AR6-AR7+AR9+AR8</f>
        <v>23720.9</v>
      </c>
      <c r="AS10" s="91"/>
      <c r="AT10" s="91"/>
      <c r="AU10" s="92"/>
      <c r="AV10" s="104">
        <f>AV5-AV6-AV7+AV9+AV8</f>
        <v>62334.780000000013</v>
      </c>
      <c r="AW10" s="91"/>
      <c r="AX10" s="91"/>
      <c r="AY10" s="92"/>
      <c r="AZ10" s="93">
        <f t="shared" si="3"/>
        <v>111259.03</v>
      </c>
      <c r="BA10" s="92"/>
      <c r="BB10" s="93">
        <f t="shared" si="4"/>
        <v>289680.93000000005</v>
      </c>
      <c r="BC10" s="94"/>
      <c r="BD10" s="92"/>
      <c r="BE10" s="94">
        <f t="shared" si="5"/>
        <v>493700.18000000011</v>
      </c>
      <c r="BF10" s="94"/>
      <c r="BG10" s="94"/>
    </row>
    <row r="11" spans="1:59" ht="14">
      <c r="A11" s="89" t="s">
        <v>147</v>
      </c>
      <c r="C11" s="61"/>
      <c r="D11" s="90">
        <v>61500</v>
      </c>
      <c r="E11" s="91"/>
      <c r="F11" s="91"/>
      <c r="G11" s="92"/>
      <c r="H11" s="90">
        <v>12500</v>
      </c>
      <c r="I11" s="91"/>
      <c r="J11" s="91"/>
      <c r="K11" s="92"/>
      <c r="L11" s="90">
        <v>12903</v>
      </c>
      <c r="M11" s="91" t="s">
        <v>148</v>
      </c>
      <c r="N11" s="91"/>
      <c r="O11" s="92"/>
      <c r="P11" s="90">
        <v>12500</v>
      </c>
      <c r="Q11" s="91"/>
      <c r="R11" s="91"/>
      <c r="S11" s="92"/>
      <c r="T11" s="90">
        <v>0</v>
      </c>
      <c r="U11" s="91"/>
      <c r="V11" s="91"/>
      <c r="W11" s="92"/>
      <c r="X11" s="90">
        <v>12500</v>
      </c>
      <c r="Y11" s="91"/>
      <c r="Z11" s="91"/>
      <c r="AA11" s="92"/>
      <c r="AB11" s="90">
        <v>85173</v>
      </c>
      <c r="AC11" s="91"/>
      <c r="AD11" s="91"/>
      <c r="AE11" s="92"/>
      <c r="AF11" s="90">
        <v>18077.75</v>
      </c>
      <c r="AG11" s="91"/>
      <c r="AH11" s="91"/>
      <c r="AI11" s="92"/>
      <c r="AJ11" s="90">
        <v>0</v>
      </c>
      <c r="AK11" s="91"/>
      <c r="AL11" s="91"/>
      <c r="AM11" s="92"/>
      <c r="AN11" s="90">
        <v>75000</v>
      </c>
      <c r="AO11" s="91"/>
      <c r="AP11" s="91"/>
      <c r="AQ11" s="92"/>
      <c r="AR11" s="90">
        <v>12500</v>
      </c>
      <c r="AS11" s="91"/>
      <c r="AT11" s="91"/>
      <c r="AU11" s="92"/>
      <c r="AV11" s="90">
        <v>12500</v>
      </c>
      <c r="AW11" s="91"/>
      <c r="AX11" s="91"/>
      <c r="AY11" s="92"/>
      <c r="AZ11" s="93">
        <f t="shared" si="3"/>
        <v>86903</v>
      </c>
      <c r="BA11" s="92"/>
      <c r="BB11" s="93">
        <f t="shared" si="4"/>
        <v>111903</v>
      </c>
      <c r="BC11" s="94"/>
      <c r="BD11" s="92"/>
      <c r="BE11" s="94">
        <f t="shared" si="5"/>
        <v>315153.75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49000</v>
      </c>
      <c r="E13" s="91"/>
      <c r="F13" s="91"/>
      <c r="G13" s="92"/>
      <c r="H13" s="100">
        <f>H11+H12-H7</f>
        <v>0</v>
      </c>
      <c r="I13" s="91"/>
      <c r="J13" s="91"/>
      <c r="K13" s="92"/>
      <c r="L13" s="100">
        <f>L11+L12-L7</f>
        <v>403</v>
      </c>
      <c r="M13" s="91"/>
      <c r="N13" s="91"/>
      <c r="O13" s="92"/>
      <c r="P13" s="100">
        <f>P11+P12-P7</f>
        <v>0</v>
      </c>
      <c r="Q13" s="91"/>
      <c r="R13" s="91"/>
      <c r="S13" s="92"/>
      <c r="T13" s="100">
        <f>T11+T12-T7</f>
        <v>-12500</v>
      </c>
      <c r="U13" s="91"/>
      <c r="V13" s="91"/>
      <c r="W13" s="92"/>
      <c r="X13" s="100">
        <f>X11+X12-X7</f>
        <v>0</v>
      </c>
      <c r="Y13" s="91"/>
      <c r="Z13" s="91"/>
      <c r="AA13" s="92"/>
      <c r="AB13" s="100">
        <f>AB11+AB12-AB7</f>
        <v>72673</v>
      </c>
      <c r="AC13" s="91"/>
      <c r="AD13" s="91"/>
      <c r="AE13" s="92"/>
      <c r="AF13" s="100">
        <f>AF11+AF12-AF7</f>
        <v>5577.75</v>
      </c>
      <c r="AG13" s="91"/>
      <c r="AH13" s="91"/>
      <c r="AI13" s="92"/>
      <c r="AJ13" s="100">
        <f>AJ11+AJ12-AJ7</f>
        <v>-12500</v>
      </c>
      <c r="AK13" s="91"/>
      <c r="AL13" s="91"/>
      <c r="AM13" s="92"/>
      <c r="AN13" s="100">
        <f>AN11+AN12-AN7</f>
        <v>62500</v>
      </c>
      <c r="AO13" s="91"/>
      <c r="AP13" s="91"/>
      <c r="AQ13" s="92"/>
      <c r="AR13" s="100">
        <f>AR11+AR12-AR7</f>
        <v>0</v>
      </c>
      <c r="AS13" s="91"/>
      <c r="AT13" s="91"/>
      <c r="AU13" s="92"/>
      <c r="AV13" s="100">
        <f>AV11+AV12-AV7</f>
        <v>0</v>
      </c>
      <c r="AW13" s="91"/>
      <c r="AX13" s="91"/>
      <c r="AY13" s="92"/>
      <c r="AZ13" s="93">
        <f t="shared" si="3"/>
        <v>49403</v>
      </c>
      <c r="BA13" s="92"/>
      <c r="BB13" s="93">
        <f t="shared" si="4"/>
        <v>36903</v>
      </c>
      <c r="BC13" s="94"/>
      <c r="BD13" s="92"/>
      <c r="BE13" s="94">
        <f t="shared" si="5"/>
        <v>165153.75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93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121"/>
      <c r="C16" s="121">
        <f>'Mirek Revised PS Model 2019'!BG26</f>
        <v>5580.4218356299534</v>
      </c>
      <c r="D16" s="214">
        <v>300</v>
      </c>
      <c r="E16" s="123">
        <f t="shared" ref="E16:E23" si="6">D$10*D16/D$24</f>
        <v>26968.636072572044</v>
      </c>
      <c r="F16" s="124">
        <v>2378.11</v>
      </c>
      <c r="G16" s="123">
        <f t="shared" ref="G16:G23" si="7">E16-F16</f>
        <v>24590.526072572044</v>
      </c>
      <c r="H16" s="214">
        <v>300</v>
      </c>
      <c r="I16" s="123">
        <f t="shared" ref="I16:I23" si="8">H$10*H16/H$24</f>
        <v>31224.480256136609</v>
      </c>
      <c r="J16" s="124">
        <v>7598.04</v>
      </c>
      <c r="K16" s="123">
        <f t="shared" ref="K16:K23" si="9">I16-J16</f>
        <v>23626.440256136608</v>
      </c>
      <c r="L16" s="214">
        <v>300</v>
      </c>
      <c r="M16" s="123">
        <f t="shared" ref="M16:M23" si="10">L$10*L16/L$24</f>
        <v>13050.659551760938</v>
      </c>
      <c r="N16" s="124">
        <v>5400.4</v>
      </c>
      <c r="O16" s="123">
        <f t="shared" ref="O16:O23" si="11">M16-N16</f>
        <v>7650.2595517609388</v>
      </c>
      <c r="P16" s="214">
        <v>300</v>
      </c>
      <c r="Q16" s="123">
        <f t="shared" ref="Q16:Q23" si="12">P$10*P16/P$24</f>
        <v>33382.488794023484</v>
      </c>
      <c r="R16" s="124">
        <v>7662.16</v>
      </c>
      <c r="S16" s="123">
        <f t="shared" ref="S16:S23" si="13">Q16-R16</f>
        <v>25720.328794023484</v>
      </c>
      <c r="T16" s="214">
        <v>300</v>
      </c>
      <c r="U16" s="123">
        <f t="shared" ref="U16:U23" si="14">T$10*T16/T$24</f>
        <v>37328.260405549627</v>
      </c>
      <c r="V16" s="124">
        <v>5516.82</v>
      </c>
      <c r="W16" s="123">
        <f t="shared" ref="W16:W23" si="15">U16-V16</f>
        <v>31811.440405549627</v>
      </c>
      <c r="X16" s="214">
        <v>300</v>
      </c>
      <c r="Y16" s="123">
        <f t="shared" ref="Y16:Y23" si="16">X$10*X16/X$24</f>
        <v>43540.200640341514</v>
      </c>
      <c r="Z16" s="124">
        <v>2739</v>
      </c>
      <c r="AA16" s="123">
        <f t="shared" ref="AA16:AA23" si="17">Y16-Z16</f>
        <v>40801.200640341514</v>
      </c>
      <c r="AB16" s="214">
        <v>300</v>
      </c>
      <c r="AC16" s="123">
        <f t="shared" ref="AC16:AC23" si="18">AB$10*AB16/AB$24</f>
        <v>19601.045891141945</v>
      </c>
      <c r="AD16" s="124">
        <v>3245.94</v>
      </c>
      <c r="AE16" s="123">
        <f t="shared" ref="AE16:AE23" si="19">AC16-AD16</f>
        <v>16355.105891141944</v>
      </c>
      <c r="AF16" s="214">
        <v>300</v>
      </c>
      <c r="AG16" s="123">
        <f t="shared" ref="AG16:AG23" si="20">AF$10*AF16/AF$24</f>
        <v>-13838.125933831378</v>
      </c>
      <c r="AH16" s="124">
        <v>2418.7800000000002</v>
      </c>
      <c r="AI16" s="123">
        <f t="shared" ref="AI16:AI23" si="21">AG16-AH16</f>
        <v>-16256.905933831378</v>
      </c>
      <c r="AJ16" s="214">
        <v>300</v>
      </c>
      <c r="AK16" s="123">
        <f t="shared" ref="AK16:AK23" si="22">AJ$10*AJ16/AJ$24</f>
        <v>24194.177161152616</v>
      </c>
      <c r="AL16" s="124">
        <v>1389.95</v>
      </c>
      <c r="AM16" s="123">
        <f t="shared" ref="AM16:AM23" si="23">AK16-AL16</f>
        <v>22804.227161152616</v>
      </c>
      <c r="AN16" s="214">
        <v>300</v>
      </c>
      <c r="AO16" s="123">
        <f t="shared" ref="AO16:AO23" si="24">AN$10*AN16/AN$24</f>
        <v>45579.874066168632</v>
      </c>
      <c r="AP16" s="124">
        <v>2103.59</v>
      </c>
      <c r="AQ16" s="123">
        <f t="shared" ref="AQ16:AQ23" si="25">AO16-AP16</f>
        <v>43476.284066168635</v>
      </c>
      <c r="AR16" s="214">
        <v>300</v>
      </c>
      <c r="AS16" s="123">
        <f t="shared" ref="AS16:AS23" si="26">AR$10*AR16/AR$24</f>
        <v>15189.47705442903</v>
      </c>
      <c r="AT16" s="124">
        <v>1078.97</v>
      </c>
      <c r="AU16" s="123">
        <f t="shared" ref="AU16:AU23" si="27">AS16-AT16</f>
        <v>14110.50705442903</v>
      </c>
      <c r="AV16" s="214">
        <v>300</v>
      </c>
      <c r="AW16" s="123">
        <f t="shared" ref="AW16:AW23" si="28">AV$10*AV16/AV$24</f>
        <v>39915.547491995741</v>
      </c>
      <c r="AX16" s="124">
        <v>2124.7800000000002</v>
      </c>
      <c r="AY16" s="126">
        <f t="shared" ref="AY16:AY23" si="29">AW16-AX16</f>
        <v>37790.767491995743</v>
      </c>
      <c r="AZ16" s="127">
        <f t="shared" ref="AZ16:AZ23" si="30">IF($AV$3="1Q",AY16,0)+IF($AR$3="1Q",AU16,0)+IF($AN$3="1Q",AQ16,0)+IF($AJ$3="1Q",AM16,0)+IF($AF$3="1Q",AI16,0)+IF($AB$3="1Q",AE16,0)+IF($X$3="1Q",AA16,0)+IF($T$3="1Q",W16,0)+IF($P$3="1Q",S16,0)+IF($L$3="1Q",O16,0)+IF($H$3="1Q",K16,0)+IF($D$3="1Q",G16,0)</f>
        <v>55867.225880469588</v>
      </c>
      <c r="BA16" s="128">
        <f t="shared" ref="BA16:BA23" si="31">AZ16+$C16</f>
        <v>61447.647716099542</v>
      </c>
      <c r="BB16" s="127">
        <f t="shared" ref="BB16:BB23" si="32">IF($AV$4="1H",AY16,0)+IF($AR$4="1H",AU16,0)+IF($AN$4="1H",AQ16,0)+IF($AJ$4="1H",AM16,0)+IF($AF$4="1H",AI16,0)+IF($AB$4="1H",AE16,0)+IF($X$4="1H",AA16,0)+IF($T$4="1H",W16,0)+IF($P$4="1H",S16,0)+IF($L$4="1H",O16,0)+IF($H$4="1H",K16,0)+IF($D$4="1H",G16,0)</f>
        <v>154200.19572038422</v>
      </c>
      <c r="BC16" s="127"/>
      <c r="BD16" s="128">
        <f t="shared" ref="BD16:BD23" si="33">BB16+$C16</f>
        <v>159780.61755601416</v>
      </c>
      <c r="BE16" s="127">
        <f t="shared" ref="BE16:BE23" si="34">AY16+AU16+AQ16+AM16+AI16+AE16+AA16+W16+S16+O16+K16+G16</f>
        <v>272480.18145144079</v>
      </c>
      <c r="BF16" s="127"/>
      <c r="BG16" s="91">
        <f t="shared" ref="BG16:BG23" si="35">BE16+C16</f>
        <v>278060.60328707076</v>
      </c>
    </row>
    <row r="17" spans="1:59" ht="13">
      <c r="A17" s="89" t="s">
        <v>209</v>
      </c>
      <c r="B17" s="121"/>
      <c r="C17" s="121">
        <f>'Revised PS Model 2019'!BG27</f>
        <v>-8714.8292294714192</v>
      </c>
      <c r="D17" s="214">
        <v>100</v>
      </c>
      <c r="E17" s="123">
        <f t="shared" si="6"/>
        <v>8989.5453575240135</v>
      </c>
      <c r="F17" s="124"/>
      <c r="G17" s="123">
        <f t="shared" si="7"/>
        <v>8989.5453575240135</v>
      </c>
      <c r="H17" s="214">
        <v>100</v>
      </c>
      <c r="I17" s="123">
        <f t="shared" si="8"/>
        <v>10408.16008537887</v>
      </c>
      <c r="J17" s="124"/>
      <c r="K17" s="123">
        <f t="shared" si="9"/>
        <v>10408.16008537887</v>
      </c>
      <c r="L17" s="214">
        <v>100</v>
      </c>
      <c r="M17" s="123">
        <f t="shared" si="10"/>
        <v>4350.2198505869801</v>
      </c>
      <c r="N17" s="124"/>
      <c r="O17" s="123">
        <f t="shared" si="11"/>
        <v>4350.2198505869801</v>
      </c>
      <c r="P17" s="214">
        <v>100</v>
      </c>
      <c r="Q17" s="123">
        <f t="shared" si="12"/>
        <v>11127.496264674495</v>
      </c>
      <c r="R17" s="124"/>
      <c r="S17" s="123">
        <f t="shared" si="13"/>
        <v>11127.496264674495</v>
      </c>
      <c r="T17" s="214">
        <v>100</v>
      </c>
      <c r="U17" s="123">
        <f t="shared" si="14"/>
        <v>12442.753468516543</v>
      </c>
      <c r="V17" s="124"/>
      <c r="W17" s="123">
        <f t="shared" si="15"/>
        <v>12442.753468516543</v>
      </c>
      <c r="X17" s="214">
        <v>100</v>
      </c>
      <c r="Y17" s="123">
        <f t="shared" si="16"/>
        <v>14513.400213447172</v>
      </c>
      <c r="Z17" s="124"/>
      <c r="AA17" s="123">
        <f t="shared" si="17"/>
        <v>14513.400213447172</v>
      </c>
      <c r="AB17" s="214">
        <v>100</v>
      </c>
      <c r="AC17" s="123">
        <f t="shared" si="18"/>
        <v>6533.6819637139815</v>
      </c>
      <c r="AD17" s="124"/>
      <c r="AE17" s="123">
        <f t="shared" si="19"/>
        <v>6533.6819637139815</v>
      </c>
      <c r="AF17" s="214">
        <v>100</v>
      </c>
      <c r="AG17" s="123">
        <f t="shared" si="20"/>
        <v>-4612.7086446104586</v>
      </c>
      <c r="AH17" s="124"/>
      <c r="AI17" s="123">
        <f t="shared" si="21"/>
        <v>-4612.7086446104586</v>
      </c>
      <c r="AJ17" s="214">
        <v>100</v>
      </c>
      <c r="AK17" s="123">
        <f t="shared" si="22"/>
        <v>8064.7257203842046</v>
      </c>
      <c r="AL17" s="124"/>
      <c r="AM17" s="123">
        <f t="shared" si="23"/>
        <v>8064.7257203842046</v>
      </c>
      <c r="AN17" s="214">
        <v>100</v>
      </c>
      <c r="AO17" s="123">
        <f t="shared" si="24"/>
        <v>15193.291355389543</v>
      </c>
      <c r="AP17" s="124"/>
      <c r="AQ17" s="123">
        <f t="shared" si="25"/>
        <v>15193.291355389543</v>
      </c>
      <c r="AR17" s="214">
        <v>100</v>
      </c>
      <c r="AS17" s="123">
        <f t="shared" si="26"/>
        <v>5063.1590181430092</v>
      </c>
      <c r="AT17" s="124"/>
      <c r="AU17" s="123">
        <f t="shared" si="27"/>
        <v>5063.1590181430092</v>
      </c>
      <c r="AV17" s="214">
        <v>100</v>
      </c>
      <c r="AW17" s="123">
        <f t="shared" si="28"/>
        <v>13305.182497331913</v>
      </c>
      <c r="AX17" s="124"/>
      <c r="AY17" s="126">
        <f t="shared" si="29"/>
        <v>13305.182497331913</v>
      </c>
      <c r="AZ17" s="127">
        <f t="shared" si="30"/>
        <v>23747.925293489861</v>
      </c>
      <c r="BA17" s="128">
        <f t="shared" si="31"/>
        <v>15033.096064018442</v>
      </c>
      <c r="BB17" s="127">
        <f t="shared" si="32"/>
        <v>61831.575240128077</v>
      </c>
      <c r="BC17" s="127"/>
      <c r="BD17" s="128">
        <f t="shared" si="33"/>
        <v>53116.746010656658</v>
      </c>
      <c r="BE17" s="127">
        <f t="shared" si="34"/>
        <v>105378.90715048026</v>
      </c>
      <c r="BF17" s="127"/>
      <c r="BG17" s="91">
        <f t="shared" si="35"/>
        <v>96664.077921008837</v>
      </c>
    </row>
    <row r="18" spans="1:59" ht="13">
      <c r="A18" s="89" t="s">
        <v>61</v>
      </c>
      <c r="B18" s="121"/>
      <c r="C18" s="121">
        <f>'Revised PS Model 2019'!BG28</f>
        <v>-1867.8490133998312</v>
      </c>
      <c r="D18" s="53">
        <v>30</v>
      </c>
      <c r="E18" s="123">
        <f t="shared" si="6"/>
        <v>2696.863607257204</v>
      </c>
      <c r="F18" s="124"/>
      <c r="G18" s="126">
        <f t="shared" si="7"/>
        <v>2696.863607257204</v>
      </c>
      <c r="H18" s="53">
        <v>30</v>
      </c>
      <c r="I18" s="123">
        <f t="shared" si="8"/>
        <v>3122.4480256136608</v>
      </c>
      <c r="J18" s="124"/>
      <c r="K18" s="126">
        <f t="shared" si="9"/>
        <v>3122.4480256136608</v>
      </c>
      <c r="L18" s="53">
        <v>30</v>
      </c>
      <c r="M18" s="123">
        <f t="shared" si="10"/>
        <v>1305.0659551760937</v>
      </c>
      <c r="N18" s="124"/>
      <c r="O18" s="126">
        <f t="shared" si="11"/>
        <v>1305.0659551760937</v>
      </c>
      <c r="P18" s="53">
        <v>30</v>
      </c>
      <c r="Q18" s="123">
        <f t="shared" si="12"/>
        <v>3338.2488794023479</v>
      </c>
      <c r="R18" s="124"/>
      <c r="S18" s="126">
        <f t="shared" si="13"/>
        <v>3338.2488794023479</v>
      </c>
      <c r="T18" s="53">
        <v>30</v>
      </c>
      <c r="U18" s="123">
        <f t="shared" si="14"/>
        <v>3732.8260405549627</v>
      </c>
      <c r="V18" s="124"/>
      <c r="W18" s="126">
        <f t="shared" si="15"/>
        <v>3732.8260405549627</v>
      </c>
      <c r="X18" s="53">
        <v>30</v>
      </c>
      <c r="Y18" s="123">
        <f t="shared" si="16"/>
        <v>4354.0200640341518</v>
      </c>
      <c r="Z18" s="124"/>
      <c r="AA18" s="126">
        <f t="shared" si="17"/>
        <v>4354.0200640341518</v>
      </c>
      <c r="AB18" s="53">
        <v>30</v>
      </c>
      <c r="AC18" s="123">
        <f t="shared" si="18"/>
        <v>1960.1045891141948</v>
      </c>
      <c r="AD18" s="124"/>
      <c r="AE18" s="126">
        <f t="shared" si="19"/>
        <v>1960.1045891141948</v>
      </c>
      <c r="AF18" s="53">
        <v>30</v>
      </c>
      <c r="AG18" s="123">
        <f t="shared" si="20"/>
        <v>-1383.8125933831377</v>
      </c>
      <c r="AH18" s="124"/>
      <c r="AI18" s="126">
        <f t="shared" si="21"/>
        <v>-1383.8125933831377</v>
      </c>
      <c r="AJ18" s="53">
        <v>30</v>
      </c>
      <c r="AK18" s="123">
        <f t="shared" si="22"/>
        <v>2419.4177161152616</v>
      </c>
      <c r="AL18" s="124"/>
      <c r="AM18" s="126">
        <f t="shared" si="23"/>
        <v>2419.4177161152616</v>
      </c>
      <c r="AN18" s="53">
        <v>30</v>
      </c>
      <c r="AO18" s="123">
        <f t="shared" si="24"/>
        <v>4557.9874066168622</v>
      </c>
      <c r="AP18" s="124"/>
      <c r="AQ18" s="126">
        <f t="shared" si="25"/>
        <v>4557.9874066168622</v>
      </c>
      <c r="AR18" s="53">
        <v>30</v>
      </c>
      <c r="AS18" s="123">
        <f t="shared" si="26"/>
        <v>1518.9477054429028</v>
      </c>
      <c r="AT18" s="124"/>
      <c r="AU18" s="126">
        <f t="shared" si="27"/>
        <v>1518.9477054429028</v>
      </c>
      <c r="AV18" s="53">
        <v>30</v>
      </c>
      <c r="AW18" s="123">
        <f t="shared" si="28"/>
        <v>3991.554749199574</v>
      </c>
      <c r="AX18" s="124"/>
      <c r="AY18" s="126">
        <f t="shared" si="29"/>
        <v>3991.554749199574</v>
      </c>
      <c r="AZ18" s="127">
        <f t="shared" si="30"/>
        <v>7124.3775880469584</v>
      </c>
      <c r="BA18" s="128">
        <f t="shared" si="31"/>
        <v>5256.5285746471272</v>
      </c>
      <c r="BB18" s="127">
        <f t="shared" si="32"/>
        <v>18549.472572038419</v>
      </c>
      <c r="BC18" s="127"/>
      <c r="BD18" s="128">
        <f t="shared" si="33"/>
        <v>16681.623558638588</v>
      </c>
      <c r="BE18" s="127">
        <f t="shared" si="34"/>
        <v>31613.672145144079</v>
      </c>
      <c r="BF18" s="127"/>
      <c r="BG18" s="91">
        <f t="shared" si="35"/>
        <v>29745.823131744248</v>
      </c>
    </row>
    <row r="19" spans="1:59" ht="13">
      <c r="A19" s="89" t="s">
        <v>65</v>
      </c>
      <c r="B19" s="121"/>
      <c r="C19" s="121">
        <f>'Revised PS Model 2019'!BG29</f>
        <v>-1867.8490133998312</v>
      </c>
      <c r="D19" s="53">
        <v>30</v>
      </c>
      <c r="E19" s="123">
        <f t="shared" si="6"/>
        <v>2696.863607257204</v>
      </c>
      <c r="F19" s="124"/>
      <c r="G19" s="126">
        <f t="shared" si="7"/>
        <v>2696.863607257204</v>
      </c>
      <c r="H19" s="53">
        <v>30</v>
      </c>
      <c r="I19" s="123">
        <f t="shared" si="8"/>
        <v>3122.4480256136608</v>
      </c>
      <c r="J19" s="124"/>
      <c r="K19" s="126">
        <f t="shared" si="9"/>
        <v>3122.4480256136608</v>
      </c>
      <c r="L19" s="53">
        <v>30</v>
      </c>
      <c r="M19" s="123">
        <f t="shared" si="10"/>
        <v>1305.0659551760937</v>
      </c>
      <c r="N19" s="124"/>
      <c r="O19" s="126">
        <f t="shared" si="11"/>
        <v>1305.0659551760937</v>
      </c>
      <c r="P19" s="53">
        <v>30</v>
      </c>
      <c r="Q19" s="123">
        <f t="shared" si="12"/>
        <v>3338.2488794023479</v>
      </c>
      <c r="R19" s="124"/>
      <c r="S19" s="126">
        <f t="shared" si="13"/>
        <v>3338.2488794023479</v>
      </c>
      <c r="T19" s="53">
        <v>30</v>
      </c>
      <c r="U19" s="123">
        <f t="shared" si="14"/>
        <v>3732.8260405549627</v>
      </c>
      <c r="V19" s="124"/>
      <c r="W19" s="126">
        <f t="shared" si="15"/>
        <v>3732.8260405549627</v>
      </c>
      <c r="X19" s="53">
        <v>30</v>
      </c>
      <c r="Y19" s="123">
        <f t="shared" si="16"/>
        <v>4354.0200640341518</v>
      </c>
      <c r="Z19" s="124"/>
      <c r="AA19" s="126">
        <f t="shared" si="17"/>
        <v>4354.0200640341518</v>
      </c>
      <c r="AB19" s="53">
        <v>30</v>
      </c>
      <c r="AC19" s="123">
        <f t="shared" si="18"/>
        <v>1960.1045891141948</v>
      </c>
      <c r="AD19" s="124"/>
      <c r="AE19" s="126">
        <f t="shared" si="19"/>
        <v>1960.1045891141948</v>
      </c>
      <c r="AF19" s="53">
        <v>30</v>
      </c>
      <c r="AG19" s="123">
        <f t="shared" si="20"/>
        <v>-1383.8125933831377</v>
      </c>
      <c r="AH19" s="124"/>
      <c r="AI19" s="126">
        <f t="shared" si="21"/>
        <v>-1383.8125933831377</v>
      </c>
      <c r="AJ19" s="53">
        <v>30</v>
      </c>
      <c r="AK19" s="123">
        <f t="shared" si="22"/>
        <v>2419.4177161152616</v>
      </c>
      <c r="AL19" s="124"/>
      <c r="AM19" s="126">
        <f t="shared" si="23"/>
        <v>2419.4177161152616</v>
      </c>
      <c r="AN19" s="53">
        <v>30</v>
      </c>
      <c r="AO19" s="123">
        <f t="shared" si="24"/>
        <v>4557.9874066168622</v>
      </c>
      <c r="AP19" s="124"/>
      <c r="AQ19" s="126">
        <f t="shared" si="25"/>
        <v>4557.9874066168622</v>
      </c>
      <c r="AR19" s="53">
        <v>30</v>
      </c>
      <c r="AS19" s="123">
        <f t="shared" si="26"/>
        <v>1518.9477054429028</v>
      </c>
      <c r="AT19" s="124"/>
      <c r="AU19" s="126">
        <f t="shared" si="27"/>
        <v>1518.9477054429028</v>
      </c>
      <c r="AV19" s="53">
        <v>30</v>
      </c>
      <c r="AW19" s="123">
        <f t="shared" si="28"/>
        <v>3991.554749199574</v>
      </c>
      <c r="AX19" s="124"/>
      <c r="AY19" s="126">
        <f t="shared" si="29"/>
        <v>3991.554749199574</v>
      </c>
      <c r="AZ19" s="127">
        <f t="shared" si="30"/>
        <v>7124.3775880469584</v>
      </c>
      <c r="BA19" s="128">
        <f t="shared" si="31"/>
        <v>5256.5285746471272</v>
      </c>
      <c r="BB19" s="127">
        <f t="shared" si="32"/>
        <v>18549.472572038419</v>
      </c>
      <c r="BC19" s="127"/>
      <c r="BD19" s="128">
        <f t="shared" si="33"/>
        <v>16681.623558638588</v>
      </c>
      <c r="BE19" s="127">
        <f t="shared" si="34"/>
        <v>31613.672145144079</v>
      </c>
      <c r="BF19" s="127"/>
      <c r="BG19" s="91">
        <f t="shared" si="35"/>
        <v>29745.823131744248</v>
      </c>
    </row>
    <row r="20" spans="1:59" ht="13">
      <c r="A20" s="89" t="s">
        <v>210</v>
      </c>
      <c r="B20" s="121"/>
      <c r="C20" s="121">
        <f>'Revised PS Model 2019'!BG30</f>
        <v>-217.87206141270008</v>
      </c>
      <c r="D20" s="53">
        <v>2.5</v>
      </c>
      <c r="E20" s="123">
        <f t="shared" si="6"/>
        <v>224.73863393810035</v>
      </c>
      <c r="F20" s="124"/>
      <c r="G20" s="126">
        <f t="shared" si="7"/>
        <v>224.73863393810035</v>
      </c>
      <c r="H20" s="53">
        <v>2.5</v>
      </c>
      <c r="I20" s="123">
        <f t="shared" si="8"/>
        <v>260.20400213447175</v>
      </c>
      <c r="J20" s="124"/>
      <c r="K20" s="126">
        <f t="shared" si="9"/>
        <v>260.20400213447175</v>
      </c>
      <c r="L20" s="53">
        <v>2.5</v>
      </c>
      <c r="M20" s="123">
        <f t="shared" si="10"/>
        <v>108.75549626467449</v>
      </c>
      <c r="N20" s="124"/>
      <c r="O20" s="126">
        <f t="shared" si="11"/>
        <v>108.75549626467449</v>
      </c>
      <c r="P20" s="53">
        <v>2.5</v>
      </c>
      <c r="Q20" s="123">
        <f t="shared" si="12"/>
        <v>278.18740661686235</v>
      </c>
      <c r="R20" s="124"/>
      <c r="S20" s="126">
        <f t="shared" si="13"/>
        <v>278.18740661686235</v>
      </c>
      <c r="T20" s="53">
        <v>2.5</v>
      </c>
      <c r="U20" s="123">
        <f t="shared" si="14"/>
        <v>311.06883671291354</v>
      </c>
      <c r="V20" s="124"/>
      <c r="W20" s="126">
        <f t="shared" si="15"/>
        <v>311.06883671291354</v>
      </c>
      <c r="X20" s="53">
        <v>2.5</v>
      </c>
      <c r="Y20" s="123">
        <f t="shared" si="16"/>
        <v>362.83500533617934</v>
      </c>
      <c r="Z20" s="124"/>
      <c r="AA20" s="126">
        <f t="shared" si="17"/>
        <v>362.83500533617934</v>
      </c>
      <c r="AB20" s="53">
        <v>2.5</v>
      </c>
      <c r="AC20" s="123">
        <f t="shared" si="18"/>
        <v>163.34204909284955</v>
      </c>
      <c r="AD20" s="124"/>
      <c r="AE20" s="126">
        <f t="shared" si="19"/>
        <v>163.34204909284955</v>
      </c>
      <c r="AF20" s="53">
        <v>2.5</v>
      </c>
      <c r="AG20" s="123">
        <f t="shared" si="20"/>
        <v>-115.31771611526149</v>
      </c>
      <c r="AH20" s="124"/>
      <c r="AI20" s="126">
        <f t="shared" si="21"/>
        <v>-115.31771611526149</v>
      </c>
      <c r="AJ20" s="53">
        <v>2.5</v>
      </c>
      <c r="AK20" s="123">
        <f t="shared" si="22"/>
        <v>201.61814300960509</v>
      </c>
      <c r="AL20" s="124"/>
      <c r="AM20" s="126">
        <f t="shared" si="23"/>
        <v>201.61814300960509</v>
      </c>
      <c r="AN20" s="53">
        <v>2.5</v>
      </c>
      <c r="AO20" s="123">
        <f t="shared" si="24"/>
        <v>379.83228388473856</v>
      </c>
      <c r="AP20" s="124"/>
      <c r="AQ20" s="126">
        <f t="shared" si="25"/>
        <v>379.83228388473856</v>
      </c>
      <c r="AR20" s="53">
        <v>2.5</v>
      </c>
      <c r="AS20" s="123">
        <f t="shared" si="26"/>
        <v>126.57897545357524</v>
      </c>
      <c r="AT20" s="124"/>
      <c r="AU20" s="126">
        <f t="shared" si="27"/>
        <v>126.57897545357524</v>
      </c>
      <c r="AV20" s="53">
        <v>2.5</v>
      </c>
      <c r="AW20" s="123">
        <f t="shared" si="28"/>
        <v>332.62956243329785</v>
      </c>
      <c r="AX20" s="124"/>
      <c r="AY20" s="126">
        <f t="shared" si="29"/>
        <v>332.62956243329785</v>
      </c>
      <c r="AZ20" s="127">
        <f t="shared" si="30"/>
        <v>593.69813233724653</v>
      </c>
      <c r="BA20" s="128">
        <f t="shared" si="31"/>
        <v>375.82607092454646</v>
      </c>
      <c r="BB20" s="127">
        <f t="shared" si="32"/>
        <v>1545.7893810032017</v>
      </c>
      <c r="BC20" s="127"/>
      <c r="BD20" s="128">
        <f t="shared" si="33"/>
        <v>1327.9173195905016</v>
      </c>
      <c r="BE20" s="127">
        <f t="shared" si="34"/>
        <v>2634.472678762007</v>
      </c>
      <c r="BF20" s="127"/>
      <c r="BG20" s="91">
        <f t="shared" si="35"/>
        <v>2416.600617349307</v>
      </c>
    </row>
    <row r="21" spans="1:59" ht="13">
      <c r="A21" s="132" t="s">
        <v>254</v>
      </c>
      <c r="B21" s="121"/>
      <c r="C21" s="121">
        <f>'Revised PS Model 2019'!BG31</f>
        <v>-217.87206141270008</v>
      </c>
      <c r="D21" s="178">
        <v>2.5</v>
      </c>
      <c r="E21" s="134">
        <f t="shared" si="6"/>
        <v>224.73863393810035</v>
      </c>
      <c r="F21" s="135"/>
      <c r="G21" s="136">
        <f t="shared" si="7"/>
        <v>224.73863393810035</v>
      </c>
      <c r="H21" s="178">
        <v>2.5</v>
      </c>
      <c r="I21" s="134">
        <f t="shared" si="8"/>
        <v>260.20400213447175</v>
      </c>
      <c r="J21" s="135"/>
      <c r="K21" s="136">
        <f t="shared" si="9"/>
        <v>260.20400213447175</v>
      </c>
      <c r="L21" s="178">
        <v>2.5</v>
      </c>
      <c r="M21" s="134">
        <f t="shared" si="10"/>
        <v>108.75549626467449</v>
      </c>
      <c r="N21" s="135"/>
      <c r="O21" s="136">
        <f t="shared" si="11"/>
        <v>108.75549626467449</v>
      </c>
      <c r="P21" s="178">
        <v>2.5</v>
      </c>
      <c r="Q21" s="134">
        <f t="shared" si="12"/>
        <v>278.18740661686235</v>
      </c>
      <c r="R21" s="135"/>
      <c r="S21" s="136">
        <f t="shared" si="13"/>
        <v>278.18740661686235</v>
      </c>
      <c r="T21" s="178">
        <v>2.5</v>
      </c>
      <c r="U21" s="134">
        <f t="shared" si="14"/>
        <v>311.06883671291354</v>
      </c>
      <c r="V21" s="135"/>
      <c r="W21" s="136">
        <f t="shared" si="15"/>
        <v>311.06883671291354</v>
      </c>
      <c r="X21" s="178">
        <v>2.5</v>
      </c>
      <c r="Y21" s="134">
        <f t="shared" si="16"/>
        <v>362.83500533617934</v>
      </c>
      <c r="Z21" s="135"/>
      <c r="AA21" s="136">
        <f t="shared" si="17"/>
        <v>362.83500533617934</v>
      </c>
      <c r="AB21" s="178">
        <v>2.5</v>
      </c>
      <c r="AC21" s="134">
        <f t="shared" si="18"/>
        <v>163.34204909284955</v>
      </c>
      <c r="AD21" s="135"/>
      <c r="AE21" s="136">
        <f t="shared" si="19"/>
        <v>163.34204909284955</v>
      </c>
      <c r="AF21" s="178">
        <v>2.5</v>
      </c>
      <c r="AG21" s="134">
        <f t="shared" si="20"/>
        <v>-115.31771611526149</v>
      </c>
      <c r="AH21" s="135"/>
      <c r="AI21" s="136">
        <f t="shared" si="21"/>
        <v>-115.31771611526149</v>
      </c>
      <c r="AJ21" s="178">
        <v>2.5</v>
      </c>
      <c r="AK21" s="134">
        <f t="shared" si="22"/>
        <v>201.61814300960509</v>
      </c>
      <c r="AL21" s="135"/>
      <c r="AM21" s="136">
        <f t="shared" si="23"/>
        <v>201.61814300960509</v>
      </c>
      <c r="AN21" s="178">
        <v>2.5</v>
      </c>
      <c r="AO21" s="134">
        <f t="shared" si="24"/>
        <v>379.83228388473856</v>
      </c>
      <c r="AP21" s="135"/>
      <c r="AQ21" s="136">
        <f t="shared" si="25"/>
        <v>379.83228388473856</v>
      </c>
      <c r="AR21" s="178">
        <v>2.5</v>
      </c>
      <c r="AS21" s="134">
        <f t="shared" si="26"/>
        <v>126.57897545357524</v>
      </c>
      <c r="AT21" s="135"/>
      <c r="AU21" s="136">
        <f t="shared" si="27"/>
        <v>126.57897545357524</v>
      </c>
      <c r="AV21" s="178">
        <v>2.5</v>
      </c>
      <c r="AW21" s="134">
        <f t="shared" si="28"/>
        <v>332.62956243329785</v>
      </c>
      <c r="AX21" s="135"/>
      <c r="AY21" s="136">
        <f t="shared" si="29"/>
        <v>332.62956243329785</v>
      </c>
      <c r="AZ21" s="138">
        <f t="shared" si="30"/>
        <v>593.69813233724653</v>
      </c>
      <c r="BA21" s="137">
        <f t="shared" si="31"/>
        <v>375.82607092454646</v>
      </c>
      <c r="BB21" s="138">
        <f t="shared" si="32"/>
        <v>1545.7893810032017</v>
      </c>
      <c r="BC21" s="138"/>
      <c r="BD21" s="137">
        <f t="shared" si="33"/>
        <v>1327.9173195905016</v>
      </c>
      <c r="BE21" s="138">
        <f t="shared" si="34"/>
        <v>2634.472678762007</v>
      </c>
      <c r="BF21" s="138"/>
      <c r="BG21" s="140">
        <f t="shared" si="35"/>
        <v>2416.600617349307</v>
      </c>
    </row>
    <row r="22" spans="1:59" ht="13">
      <c r="A22" s="132" t="s">
        <v>255</v>
      </c>
      <c r="B22" s="121"/>
      <c r="C22" s="121">
        <f>'Revised PS Model 2019'!BG32</f>
        <v>-217.87206141270008</v>
      </c>
      <c r="D22" s="178">
        <v>2.5</v>
      </c>
      <c r="E22" s="134">
        <f t="shared" si="6"/>
        <v>224.73863393810035</v>
      </c>
      <c r="F22" s="135"/>
      <c r="G22" s="136">
        <f t="shared" si="7"/>
        <v>224.73863393810035</v>
      </c>
      <c r="H22" s="178">
        <v>2.5</v>
      </c>
      <c r="I22" s="134">
        <f t="shared" si="8"/>
        <v>260.20400213447175</v>
      </c>
      <c r="J22" s="135"/>
      <c r="K22" s="136">
        <f t="shared" si="9"/>
        <v>260.20400213447175</v>
      </c>
      <c r="L22" s="178">
        <v>2.5</v>
      </c>
      <c r="M22" s="134">
        <f t="shared" si="10"/>
        <v>108.75549626467449</v>
      </c>
      <c r="N22" s="135"/>
      <c r="O22" s="136">
        <f t="shared" si="11"/>
        <v>108.75549626467449</v>
      </c>
      <c r="P22" s="178">
        <v>2.5</v>
      </c>
      <c r="Q22" s="134">
        <f t="shared" si="12"/>
        <v>278.18740661686235</v>
      </c>
      <c r="R22" s="135"/>
      <c r="S22" s="136">
        <f t="shared" si="13"/>
        <v>278.18740661686235</v>
      </c>
      <c r="T22" s="178">
        <v>2.5</v>
      </c>
      <c r="U22" s="134">
        <f t="shared" si="14"/>
        <v>311.06883671291354</v>
      </c>
      <c r="V22" s="135"/>
      <c r="W22" s="136">
        <f t="shared" si="15"/>
        <v>311.06883671291354</v>
      </c>
      <c r="X22" s="178">
        <v>2.5</v>
      </c>
      <c r="Y22" s="134">
        <f t="shared" si="16"/>
        <v>362.83500533617934</v>
      </c>
      <c r="Z22" s="135"/>
      <c r="AA22" s="136">
        <f t="shared" si="17"/>
        <v>362.83500533617934</v>
      </c>
      <c r="AB22" s="178">
        <v>2.5</v>
      </c>
      <c r="AC22" s="134">
        <f t="shared" si="18"/>
        <v>163.34204909284955</v>
      </c>
      <c r="AD22" s="135"/>
      <c r="AE22" s="136">
        <f t="shared" si="19"/>
        <v>163.34204909284955</v>
      </c>
      <c r="AF22" s="178">
        <v>2.5</v>
      </c>
      <c r="AG22" s="134">
        <f t="shared" si="20"/>
        <v>-115.31771611526149</v>
      </c>
      <c r="AH22" s="135"/>
      <c r="AI22" s="136">
        <f t="shared" si="21"/>
        <v>-115.31771611526149</v>
      </c>
      <c r="AJ22" s="178">
        <v>2.5</v>
      </c>
      <c r="AK22" s="134">
        <f t="shared" si="22"/>
        <v>201.61814300960509</v>
      </c>
      <c r="AL22" s="135"/>
      <c r="AM22" s="136">
        <f t="shared" si="23"/>
        <v>201.61814300960509</v>
      </c>
      <c r="AN22" s="178">
        <v>2.5</v>
      </c>
      <c r="AO22" s="134">
        <f t="shared" si="24"/>
        <v>379.83228388473856</v>
      </c>
      <c r="AP22" s="135"/>
      <c r="AQ22" s="136">
        <f t="shared" si="25"/>
        <v>379.83228388473856</v>
      </c>
      <c r="AR22" s="178">
        <v>2.5</v>
      </c>
      <c r="AS22" s="134">
        <f t="shared" si="26"/>
        <v>126.57897545357524</v>
      </c>
      <c r="AT22" s="135"/>
      <c r="AU22" s="136">
        <f t="shared" si="27"/>
        <v>126.57897545357524</v>
      </c>
      <c r="AV22" s="178">
        <v>2.5</v>
      </c>
      <c r="AW22" s="134">
        <f t="shared" si="28"/>
        <v>332.62956243329785</v>
      </c>
      <c r="AX22" s="135"/>
      <c r="AY22" s="136">
        <f t="shared" si="29"/>
        <v>332.62956243329785</v>
      </c>
      <c r="AZ22" s="138">
        <f t="shared" si="30"/>
        <v>593.69813233724653</v>
      </c>
      <c r="BA22" s="137">
        <f t="shared" si="31"/>
        <v>375.82607092454646</v>
      </c>
      <c r="BB22" s="138">
        <f t="shared" si="32"/>
        <v>1545.7893810032017</v>
      </c>
      <c r="BC22" s="138"/>
      <c r="BD22" s="137">
        <f t="shared" si="33"/>
        <v>1327.9173195905016</v>
      </c>
      <c r="BE22" s="138">
        <f t="shared" si="34"/>
        <v>2634.472678762007</v>
      </c>
      <c r="BF22" s="138"/>
      <c r="BG22" s="140">
        <f t="shared" si="35"/>
        <v>2416.600617349307</v>
      </c>
    </row>
    <row r="23" spans="1:59" ht="13">
      <c r="A23" s="132" t="s">
        <v>211</v>
      </c>
      <c r="B23" s="121"/>
      <c r="C23" s="121">
        <f>'Revised PS Model 2019'!BG33</f>
        <v>-87.152824565080209</v>
      </c>
      <c r="D23" s="178">
        <v>1</v>
      </c>
      <c r="E23" s="134">
        <f t="shared" si="6"/>
        <v>89.89545357524014</v>
      </c>
      <c r="F23" s="135"/>
      <c r="G23" s="136">
        <f t="shared" si="7"/>
        <v>89.89545357524014</v>
      </c>
      <c r="H23" s="178">
        <v>1</v>
      </c>
      <c r="I23" s="134">
        <f t="shared" si="8"/>
        <v>104.0816008537887</v>
      </c>
      <c r="J23" s="135"/>
      <c r="K23" s="136">
        <f t="shared" si="9"/>
        <v>104.0816008537887</v>
      </c>
      <c r="L23" s="178">
        <v>1</v>
      </c>
      <c r="M23" s="134">
        <f t="shared" si="10"/>
        <v>43.502198505869792</v>
      </c>
      <c r="N23" s="135"/>
      <c r="O23" s="136">
        <f t="shared" si="11"/>
        <v>43.502198505869792</v>
      </c>
      <c r="P23" s="178">
        <v>1</v>
      </c>
      <c r="Q23" s="134">
        <f t="shared" si="12"/>
        <v>111.27496264674494</v>
      </c>
      <c r="R23" s="135"/>
      <c r="S23" s="136">
        <f t="shared" si="13"/>
        <v>111.27496264674494</v>
      </c>
      <c r="T23" s="178">
        <v>1</v>
      </c>
      <c r="U23" s="134">
        <f t="shared" si="14"/>
        <v>124.42753468516543</v>
      </c>
      <c r="V23" s="135"/>
      <c r="W23" s="136">
        <f t="shared" si="15"/>
        <v>124.42753468516543</v>
      </c>
      <c r="X23" s="178">
        <v>1</v>
      </c>
      <c r="Y23" s="134">
        <f t="shared" si="16"/>
        <v>145.13400213447173</v>
      </c>
      <c r="Z23" s="135"/>
      <c r="AA23" s="136">
        <f t="shared" si="17"/>
        <v>145.13400213447173</v>
      </c>
      <c r="AB23" s="178">
        <v>1</v>
      </c>
      <c r="AC23" s="134">
        <f t="shared" si="18"/>
        <v>65.336819637139826</v>
      </c>
      <c r="AD23" s="135"/>
      <c r="AE23" s="136">
        <f t="shared" si="19"/>
        <v>65.336819637139826</v>
      </c>
      <c r="AF23" s="178">
        <v>1</v>
      </c>
      <c r="AG23" s="134">
        <f t="shared" si="20"/>
        <v>-46.127086446104592</v>
      </c>
      <c r="AH23" s="135"/>
      <c r="AI23" s="136">
        <f t="shared" si="21"/>
        <v>-46.127086446104592</v>
      </c>
      <c r="AJ23" s="178">
        <v>1</v>
      </c>
      <c r="AK23" s="134">
        <f t="shared" si="22"/>
        <v>80.647257203842045</v>
      </c>
      <c r="AL23" s="135"/>
      <c r="AM23" s="136">
        <f t="shared" si="23"/>
        <v>80.647257203842045</v>
      </c>
      <c r="AN23" s="178">
        <v>1</v>
      </c>
      <c r="AO23" s="134">
        <f t="shared" si="24"/>
        <v>151.93291355389542</v>
      </c>
      <c r="AP23" s="135"/>
      <c r="AQ23" s="136">
        <f t="shared" si="25"/>
        <v>151.93291355389542</v>
      </c>
      <c r="AR23" s="178">
        <v>1</v>
      </c>
      <c r="AS23" s="134">
        <f t="shared" si="26"/>
        <v>50.631590181430099</v>
      </c>
      <c r="AT23" s="135"/>
      <c r="AU23" s="136">
        <f t="shared" si="27"/>
        <v>50.631590181430099</v>
      </c>
      <c r="AV23" s="178">
        <v>1</v>
      </c>
      <c r="AW23" s="134">
        <f t="shared" si="28"/>
        <v>133.05182497331913</v>
      </c>
      <c r="AX23" s="135"/>
      <c r="AY23" s="136">
        <f t="shared" si="29"/>
        <v>133.05182497331913</v>
      </c>
      <c r="AZ23" s="138">
        <f t="shared" si="30"/>
        <v>237.47925293489862</v>
      </c>
      <c r="BA23" s="137">
        <f t="shared" si="31"/>
        <v>150.32642836981842</v>
      </c>
      <c r="BB23" s="138">
        <f t="shared" si="32"/>
        <v>618.31575240128075</v>
      </c>
      <c r="BC23" s="138"/>
      <c r="BD23" s="137">
        <f t="shared" si="33"/>
        <v>531.16292783620054</v>
      </c>
      <c r="BE23" s="138">
        <f t="shared" si="34"/>
        <v>1053.7890715048027</v>
      </c>
      <c r="BF23" s="138"/>
      <c r="BG23" s="140">
        <f t="shared" si="35"/>
        <v>966.63624693972247</v>
      </c>
    </row>
    <row r="24" spans="1:59" ht="12" customHeight="1">
      <c r="A24" s="89"/>
      <c r="C24" s="61"/>
      <c r="D24" s="148">
        <f t="shared" ref="D24:E24" si="36">SUM(D16:D23)</f>
        <v>468.5</v>
      </c>
      <c r="E24" s="149">
        <f t="shared" si="36"/>
        <v>42116.02</v>
      </c>
      <c r="F24" s="91"/>
      <c r="G24" s="91"/>
      <c r="H24" s="148">
        <f t="shared" ref="H24:I24" si="37">SUM(H16:H23)</f>
        <v>468.5</v>
      </c>
      <c r="I24" s="148">
        <f t="shared" si="37"/>
        <v>48762.23</v>
      </c>
      <c r="J24" s="91"/>
      <c r="K24" s="91"/>
      <c r="L24" s="148">
        <f t="shared" ref="L24:M24" si="38">SUM(L16:L23)</f>
        <v>468.5</v>
      </c>
      <c r="M24" s="149">
        <f t="shared" si="38"/>
        <v>20380.780000000006</v>
      </c>
      <c r="N24" s="91"/>
      <c r="O24" s="91"/>
      <c r="P24" s="148">
        <f t="shared" ref="P24:Q24" si="39">SUM(P16:P23)</f>
        <v>468.5</v>
      </c>
      <c r="Q24" s="149">
        <f t="shared" si="39"/>
        <v>52132.32</v>
      </c>
      <c r="R24" s="91"/>
      <c r="S24" s="91"/>
      <c r="T24" s="148">
        <f t="shared" ref="T24:U24" si="40">SUM(T16:T23)</f>
        <v>468.5</v>
      </c>
      <c r="U24" s="149">
        <f t="shared" si="40"/>
        <v>58294.299999999996</v>
      </c>
      <c r="V24" s="91"/>
      <c r="W24" s="91"/>
      <c r="X24" s="148">
        <f t="shared" ref="X24:Y24" si="41">SUM(X16:X23)</f>
        <v>468.5</v>
      </c>
      <c r="Y24" s="149">
        <f t="shared" si="41"/>
        <v>67995.28</v>
      </c>
      <c r="Z24" s="91"/>
      <c r="AA24" s="91"/>
      <c r="AB24" s="148">
        <f t="shared" ref="AB24:AC24" si="42">SUM(AB16:AB23)</f>
        <v>468.5</v>
      </c>
      <c r="AC24" s="149">
        <f t="shared" si="42"/>
        <v>30610.30000000001</v>
      </c>
      <c r="AD24" s="91"/>
      <c r="AE24" s="91"/>
      <c r="AF24" s="148">
        <f t="shared" ref="AF24:AG24" si="43">SUM(AF16:AF23)</f>
        <v>468.5</v>
      </c>
      <c r="AG24" s="149">
        <f t="shared" si="43"/>
        <v>-21610.53999999999</v>
      </c>
      <c r="AH24" s="91"/>
      <c r="AI24" s="91"/>
      <c r="AJ24" s="148">
        <f t="shared" ref="AJ24:AK24" si="44">SUM(AJ16:AJ23)</f>
        <v>468.5</v>
      </c>
      <c r="AK24" s="149">
        <f t="shared" si="44"/>
        <v>37783.24</v>
      </c>
      <c r="AL24" s="91"/>
      <c r="AM24" s="91"/>
      <c r="AN24" s="148">
        <f t="shared" ref="AN24:AO24" si="45">SUM(AN16:AN23)</f>
        <v>468.5</v>
      </c>
      <c r="AO24" s="149">
        <f t="shared" si="45"/>
        <v>71180.570000000007</v>
      </c>
      <c r="AP24" s="91"/>
      <c r="AQ24" s="91"/>
      <c r="AR24" s="148">
        <f t="shared" ref="AR24:AS24" si="46">SUM(AR16:AR23)</f>
        <v>468.5</v>
      </c>
      <c r="AS24" s="149">
        <f t="shared" si="46"/>
        <v>23720.900000000005</v>
      </c>
      <c r="AT24" s="91"/>
      <c r="AU24" s="91"/>
      <c r="AV24" s="148">
        <f t="shared" ref="AV24:AW24" si="47">SUM(AV16:AV23)</f>
        <v>468.5</v>
      </c>
      <c r="AW24" s="149">
        <f t="shared" si="47"/>
        <v>62334.780000000021</v>
      </c>
      <c r="AX24" s="124"/>
      <c r="AY24" s="92"/>
      <c r="AZ24" s="91"/>
      <c r="BA24" s="150"/>
      <c r="BB24" s="91"/>
      <c r="BC24" s="91"/>
      <c r="BD24" s="150"/>
    </row>
    <row r="25" spans="1:59" ht="14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124">
        <v>141.59</v>
      </c>
      <c r="AW25" s="151"/>
      <c r="AX25" s="124">
        <v>887.11</v>
      </c>
      <c r="AY25" s="92"/>
      <c r="AZ25" s="216" t="str">
        <f>"Paid for "&amp;AZ2</f>
        <v>Paid for 1Q</v>
      </c>
      <c r="BA25" s="217" t="s">
        <v>256</v>
      </c>
      <c r="BB25" s="216" t="str">
        <f>"Paid for "&amp;BB2</f>
        <v>Paid for 1H</v>
      </c>
      <c r="BC25" s="216" t="s">
        <v>270</v>
      </c>
      <c r="BD25" s="217" t="s">
        <v>256</v>
      </c>
      <c r="BE25" s="216" t="str">
        <f>"Paid for "&amp;BE2</f>
        <v>Paid for 2020</v>
      </c>
      <c r="BF25" s="216" t="s">
        <v>270</v>
      </c>
      <c r="BG25" s="217" t="s">
        <v>256</v>
      </c>
    </row>
    <row r="26" spans="1:59" ht="28">
      <c r="A26" s="89"/>
      <c r="B26" s="5"/>
      <c r="C26" s="61"/>
      <c r="D26" s="100"/>
      <c r="E26" s="91"/>
      <c r="F26" s="124">
        <v>937.78</v>
      </c>
      <c r="G26" s="91"/>
      <c r="H26" s="91"/>
      <c r="I26" s="91"/>
      <c r="J26" s="124">
        <v>1388.32</v>
      </c>
      <c r="K26" s="91"/>
      <c r="L26" s="91"/>
      <c r="M26" s="91"/>
      <c r="N26" s="124">
        <v>3897.78</v>
      </c>
      <c r="O26" s="91"/>
      <c r="P26" s="91"/>
      <c r="Q26" s="91"/>
      <c r="R26" s="124">
        <v>1299.32</v>
      </c>
      <c r="S26" s="91"/>
      <c r="T26" s="91"/>
      <c r="U26" s="91"/>
      <c r="V26" s="124">
        <v>5258.75</v>
      </c>
      <c r="W26" s="91"/>
      <c r="X26" s="91"/>
      <c r="Y26" s="91"/>
      <c r="Z26" s="124">
        <v>613.51</v>
      </c>
      <c r="AA26" s="91"/>
      <c r="AB26" s="91"/>
      <c r="AC26" s="91"/>
      <c r="AD26" s="124">
        <v>1482.31</v>
      </c>
      <c r="AE26" s="91"/>
      <c r="AF26" s="91"/>
      <c r="AG26" s="91"/>
      <c r="AH26" s="124">
        <v>811.06</v>
      </c>
      <c r="AI26" s="91"/>
      <c r="AJ26" s="91"/>
      <c r="AK26" s="91"/>
      <c r="AL26" s="124">
        <v>114.13</v>
      </c>
      <c r="AM26" s="91"/>
      <c r="AN26" s="91"/>
      <c r="AO26" s="91"/>
      <c r="AP26" s="124">
        <v>1350.06</v>
      </c>
      <c r="AQ26" s="91"/>
      <c r="AR26" s="91"/>
      <c r="AS26" s="91"/>
      <c r="AT26" s="91"/>
      <c r="AU26" s="1"/>
      <c r="AV26" s="152" t="s">
        <v>280</v>
      </c>
      <c r="AW26" s="118" t="s">
        <v>219</v>
      </c>
      <c r="AY26" s="245" t="s">
        <v>83</v>
      </c>
      <c r="AZ26" s="246">
        <f>AZ13+0</f>
        <v>49403</v>
      </c>
      <c r="BA26" s="247">
        <f t="shared" ref="BA26:BA33" si="48">BA16-AZ26</f>
        <v>12044.647716099542</v>
      </c>
      <c r="BB26" s="248">
        <f>BB13-AZ13+0</f>
        <v>-12500</v>
      </c>
      <c r="BC26" s="248">
        <f t="shared" ref="BC26:BC33" si="49">AZ26+BB26</f>
        <v>36903</v>
      </c>
      <c r="BD26" s="249">
        <f t="shared" ref="BD26:BD33" si="50">BD16-BC26</f>
        <v>122877.61755601416</v>
      </c>
      <c r="BE26" s="248">
        <f>BE13-BB13+0</f>
        <v>128250.75</v>
      </c>
      <c r="BF26" s="248">
        <f t="shared" ref="BF26:BF33" si="51">BC26+BE26</f>
        <v>165153.75</v>
      </c>
      <c r="BG26" s="249">
        <f t="shared" ref="BG26:BG33" si="52">BG16-BF26</f>
        <v>112906.85328707076</v>
      </c>
    </row>
    <row r="27" spans="1:59" ht="14">
      <c r="A27" s="89"/>
      <c r="B27" s="5"/>
      <c r="C27" s="61"/>
      <c r="D27" s="100"/>
      <c r="E27" s="100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P27" s="91"/>
      <c r="AQ27" s="91"/>
      <c r="AR27" s="91"/>
      <c r="AS27" s="91"/>
      <c r="AT27" s="91"/>
      <c r="AU27" s="91" t="s">
        <v>83</v>
      </c>
      <c r="AV27" s="91">
        <v>165153.75</v>
      </c>
      <c r="AW27" s="151">
        <v>425660.85</v>
      </c>
      <c r="AY27" s="250" t="s">
        <v>209</v>
      </c>
      <c r="AZ27" s="251">
        <v>16901.830000000002</v>
      </c>
      <c r="BA27" s="252">
        <f t="shared" si="48"/>
        <v>-1868.7339359815596</v>
      </c>
      <c r="BB27" s="251">
        <v>36980.92</v>
      </c>
      <c r="BC27" s="248">
        <f t="shared" si="49"/>
        <v>53882.75</v>
      </c>
      <c r="BD27" s="249">
        <f t="shared" si="50"/>
        <v>-766.00398934334225</v>
      </c>
      <c r="BE27" s="251">
        <v>43550.79</v>
      </c>
      <c r="BF27" s="248">
        <f t="shared" si="51"/>
        <v>97433.540000000008</v>
      </c>
      <c r="BG27" s="249">
        <f t="shared" si="52"/>
        <v>-769.46207899117144</v>
      </c>
    </row>
    <row r="28" spans="1:59" ht="14">
      <c r="A28" s="89"/>
      <c r="B28" s="5"/>
      <c r="C28" s="61"/>
      <c r="D28" s="100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P28" s="91"/>
      <c r="AQ28" s="91"/>
      <c r="AR28" s="91"/>
      <c r="AS28" s="124"/>
      <c r="AT28" s="91"/>
      <c r="AU28" s="91" t="s">
        <v>209</v>
      </c>
      <c r="AV28" s="91">
        <v>53882.75</v>
      </c>
      <c r="AW28" s="151">
        <v>43550.787899664108</v>
      </c>
      <c r="AY28" s="250" t="s">
        <v>61</v>
      </c>
      <c r="AZ28" s="251">
        <v>5817.15</v>
      </c>
      <c r="BA28" s="252">
        <f t="shared" si="48"/>
        <v>-560.62142535287239</v>
      </c>
      <c r="BB28" s="251">
        <v>11094.27</v>
      </c>
      <c r="BC28" s="248">
        <f t="shared" si="49"/>
        <v>16911.419999999998</v>
      </c>
      <c r="BD28" s="249">
        <f t="shared" si="50"/>
        <v>-229.79644136140996</v>
      </c>
      <c r="BE28" s="251">
        <v>13065.24</v>
      </c>
      <c r="BF28" s="248">
        <f t="shared" si="51"/>
        <v>29976.659999999996</v>
      </c>
      <c r="BG28" s="249">
        <f t="shared" si="52"/>
        <v>-230.83686825574841</v>
      </c>
    </row>
    <row r="29" spans="1:59" ht="14">
      <c r="A29" s="89"/>
      <c r="B29" s="5"/>
      <c r="C29" s="61"/>
      <c r="D29" s="100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P29" s="91"/>
      <c r="AQ29" s="91"/>
      <c r="AR29" s="91"/>
      <c r="AS29" s="91"/>
      <c r="AT29" s="91"/>
      <c r="AU29" s="91" t="s">
        <v>61</v>
      </c>
      <c r="AV29" s="91">
        <v>16911.419999999998</v>
      </c>
      <c r="AW29" s="151">
        <v>13065.241125340832</v>
      </c>
      <c r="AY29" s="253" t="s">
        <v>65</v>
      </c>
      <c r="AZ29" s="251">
        <v>5817.15</v>
      </c>
      <c r="BA29" s="254">
        <f t="shared" si="48"/>
        <v>-560.62142535287239</v>
      </c>
      <c r="BB29" s="251">
        <v>11094.27</v>
      </c>
      <c r="BC29" s="248">
        <f t="shared" si="49"/>
        <v>16911.419999999998</v>
      </c>
      <c r="BD29" s="249">
        <f t="shared" si="50"/>
        <v>-229.79644136140996</v>
      </c>
      <c r="BE29" s="251">
        <v>13065.24</v>
      </c>
      <c r="BF29" s="248">
        <f t="shared" si="51"/>
        <v>29976.659999999996</v>
      </c>
      <c r="BG29" s="249">
        <f t="shared" si="52"/>
        <v>-230.83686825574841</v>
      </c>
    </row>
    <row r="30" spans="1:59" ht="14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P30" s="91"/>
      <c r="AQ30" s="91"/>
      <c r="AR30" s="91"/>
      <c r="AS30" s="91"/>
      <c r="AT30" s="91"/>
      <c r="AU30" s="91" t="s">
        <v>65</v>
      </c>
      <c r="AV30" s="91">
        <v>16911.419999999998</v>
      </c>
      <c r="AW30" s="151">
        <v>13065.241125340832</v>
      </c>
      <c r="AY30" s="250" t="s">
        <v>210</v>
      </c>
      <c r="AZ30" s="251">
        <v>422.54</v>
      </c>
      <c r="BA30" s="254">
        <f t="shared" si="48"/>
        <v>-46.713929075453564</v>
      </c>
      <c r="BB30" s="251">
        <v>924.53</v>
      </c>
      <c r="BC30" s="248">
        <f t="shared" si="49"/>
        <v>1347.07</v>
      </c>
      <c r="BD30" s="249">
        <f t="shared" si="50"/>
        <v>-19.152680409498316</v>
      </c>
      <c r="BE30" s="251">
        <v>1088.77</v>
      </c>
      <c r="BF30" s="248">
        <f t="shared" si="51"/>
        <v>2435.84</v>
      </c>
      <c r="BG30" s="249">
        <f t="shared" si="52"/>
        <v>-19.239382650693187</v>
      </c>
    </row>
    <row r="31" spans="1:59" ht="14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P31" s="91"/>
      <c r="AQ31" s="91"/>
      <c r="AR31" s="91"/>
      <c r="AS31" s="91"/>
      <c r="AT31" s="91"/>
      <c r="AU31" s="91" t="s">
        <v>210</v>
      </c>
      <c r="AV31" s="91">
        <v>1347.07</v>
      </c>
      <c r="AW31" s="151">
        <v>1088.7671168156883</v>
      </c>
      <c r="AY31" s="250" t="s">
        <v>254</v>
      </c>
      <c r="AZ31" s="251">
        <v>422.54</v>
      </c>
      <c r="BA31" s="254">
        <f t="shared" si="48"/>
        <v>-46.713929075453564</v>
      </c>
      <c r="BB31" s="251">
        <v>924.53</v>
      </c>
      <c r="BC31" s="248">
        <f t="shared" si="49"/>
        <v>1347.07</v>
      </c>
      <c r="BD31" s="249">
        <f t="shared" si="50"/>
        <v>-19.152680409498316</v>
      </c>
      <c r="BE31" s="251">
        <v>1088.77</v>
      </c>
      <c r="BF31" s="248">
        <f t="shared" si="51"/>
        <v>2435.84</v>
      </c>
      <c r="BG31" s="249">
        <f t="shared" si="52"/>
        <v>-19.239382650693187</v>
      </c>
    </row>
    <row r="32" spans="1:59" ht="14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P32" s="91"/>
      <c r="AQ32" s="91"/>
      <c r="AR32" s="91"/>
      <c r="AS32" s="91"/>
      <c r="AT32" s="91"/>
      <c r="AU32" s="91" t="s">
        <v>254</v>
      </c>
      <c r="AV32" s="91">
        <v>1347.07</v>
      </c>
      <c r="AW32" s="151">
        <v>1088.7671168156883</v>
      </c>
      <c r="AY32" s="250" t="s">
        <v>255</v>
      </c>
      <c r="AZ32" s="251">
        <v>422.54</v>
      </c>
      <c r="BA32" s="254">
        <f t="shared" si="48"/>
        <v>-46.713929075453564</v>
      </c>
      <c r="BB32" s="251">
        <v>924.53</v>
      </c>
      <c r="BC32" s="248">
        <f t="shared" si="49"/>
        <v>1347.07</v>
      </c>
      <c r="BD32" s="249">
        <f t="shared" si="50"/>
        <v>-19.152680409498316</v>
      </c>
      <c r="BE32" s="251">
        <v>1088.77</v>
      </c>
      <c r="BF32" s="248">
        <f t="shared" si="51"/>
        <v>2435.84</v>
      </c>
      <c r="BG32" s="249">
        <f t="shared" si="52"/>
        <v>-19.239382650693187</v>
      </c>
    </row>
    <row r="33" spans="1:59" ht="14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P33" s="91"/>
      <c r="AQ33" s="91"/>
      <c r="AR33" s="91"/>
      <c r="AS33" s="91"/>
      <c r="AT33" s="91"/>
      <c r="AU33" s="91" t="s">
        <v>255</v>
      </c>
      <c r="AV33" s="91">
        <v>1347.07</v>
      </c>
      <c r="AW33" s="151">
        <v>1088.7671168156883</v>
      </c>
      <c r="AY33" s="255" t="s">
        <v>211</v>
      </c>
      <c r="AZ33" s="256">
        <v>169.01</v>
      </c>
      <c r="BA33" s="257">
        <f t="shared" si="48"/>
        <v>-18.683571630181575</v>
      </c>
      <c r="BB33" s="256">
        <v>369.81</v>
      </c>
      <c r="BC33" s="258">
        <f t="shared" si="49"/>
        <v>538.81999999999994</v>
      </c>
      <c r="BD33" s="259">
        <f t="shared" si="50"/>
        <v>-7.6570721637993984</v>
      </c>
      <c r="BE33" s="256">
        <v>435.51</v>
      </c>
      <c r="BF33" s="258">
        <f t="shared" si="51"/>
        <v>974.32999999999993</v>
      </c>
      <c r="BG33" s="259">
        <f t="shared" si="52"/>
        <v>-7.6937530602774586</v>
      </c>
    </row>
    <row r="34" spans="1:59" ht="14">
      <c r="A34" s="89"/>
      <c r="C34" s="61"/>
      <c r="D34" s="62"/>
      <c r="AU34" s="1" t="s">
        <v>211</v>
      </c>
      <c r="AV34" s="91">
        <v>538.81999999999994</v>
      </c>
      <c r="AW34" s="149">
        <v>435.51084672627508</v>
      </c>
      <c r="BD34" s="91"/>
      <c r="BE34" s="91"/>
      <c r="BF34" s="91"/>
      <c r="BG34" s="91"/>
    </row>
    <row r="35" spans="1:59" ht="13">
      <c r="A35" s="89"/>
      <c r="C35" s="61"/>
      <c r="D35" s="62"/>
      <c r="AY35" s="1"/>
      <c r="BA35" s="230"/>
      <c r="BB35" s="230"/>
      <c r="BC35" s="230"/>
      <c r="BD35" s="91"/>
      <c r="BE35" s="91"/>
      <c r="BF35" s="91"/>
      <c r="BG35" s="91"/>
    </row>
    <row r="36" spans="1:59" ht="13">
      <c r="A36" s="89"/>
      <c r="C36" s="61"/>
      <c r="D36" s="62"/>
      <c r="AZ36" s="152"/>
      <c r="BA36" s="152"/>
      <c r="BB36" s="152"/>
      <c r="BC36" s="152"/>
      <c r="BD36" s="91"/>
      <c r="BE36" s="91"/>
      <c r="BF36" s="91"/>
      <c r="BG36" s="91"/>
    </row>
    <row r="37" spans="1:59" ht="14">
      <c r="A37" s="89" t="s">
        <v>201</v>
      </c>
      <c r="C37" s="61"/>
      <c r="D37" s="62"/>
      <c r="AN37" s="1" t="s">
        <v>148</v>
      </c>
      <c r="AZ37" s="152"/>
      <c r="BA37" s="152"/>
      <c r="BB37" s="152"/>
      <c r="BC37" s="152"/>
      <c r="BD37" s="91"/>
      <c r="BE37" s="91"/>
      <c r="BF37" s="91"/>
      <c r="BG37" s="91"/>
    </row>
    <row r="38" spans="1:59" ht="13">
      <c r="A38" s="89"/>
      <c r="C38" s="61"/>
      <c r="D38" s="62"/>
      <c r="BD38" s="91"/>
    </row>
    <row r="39" spans="1:59" ht="13">
      <c r="A39" s="89"/>
      <c r="C39" s="61"/>
      <c r="D39" s="62"/>
    </row>
    <row r="40" spans="1:59" ht="13">
      <c r="A40" s="89"/>
      <c r="C40" s="61"/>
      <c r="D40" s="62"/>
    </row>
    <row r="41" spans="1:59" ht="13">
      <c r="A41" s="89"/>
      <c r="C41" s="61"/>
      <c r="D41" s="62"/>
    </row>
    <row r="42" spans="1:59" ht="13">
      <c r="A42" s="89"/>
      <c r="C42" s="61"/>
      <c r="D42" s="62"/>
    </row>
    <row r="43" spans="1:59" ht="13">
      <c r="A43" s="89"/>
      <c r="C43" s="61"/>
      <c r="D43" s="62"/>
    </row>
    <row r="44" spans="1:59" ht="13">
      <c r="A44" s="89"/>
      <c r="C44" s="61"/>
      <c r="D44" s="62"/>
    </row>
    <row r="45" spans="1:59" ht="13">
      <c r="A45" s="89"/>
      <c r="C45" s="61"/>
      <c r="D45" s="62"/>
    </row>
    <row r="46" spans="1:59" ht="13">
      <c r="A46" s="89"/>
      <c r="C46" s="61"/>
      <c r="D46" s="62"/>
    </row>
    <row r="47" spans="1:59" ht="13">
      <c r="A47" s="89"/>
      <c r="C47" s="61"/>
      <c r="D47" s="62"/>
    </row>
    <row r="48" spans="1:59" ht="13">
      <c r="A48" s="89"/>
      <c r="C48" s="61"/>
      <c r="D48" s="62"/>
    </row>
    <row r="49" spans="1:4" ht="13">
      <c r="A49" s="89"/>
      <c r="C49" s="61"/>
      <c r="D49" s="62"/>
    </row>
    <row r="50" spans="1:4" ht="13">
      <c r="A50" s="89"/>
      <c r="C50" s="61"/>
      <c r="D50" s="6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G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9" width="15.1640625" customWidth="1"/>
  </cols>
  <sheetData>
    <row r="1" spans="1:59" ht="42.75" customHeight="1">
      <c r="A1" s="5" t="s">
        <v>148</v>
      </c>
      <c r="C1" s="61" t="s">
        <v>131</v>
      </c>
      <c r="D1" s="59">
        <v>43861</v>
      </c>
      <c r="E1" s="60"/>
      <c r="F1" s="60"/>
      <c r="G1" s="61"/>
      <c r="H1" s="59">
        <v>43889</v>
      </c>
      <c r="I1" s="60"/>
      <c r="J1" s="60"/>
      <c r="K1" s="61"/>
      <c r="L1" s="59">
        <v>43921</v>
      </c>
      <c r="M1" s="60"/>
      <c r="N1" s="60"/>
      <c r="O1" s="61"/>
      <c r="P1" s="59">
        <v>43951</v>
      </c>
      <c r="Q1" s="60"/>
      <c r="R1" s="60"/>
      <c r="S1" s="61"/>
      <c r="T1" s="59">
        <v>43982</v>
      </c>
      <c r="U1" s="60"/>
      <c r="V1" s="60"/>
      <c r="W1" s="61"/>
      <c r="X1" s="59">
        <v>44012</v>
      </c>
      <c r="Y1" s="60"/>
      <c r="Z1" s="60"/>
      <c r="AA1" s="61"/>
      <c r="AB1" s="59">
        <v>44043</v>
      </c>
      <c r="AC1" s="60"/>
      <c r="AD1" s="60"/>
      <c r="AE1" s="61"/>
      <c r="AF1" s="59">
        <v>44074</v>
      </c>
      <c r="AG1" s="60"/>
      <c r="AH1" s="60"/>
      <c r="AI1" s="61"/>
      <c r="AJ1" s="59">
        <v>44104</v>
      </c>
      <c r="AK1" s="60"/>
      <c r="AL1" s="60"/>
      <c r="AM1" s="61"/>
      <c r="AN1" s="59">
        <v>44135</v>
      </c>
      <c r="AO1" s="60"/>
      <c r="AP1" s="60"/>
      <c r="AQ1" s="61"/>
      <c r="AR1" s="59">
        <v>44165</v>
      </c>
      <c r="AS1" s="60"/>
      <c r="AT1" s="60"/>
      <c r="AU1" s="61"/>
      <c r="AV1" s="59">
        <v>44196</v>
      </c>
      <c r="AW1" s="60"/>
      <c r="AX1" s="60"/>
      <c r="BB1" s="62"/>
      <c r="BD1" s="61"/>
    </row>
    <row r="2" spans="1:59" ht="14">
      <c r="A2" s="5"/>
      <c r="C2" s="61"/>
      <c r="D2" s="62">
        <f>YEAR(D1)</f>
        <v>2020</v>
      </c>
      <c r="G2" s="61"/>
      <c r="H2" s="62">
        <f>YEAR(H1)</f>
        <v>2020</v>
      </c>
      <c r="K2" s="61"/>
      <c r="L2" s="62">
        <f>YEAR(L1)</f>
        <v>2020</v>
      </c>
      <c r="O2" s="61"/>
      <c r="P2" s="62">
        <v>2020</v>
      </c>
      <c r="S2" s="61"/>
      <c r="T2" s="62">
        <f>YEAR(T1)</f>
        <v>2020</v>
      </c>
      <c r="W2" s="61"/>
      <c r="X2" s="62">
        <f>YEAR(X1)</f>
        <v>2020</v>
      </c>
      <c r="AA2" s="61"/>
      <c r="AB2" s="62">
        <f>YEAR(AB1)</f>
        <v>2020</v>
      </c>
      <c r="AE2" s="61"/>
      <c r="AF2" s="62">
        <f>YEAR(AF1)</f>
        <v>2020</v>
      </c>
      <c r="AI2" s="61"/>
      <c r="AJ2" s="62">
        <f>YEAR(AJ1)</f>
        <v>2020</v>
      </c>
      <c r="AM2" s="61"/>
      <c r="AN2" s="62">
        <f>YEAR(AN1)</f>
        <v>2020</v>
      </c>
      <c r="AQ2" s="61"/>
      <c r="AR2" s="62">
        <f>YEAR(AR1)</f>
        <v>2020</v>
      </c>
      <c r="AU2" s="61"/>
      <c r="AV2" s="62">
        <f>YEAR(AV1)</f>
        <v>2020</v>
      </c>
      <c r="AY2" s="61"/>
      <c r="AZ2" s="65" t="s">
        <v>132</v>
      </c>
      <c r="BA2" s="65"/>
      <c r="BB2" s="209" t="s">
        <v>247</v>
      </c>
      <c r="BC2" s="65"/>
      <c r="BD2" s="61"/>
      <c r="BE2" s="67">
        <v>2020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196">
      <c r="A5" s="89" t="s">
        <v>136</v>
      </c>
      <c r="C5" s="61"/>
      <c r="D5" s="90">
        <v>53798.239999999998</v>
      </c>
      <c r="E5" s="91">
        <v>53898.239999999998</v>
      </c>
      <c r="F5" s="91" t="s">
        <v>271</v>
      </c>
      <c r="G5" s="92"/>
      <c r="H5" s="90">
        <v>60113.91</v>
      </c>
      <c r="I5" s="91"/>
      <c r="J5" s="91"/>
      <c r="K5" s="92"/>
      <c r="L5" s="90">
        <v>37278</v>
      </c>
      <c r="M5" s="91"/>
      <c r="N5" s="91"/>
      <c r="O5" s="92"/>
      <c r="P5" s="90">
        <v>75903.45</v>
      </c>
      <c r="Q5" s="91"/>
      <c r="R5" s="91"/>
      <c r="S5" s="92"/>
      <c r="T5" s="90">
        <v>73383.429999999993</v>
      </c>
      <c r="U5" s="90"/>
      <c r="V5" s="91"/>
      <c r="W5" s="92"/>
      <c r="X5" s="90">
        <v>89485.15</v>
      </c>
      <c r="Y5" s="91">
        <v>54297.15</v>
      </c>
      <c r="Z5" s="91">
        <v>35188</v>
      </c>
      <c r="AA5" s="91" t="s">
        <v>274</v>
      </c>
      <c r="AB5" s="90">
        <v>14418.02</v>
      </c>
      <c r="AC5" s="91"/>
      <c r="AD5" s="91"/>
      <c r="AE5" s="92"/>
      <c r="AF5" s="90">
        <v>-9841.6</v>
      </c>
      <c r="AG5" s="91"/>
      <c r="AH5" s="91"/>
      <c r="AI5" s="92"/>
      <c r="AJ5" s="90">
        <v>50429.11</v>
      </c>
      <c r="AK5" s="91">
        <v>50731.16</v>
      </c>
      <c r="AL5" s="91" t="s">
        <v>275</v>
      </c>
      <c r="AM5" s="92"/>
      <c r="AN5" s="90">
        <v>20017.650000000001</v>
      </c>
      <c r="AO5" s="91">
        <v>21822.01</v>
      </c>
      <c r="AP5" s="91" t="s">
        <v>277</v>
      </c>
      <c r="AQ5" s="92"/>
      <c r="AR5" s="90">
        <v>36154.31</v>
      </c>
      <c r="AS5" s="91">
        <v>32870.28</v>
      </c>
      <c r="AT5" s="91" t="s">
        <v>278</v>
      </c>
      <c r="AU5" s="92"/>
      <c r="AV5" s="90">
        <v>78410.17</v>
      </c>
      <c r="AW5" s="151">
        <v>74364.600000000006</v>
      </c>
      <c r="AX5" s="151">
        <v>78410.17</v>
      </c>
      <c r="AY5" s="92" t="s">
        <v>281</v>
      </c>
      <c r="AZ5" s="93">
        <f t="shared" ref="AZ5:AZ7" si="0">SUMIF($D$3:$AY$3,AZ$2,$D5:$AY5)</f>
        <v>151190.15</v>
      </c>
      <c r="BA5" s="92"/>
      <c r="BB5" s="93">
        <f t="shared" ref="BB5:BB7" si="1">SUMIF($D$4:$AY$4,BB$2,$D5:$AY5)</f>
        <v>389962.17999999993</v>
      </c>
      <c r="BC5" s="94"/>
      <c r="BD5" s="92"/>
      <c r="BE5" s="94">
        <f t="shared" ref="BE5:BE7" si="2">SUMIF($D$2:$AY$2,$BE$2,$D5:$AY5)</f>
        <v>579549.84</v>
      </c>
      <c r="BF5" s="94"/>
      <c r="BG5" s="94"/>
    </row>
    <row r="6" spans="1:59" ht="14">
      <c r="A6" s="89" t="s">
        <v>138</v>
      </c>
      <c r="C6" s="61"/>
      <c r="D6" s="90">
        <v>0</v>
      </c>
      <c r="E6" s="91"/>
      <c r="F6" s="260">
        <v>44166</v>
      </c>
      <c r="G6" s="92">
        <v>53898.239999999998</v>
      </c>
      <c r="H6" s="90">
        <v>0</v>
      </c>
      <c r="I6" s="91"/>
      <c r="J6" s="91"/>
      <c r="K6" s="92"/>
      <c r="L6" s="90">
        <v>7965</v>
      </c>
      <c r="M6" s="91" t="s">
        <v>282</v>
      </c>
      <c r="N6" s="91"/>
      <c r="O6" s="92"/>
      <c r="P6" s="90">
        <v>12570.45</v>
      </c>
      <c r="Q6" s="91" t="s">
        <v>283</v>
      </c>
      <c r="R6" s="91"/>
      <c r="S6" s="92"/>
      <c r="T6" s="90">
        <v>7727.88</v>
      </c>
      <c r="U6" s="91" t="s">
        <v>284</v>
      </c>
      <c r="V6" s="91"/>
      <c r="W6" s="92"/>
      <c r="X6" s="90">
        <v>9603.3799999999992</v>
      </c>
      <c r="Y6" s="91" t="s">
        <v>285</v>
      </c>
      <c r="Z6" s="91"/>
      <c r="AA6" s="92"/>
      <c r="AB6" s="90">
        <v>4845.37</v>
      </c>
      <c r="AC6" s="91" t="s">
        <v>286</v>
      </c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>
        <v>79344.11</v>
      </c>
      <c r="AX6" s="91">
        <v>74364.600000000006</v>
      </c>
      <c r="AY6" s="92">
        <v>78410.17</v>
      </c>
      <c r="AZ6" s="93">
        <f t="shared" si="0"/>
        <v>7965</v>
      </c>
      <c r="BA6" s="92"/>
      <c r="BB6" s="93">
        <f t="shared" si="1"/>
        <v>37866.71</v>
      </c>
      <c r="BC6" s="94"/>
      <c r="BD6" s="92"/>
      <c r="BE6" s="94">
        <f t="shared" si="2"/>
        <v>42712.08</v>
      </c>
      <c r="BF6" s="94"/>
      <c r="BG6" s="94"/>
    </row>
    <row r="7" spans="1:59" ht="13">
      <c r="A7" s="89" t="s">
        <v>143</v>
      </c>
      <c r="B7" s="99">
        <v>12500</v>
      </c>
      <c r="C7" s="61"/>
      <c r="D7" s="100">
        <f>'PS Model 2020'!ColinSalary</f>
        <v>12500</v>
      </c>
      <c r="E7" s="91"/>
      <c r="F7" s="74">
        <v>44224</v>
      </c>
      <c r="G7" s="92">
        <v>53798.239999999998</v>
      </c>
      <c r="H7" s="100">
        <f>'PS Model 2020'!ColinSalary</f>
        <v>12500</v>
      </c>
      <c r="I7" s="91"/>
      <c r="J7" s="91"/>
      <c r="K7" s="92"/>
      <c r="L7" s="100">
        <f>'PS Model 2020'!ColinSalary</f>
        <v>12500</v>
      </c>
      <c r="M7" s="91"/>
      <c r="N7" s="91"/>
      <c r="O7" s="92"/>
      <c r="P7" s="100">
        <f>'PS Model 2020'!ColinSalary</f>
        <v>12500</v>
      </c>
      <c r="Q7" s="91"/>
      <c r="R7" s="91"/>
      <c r="S7" s="92"/>
      <c r="T7" s="100">
        <f>'PS Model 2020'!ColinSalary</f>
        <v>12500</v>
      </c>
      <c r="U7" s="91"/>
      <c r="V7" s="91"/>
      <c r="W7" s="92"/>
      <c r="X7" s="100">
        <f>'PS Model 2020'!ColinSalary</f>
        <v>12500</v>
      </c>
      <c r="Y7" s="91"/>
      <c r="Z7" s="91"/>
      <c r="AA7" s="92"/>
      <c r="AB7" s="100">
        <f>'PS Model 2020'!ColinSalary</f>
        <v>12500</v>
      </c>
      <c r="AC7" s="91"/>
      <c r="AD7" s="91"/>
      <c r="AE7" s="92"/>
      <c r="AF7" s="100">
        <f>'PS Model 2020'!ColinSalary</f>
        <v>12500</v>
      </c>
      <c r="AG7" s="91"/>
      <c r="AH7" s="91"/>
      <c r="AI7" s="92"/>
      <c r="AJ7" s="100">
        <f>'PS Model 2020'!ColinSalary</f>
        <v>12500</v>
      </c>
      <c r="AK7" s="91"/>
      <c r="AL7" s="91"/>
      <c r="AM7" s="92"/>
      <c r="AN7" s="100">
        <f>'PS Model 2020'!ColinSalary</f>
        <v>12500</v>
      </c>
      <c r="AO7" s="91"/>
      <c r="AP7" s="91"/>
      <c r="AQ7" s="92"/>
      <c r="AR7" s="100">
        <f>'PS Model 2020'!ColinSalary</f>
        <v>12500</v>
      </c>
      <c r="AS7" s="91"/>
      <c r="AT7" s="91"/>
      <c r="AU7" s="92"/>
      <c r="AV7" s="100">
        <f>'PS Model 2020'!ColinSalary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13">
      <c r="A8" s="89" t="s">
        <v>144</v>
      </c>
      <c r="B8" s="101"/>
      <c r="C8" s="102"/>
      <c r="D8" s="103"/>
      <c r="E8" s="91"/>
      <c r="F8" s="74">
        <v>44228</v>
      </c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SUM(AZ27:AZ33)</f>
        <v>29972.760000000006</v>
      </c>
      <c r="AC8" s="91"/>
      <c r="AD8" s="91"/>
      <c r="AE8" s="92"/>
      <c r="AF8" s="103">
        <v>0</v>
      </c>
      <c r="AG8" s="91"/>
      <c r="AH8" s="91"/>
      <c r="AI8" s="92"/>
      <c r="AJ8" s="103"/>
      <c r="AK8" s="91"/>
      <c r="AL8" s="91"/>
      <c r="AM8" s="92"/>
      <c r="AN8" s="92">
        <f>SUM(BB27:BB33)</f>
        <v>62312.86</v>
      </c>
      <c r="AO8" s="91"/>
      <c r="AP8" s="91"/>
      <c r="AQ8" s="92"/>
      <c r="AR8" s="103"/>
      <c r="AS8" s="91"/>
      <c r="AT8" s="91"/>
      <c r="AU8" s="92"/>
      <c r="AV8" s="103"/>
      <c r="AW8" s="91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13">
      <c r="A9" s="89" t="s">
        <v>145</v>
      </c>
      <c r="B9" s="101"/>
      <c r="C9" s="102"/>
      <c r="D9" s="104">
        <f>SUM(F16:F23)</f>
        <v>937.78</v>
      </c>
      <c r="E9" s="91"/>
      <c r="F9" s="91"/>
      <c r="G9" s="92"/>
      <c r="H9" s="104">
        <f>SUM(J16:J23)</f>
        <v>1388.32</v>
      </c>
      <c r="I9" s="91"/>
      <c r="J9" s="91"/>
      <c r="K9" s="92"/>
      <c r="L9" s="104">
        <f>SUM(N16:N23)</f>
        <v>3897.78</v>
      </c>
      <c r="M9" s="91"/>
      <c r="N9" s="91"/>
      <c r="O9" s="92"/>
      <c r="P9" s="104">
        <f>SUM(R16:R23)</f>
        <v>1299.32</v>
      </c>
      <c r="Q9" s="91"/>
      <c r="R9" s="91"/>
      <c r="S9" s="92"/>
      <c r="T9" s="104">
        <f>SUM(V16:V23)</f>
        <v>5258.75</v>
      </c>
      <c r="U9" s="91"/>
      <c r="V9" s="91"/>
      <c r="W9" s="92"/>
      <c r="X9" s="104">
        <f>SUM(Z16:Z23)</f>
        <v>613.51</v>
      </c>
      <c r="Y9" s="91"/>
      <c r="Z9" s="91"/>
      <c r="AA9" s="92"/>
      <c r="AB9" s="104">
        <f>SUM(AD16:AD23)</f>
        <v>1482.31</v>
      </c>
      <c r="AC9" s="91"/>
      <c r="AD9" s="91"/>
      <c r="AE9" s="92"/>
      <c r="AF9" s="104">
        <f>SUM(AH16:AH23)</f>
        <v>811.06</v>
      </c>
      <c r="AG9" s="91"/>
      <c r="AH9" s="91"/>
      <c r="AI9" s="92"/>
      <c r="AJ9" s="104">
        <f>SUM(AL16:AL23)</f>
        <v>114.13</v>
      </c>
      <c r="AK9" s="91"/>
      <c r="AL9" s="91"/>
      <c r="AM9" s="92"/>
      <c r="AN9" s="104">
        <f>SUM(AP16:AP23)</f>
        <v>1350.06</v>
      </c>
      <c r="AO9" s="91"/>
      <c r="AP9" s="91"/>
      <c r="AQ9" s="92"/>
      <c r="AR9" s="104">
        <f>SUM(AT16:AT23)</f>
        <v>141.59</v>
      </c>
      <c r="AS9" s="91"/>
      <c r="AT9" s="91"/>
      <c r="AU9" s="92"/>
      <c r="AV9" s="104">
        <f>SUM(AX16:AX23)</f>
        <v>887.11</v>
      </c>
      <c r="AW9" s="91"/>
      <c r="AX9" s="91"/>
      <c r="AY9" s="92"/>
      <c r="AZ9" s="93">
        <f t="shared" ref="AZ9:AZ13" si="3">SUMIF($D$3:$AY$3,AZ$2,$D9:$AY9)</f>
        <v>6223.88</v>
      </c>
      <c r="BA9" s="92"/>
      <c r="BB9" s="93">
        <f t="shared" ref="BB9:BB13" si="4">SUMIF($D$4:$AY$4,BB$2,$D9:$AY9)</f>
        <v>13395.460000000001</v>
      </c>
      <c r="BC9" s="94"/>
      <c r="BD9" s="92"/>
      <c r="BE9" s="94">
        <f t="shared" ref="BE9:BE13" si="5">SUMIF($D$2:$AY$2,$BE$2,$D9:$AY9)</f>
        <v>18181.72</v>
      </c>
      <c r="BF9" s="94"/>
      <c r="BG9" s="94"/>
    </row>
    <row r="10" spans="1:59" ht="13">
      <c r="A10" s="89" t="s">
        <v>146</v>
      </c>
      <c r="C10" s="61"/>
      <c r="D10" s="104">
        <f>D5-D6-D7+D9+D8</f>
        <v>42236.02</v>
      </c>
      <c r="E10" s="91"/>
      <c r="F10" s="91"/>
      <c r="G10" s="92"/>
      <c r="H10" s="104">
        <f>H5-H6-H7+H9+H8</f>
        <v>49002.23</v>
      </c>
      <c r="I10" s="91"/>
      <c r="J10" s="91"/>
      <c r="K10" s="92"/>
      <c r="L10" s="104">
        <f>L5-L6-L7+L9+L8</f>
        <v>20710.78</v>
      </c>
      <c r="M10" s="91"/>
      <c r="N10" s="91"/>
      <c r="O10" s="92"/>
      <c r="P10" s="104">
        <f>P5-P6-P7+P9+P8</f>
        <v>52132.32</v>
      </c>
      <c r="Q10" s="91"/>
      <c r="R10" s="91"/>
      <c r="S10" s="92"/>
      <c r="T10" s="104">
        <f>T5-T6-T7+T9+T8</f>
        <v>58414.299999999988</v>
      </c>
      <c r="U10" s="91"/>
      <c r="V10" s="91"/>
      <c r="W10" s="92"/>
      <c r="X10" s="104">
        <f>X5-X6-X7+X9+X8</f>
        <v>67995.279999999984</v>
      </c>
      <c r="Y10" s="91"/>
      <c r="Z10" s="91"/>
      <c r="AA10" s="92"/>
      <c r="AB10" s="104">
        <f>AB5-AB6-AB7+AB9+AB8</f>
        <v>28527.720000000008</v>
      </c>
      <c r="AC10" s="91"/>
      <c r="AD10" s="91"/>
      <c r="AE10" s="92"/>
      <c r="AF10" s="104">
        <f>AF5-AF6-AF7+AF9+AF8</f>
        <v>-21530.539999999997</v>
      </c>
      <c r="AG10" s="91"/>
      <c r="AH10" s="91"/>
      <c r="AI10" s="92"/>
      <c r="AJ10" s="104">
        <f>AJ5-AJ6-AJ7+AJ9+AJ8</f>
        <v>38043.24</v>
      </c>
      <c r="AK10" s="91"/>
      <c r="AL10" s="91"/>
      <c r="AM10" s="92"/>
      <c r="AN10" s="104">
        <f>AN5-AN6-AN7+AN9+AN8</f>
        <v>71180.570000000007</v>
      </c>
      <c r="AO10" s="91"/>
      <c r="AP10" s="91"/>
      <c r="AQ10" s="92"/>
      <c r="AR10" s="104">
        <f>AR5-AR6-AR7+AR9+AR8</f>
        <v>23795.899999999998</v>
      </c>
      <c r="AS10" s="91"/>
      <c r="AT10" s="91"/>
      <c r="AU10" s="92"/>
      <c r="AV10" s="104">
        <f>AV5-AV6-AV7+AV9+AV8</f>
        <v>66797.279999999999</v>
      </c>
      <c r="AW10" s="91"/>
      <c r="AX10" s="91"/>
      <c r="AY10" s="92"/>
      <c r="AZ10" s="93">
        <f t="shared" si="3"/>
        <v>111949.03</v>
      </c>
      <c r="BA10" s="92"/>
      <c r="BB10" s="93">
        <f t="shared" si="4"/>
        <v>290490.93</v>
      </c>
      <c r="BC10" s="94"/>
      <c r="BD10" s="92"/>
      <c r="BE10" s="94">
        <f t="shared" si="5"/>
        <v>497305.10000000009</v>
      </c>
      <c r="BF10" s="94"/>
      <c r="BG10" s="94"/>
    </row>
    <row r="11" spans="1:59" ht="14">
      <c r="A11" s="89" t="s">
        <v>147</v>
      </c>
      <c r="C11" s="61"/>
      <c r="D11" s="90">
        <v>61500</v>
      </c>
      <c r="E11" s="91"/>
      <c r="F11" s="91"/>
      <c r="G11" s="92"/>
      <c r="H11" s="90">
        <v>12500</v>
      </c>
      <c r="I11" s="91"/>
      <c r="J11" s="91"/>
      <c r="K11" s="92"/>
      <c r="L11" s="90">
        <v>12903</v>
      </c>
      <c r="M11" s="91" t="s">
        <v>148</v>
      </c>
      <c r="N11" s="91"/>
      <c r="O11" s="92"/>
      <c r="P11" s="90">
        <v>12500</v>
      </c>
      <c r="Q11" s="91"/>
      <c r="R11" s="91"/>
      <c r="S11" s="92"/>
      <c r="T11" s="90">
        <v>0</v>
      </c>
      <c r="U11" s="91"/>
      <c r="V11" s="91"/>
      <c r="W11" s="92"/>
      <c r="X11" s="90">
        <v>12500</v>
      </c>
      <c r="Y11" s="91"/>
      <c r="Z11" s="91"/>
      <c r="AA11" s="92"/>
      <c r="AB11" s="90">
        <v>85173</v>
      </c>
      <c r="AC11" s="91"/>
      <c r="AD11" s="91"/>
      <c r="AE11" s="92"/>
      <c r="AF11" s="90">
        <v>18077.75</v>
      </c>
      <c r="AG11" s="91"/>
      <c r="AH11" s="91"/>
      <c r="AI11" s="92"/>
      <c r="AJ11" s="90">
        <v>0</v>
      </c>
      <c r="AK11" s="91"/>
      <c r="AL11" s="91"/>
      <c r="AM11" s="92"/>
      <c r="AN11" s="90">
        <v>75000</v>
      </c>
      <c r="AO11" s="91"/>
      <c r="AP11" s="91"/>
      <c r="AQ11" s="92"/>
      <c r="AR11" s="90">
        <v>12500</v>
      </c>
      <c r="AS11" s="91"/>
      <c r="AT11" s="91"/>
      <c r="AU11" s="92"/>
      <c r="AV11" s="90">
        <v>12500</v>
      </c>
      <c r="AW11" s="91"/>
      <c r="AX11" s="91"/>
      <c r="AY11" s="92"/>
      <c r="AZ11" s="93">
        <f t="shared" si="3"/>
        <v>86903</v>
      </c>
      <c r="BA11" s="92"/>
      <c r="BB11" s="93">
        <f t="shared" si="4"/>
        <v>111903</v>
      </c>
      <c r="BC11" s="94"/>
      <c r="BD11" s="92"/>
      <c r="BE11" s="94">
        <f t="shared" si="5"/>
        <v>315153.75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49000</v>
      </c>
      <c r="E13" s="91"/>
      <c r="F13" s="91"/>
      <c r="G13" s="92"/>
      <c r="H13" s="100">
        <f>H11+H12-H7</f>
        <v>0</v>
      </c>
      <c r="I13" s="91"/>
      <c r="J13" s="91"/>
      <c r="K13" s="92"/>
      <c r="L13" s="100">
        <f>L11+L12-L7</f>
        <v>403</v>
      </c>
      <c r="M13" s="91"/>
      <c r="N13" s="91"/>
      <c r="O13" s="92"/>
      <c r="P13" s="100">
        <f>P11+P12-P7</f>
        <v>0</v>
      </c>
      <c r="Q13" s="91"/>
      <c r="R13" s="91"/>
      <c r="S13" s="92"/>
      <c r="T13" s="100">
        <f>T11+T12-T7</f>
        <v>-12500</v>
      </c>
      <c r="U13" s="91"/>
      <c r="V13" s="91"/>
      <c r="W13" s="92"/>
      <c r="X13" s="100">
        <f>X11+X12-X7</f>
        <v>0</v>
      </c>
      <c r="Y13" s="91"/>
      <c r="Z13" s="91"/>
      <c r="AA13" s="92"/>
      <c r="AB13" s="100">
        <f>AB11+AB12-AB7</f>
        <v>72673</v>
      </c>
      <c r="AC13" s="91"/>
      <c r="AD13" s="91"/>
      <c r="AE13" s="92"/>
      <c r="AF13" s="100">
        <f>AF11+AF12-AF7</f>
        <v>5577.75</v>
      </c>
      <c r="AG13" s="91"/>
      <c r="AH13" s="91"/>
      <c r="AI13" s="92"/>
      <c r="AJ13" s="100">
        <f>AJ11+AJ12-AJ7</f>
        <v>-12500</v>
      </c>
      <c r="AK13" s="91"/>
      <c r="AL13" s="91"/>
      <c r="AM13" s="92"/>
      <c r="AN13" s="100">
        <f>AN11+AN12-AN7</f>
        <v>62500</v>
      </c>
      <c r="AO13" s="91"/>
      <c r="AP13" s="91"/>
      <c r="AQ13" s="92"/>
      <c r="AR13" s="100">
        <f>AR11+AR12-AR7</f>
        <v>0</v>
      </c>
      <c r="AS13" s="91"/>
      <c r="AT13" s="91"/>
      <c r="AU13" s="92"/>
      <c r="AV13" s="100">
        <f>AV11+AV12-AV7</f>
        <v>0</v>
      </c>
      <c r="AW13" s="91"/>
      <c r="AX13" s="91"/>
      <c r="AY13" s="92"/>
      <c r="AZ13" s="93">
        <f t="shared" si="3"/>
        <v>49403</v>
      </c>
      <c r="BA13" s="92"/>
      <c r="BB13" s="93">
        <f t="shared" si="4"/>
        <v>36903</v>
      </c>
      <c r="BC13" s="94"/>
      <c r="BD13" s="92"/>
      <c r="BE13" s="94">
        <f t="shared" si="5"/>
        <v>165153.75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93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121"/>
      <c r="C16" s="121">
        <f>'Mirek Revised PS Model 2019'!BG26</f>
        <v>5580.4218356299534</v>
      </c>
      <c r="D16" s="214">
        <v>300</v>
      </c>
      <c r="E16" s="123">
        <f t="shared" ref="E16:E23" si="6">D$10*D16/D$24</f>
        <v>27045.477054429026</v>
      </c>
      <c r="F16" s="124">
        <v>937.78</v>
      </c>
      <c r="G16" s="123">
        <f t="shared" ref="G16:G23" si="7">E16-F16</f>
        <v>26107.697054429027</v>
      </c>
      <c r="H16" s="214">
        <v>300</v>
      </c>
      <c r="I16" s="123">
        <f t="shared" ref="I16:I23" si="8">H$10*H16/H$24</f>
        <v>31378.16221985059</v>
      </c>
      <c r="J16" s="124">
        <v>1388.32</v>
      </c>
      <c r="K16" s="123">
        <f t="shared" ref="K16:K23" si="9">I16-J16</f>
        <v>29989.84221985059</v>
      </c>
      <c r="L16" s="214">
        <v>300</v>
      </c>
      <c r="M16" s="123">
        <f t="shared" ref="M16:M23" si="10">L$10*L16/L$24</f>
        <v>13261.972251867663</v>
      </c>
      <c r="N16" s="124">
        <v>3897.78</v>
      </c>
      <c r="O16" s="123">
        <f t="shared" ref="O16:O23" si="11">M16-N16</f>
        <v>9364.192251867662</v>
      </c>
      <c r="P16" s="214">
        <v>300</v>
      </c>
      <c r="Q16" s="123">
        <f t="shared" ref="Q16:Q23" si="12">P$10*P16/P$24</f>
        <v>33382.488794023477</v>
      </c>
      <c r="R16" s="124">
        <v>1299.32</v>
      </c>
      <c r="S16" s="123">
        <f t="shared" ref="S16:S23" si="13">Q16-R16</f>
        <v>32083.168794023477</v>
      </c>
      <c r="T16" s="214">
        <v>300</v>
      </c>
      <c r="U16" s="123">
        <f t="shared" ref="U16:U23" si="14">T$10*T16/T$24</f>
        <v>37405.101387406612</v>
      </c>
      <c r="V16" s="124">
        <v>5258.75</v>
      </c>
      <c r="W16" s="123">
        <f t="shared" ref="W16:W23" si="15">U16-V16</f>
        <v>32146.351387406612</v>
      </c>
      <c r="X16" s="214">
        <v>300</v>
      </c>
      <c r="Y16" s="123">
        <f t="shared" ref="Y16:Y23" si="16">X$10*X16/X$24</f>
        <v>43540.200640341507</v>
      </c>
      <c r="Z16" s="124">
        <v>613.51</v>
      </c>
      <c r="AA16" s="123">
        <f t="shared" ref="AA16:AA23" si="17">Y16-Z16</f>
        <v>42926.690640341505</v>
      </c>
      <c r="AB16" s="214">
        <v>300</v>
      </c>
      <c r="AC16" s="123">
        <f t="shared" ref="AC16:AC23" si="18">AB$10*AB16/AB$24</f>
        <v>18267.483457844188</v>
      </c>
      <c r="AD16" s="124">
        <v>1482.31</v>
      </c>
      <c r="AE16" s="123">
        <f t="shared" ref="AE16:AE23" si="19">AC16-AD16</f>
        <v>16785.173457844186</v>
      </c>
      <c r="AF16" s="214">
        <v>300</v>
      </c>
      <c r="AG16" s="123">
        <f t="shared" ref="AG16:AG23" si="20">AF$10*AF16/AF$24</f>
        <v>-13786.898612593381</v>
      </c>
      <c r="AH16" s="124">
        <v>811.06</v>
      </c>
      <c r="AI16" s="123">
        <f t="shared" ref="AI16:AI23" si="21">AG16-AH16</f>
        <v>-14597.95861259338</v>
      </c>
      <c r="AJ16" s="214">
        <v>300</v>
      </c>
      <c r="AK16" s="123">
        <f t="shared" ref="AK16:AK23" si="22">AJ$10*AJ16/AJ$24</f>
        <v>24360.665955176093</v>
      </c>
      <c r="AL16" s="124">
        <v>114.13</v>
      </c>
      <c r="AM16" s="123">
        <f t="shared" ref="AM16:AM23" si="23">AK16-AL16</f>
        <v>24246.535955176092</v>
      </c>
      <c r="AN16" s="214">
        <v>300</v>
      </c>
      <c r="AO16" s="123">
        <f t="shared" ref="AO16:AO23" si="24">AN$10*AN16/AN$24</f>
        <v>45579.874066168632</v>
      </c>
      <c r="AP16" s="124">
        <v>1350.06</v>
      </c>
      <c r="AQ16" s="123">
        <f t="shared" ref="AQ16:AQ23" si="25">AO16-AP16</f>
        <v>44229.814066168634</v>
      </c>
      <c r="AR16" s="214">
        <v>300</v>
      </c>
      <c r="AS16" s="123">
        <f t="shared" ref="AS16:AS23" si="26">AR$10*AR16/AR$24</f>
        <v>15237.502668089646</v>
      </c>
      <c r="AT16" s="124">
        <v>141.59</v>
      </c>
      <c r="AU16" s="123">
        <f t="shared" ref="AU16:AU23" si="27">AS16-AT16</f>
        <v>15095.912668089646</v>
      </c>
      <c r="AV16" s="214">
        <v>300</v>
      </c>
      <c r="AW16" s="123">
        <f t="shared" ref="AW16:AW23" si="28">AV$10*AV16/AV$24</f>
        <v>42773.07150480256</v>
      </c>
      <c r="AX16" s="124">
        <v>887.11</v>
      </c>
      <c r="AY16" s="126">
        <f t="shared" ref="AY16:AY23" si="29">AW16-AX16</f>
        <v>41885.961504802559</v>
      </c>
      <c r="AZ16" s="127">
        <f t="shared" ref="AZ16:AZ23" si="30">IF($AV$3="1Q",AY16,0)+IF($AR$3="1Q",AU16,0)+IF($AN$3="1Q",AQ16,0)+IF($AJ$3="1Q",AM16,0)+IF($AF$3="1Q",AI16,0)+IF($AB$3="1Q",AE16,0)+IF($X$3="1Q",AA16,0)+IF($T$3="1Q",W16,0)+IF($P$3="1Q",S16,0)+IF($L$3="1Q",O16,0)+IF($H$3="1Q",K16,0)+IF($D$3="1Q",G16,0)</f>
        <v>65461.731526147283</v>
      </c>
      <c r="BA16" s="128">
        <f t="shared" ref="BA16:BA23" si="31">AZ16+$C16</f>
        <v>71042.153361777237</v>
      </c>
      <c r="BB16" s="127">
        <f t="shared" ref="BB16:BB23" si="32">IF($AV$4="1H",AY16,0)+IF($AR$4="1H",AU16,0)+IF($AN$4="1H",AQ16,0)+IF($AJ$4="1H",AM16,0)+IF($AF$4="1H",AI16,0)+IF($AB$4="1H",AE16,0)+IF($X$4="1H",AA16,0)+IF($T$4="1H",W16,0)+IF($P$4="1H",S16,0)+IF($L$4="1H",O16,0)+IF($H$4="1H",K16,0)+IF($D$4="1H",G16,0)</f>
        <v>172617.94234791887</v>
      </c>
      <c r="BC16" s="127"/>
      <c r="BD16" s="128">
        <f t="shared" ref="BD16:BD23" si="33">BB16+$C16</f>
        <v>178198.36418354884</v>
      </c>
      <c r="BE16" s="127">
        <f t="shared" ref="BE16:BE23" si="34">AY16+AU16+AQ16+AM16+AI16+AE16+AA16+W16+S16+O16+K16+G16</f>
        <v>300263.38138740661</v>
      </c>
      <c r="BF16" s="127"/>
      <c r="BG16" s="91">
        <f t="shared" ref="BG16:BG23" si="35">BE16+C16</f>
        <v>305843.80322303658</v>
      </c>
    </row>
    <row r="17" spans="1:59" ht="13">
      <c r="A17" s="89" t="s">
        <v>209</v>
      </c>
      <c r="B17" s="121"/>
      <c r="C17" s="121">
        <f>'Revised PS Model 2019'!BG27</f>
        <v>-8714.8292294714192</v>
      </c>
      <c r="D17" s="214">
        <v>100</v>
      </c>
      <c r="E17" s="123">
        <f t="shared" si="6"/>
        <v>9015.1590181430092</v>
      </c>
      <c r="F17" s="124"/>
      <c r="G17" s="123">
        <f t="shared" si="7"/>
        <v>9015.1590181430092</v>
      </c>
      <c r="H17" s="214">
        <v>100</v>
      </c>
      <c r="I17" s="123">
        <f t="shared" si="8"/>
        <v>10459.387406616863</v>
      </c>
      <c r="J17" s="124"/>
      <c r="K17" s="123">
        <f t="shared" si="9"/>
        <v>10459.387406616863</v>
      </c>
      <c r="L17" s="214">
        <v>100</v>
      </c>
      <c r="M17" s="123">
        <f t="shared" si="10"/>
        <v>4420.6574172892206</v>
      </c>
      <c r="N17" s="124"/>
      <c r="O17" s="123">
        <f t="shared" si="11"/>
        <v>4420.6574172892206</v>
      </c>
      <c r="P17" s="214">
        <v>100</v>
      </c>
      <c r="Q17" s="123">
        <f t="shared" si="12"/>
        <v>11127.496264674493</v>
      </c>
      <c r="R17" s="124"/>
      <c r="S17" s="123">
        <f t="shared" si="13"/>
        <v>11127.496264674493</v>
      </c>
      <c r="T17" s="214">
        <v>100</v>
      </c>
      <c r="U17" s="123">
        <f t="shared" si="14"/>
        <v>12468.367129135537</v>
      </c>
      <c r="V17" s="124"/>
      <c r="W17" s="123">
        <f t="shared" si="15"/>
        <v>12468.367129135537</v>
      </c>
      <c r="X17" s="214">
        <v>100</v>
      </c>
      <c r="Y17" s="123">
        <f t="shared" si="16"/>
        <v>14513.400213447168</v>
      </c>
      <c r="Z17" s="124"/>
      <c r="AA17" s="123">
        <f t="shared" si="17"/>
        <v>14513.400213447168</v>
      </c>
      <c r="AB17" s="214">
        <v>100</v>
      </c>
      <c r="AC17" s="123">
        <f t="shared" si="18"/>
        <v>6089.1611526147299</v>
      </c>
      <c r="AD17" s="124"/>
      <c r="AE17" s="123">
        <f t="shared" si="19"/>
        <v>6089.1611526147299</v>
      </c>
      <c r="AF17" s="214">
        <v>100</v>
      </c>
      <c r="AG17" s="123">
        <f t="shared" si="20"/>
        <v>-4595.6328708644596</v>
      </c>
      <c r="AH17" s="124"/>
      <c r="AI17" s="123">
        <f t="shared" si="21"/>
        <v>-4595.6328708644596</v>
      </c>
      <c r="AJ17" s="214">
        <v>100</v>
      </c>
      <c r="AK17" s="123">
        <f t="shared" si="22"/>
        <v>8120.221985058698</v>
      </c>
      <c r="AL17" s="124"/>
      <c r="AM17" s="123">
        <f t="shared" si="23"/>
        <v>8120.221985058698</v>
      </c>
      <c r="AN17" s="214">
        <v>100</v>
      </c>
      <c r="AO17" s="123">
        <f t="shared" si="24"/>
        <v>15193.291355389543</v>
      </c>
      <c r="AP17" s="124"/>
      <c r="AQ17" s="123">
        <f t="shared" si="25"/>
        <v>15193.291355389543</v>
      </c>
      <c r="AR17" s="214">
        <v>100</v>
      </c>
      <c r="AS17" s="123">
        <f t="shared" si="26"/>
        <v>5079.1675560298827</v>
      </c>
      <c r="AT17" s="124"/>
      <c r="AU17" s="123">
        <f t="shared" si="27"/>
        <v>5079.1675560298827</v>
      </c>
      <c r="AV17" s="214">
        <v>100</v>
      </c>
      <c r="AW17" s="123">
        <f t="shared" si="28"/>
        <v>14257.690501600853</v>
      </c>
      <c r="AX17" s="124"/>
      <c r="AY17" s="126">
        <f t="shared" si="29"/>
        <v>14257.690501600853</v>
      </c>
      <c r="AZ17" s="127">
        <f t="shared" si="30"/>
        <v>23895.203842049094</v>
      </c>
      <c r="BA17" s="128">
        <f t="shared" si="31"/>
        <v>15180.374612577674</v>
      </c>
      <c r="BB17" s="127">
        <f t="shared" si="32"/>
        <v>62004.467449306292</v>
      </c>
      <c r="BC17" s="127"/>
      <c r="BD17" s="128">
        <f t="shared" si="33"/>
        <v>53289.638219834873</v>
      </c>
      <c r="BE17" s="127">
        <f t="shared" si="34"/>
        <v>106148.36712913554</v>
      </c>
      <c r="BF17" s="127"/>
      <c r="BG17" s="91">
        <f t="shared" si="35"/>
        <v>97433.537899664123</v>
      </c>
    </row>
    <row r="18" spans="1:59" ht="13">
      <c r="A18" s="89" t="s">
        <v>61</v>
      </c>
      <c r="B18" s="121"/>
      <c r="C18" s="121">
        <f>'Revised PS Model 2019'!BG28</f>
        <v>-1867.8490133998312</v>
      </c>
      <c r="D18" s="53">
        <v>30</v>
      </c>
      <c r="E18" s="123">
        <f t="shared" si="6"/>
        <v>2704.5477054429025</v>
      </c>
      <c r="F18" s="124"/>
      <c r="G18" s="126">
        <f t="shared" si="7"/>
        <v>2704.5477054429025</v>
      </c>
      <c r="H18" s="53">
        <v>30</v>
      </c>
      <c r="I18" s="123">
        <f t="shared" si="8"/>
        <v>3137.8162219850592</v>
      </c>
      <c r="J18" s="124"/>
      <c r="K18" s="126">
        <f t="shared" si="9"/>
        <v>3137.8162219850592</v>
      </c>
      <c r="L18" s="53">
        <v>30</v>
      </c>
      <c r="M18" s="123">
        <f t="shared" si="10"/>
        <v>1326.197225186766</v>
      </c>
      <c r="N18" s="124"/>
      <c r="O18" s="126">
        <f t="shared" si="11"/>
        <v>1326.197225186766</v>
      </c>
      <c r="P18" s="53">
        <v>30</v>
      </c>
      <c r="Q18" s="123">
        <f t="shared" si="12"/>
        <v>3338.2488794023479</v>
      </c>
      <c r="R18" s="124"/>
      <c r="S18" s="126">
        <f t="shared" si="13"/>
        <v>3338.2488794023479</v>
      </c>
      <c r="T18" s="53">
        <v>30</v>
      </c>
      <c r="U18" s="123">
        <f t="shared" si="14"/>
        <v>3740.5101387406608</v>
      </c>
      <c r="V18" s="124"/>
      <c r="W18" s="126">
        <f t="shared" si="15"/>
        <v>3740.5101387406608</v>
      </c>
      <c r="X18" s="53">
        <v>30</v>
      </c>
      <c r="Y18" s="123">
        <f t="shared" si="16"/>
        <v>4354.02006403415</v>
      </c>
      <c r="Z18" s="124"/>
      <c r="AA18" s="126">
        <f t="shared" si="17"/>
        <v>4354.02006403415</v>
      </c>
      <c r="AB18" s="53">
        <v>30</v>
      </c>
      <c r="AC18" s="123">
        <f t="shared" si="18"/>
        <v>1826.7483457844189</v>
      </c>
      <c r="AD18" s="124"/>
      <c r="AE18" s="126">
        <f t="shared" si="19"/>
        <v>1826.7483457844189</v>
      </c>
      <c r="AF18" s="53">
        <v>30</v>
      </c>
      <c r="AG18" s="123">
        <f t="shared" si="20"/>
        <v>-1378.6898612593382</v>
      </c>
      <c r="AH18" s="124"/>
      <c r="AI18" s="126">
        <f t="shared" si="21"/>
        <v>-1378.6898612593382</v>
      </c>
      <c r="AJ18" s="53">
        <v>30</v>
      </c>
      <c r="AK18" s="123">
        <f t="shared" si="22"/>
        <v>2436.0665955176091</v>
      </c>
      <c r="AL18" s="124"/>
      <c r="AM18" s="126">
        <f t="shared" si="23"/>
        <v>2436.0665955176091</v>
      </c>
      <c r="AN18" s="53">
        <v>30</v>
      </c>
      <c r="AO18" s="123">
        <f t="shared" si="24"/>
        <v>4557.9874066168622</v>
      </c>
      <c r="AP18" s="124"/>
      <c r="AQ18" s="126">
        <f t="shared" si="25"/>
        <v>4557.9874066168622</v>
      </c>
      <c r="AR18" s="53">
        <v>30</v>
      </c>
      <c r="AS18" s="123">
        <f t="shared" si="26"/>
        <v>1523.7502668089646</v>
      </c>
      <c r="AT18" s="124"/>
      <c r="AU18" s="126">
        <f t="shared" si="27"/>
        <v>1523.7502668089646</v>
      </c>
      <c r="AV18" s="53">
        <v>30</v>
      </c>
      <c r="AW18" s="123">
        <f t="shared" si="28"/>
        <v>4277.3071504802556</v>
      </c>
      <c r="AX18" s="124"/>
      <c r="AY18" s="126">
        <f t="shared" si="29"/>
        <v>4277.3071504802556</v>
      </c>
      <c r="AZ18" s="127">
        <f t="shared" si="30"/>
        <v>7168.5611526147277</v>
      </c>
      <c r="BA18" s="128">
        <f t="shared" si="31"/>
        <v>5300.7121392148965</v>
      </c>
      <c r="BB18" s="127">
        <f t="shared" si="32"/>
        <v>18601.340234791889</v>
      </c>
      <c r="BC18" s="127"/>
      <c r="BD18" s="128">
        <f t="shared" si="33"/>
        <v>16733.491221392058</v>
      </c>
      <c r="BE18" s="127">
        <f t="shared" si="34"/>
        <v>31844.510138740661</v>
      </c>
      <c r="BF18" s="127"/>
      <c r="BG18" s="91">
        <f t="shared" si="35"/>
        <v>29976.66112534083</v>
      </c>
    </row>
    <row r="19" spans="1:59" ht="13">
      <c r="A19" s="89" t="s">
        <v>65</v>
      </c>
      <c r="B19" s="121"/>
      <c r="C19" s="121">
        <f>'Revised PS Model 2019'!BG29</f>
        <v>-1867.8490133998312</v>
      </c>
      <c r="D19" s="53">
        <v>30</v>
      </c>
      <c r="E19" s="123">
        <f t="shared" si="6"/>
        <v>2704.5477054429025</v>
      </c>
      <c r="F19" s="124"/>
      <c r="G19" s="126">
        <f t="shared" si="7"/>
        <v>2704.5477054429025</v>
      </c>
      <c r="H19" s="53">
        <v>30</v>
      </c>
      <c r="I19" s="123">
        <f t="shared" si="8"/>
        <v>3137.8162219850592</v>
      </c>
      <c r="J19" s="124"/>
      <c r="K19" s="126">
        <f t="shared" si="9"/>
        <v>3137.8162219850592</v>
      </c>
      <c r="L19" s="53">
        <v>30</v>
      </c>
      <c r="M19" s="123">
        <f t="shared" si="10"/>
        <v>1326.197225186766</v>
      </c>
      <c r="N19" s="124"/>
      <c r="O19" s="126">
        <f t="shared" si="11"/>
        <v>1326.197225186766</v>
      </c>
      <c r="P19" s="53">
        <v>30</v>
      </c>
      <c r="Q19" s="123">
        <f t="shared" si="12"/>
        <v>3338.2488794023479</v>
      </c>
      <c r="R19" s="124"/>
      <c r="S19" s="126">
        <f t="shared" si="13"/>
        <v>3338.2488794023479</v>
      </c>
      <c r="T19" s="53">
        <v>30</v>
      </c>
      <c r="U19" s="123">
        <f t="shared" si="14"/>
        <v>3740.5101387406608</v>
      </c>
      <c r="V19" s="124"/>
      <c r="W19" s="126">
        <f t="shared" si="15"/>
        <v>3740.5101387406608</v>
      </c>
      <c r="X19" s="53">
        <v>30</v>
      </c>
      <c r="Y19" s="123">
        <f t="shared" si="16"/>
        <v>4354.02006403415</v>
      </c>
      <c r="Z19" s="124"/>
      <c r="AA19" s="126">
        <f t="shared" si="17"/>
        <v>4354.02006403415</v>
      </c>
      <c r="AB19" s="53">
        <v>30</v>
      </c>
      <c r="AC19" s="123">
        <f t="shared" si="18"/>
        <v>1826.7483457844189</v>
      </c>
      <c r="AD19" s="124"/>
      <c r="AE19" s="126">
        <f t="shared" si="19"/>
        <v>1826.7483457844189</v>
      </c>
      <c r="AF19" s="53">
        <v>30</v>
      </c>
      <c r="AG19" s="123">
        <f t="shared" si="20"/>
        <v>-1378.6898612593382</v>
      </c>
      <c r="AH19" s="124"/>
      <c r="AI19" s="126">
        <f t="shared" si="21"/>
        <v>-1378.6898612593382</v>
      </c>
      <c r="AJ19" s="53">
        <v>30</v>
      </c>
      <c r="AK19" s="123">
        <f t="shared" si="22"/>
        <v>2436.0665955176091</v>
      </c>
      <c r="AL19" s="124"/>
      <c r="AM19" s="126">
        <f t="shared" si="23"/>
        <v>2436.0665955176091</v>
      </c>
      <c r="AN19" s="53">
        <v>30</v>
      </c>
      <c r="AO19" s="123">
        <f t="shared" si="24"/>
        <v>4557.9874066168622</v>
      </c>
      <c r="AP19" s="124"/>
      <c r="AQ19" s="126">
        <f t="shared" si="25"/>
        <v>4557.9874066168622</v>
      </c>
      <c r="AR19" s="53">
        <v>30</v>
      </c>
      <c r="AS19" s="123">
        <f t="shared" si="26"/>
        <v>1523.7502668089646</v>
      </c>
      <c r="AT19" s="124"/>
      <c r="AU19" s="126">
        <f t="shared" si="27"/>
        <v>1523.7502668089646</v>
      </c>
      <c r="AV19" s="53">
        <v>30</v>
      </c>
      <c r="AW19" s="123">
        <f t="shared" si="28"/>
        <v>4277.3071504802556</v>
      </c>
      <c r="AX19" s="124"/>
      <c r="AY19" s="126">
        <f t="shared" si="29"/>
        <v>4277.3071504802556</v>
      </c>
      <c r="AZ19" s="127">
        <f t="shared" si="30"/>
        <v>7168.5611526147277</v>
      </c>
      <c r="BA19" s="128">
        <f t="shared" si="31"/>
        <v>5300.7121392148965</v>
      </c>
      <c r="BB19" s="127">
        <f t="shared" si="32"/>
        <v>18601.340234791889</v>
      </c>
      <c r="BC19" s="127"/>
      <c r="BD19" s="128">
        <f t="shared" si="33"/>
        <v>16733.491221392058</v>
      </c>
      <c r="BE19" s="127">
        <f t="shared" si="34"/>
        <v>31844.510138740661</v>
      </c>
      <c r="BF19" s="127"/>
      <c r="BG19" s="91">
        <f t="shared" si="35"/>
        <v>29976.66112534083</v>
      </c>
    </row>
    <row r="20" spans="1:59" ht="13">
      <c r="A20" s="89" t="s">
        <v>210</v>
      </c>
      <c r="B20" s="121"/>
      <c r="C20" s="121">
        <f>'Revised PS Model 2019'!BG30</f>
        <v>-217.87206141270008</v>
      </c>
      <c r="D20" s="53">
        <v>2.5</v>
      </c>
      <c r="E20" s="123">
        <f t="shared" si="6"/>
        <v>225.37897545357521</v>
      </c>
      <c r="F20" s="124"/>
      <c r="G20" s="126">
        <f t="shared" si="7"/>
        <v>225.37897545357521</v>
      </c>
      <c r="H20" s="53">
        <v>2.5</v>
      </c>
      <c r="I20" s="123">
        <f t="shared" si="8"/>
        <v>261.48468516542158</v>
      </c>
      <c r="J20" s="124"/>
      <c r="K20" s="126">
        <f t="shared" si="9"/>
        <v>261.48468516542158</v>
      </c>
      <c r="L20" s="53">
        <v>2.5</v>
      </c>
      <c r="M20" s="123">
        <f t="shared" si="10"/>
        <v>110.51643543223052</v>
      </c>
      <c r="N20" s="124"/>
      <c r="O20" s="126">
        <f t="shared" si="11"/>
        <v>110.51643543223052</v>
      </c>
      <c r="P20" s="53">
        <v>2.5</v>
      </c>
      <c r="Q20" s="123">
        <f t="shared" si="12"/>
        <v>278.18740661686235</v>
      </c>
      <c r="R20" s="124"/>
      <c r="S20" s="126">
        <f t="shared" si="13"/>
        <v>278.18740661686235</v>
      </c>
      <c r="T20" s="53">
        <v>2.5</v>
      </c>
      <c r="U20" s="123">
        <f t="shared" si="14"/>
        <v>311.7091782283884</v>
      </c>
      <c r="V20" s="124"/>
      <c r="W20" s="126">
        <f t="shared" si="15"/>
        <v>311.7091782283884</v>
      </c>
      <c r="X20" s="53">
        <v>2.5</v>
      </c>
      <c r="Y20" s="123">
        <f t="shared" si="16"/>
        <v>362.83500533617922</v>
      </c>
      <c r="Z20" s="124"/>
      <c r="AA20" s="126">
        <f t="shared" si="17"/>
        <v>362.83500533617922</v>
      </c>
      <c r="AB20" s="53">
        <v>2.5</v>
      </c>
      <c r="AC20" s="123">
        <f t="shared" si="18"/>
        <v>152.22902881536822</v>
      </c>
      <c r="AD20" s="124"/>
      <c r="AE20" s="126">
        <f t="shared" si="19"/>
        <v>152.22902881536822</v>
      </c>
      <c r="AF20" s="53">
        <v>2.5</v>
      </c>
      <c r="AG20" s="123">
        <f t="shared" si="20"/>
        <v>-114.89082177161151</v>
      </c>
      <c r="AH20" s="124"/>
      <c r="AI20" s="126">
        <f t="shared" si="21"/>
        <v>-114.89082177161151</v>
      </c>
      <c r="AJ20" s="53">
        <v>2.5</v>
      </c>
      <c r="AK20" s="123">
        <f t="shared" si="22"/>
        <v>203.00554962646743</v>
      </c>
      <c r="AL20" s="124"/>
      <c r="AM20" s="126">
        <f t="shared" si="23"/>
        <v>203.00554962646743</v>
      </c>
      <c r="AN20" s="53">
        <v>2.5</v>
      </c>
      <c r="AO20" s="123">
        <f t="shared" si="24"/>
        <v>379.83228388473856</v>
      </c>
      <c r="AP20" s="124"/>
      <c r="AQ20" s="126">
        <f t="shared" si="25"/>
        <v>379.83228388473856</v>
      </c>
      <c r="AR20" s="53">
        <v>2.5</v>
      </c>
      <c r="AS20" s="123">
        <f t="shared" si="26"/>
        <v>126.97918890074705</v>
      </c>
      <c r="AT20" s="124"/>
      <c r="AU20" s="126">
        <f t="shared" si="27"/>
        <v>126.97918890074705</v>
      </c>
      <c r="AV20" s="53">
        <v>2.5</v>
      </c>
      <c r="AW20" s="123">
        <f t="shared" si="28"/>
        <v>356.44226254002137</v>
      </c>
      <c r="AX20" s="124"/>
      <c r="AY20" s="126">
        <f t="shared" si="29"/>
        <v>356.44226254002137</v>
      </c>
      <c r="AZ20" s="127">
        <f t="shared" si="30"/>
        <v>597.38009605122738</v>
      </c>
      <c r="BA20" s="128">
        <f t="shared" si="31"/>
        <v>379.50803463852731</v>
      </c>
      <c r="BB20" s="127">
        <f t="shared" si="32"/>
        <v>1550.1116862326571</v>
      </c>
      <c r="BC20" s="127"/>
      <c r="BD20" s="128">
        <f t="shared" si="33"/>
        <v>1332.239624819957</v>
      </c>
      <c r="BE20" s="127">
        <f t="shared" si="34"/>
        <v>2653.7091782283883</v>
      </c>
      <c r="BF20" s="127"/>
      <c r="BG20" s="91">
        <f t="shared" si="35"/>
        <v>2435.8371168156882</v>
      </c>
    </row>
    <row r="21" spans="1:59" ht="13">
      <c r="A21" s="132" t="s">
        <v>254</v>
      </c>
      <c r="B21" s="121"/>
      <c r="C21" s="121">
        <f>'Revised PS Model 2019'!BG31</f>
        <v>-217.87206141270008</v>
      </c>
      <c r="D21" s="178">
        <v>2.5</v>
      </c>
      <c r="E21" s="134">
        <f t="shared" si="6"/>
        <v>225.37897545357521</v>
      </c>
      <c r="F21" s="135"/>
      <c r="G21" s="136">
        <f t="shared" si="7"/>
        <v>225.37897545357521</v>
      </c>
      <c r="H21" s="178">
        <v>2.5</v>
      </c>
      <c r="I21" s="134">
        <f t="shared" si="8"/>
        <v>261.48468516542158</v>
      </c>
      <c r="J21" s="135"/>
      <c r="K21" s="136">
        <f t="shared" si="9"/>
        <v>261.48468516542158</v>
      </c>
      <c r="L21" s="178">
        <v>2.5</v>
      </c>
      <c r="M21" s="134">
        <f t="shared" si="10"/>
        <v>110.51643543223052</v>
      </c>
      <c r="N21" s="135"/>
      <c r="O21" s="136">
        <f t="shared" si="11"/>
        <v>110.51643543223052</v>
      </c>
      <c r="P21" s="178">
        <v>2.5</v>
      </c>
      <c r="Q21" s="134">
        <f t="shared" si="12"/>
        <v>278.18740661686235</v>
      </c>
      <c r="R21" s="135"/>
      <c r="S21" s="136">
        <f t="shared" si="13"/>
        <v>278.18740661686235</v>
      </c>
      <c r="T21" s="178">
        <v>2.5</v>
      </c>
      <c r="U21" s="134">
        <f t="shared" si="14"/>
        <v>311.7091782283884</v>
      </c>
      <c r="V21" s="135"/>
      <c r="W21" s="136">
        <f t="shared" si="15"/>
        <v>311.7091782283884</v>
      </c>
      <c r="X21" s="178">
        <v>2.5</v>
      </c>
      <c r="Y21" s="134">
        <f t="shared" si="16"/>
        <v>362.83500533617922</v>
      </c>
      <c r="Z21" s="135"/>
      <c r="AA21" s="136">
        <f t="shared" si="17"/>
        <v>362.83500533617922</v>
      </c>
      <c r="AB21" s="178">
        <v>2.5</v>
      </c>
      <c r="AC21" s="134">
        <f t="shared" si="18"/>
        <v>152.22902881536822</v>
      </c>
      <c r="AD21" s="135"/>
      <c r="AE21" s="136">
        <f t="shared" si="19"/>
        <v>152.22902881536822</v>
      </c>
      <c r="AF21" s="178">
        <v>2.5</v>
      </c>
      <c r="AG21" s="134">
        <f t="shared" si="20"/>
        <v>-114.89082177161151</v>
      </c>
      <c r="AH21" s="135"/>
      <c r="AI21" s="136">
        <f t="shared" si="21"/>
        <v>-114.89082177161151</v>
      </c>
      <c r="AJ21" s="178">
        <v>2.5</v>
      </c>
      <c r="AK21" s="134">
        <f t="shared" si="22"/>
        <v>203.00554962646743</v>
      </c>
      <c r="AL21" s="135"/>
      <c r="AM21" s="136">
        <f t="shared" si="23"/>
        <v>203.00554962646743</v>
      </c>
      <c r="AN21" s="178">
        <v>2.5</v>
      </c>
      <c r="AO21" s="134">
        <f t="shared" si="24"/>
        <v>379.83228388473856</v>
      </c>
      <c r="AP21" s="135"/>
      <c r="AQ21" s="136">
        <f t="shared" si="25"/>
        <v>379.83228388473856</v>
      </c>
      <c r="AR21" s="178">
        <v>2.5</v>
      </c>
      <c r="AS21" s="134">
        <f t="shared" si="26"/>
        <v>126.97918890074705</v>
      </c>
      <c r="AT21" s="135"/>
      <c r="AU21" s="136">
        <f t="shared" si="27"/>
        <v>126.97918890074705</v>
      </c>
      <c r="AV21" s="178">
        <v>2.5</v>
      </c>
      <c r="AW21" s="134">
        <f t="shared" si="28"/>
        <v>356.44226254002137</v>
      </c>
      <c r="AX21" s="135"/>
      <c r="AY21" s="136">
        <f t="shared" si="29"/>
        <v>356.44226254002137</v>
      </c>
      <c r="AZ21" s="138">
        <f t="shared" si="30"/>
        <v>597.38009605122738</v>
      </c>
      <c r="BA21" s="137">
        <f t="shared" si="31"/>
        <v>379.50803463852731</v>
      </c>
      <c r="BB21" s="138">
        <f t="shared" si="32"/>
        <v>1550.1116862326571</v>
      </c>
      <c r="BC21" s="138"/>
      <c r="BD21" s="137">
        <f t="shared" si="33"/>
        <v>1332.239624819957</v>
      </c>
      <c r="BE21" s="138">
        <f t="shared" si="34"/>
        <v>2653.7091782283883</v>
      </c>
      <c r="BF21" s="138"/>
      <c r="BG21" s="140">
        <f t="shared" si="35"/>
        <v>2435.8371168156882</v>
      </c>
    </row>
    <row r="22" spans="1:59" ht="13">
      <c r="A22" s="132" t="s">
        <v>255</v>
      </c>
      <c r="B22" s="121"/>
      <c r="C22" s="121">
        <f>'Revised PS Model 2019'!BG32</f>
        <v>-217.87206141270008</v>
      </c>
      <c r="D22" s="178">
        <v>2.5</v>
      </c>
      <c r="E22" s="134">
        <f t="shared" si="6"/>
        <v>225.37897545357521</v>
      </c>
      <c r="F22" s="135"/>
      <c r="G22" s="136">
        <f t="shared" si="7"/>
        <v>225.37897545357521</v>
      </c>
      <c r="H22" s="178">
        <v>2.5</v>
      </c>
      <c r="I22" s="134">
        <f t="shared" si="8"/>
        <v>261.48468516542158</v>
      </c>
      <c r="J22" s="135"/>
      <c r="K22" s="136">
        <f t="shared" si="9"/>
        <v>261.48468516542158</v>
      </c>
      <c r="L22" s="178">
        <v>2.5</v>
      </c>
      <c r="M22" s="134">
        <f t="shared" si="10"/>
        <v>110.51643543223052</v>
      </c>
      <c r="N22" s="135"/>
      <c r="O22" s="136">
        <f t="shared" si="11"/>
        <v>110.51643543223052</v>
      </c>
      <c r="P22" s="178">
        <v>2.5</v>
      </c>
      <c r="Q22" s="134">
        <f t="shared" si="12"/>
        <v>278.18740661686235</v>
      </c>
      <c r="R22" s="135"/>
      <c r="S22" s="136">
        <f t="shared" si="13"/>
        <v>278.18740661686235</v>
      </c>
      <c r="T22" s="178">
        <v>2.5</v>
      </c>
      <c r="U22" s="134">
        <f t="shared" si="14"/>
        <v>311.7091782283884</v>
      </c>
      <c r="V22" s="135"/>
      <c r="W22" s="136">
        <f t="shared" si="15"/>
        <v>311.7091782283884</v>
      </c>
      <c r="X22" s="178">
        <v>2.5</v>
      </c>
      <c r="Y22" s="134">
        <f t="shared" si="16"/>
        <v>362.83500533617922</v>
      </c>
      <c r="Z22" s="135"/>
      <c r="AA22" s="136">
        <f t="shared" si="17"/>
        <v>362.83500533617922</v>
      </c>
      <c r="AB22" s="178">
        <v>2.5</v>
      </c>
      <c r="AC22" s="134">
        <f t="shared" si="18"/>
        <v>152.22902881536822</v>
      </c>
      <c r="AD22" s="135"/>
      <c r="AE22" s="136">
        <f t="shared" si="19"/>
        <v>152.22902881536822</v>
      </c>
      <c r="AF22" s="178">
        <v>2.5</v>
      </c>
      <c r="AG22" s="134">
        <f t="shared" si="20"/>
        <v>-114.89082177161151</v>
      </c>
      <c r="AH22" s="135"/>
      <c r="AI22" s="136">
        <f t="shared" si="21"/>
        <v>-114.89082177161151</v>
      </c>
      <c r="AJ22" s="178">
        <v>2.5</v>
      </c>
      <c r="AK22" s="134">
        <f t="shared" si="22"/>
        <v>203.00554962646743</v>
      </c>
      <c r="AL22" s="135"/>
      <c r="AM22" s="136">
        <f t="shared" si="23"/>
        <v>203.00554962646743</v>
      </c>
      <c r="AN22" s="178">
        <v>2.5</v>
      </c>
      <c r="AO22" s="134">
        <f t="shared" si="24"/>
        <v>379.83228388473856</v>
      </c>
      <c r="AP22" s="135"/>
      <c r="AQ22" s="136">
        <f t="shared" si="25"/>
        <v>379.83228388473856</v>
      </c>
      <c r="AR22" s="178">
        <v>2.5</v>
      </c>
      <c r="AS22" s="134">
        <f t="shared" si="26"/>
        <v>126.97918890074705</v>
      </c>
      <c r="AT22" s="135"/>
      <c r="AU22" s="136">
        <f t="shared" si="27"/>
        <v>126.97918890074705</v>
      </c>
      <c r="AV22" s="178">
        <v>2.5</v>
      </c>
      <c r="AW22" s="134">
        <f t="shared" si="28"/>
        <v>356.44226254002137</v>
      </c>
      <c r="AX22" s="135"/>
      <c r="AY22" s="136">
        <f t="shared" si="29"/>
        <v>356.44226254002137</v>
      </c>
      <c r="AZ22" s="138">
        <f t="shared" si="30"/>
        <v>597.38009605122738</v>
      </c>
      <c r="BA22" s="137">
        <f t="shared" si="31"/>
        <v>379.50803463852731</v>
      </c>
      <c r="BB22" s="138">
        <f t="shared" si="32"/>
        <v>1550.1116862326571</v>
      </c>
      <c r="BC22" s="138"/>
      <c r="BD22" s="137">
        <f t="shared" si="33"/>
        <v>1332.239624819957</v>
      </c>
      <c r="BE22" s="138">
        <f t="shared" si="34"/>
        <v>2653.7091782283883</v>
      </c>
      <c r="BF22" s="138"/>
      <c r="BG22" s="140">
        <f t="shared" si="35"/>
        <v>2435.8371168156882</v>
      </c>
    </row>
    <row r="23" spans="1:59" ht="13">
      <c r="A23" s="132" t="s">
        <v>211</v>
      </c>
      <c r="B23" s="121"/>
      <c r="C23" s="121">
        <f>'Revised PS Model 2019'!BG33</f>
        <v>-87.152824565080209</v>
      </c>
      <c r="D23" s="178">
        <v>1</v>
      </c>
      <c r="E23" s="134">
        <f t="shared" si="6"/>
        <v>90.151590181430095</v>
      </c>
      <c r="F23" s="135"/>
      <c r="G23" s="136">
        <f t="shared" si="7"/>
        <v>90.151590181430095</v>
      </c>
      <c r="H23" s="178">
        <v>1</v>
      </c>
      <c r="I23" s="134">
        <f t="shared" si="8"/>
        <v>104.59387406616862</v>
      </c>
      <c r="J23" s="135"/>
      <c r="K23" s="136">
        <f t="shared" si="9"/>
        <v>104.59387406616862</v>
      </c>
      <c r="L23" s="178">
        <v>1</v>
      </c>
      <c r="M23" s="134">
        <f t="shared" si="10"/>
        <v>44.206574172892203</v>
      </c>
      <c r="N23" s="135"/>
      <c r="O23" s="136">
        <f t="shared" si="11"/>
        <v>44.206574172892203</v>
      </c>
      <c r="P23" s="178">
        <v>1</v>
      </c>
      <c r="Q23" s="134">
        <f t="shared" si="12"/>
        <v>111.27496264674492</v>
      </c>
      <c r="R23" s="135"/>
      <c r="S23" s="136">
        <f t="shared" si="13"/>
        <v>111.27496264674492</v>
      </c>
      <c r="T23" s="178">
        <v>1</v>
      </c>
      <c r="U23" s="134">
        <f t="shared" si="14"/>
        <v>124.68367129135537</v>
      </c>
      <c r="V23" s="135"/>
      <c r="W23" s="136">
        <f t="shared" si="15"/>
        <v>124.68367129135537</v>
      </c>
      <c r="X23" s="178">
        <v>1</v>
      </c>
      <c r="Y23" s="134">
        <f t="shared" si="16"/>
        <v>145.13400213447167</v>
      </c>
      <c r="Z23" s="135"/>
      <c r="AA23" s="136">
        <f t="shared" si="17"/>
        <v>145.13400213447167</v>
      </c>
      <c r="AB23" s="178">
        <v>1</v>
      </c>
      <c r="AC23" s="134">
        <f t="shared" si="18"/>
        <v>60.891611526147294</v>
      </c>
      <c r="AD23" s="135"/>
      <c r="AE23" s="136">
        <f t="shared" si="19"/>
        <v>60.891611526147294</v>
      </c>
      <c r="AF23" s="178">
        <v>1</v>
      </c>
      <c r="AG23" s="134">
        <f t="shared" si="20"/>
        <v>-45.956328708644605</v>
      </c>
      <c r="AH23" s="135"/>
      <c r="AI23" s="136">
        <f t="shared" si="21"/>
        <v>-45.956328708644605</v>
      </c>
      <c r="AJ23" s="178">
        <v>1</v>
      </c>
      <c r="AK23" s="134">
        <f t="shared" si="22"/>
        <v>81.202219850586971</v>
      </c>
      <c r="AL23" s="135"/>
      <c r="AM23" s="136">
        <f t="shared" si="23"/>
        <v>81.202219850586971</v>
      </c>
      <c r="AN23" s="178">
        <v>1</v>
      </c>
      <c r="AO23" s="134">
        <f t="shared" si="24"/>
        <v>151.93291355389542</v>
      </c>
      <c r="AP23" s="135"/>
      <c r="AQ23" s="136">
        <f t="shared" si="25"/>
        <v>151.93291355389542</v>
      </c>
      <c r="AR23" s="178">
        <v>1</v>
      </c>
      <c r="AS23" s="134">
        <f t="shared" si="26"/>
        <v>50.79167556029882</v>
      </c>
      <c r="AT23" s="135"/>
      <c r="AU23" s="136">
        <f t="shared" si="27"/>
        <v>50.79167556029882</v>
      </c>
      <c r="AV23" s="178">
        <v>1</v>
      </c>
      <c r="AW23" s="134">
        <f t="shared" si="28"/>
        <v>142.57690501600854</v>
      </c>
      <c r="AX23" s="135"/>
      <c r="AY23" s="136">
        <f t="shared" si="29"/>
        <v>142.57690501600854</v>
      </c>
      <c r="AZ23" s="138">
        <f t="shared" si="30"/>
        <v>238.95203842049091</v>
      </c>
      <c r="BA23" s="137">
        <f t="shared" si="31"/>
        <v>151.7992138554107</v>
      </c>
      <c r="BB23" s="138">
        <f t="shared" si="32"/>
        <v>620.04467449306298</v>
      </c>
      <c r="BC23" s="138"/>
      <c r="BD23" s="137">
        <f t="shared" si="33"/>
        <v>532.89184992798278</v>
      </c>
      <c r="BE23" s="138">
        <f t="shared" si="34"/>
        <v>1061.4836712913552</v>
      </c>
      <c r="BF23" s="138"/>
      <c r="BG23" s="140">
        <f t="shared" si="35"/>
        <v>974.33084672627501</v>
      </c>
    </row>
    <row r="24" spans="1:59" ht="12" customHeight="1">
      <c r="A24" s="89"/>
      <c r="C24" s="61"/>
      <c r="D24" s="148">
        <f t="shared" ref="D24:E24" si="36">SUM(D16:D23)</f>
        <v>468.5</v>
      </c>
      <c r="E24" s="149">
        <f t="shared" si="36"/>
        <v>42236.01999999999</v>
      </c>
      <c r="F24" s="91"/>
      <c r="G24" s="91"/>
      <c r="H24" s="148">
        <f t="shared" ref="H24:I24" si="37">SUM(H16:H23)</f>
        <v>468.5</v>
      </c>
      <c r="I24" s="149">
        <f t="shared" si="37"/>
        <v>49002.229999999996</v>
      </c>
      <c r="J24" s="91"/>
      <c r="K24" s="91"/>
      <c r="L24" s="148">
        <f t="shared" ref="L24:M24" si="38">SUM(L16:L23)</f>
        <v>468.5</v>
      </c>
      <c r="M24" s="149">
        <f t="shared" si="38"/>
        <v>20710.779999999995</v>
      </c>
      <c r="N24" s="91"/>
      <c r="O24" s="91"/>
      <c r="P24" s="148">
        <f t="shared" ref="P24:Q24" si="39">SUM(P16:P23)</f>
        <v>468.5</v>
      </c>
      <c r="Q24" s="149">
        <f t="shared" si="39"/>
        <v>52132.319999999992</v>
      </c>
      <c r="R24" s="91"/>
      <c r="S24" s="91"/>
      <c r="T24" s="148">
        <f t="shared" ref="T24:U24" si="40">SUM(T16:T23)</f>
        <v>468.5</v>
      </c>
      <c r="U24" s="149">
        <f t="shared" si="40"/>
        <v>58414.299999999996</v>
      </c>
      <c r="V24" s="91"/>
      <c r="W24" s="91"/>
      <c r="X24" s="148">
        <f t="shared" ref="X24:Y24" si="41">SUM(X16:X23)</f>
        <v>468.5</v>
      </c>
      <c r="Y24" s="149">
        <f t="shared" si="41"/>
        <v>67995.27999999997</v>
      </c>
      <c r="Z24" s="91"/>
      <c r="AA24" s="91"/>
      <c r="AB24" s="148">
        <f t="shared" ref="AB24:AC24" si="42">SUM(AB16:AB23)</f>
        <v>468.5</v>
      </c>
      <c r="AC24" s="149">
        <f t="shared" si="42"/>
        <v>28527.720000000005</v>
      </c>
      <c r="AD24" s="91"/>
      <c r="AE24" s="91"/>
      <c r="AF24" s="148">
        <f t="shared" ref="AF24:AG24" si="43">SUM(AF16:AF23)</f>
        <v>468.5</v>
      </c>
      <c r="AG24" s="149">
        <f t="shared" si="43"/>
        <v>-21530.54</v>
      </c>
      <c r="AH24" s="91"/>
      <c r="AI24" s="91"/>
      <c r="AJ24" s="148">
        <f t="shared" ref="AJ24:AK24" si="44">SUM(AJ16:AJ23)</f>
        <v>468.5</v>
      </c>
      <c r="AK24" s="149">
        <f t="shared" si="44"/>
        <v>38043.240000000005</v>
      </c>
      <c r="AL24" s="91"/>
      <c r="AM24" s="91"/>
      <c r="AN24" s="148">
        <f t="shared" ref="AN24:AO24" si="45">SUM(AN16:AN23)</f>
        <v>468.5</v>
      </c>
      <c r="AO24" s="149">
        <f t="shared" si="45"/>
        <v>71180.570000000007</v>
      </c>
      <c r="AP24" s="91"/>
      <c r="AQ24" s="91"/>
      <c r="AR24" s="148">
        <f t="shared" ref="AR24:AS24" si="46">SUM(AR16:AR23)</f>
        <v>468.5</v>
      </c>
      <c r="AS24" s="149">
        <f t="shared" si="46"/>
        <v>23795.9</v>
      </c>
      <c r="AT24" s="91"/>
      <c r="AU24" s="91"/>
      <c r="AV24" s="148">
        <f t="shared" ref="AV24:AW24" si="47">SUM(AV16:AV23)</f>
        <v>468.5</v>
      </c>
      <c r="AW24" s="149">
        <f t="shared" si="47"/>
        <v>66797.279999999984</v>
      </c>
      <c r="AX24" s="124"/>
      <c r="AY24" s="92"/>
      <c r="AZ24" s="91"/>
      <c r="BA24" s="150"/>
      <c r="BB24" s="91"/>
      <c r="BC24" s="91"/>
      <c r="BD24" s="150"/>
    </row>
    <row r="25" spans="1:59" ht="14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X25" s="151"/>
      <c r="AY25" s="92"/>
      <c r="AZ25" s="216" t="str">
        <f>"Paid for "&amp;AZ2</f>
        <v>Paid for 1Q</v>
      </c>
      <c r="BA25" s="217" t="s">
        <v>256</v>
      </c>
      <c r="BB25" s="216" t="str">
        <f>"Paid for "&amp;BB2</f>
        <v>Paid for 1H</v>
      </c>
      <c r="BC25" s="216" t="s">
        <v>270</v>
      </c>
      <c r="BD25" s="217" t="s">
        <v>256</v>
      </c>
      <c r="BE25" s="216" t="str">
        <f>"Paid for "&amp;BE2</f>
        <v>Paid for 2020</v>
      </c>
      <c r="BF25" s="216" t="s">
        <v>270</v>
      </c>
      <c r="BG25" s="217" t="s">
        <v>256</v>
      </c>
    </row>
    <row r="26" spans="1:59" ht="28">
      <c r="A26" s="89"/>
      <c r="B26" s="5"/>
      <c r="C26" s="61"/>
      <c r="D26" s="10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1"/>
      <c r="AV26" s="152" t="s">
        <v>280</v>
      </c>
      <c r="AW26" s="118" t="s">
        <v>219</v>
      </c>
      <c r="AY26" s="245" t="s">
        <v>83</v>
      </c>
      <c r="AZ26" s="246">
        <f>AZ13+0</f>
        <v>49403</v>
      </c>
      <c r="BA26" s="247">
        <f t="shared" ref="BA26:BA33" si="48">BA16-AZ26</f>
        <v>21639.153361777237</v>
      </c>
      <c r="BB26" s="248">
        <f>BB13-AZ13+0</f>
        <v>-12500</v>
      </c>
      <c r="BC26" s="248">
        <f t="shared" ref="BC26:BC33" si="49">AZ26+BB26</f>
        <v>36903</v>
      </c>
      <c r="BD26" s="249">
        <f t="shared" ref="BD26:BD33" si="50">BD16-BC26</f>
        <v>141295.36418354884</v>
      </c>
      <c r="BE26" s="248">
        <f>BE13-BB13+0</f>
        <v>128250.75</v>
      </c>
      <c r="BF26" s="248">
        <f t="shared" ref="BF26:BF33" si="51">BC26+BE26</f>
        <v>165153.75</v>
      </c>
      <c r="BG26" s="249">
        <f t="shared" ref="BG26:BG33" si="52">BG16-BF26</f>
        <v>140690.05322303658</v>
      </c>
    </row>
    <row r="27" spans="1:59" ht="14">
      <c r="A27" s="89"/>
      <c r="B27" s="5"/>
      <c r="C27" s="61"/>
      <c r="D27" s="100"/>
      <c r="E27" s="100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P27" s="91"/>
      <c r="AQ27" s="91"/>
      <c r="AR27" s="91"/>
      <c r="AS27" s="91"/>
      <c r="AT27" s="91"/>
      <c r="AU27" s="91" t="s">
        <v>83</v>
      </c>
      <c r="AV27" s="91">
        <v>165153.75</v>
      </c>
      <c r="AW27" s="151">
        <v>425660.85</v>
      </c>
      <c r="AY27" s="250" t="s">
        <v>209</v>
      </c>
      <c r="AZ27" s="251">
        <v>16901.830000000002</v>
      </c>
      <c r="BA27" s="252">
        <f t="shared" si="48"/>
        <v>-1721.4553874223275</v>
      </c>
      <c r="BB27" s="251">
        <v>36980.92</v>
      </c>
      <c r="BC27" s="248">
        <f t="shared" si="49"/>
        <v>53882.75</v>
      </c>
      <c r="BD27" s="249">
        <f t="shared" si="50"/>
        <v>-593.11178016512713</v>
      </c>
      <c r="BE27" s="251">
        <v>43550.79</v>
      </c>
      <c r="BF27" s="248">
        <f t="shared" si="51"/>
        <v>97433.540000000008</v>
      </c>
      <c r="BG27" s="249">
        <f t="shared" si="52"/>
        <v>-2.1003358851885423E-3</v>
      </c>
    </row>
    <row r="28" spans="1:59" ht="14">
      <c r="A28" s="89"/>
      <c r="B28" s="5"/>
      <c r="C28" s="61"/>
      <c r="D28" s="100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P28" s="91"/>
      <c r="AQ28" s="91"/>
      <c r="AR28" s="91"/>
      <c r="AS28" s="124"/>
      <c r="AT28" s="91"/>
      <c r="AU28" s="91" t="s">
        <v>209</v>
      </c>
      <c r="AV28" s="91">
        <v>53882.75</v>
      </c>
      <c r="AW28" s="151">
        <v>43550.787899664108</v>
      </c>
      <c r="AY28" s="250" t="s">
        <v>61</v>
      </c>
      <c r="AZ28" s="251">
        <v>5817.15</v>
      </c>
      <c r="BA28" s="252">
        <f t="shared" si="48"/>
        <v>-516.43786078510311</v>
      </c>
      <c r="BB28" s="251">
        <v>11094.27</v>
      </c>
      <c r="BC28" s="248">
        <f t="shared" si="49"/>
        <v>16911.419999999998</v>
      </c>
      <c r="BD28" s="249">
        <f t="shared" si="50"/>
        <v>-177.92877860794033</v>
      </c>
      <c r="BE28" s="251">
        <v>13065.24</v>
      </c>
      <c r="BF28" s="248">
        <f t="shared" si="51"/>
        <v>29976.659999999996</v>
      </c>
      <c r="BG28" s="249">
        <f t="shared" si="52"/>
        <v>1.1253408338234294E-3</v>
      </c>
    </row>
    <row r="29" spans="1:59" ht="14">
      <c r="A29" s="89"/>
      <c r="B29" s="5"/>
      <c r="C29" s="61"/>
      <c r="D29" s="100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P29" s="91"/>
      <c r="AQ29" s="91"/>
      <c r="AR29" s="91"/>
      <c r="AS29" s="91"/>
      <c r="AT29" s="91"/>
      <c r="AU29" s="91" t="s">
        <v>61</v>
      </c>
      <c r="AV29" s="91">
        <v>16911.419999999998</v>
      </c>
      <c r="AW29" s="151">
        <v>13065.241125340832</v>
      </c>
      <c r="AY29" s="253" t="s">
        <v>65</v>
      </c>
      <c r="AZ29" s="251">
        <v>5817.15</v>
      </c>
      <c r="BA29" s="254">
        <f t="shared" si="48"/>
        <v>-516.43786078510311</v>
      </c>
      <c r="BB29" s="251">
        <v>11094.27</v>
      </c>
      <c r="BC29" s="248">
        <f t="shared" si="49"/>
        <v>16911.419999999998</v>
      </c>
      <c r="BD29" s="249">
        <f t="shared" si="50"/>
        <v>-177.92877860794033</v>
      </c>
      <c r="BE29" s="251">
        <v>13065.24</v>
      </c>
      <c r="BF29" s="248">
        <f t="shared" si="51"/>
        <v>29976.659999999996</v>
      </c>
      <c r="BG29" s="249">
        <f t="shared" si="52"/>
        <v>1.1253408338234294E-3</v>
      </c>
    </row>
    <row r="30" spans="1:59" ht="14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P30" s="91"/>
      <c r="AQ30" s="91"/>
      <c r="AR30" s="91"/>
      <c r="AS30" s="91"/>
      <c r="AT30" s="91"/>
      <c r="AU30" s="91" t="s">
        <v>65</v>
      </c>
      <c r="AV30" s="91">
        <v>16911.419999999998</v>
      </c>
      <c r="AW30" s="151">
        <v>13065.241125340832</v>
      </c>
      <c r="AY30" s="250" t="s">
        <v>210</v>
      </c>
      <c r="AZ30" s="251">
        <v>422.54</v>
      </c>
      <c r="BA30" s="254">
        <f t="shared" si="48"/>
        <v>-43.031965361472714</v>
      </c>
      <c r="BB30" s="251">
        <v>924.53</v>
      </c>
      <c r="BC30" s="248">
        <f t="shared" si="49"/>
        <v>1347.07</v>
      </c>
      <c r="BD30" s="249">
        <f t="shared" si="50"/>
        <v>-14.830375180042893</v>
      </c>
      <c r="BE30" s="251">
        <v>1088.77</v>
      </c>
      <c r="BF30" s="248">
        <f t="shared" si="51"/>
        <v>2435.84</v>
      </c>
      <c r="BG30" s="249">
        <f t="shared" si="52"/>
        <v>-2.8831843119405676E-3</v>
      </c>
    </row>
    <row r="31" spans="1:59" ht="14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P31" s="91"/>
      <c r="AQ31" s="91"/>
      <c r="AR31" s="91"/>
      <c r="AS31" s="91"/>
      <c r="AT31" s="91"/>
      <c r="AU31" s="91" t="s">
        <v>210</v>
      </c>
      <c r="AV31" s="91">
        <v>1347.07</v>
      </c>
      <c r="AW31" s="151">
        <v>1088.7671168156883</v>
      </c>
      <c r="AY31" s="250" t="s">
        <v>254</v>
      </c>
      <c r="AZ31" s="251">
        <v>422.54</v>
      </c>
      <c r="BA31" s="254">
        <f t="shared" si="48"/>
        <v>-43.031965361472714</v>
      </c>
      <c r="BB31" s="251">
        <v>924.53</v>
      </c>
      <c r="BC31" s="248">
        <f t="shared" si="49"/>
        <v>1347.07</v>
      </c>
      <c r="BD31" s="249">
        <f t="shared" si="50"/>
        <v>-14.830375180042893</v>
      </c>
      <c r="BE31" s="251">
        <v>1088.77</v>
      </c>
      <c r="BF31" s="248">
        <f t="shared" si="51"/>
        <v>2435.84</v>
      </c>
      <c r="BG31" s="249">
        <f t="shared" si="52"/>
        <v>-2.8831843119405676E-3</v>
      </c>
    </row>
    <row r="32" spans="1:59" ht="14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P32" s="91"/>
      <c r="AQ32" s="91"/>
      <c r="AR32" s="91"/>
      <c r="AS32" s="91"/>
      <c r="AT32" s="91"/>
      <c r="AU32" s="91" t="s">
        <v>254</v>
      </c>
      <c r="AV32" s="91">
        <v>1347.07</v>
      </c>
      <c r="AW32" s="151">
        <v>1088.7671168156883</v>
      </c>
      <c r="AY32" s="250" t="s">
        <v>255</v>
      </c>
      <c r="AZ32" s="251">
        <v>422.54</v>
      </c>
      <c r="BA32" s="254">
        <f t="shared" si="48"/>
        <v>-43.031965361472714</v>
      </c>
      <c r="BB32" s="251">
        <v>924.53</v>
      </c>
      <c r="BC32" s="248">
        <f t="shared" si="49"/>
        <v>1347.07</v>
      </c>
      <c r="BD32" s="249">
        <f t="shared" si="50"/>
        <v>-14.830375180042893</v>
      </c>
      <c r="BE32" s="251">
        <v>1088.77</v>
      </c>
      <c r="BF32" s="248">
        <f t="shared" si="51"/>
        <v>2435.84</v>
      </c>
      <c r="BG32" s="249">
        <f t="shared" si="52"/>
        <v>-2.8831843119405676E-3</v>
      </c>
    </row>
    <row r="33" spans="1:59" ht="14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P33" s="91"/>
      <c r="AQ33" s="91"/>
      <c r="AR33" s="91"/>
      <c r="AS33" s="91"/>
      <c r="AT33" s="91"/>
      <c r="AU33" s="91" t="s">
        <v>255</v>
      </c>
      <c r="AV33" s="91">
        <v>1347.07</v>
      </c>
      <c r="AW33" s="151">
        <v>1088.7671168156883</v>
      </c>
      <c r="AY33" s="255" t="s">
        <v>211</v>
      </c>
      <c r="AZ33" s="256">
        <v>169.01</v>
      </c>
      <c r="BA33" s="257">
        <f t="shared" si="48"/>
        <v>-17.210786144589292</v>
      </c>
      <c r="BB33" s="256">
        <v>369.81</v>
      </c>
      <c r="BC33" s="258">
        <f t="shared" si="49"/>
        <v>538.81999999999994</v>
      </c>
      <c r="BD33" s="259">
        <f t="shared" si="50"/>
        <v>-5.9281500720171607</v>
      </c>
      <c r="BE33" s="256">
        <v>435.51</v>
      </c>
      <c r="BF33" s="258">
        <f t="shared" si="51"/>
        <v>974.32999999999993</v>
      </c>
      <c r="BG33" s="259">
        <f t="shared" si="52"/>
        <v>8.4672627508552978E-4</v>
      </c>
    </row>
    <row r="34" spans="1:59" ht="14">
      <c r="A34" s="89"/>
      <c r="C34" s="61"/>
      <c r="D34" s="62"/>
      <c r="AU34" s="1" t="s">
        <v>211</v>
      </c>
      <c r="AV34" s="91">
        <v>538.81999999999994</v>
      </c>
      <c r="AW34" s="149">
        <v>435.51084672627508</v>
      </c>
      <c r="BD34" s="91"/>
      <c r="BE34" s="91"/>
      <c r="BF34" s="91"/>
      <c r="BG34" s="91"/>
    </row>
    <row r="35" spans="1:59" ht="13">
      <c r="A35" s="89"/>
      <c r="C35" s="61"/>
      <c r="D35" s="62"/>
      <c r="AY35" s="1"/>
      <c r="BA35" s="230"/>
      <c r="BB35" s="230"/>
      <c r="BC35" s="230"/>
      <c r="BD35" s="91"/>
      <c r="BE35" s="91"/>
      <c r="BF35" s="91"/>
      <c r="BG35" s="91"/>
    </row>
    <row r="36" spans="1:59" ht="13">
      <c r="A36" s="89"/>
      <c r="C36" s="61"/>
      <c r="D36" s="62"/>
    </row>
    <row r="37" spans="1:59" ht="14">
      <c r="A37" s="89" t="s">
        <v>201</v>
      </c>
      <c r="C37" s="61"/>
      <c r="D37" s="62"/>
      <c r="AN37" s="1" t="s">
        <v>148</v>
      </c>
    </row>
    <row r="38" spans="1:59" ht="13">
      <c r="A38" s="89"/>
      <c r="C38" s="61"/>
      <c r="D38" s="62"/>
    </row>
    <row r="39" spans="1:59" ht="13">
      <c r="A39" s="89"/>
      <c r="C39" s="61"/>
      <c r="D39" s="62"/>
    </row>
    <row r="40" spans="1:59" ht="13">
      <c r="A40" s="89"/>
      <c r="C40" s="61"/>
      <c r="D40" s="62"/>
    </row>
    <row r="41" spans="1:59" ht="13">
      <c r="A41" s="89"/>
      <c r="C41" s="61"/>
      <c r="D41" s="62"/>
    </row>
    <row r="42" spans="1:59" ht="13">
      <c r="A42" s="89"/>
      <c r="C42" s="61"/>
      <c r="D42" s="62"/>
    </row>
    <row r="43" spans="1:59" ht="13">
      <c r="A43" s="89"/>
      <c r="C43" s="61"/>
      <c r="D43" s="62"/>
    </row>
    <row r="44" spans="1:59" ht="13">
      <c r="A44" s="89"/>
      <c r="C44" s="61"/>
      <c r="D44" s="62"/>
    </row>
    <row r="45" spans="1:59" ht="13">
      <c r="A45" s="89"/>
      <c r="C45" s="61"/>
      <c r="D45" s="62"/>
    </row>
    <row r="46" spans="1:59" ht="13">
      <c r="A46" s="89"/>
      <c r="C46" s="61"/>
      <c r="D46" s="62"/>
    </row>
    <row r="47" spans="1:59" ht="13">
      <c r="A47" s="89"/>
      <c r="C47" s="61"/>
      <c r="D47" s="62"/>
    </row>
    <row r="48" spans="1:59" ht="13">
      <c r="A48" s="89"/>
      <c r="C48" s="61"/>
      <c r="D48" s="62"/>
    </row>
    <row r="49" spans="1:4" ht="13">
      <c r="A49" s="89"/>
      <c r="C49" s="61"/>
      <c r="D49" s="62"/>
    </row>
    <row r="50" spans="1:4" ht="13">
      <c r="A50" s="89"/>
      <c r="C50" s="61"/>
      <c r="D50" s="62"/>
    </row>
    <row r="51" spans="1:4" ht="13">
      <c r="A51" s="89"/>
    </row>
    <row r="52" spans="1:4" ht="13">
      <c r="A52" s="89"/>
    </row>
    <row r="53" spans="1:4" ht="13">
      <c r="A53" s="89"/>
    </row>
    <row r="54" spans="1:4" ht="13">
      <c r="A54" s="89"/>
    </row>
    <row r="55" spans="1:4" ht="13">
      <c r="A55" s="89"/>
    </row>
    <row r="56" spans="1:4" ht="13">
      <c r="A56" s="89"/>
    </row>
    <row r="57" spans="1:4" ht="13">
      <c r="A57" s="89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G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6" width="15.1640625" customWidth="1"/>
    <col min="57" max="57" width="20.33203125" customWidth="1"/>
    <col min="58" max="59" width="15.1640625" customWidth="1"/>
  </cols>
  <sheetData>
    <row r="1" spans="1:59" ht="42.75" customHeight="1">
      <c r="A1" s="5" t="s">
        <v>148</v>
      </c>
      <c r="C1" s="61" t="s">
        <v>131</v>
      </c>
      <c r="D1" s="59">
        <v>43496</v>
      </c>
      <c r="E1" s="60"/>
      <c r="F1" s="60"/>
      <c r="G1" s="61"/>
      <c r="H1" s="59">
        <v>43524</v>
      </c>
      <c r="I1" s="60"/>
      <c r="J1" s="60"/>
      <c r="K1" s="61"/>
      <c r="L1" s="59">
        <v>43555</v>
      </c>
      <c r="M1" s="60"/>
      <c r="N1" s="60"/>
      <c r="O1" s="61"/>
      <c r="P1" s="59">
        <v>43585</v>
      </c>
      <c r="Q1" s="60"/>
      <c r="R1" s="60"/>
      <c r="S1" s="61"/>
      <c r="T1" s="59">
        <v>43616</v>
      </c>
      <c r="U1" s="60"/>
      <c r="V1" s="60"/>
      <c r="W1" s="61"/>
      <c r="X1" s="59">
        <v>43646</v>
      </c>
      <c r="Y1" s="60"/>
      <c r="Z1" s="60"/>
      <c r="AA1" s="61"/>
      <c r="AB1" s="59">
        <v>43677</v>
      </c>
      <c r="AC1" s="60"/>
      <c r="AD1" s="60"/>
      <c r="AE1" s="61"/>
      <c r="AF1" s="59">
        <v>43708</v>
      </c>
      <c r="AG1" s="60"/>
      <c r="AH1" s="60"/>
      <c r="AI1" s="61"/>
      <c r="AJ1" s="59">
        <v>43738</v>
      </c>
      <c r="AK1" s="60"/>
      <c r="AL1" s="60"/>
      <c r="AM1" s="61"/>
      <c r="AN1" s="59">
        <v>43769</v>
      </c>
      <c r="AO1" s="60"/>
      <c r="AP1" s="60"/>
      <c r="AQ1" s="61"/>
      <c r="AR1" s="59">
        <v>43799</v>
      </c>
      <c r="AS1" s="60"/>
      <c r="AT1" s="60"/>
      <c r="AU1" s="61"/>
      <c r="AV1" s="59">
        <v>43830</v>
      </c>
      <c r="AW1" s="60"/>
      <c r="AX1" s="60"/>
      <c r="BB1" s="62"/>
      <c r="BD1" s="61"/>
    </row>
    <row r="2" spans="1:59" ht="14">
      <c r="A2" s="5"/>
      <c r="C2" s="61"/>
      <c r="D2" s="62">
        <f>YEAR(D1)</f>
        <v>2019</v>
      </c>
      <c r="G2" s="61"/>
      <c r="H2" s="62">
        <f>YEAR(H1)</f>
        <v>2019</v>
      </c>
      <c r="K2" s="61"/>
      <c r="L2" s="62">
        <f>YEAR(L1)</f>
        <v>2019</v>
      </c>
      <c r="O2" s="61"/>
      <c r="P2" s="62">
        <f>YEAR(P1)</f>
        <v>2019</v>
      </c>
      <c r="S2" s="61"/>
      <c r="T2" s="62">
        <f>YEAR(T1)</f>
        <v>2019</v>
      </c>
      <c r="W2" s="61"/>
      <c r="X2" s="62">
        <f>YEAR(X1)</f>
        <v>2019</v>
      </c>
      <c r="AA2" s="61"/>
      <c r="AB2" s="62">
        <f>YEAR(AB1)</f>
        <v>2019</v>
      </c>
      <c r="AE2" s="61"/>
      <c r="AF2" s="62">
        <f>YEAR(AF1)</f>
        <v>2019</v>
      </c>
      <c r="AI2" s="61"/>
      <c r="AJ2" s="62">
        <f>YEAR(AJ1)</f>
        <v>2019</v>
      </c>
      <c r="AM2" s="61"/>
      <c r="AN2" s="62">
        <f>YEAR(AN1)</f>
        <v>2019</v>
      </c>
      <c r="AQ2" s="61"/>
      <c r="AR2" s="62">
        <f>YEAR(AR1)</f>
        <v>2019</v>
      </c>
      <c r="AU2" s="61"/>
      <c r="AV2" s="62">
        <f>YEAR(AV1)</f>
        <v>2019</v>
      </c>
      <c r="AY2" s="61"/>
      <c r="AZ2" s="65" t="s">
        <v>132</v>
      </c>
      <c r="BA2" s="65"/>
      <c r="BB2" s="209" t="s">
        <v>247</v>
      </c>
      <c r="BC2" s="65"/>
      <c r="BD2" s="61"/>
      <c r="BE2" s="67">
        <v>2019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F4" s="261"/>
      <c r="G4" s="61"/>
      <c r="H4" s="69" t="str">
        <f>IF(MONTH(H1)&lt;7,"1H","2H")</f>
        <v>1H</v>
      </c>
      <c r="J4" s="1"/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28">
      <c r="A5" s="89" t="s">
        <v>136</v>
      </c>
      <c r="C5" s="61"/>
      <c r="D5" s="186">
        <v>36626.949999999997</v>
      </c>
      <c r="E5" s="187">
        <v>37453.769999999997</v>
      </c>
      <c r="F5" s="91"/>
      <c r="G5" s="92"/>
      <c r="H5" s="186">
        <v>58503.4</v>
      </c>
      <c r="I5" s="187">
        <v>59713.87</v>
      </c>
      <c r="J5" s="91"/>
      <c r="K5" s="92"/>
      <c r="L5" s="186">
        <v>42636.28</v>
      </c>
      <c r="M5" s="187">
        <v>45765.23</v>
      </c>
      <c r="N5" s="91"/>
      <c r="O5" s="92"/>
      <c r="P5" s="186">
        <v>41559.53</v>
      </c>
      <c r="Q5" s="187">
        <v>52461.47</v>
      </c>
      <c r="R5" s="91"/>
      <c r="S5" s="92"/>
      <c r="T5" s="186">
        <v>30784.95</v>
      </c>
      <c r="U5" s="186">
        <v>55068.09</v>
      </c>
      <c r="V5" s="91"/>
      <c r="W5" s="92"/>
      <c r="X5" s="186">
        <v>60949.65</v>
      </c>
      <c r="Y5" s="187">
        <v>63909.2</v>
      </c>
      <c r="Z5" s="91"/>
      <c r="AA5" s="92"/>
      <c r="AB5" s="186">
        <v>52238.15</v>
      </c>
      <c r="AC5" s="187">
        <v>53628.97</v>
      </c>
      <c r="AD5" s="91"/>
      <c r="AE5" s="92"/>
      <c r="AF5" s="186">
        <v>5182.18</v>
      </c>
      <c r="AG5" s="187">
        <v>9567.2000000000007</v>
      </c>
      <c r="AH5" s="91"/>
      <c r="AI5" s="92"/>
      <c r="AJ5" s="186">
        <v>65005.77</v>
      </c>
      <c r="AK5" s="187">
        <v>65807.929999999993</v>
      </c>
      <c r="AL5" s="91"/>
      <c r="AM5" s="92"/>
      <c r="AN5" s="186">
        <v>28672.43</v>
      </c>
      <c r="AO5" s="91" t="s">
        <v>287</v>
      </c>
      <c r="AP5" s="91" t="s">
        <v>288</v>
      </c>
      <c r="AQ5" s="262">
        <v>33727.279999999999</v>
      </c>
      <c r="AR5" s="186">
        <v>23135.29</v>
      </c>
      <c r="AS5" s="186">
        <v>23553.16</v>
      </c>
      <c r="AT5" s="91"/>
      <c r="AU5" s="92"/>
      <c r="AV5" s="186">
        <v>-73550.19</v>
      </c>
      <c r="AW5" s="186">
        <v>-72291.149999999994</v>
      </c>
      <c r="AX5" s="263"/>
      <c r="AY5" s="92"/>
      <c r="AZ5" s="93">
        <f t="shared" ref="AZ5:AZ7" si="0">SUMIF($D$3:$AY$3,AZ$2,$D5:$AY5)</f>
        <v>137766.63</v>
      </c>
      <c r="BA5" s="92"/>
      <c r="BB5" s="93">
        <f t="shared" ref="BB5:BB7" si="1">SUMIF($D$4:$AY$4,BB$2,$D5:$AY5)</f>
        <v>271060.76</v>
      </c>
      <c r="BC5" s="94"/>
      <c r="BD5" s="92"/>
      <c r="BE5" s="94">
        <f t="shared" ref="BE5:BE7" si="2">SUMIF($D$2:$AY$2,$BE$2,$D5:$AY5)</f>
        <v>371744.39</v>
      </c>
      <c r="BF5" s="94"/>
      <c r="BG5" s="94"/>
    </row>
    <row r="6" spans="1:59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>
        <f>57959.78-AN5</f>
        <v>29287.35</v>
      </c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4"/>
      <c r="BD6" s="92"/>
      <c r="BE6" s="94">
        <f t="shared" si="2"/>
        <v>0</v>
      </c>
      <c r="BF6" s="94"/>
      <c r="BG6" s="94"/>
    </row>
    <row r="7" spans="1:59" ht="28">
      <c r="A7" s="89" t="s">
        <v>143</v>
      </c>
      <c r="B7" s="99">
        <v>12500</v>
      </c>
      <c r="C7" s="61"/>
      <c r="D7" s="100">
        <f>'Mirek Revised PS Model 2019'!ColinSalary</f>
        <v>12500</v>
      </c>
      <c r="E7" s="91"/>
      <c r="F7" s="91">
        <v>36626.949999999997</v>
      </c>
      <c r="G7" s="92">
        <v>1823.6</v>
      </c>
      <c r="H7" s="100">
        <f>'Mirek Revised PS Model 2019'!ColinSalary</f>
        <v>12500</v>
      </c>
      <c r="I7" s="91"/>
      <c r="J7" s="91"/>
      <c r="K7" s="92"/>
      <c r="L7" s="100">
        <f>'Mirek Revised PS Model 2019'!ColinSalary</f>
        <v>12500</v>
      </c>
      <c r="M7" s="91"/>
      <c r="N7" s="91"/>
      <c r="O7" s="92"/>
      <c r="P7" s="100">
        <f>'Mirek Revised PS Model 2019'!ColinSalary</f>
        <v>12500</v>
      </c>
      <c r="Q7" s="91"/>
      <c r="R7" s="91"/>
      <c r="S7" s="92"/>
      <c r="T7" s="100">
        <f>'Mirek Revised PS Model 2019'!ColinSalary</f>
        <v>12500</v>
      </c>
      <c r="U7" s="91"/>
      <c r="V7" s="91"/>
      <c r="W7" s="92"/>
      <c r="X7" s="100">
        <f>'Mirek Revised PS Model 2019'!ColinSalary</f>
        <v>12500</v>
      </c>
      <c r="Y7" s="91"/>
      <c r="Z7" s="91"/>
      <c r="AA7" s="92"/>
      <c r="AB7" s="100">
        <f>'Mirek Revised PS Model 2019'!ColinSalary</f>
        <v>12500</v>
      </c>
      <c r="AC7" s="91"/>
      <c r="AD7" s="91"/>
      <c r="AE7" s="92"/>
      <c r="AF7" s="100">
        <f>'Mirek Revised PS Model 2019'!ColinSalary</f>
        <v>12500</v>
      </c>
      <c r="AG7" s="91"/>
      <c r="AH7" s="91"/>
      <c r="AI7" s="92"/>
      <c r="AJ7" s="100">
        <f>'Mirek Revised PS Model 2019'!ColinSalary</f>
        <v>12500</v>
      </c>
      <c r="AK7" s="91"/>
      <c r="AL7" s="91"/>
      <c r="AM7" s="92"/>
      <c r="AN7" s="100">
        <f>'Mirek Revised PS Model 2019'!ColinSalary</f>
        <v>12500</v>
      </c>
      <c r="AO7" s="91"/>
      <c r="AP7" s="91">
        <v>23732.5</v>
      </c>
      <c r="AQ7" s="92" t="s">
        <v>289</v>
      </c>
      <c r="AR7" s="100">
        <f>'Mirek Revised PS Model 2019'!ColinSalary</f>
        <v>12500</v>
      </c>
      <c r="AS7" s="91"/>
      <c r="AT7" s="91"/>
      <c r="AU7" s="92"/>
      <c r="AV7" s="100">
        <f>'Mirek Revised PS Model 2019'!ColinSalary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56">
      <c r="A8" s="89" t="s">
        <v>144</v>
      </c>
      <c r="B8" s="101"/>
      <c r="C8" s="102"/>
      <c r="D8" s="103"/>
      <c r="E8" s="91"/>
      <c r="F8" s="91"/>
      <c r="G8" s="92">
        <f>G7-F16</f>
        <v>0</v>
      </c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/>
      <c r="AC8" s="91"/>
      <c r="AD8" s="91"/>
      <c r="AE8" s="92"/>
      <c r="AF8" s="103">
        <f>SUM(AZ27:AZ33)</f>
        <v>35737.509999999995</v>
      </c>
      <c r="AG8" s="91"/>
      <c r="AH8" s="91"/>
      <c r="AI8" s="92"/>
      <c r="AJ8" s="103"/>
      <c r="AK8" s="91"/>
      <c r="AL8" s="91"/>
      <c r="AM8" s="92"/>
      <c r="AN8" s="54">
        <f>SUM(BB27:BB33)</f>
        <v>47373.260000000009</v>
      </c>
      <c r="AO8" s="91"/>
      <c r="AP8" s="91">
        <f>AP6-AP7</f>
        <v>5554.8499999999985</v>
      </c>
      <c r="AQ8" s="92" t="s">
        <v>290</v>
      </c>
      <c r="AR8" s="103"/>
      <c r="AS8" s="91"/>
      <c r="AT8" s="91"/>
      <c r="AU8" s="92"/>
      <c r="AV8" s="103">
        <v>84700.89</v>
      </c>
      <c r="AW8" s="91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13">
      <c r="A9" s="89" t="s">
        <v>145</v>
      </c>
      <c r="B9" s="101"/>
      <c r="C9" s="102"/>
      <c r="D9" s="104">
        <f>SUM(F16:F23)</f>
        <v>1823.6</v>
      </c>
      <c r="E9" s="187">
        <v>1176.78</v>
      </c>
      <c r="F9" s="91"/>
      <c r="G9" s="92"/>
      <c r="H9" s="104">
        <f>SUM(J16:J23)</f>
        <v>2550.58</v>
      </c>
      <c r="I9" s="187">
        <v>1430.11</v>
      </c>
      <c r="J9" s="91"/>
      <c r="K9" s="92"/>
      <c r="L9" s="104">
        <f>SUM(N16:N23)</f>
        <v>4567.17</v>
      </c>
      <c r="M9" s="187">
        <v>1438.22</v>
      </c>
      <c r="N9" s="91"/>
      <c r="O9" s="92"/>
      <c r="P9" s="104">
        <f>SUM(R16:R23)</f>
        <v>12446.19</v>
      </c>
      <c r="Q9" s="187">
        <v>1634.25</v>
      </c>
      <c r="R9" s="91"/>
      <c r="S9" s="92"/>
      <c r="T9" s="104">
        <f>SUM(V16:V23)</f>
        <v>26135.73</v>
      </c>
      <c r="U9" s="187">
        <v>1942.59</v>
      </c>
      <c r="V9" s="91"/>
      <c r="W9" s="92"/>
      <c r="X9" s="104">
        <f>SUM(Z16:Z23)</f>
        <v>5431.26</v>
      </c>
      <c r="Y9" s="187">
        <v>2651.71</v>
      </c>
      <c r="Z9" s="91"/>
      <c r="AA9" s="92"/>
      <c r="AB9" s="104">
        <f>SUM(AD16:AD23)</f>
        <v>3691.52</v>
      </c>
      <c r="AC9" s="187">
        <v>2510.6999999999998</v>
      </c>
      <c r="AD9" s="91"/>
      <c r="AE9" s="92"/>
      <c r="AF9" s="104">
        <f>SUM(AH16:AH23)</f>
        <v>6547.16</v>
      </c>
      <c r="AG9" s="187">
        <v>2162.14</v>
      </c>
      <c r="AH9" s="91"/>
      <c r="AI9" s="92"/>
      <c r="AJ9" s="104">
        <f>SUM(AL16:AL23)</f>
        <v>4855.33</v>
      </c>
      <c r="AK9" s="187">
        <v>4173.17</v>
      </c>
      <c r="AL9" s="91"/>
      <c r="AM9" s="92"/>
      <c r="AN9" s="104">
        <f>SUM(AP16:AP23)</f>
        <v>5692.64</v>
      </c>
      <c r="AO9" s="187">
        <v>757.79</v>
      </c>
      <c r="AP9" s="91"/>
      <c r="AQ9" s="92"/>
      <c r="AR9" s="104">
        <f>SUM(AT16:AT23)</f>
        <v>2623.95</v>
      </c>
      <c r="AS9" s="187">
        <v>2326.08</v>
      </c>
      <c r="AT9" s="91"/>
      <c r="AU9" s="92"/>
      <c r="AV9" s="104">
        <f>SUM(AX16:AX23)</f>
        <v>8382.31</v>
      </c>
      <c r="AW9" s="187">
        <v>7243.27</v>
      </c>
      <c r="AX9" s="91"/>
      <c r="AY9" s="92"/>
      <c r="AZ9" s="93">
        <f t="shared" ref="AZ9:AZ13" si="3">SUMIF($D$3:$AY$3,AZ$2,$D9:$AY9)</f>
        <v>8941.35</v>
      </c>
      <c r="BA9" s="92"/>
      <c r="BB9" s="93">
        <f t="shared" ref="BB9:BB13" si="4">SUMIF($D$4:$AY$4,BB$2,$D9:$AY9)</f>
        <v>52954.530000000006</v>
      </c>
      <c r="BC9" s="94"/>
      <c r="BD9" s="92"/>
      <c r="BE9" s="94">
        <f t="shared" ref="BE9:BE13" si="5">SUMIF($D$2:$AY$2,$BE$2,$D9:$AY9)</f>
        <v>84747.44</v>
      </c>
      <c r="BF9" s="94"/>
      <c r="BG9" s="94"/>
    </row>
    <row r="10" spans="1:59" ht="13">
      <c r="A10" s="89" t="s">
        <v>146</v>
      </c>
      <c r="C10" s="61"/>
      <c r="D10" s="104">
        <f>D5-D6-D7+D9+D8</f>
        <v>25950.549999999996</v>
      </c>
      <c r="E10" s="91"/>
      <c r="F10" s="91"/>
      <c r="G10" s="92"/>
      <c r="H10" s="104">
        <f>H5-H6-H7+H9+H8</f>
        <v>48553.98</v>
      </c>
      <c r="I10" s="91"/>
      <c r="J10" s="91"/>
      <c r="K10" s="92"/>
      <c r="L10" s="104">
        <f>L5-L6-L7+L9+L8</f>
        <v>34703.449999999997</v>
      </c>
      <c r="M10" s="91"/>
      <c r="N10" s="91"/>
      <c r="O10" s="92"/>
      <c r="P10" s="104">
        <f>P5-P6-P7+P9+P8</f>
        <v>41505.72</v>
      </c>
      <c r="Q10" s="91"/>
      <c r="R10" s="91"/>
      <c r="S10" s="92"/>
      <c r="T10" s="104">
        <f>T5-T6-T7+T9+T8</f>
        <v>44420.68</v>
      </c>
      <c r="U10" s="91"/>
      <c r="V10" s="91"/>
      <c r="W10" s="92"/>
      <c r="X10" s="104">
        <f>X5-X6-X7+X9+X8</f>
        <v>53880.91</v>
      </c>
      <c r="Y10" s="91"/>
      <c r="Z10" s="91"/>
      <c r="AA10" s="92"/>
      <c r="AB10" s="104">
        <f>AB5-AB6-AB7+AB9+AB8</f>
        <v>43429.67</v>
      </c>
      <c r="AC10" s="91"/>
      <c r="AD10" s="91"/>
      <c r="AE10" s="92"/>
      <c r="AF10" s="104">
        <f>AF5-AF6-AF7+AF9+AF8</f>
        <v>34966.849999999991</v>
      </c>
      <c r="AG10" s="91"/>
      <c r="AH10" s="91"/>
      <c r="AI10" s="92"/>
      <c r="AJ10" s="104">
        <f>AJ5-AJ6-AJ7+AJ9+AJ8</f>
        <v>57361.1</v>
      </c>
      <c r="AK10" s="91"/>
      <c r="AL10" s="91"/>
      <c r="AM10" s="92"/>
      <c r="AN10" s="104">
        <f>AN5-AN6-AN7+AN9+AN8</f>
        <v>69238.330000000016</v>
      </c>
      <c r="AO10" s="91"/>
      <c r="AP10" s="91"/>
      <c r="AQ10" s="92"/>
      <c r="AR10" s="104">
        <f>AR5-AR6-AR7+AR9+AR8</f>
        <v>13259.240000000002</v>
      </c>
      <c r="AS10" s="91"/>
      <c r="AT10" s="91"/>
      <c r="AU10" s="92"/>
      <c r="AV10" s="104">
        <f>AV5-AV6-AV7+AV9+AV8</f>
        <v>7033.0099999999948</v>
      </c>
      <c r="AW10" s="91"/>
      <c r="AX10" s="91"/>
      <c r="AY10" s="92"/>
      <c r="AZ10" s="93">
        <f t="shared" si="3"/>
        <v>109207.98</v>
      </c>
      <c r="BA10" s="92"/>
      <c r="BB10" s="93">
        <f t="shared" si="4"/>
        <v>249015.29</v>
      </c>
      <c r="BC10" s="94"/>
      <c r="BD10" s="92"/>
      <c r="BE10" s="94">
        <f t="shared" si="5"/>
        <v>474303.49</v>
      </c>
      <c r="BF10" s="94"/>
      <c r="BG10" s="94"/>
    </row>
    <row r="11" spans="1:59" ht="13">
      <c r="A11" s="89" t="s">
        <v>147</v>
      </c>
      <c r="C11" s="61"/>
      <c r="D11" s="213">
        <v>64000</v>
      </c>
      <c r="E11" s="213">
        <v>12500</v>
      </c>
      <c r="F11" s="91"/>
      <c r="G11" s="92"/>
      <c r="H11" s="90">
        <v>12500</v>
      </c>
      <c r="I11" s="91"/>
      <c r="J11" s="91"/>
      <c r="K11" s="92"/>
      <c r="L11" s="213">
        <v>18750</v>
      </c>
      <c r="M11" s="177">
        <v>25000</v>
      </c>
      <c r="N11" s="91"/>
      <c r="O11" s="92"/>
      <c r="P11" s="213">
        <v>0</v>
      </c>
      <c r="Q11" s="213">
        <v>32500</v>
      </c>
      <c r="R11" s="91"/>
      <c r="S11" s="92"/>
      <c r="T11" s="213">
        <v>12500</v>
      </c>
      <c r="U11" s="177">
        <v>0</v>
      </c>
      <c r="V11" s="91"/>
      <c r="W11" s="92"/>
      <c r="X11" s="213">
        <v>37600.5</v>
      </c>
      <c r="Y11" s="213">
        <v>12500</v>
      </c>
      <c r="Z11" s="91"/>
      <c r="AA11" s="92"/>
      <c r="AB11" s="213">
        <v>12500</v>
      </c>
      <c r="AC11" s="177">
        <v>25000</v>
      </c>
      <c r="AD11" s="91"/>
      <c r="AE11" s="92"/>
      <c r="AF11" s="213">
        <v>37902.949999999997</v>
      </c>
      <c r="AG11" s="213">
        <v>18737</v>
      </c>
      <c r="AH11" s="91"/>
      <c r="AI11" s="92"/>
      <c r="AJ11" s="213">
        <v>12500</v>
      </c>
      <c r="AK11" s="213">
        <v>80</v>
      </c>
      <c r="AL11" s="91"/>
      <c r="AM11" s="92"/>
      <c r="AN11" s="213">
        <v>30075.5</v>
      </c>
      <c r="AO11" s="213">
        <v>52600.5</v>
      </c>
      <c r="AP11" s="91"/>
      <c r="AQ11" s="92"/>
      <c r="AR11" s="213">
        <v>19356.68</v>
      </c>
      <c r="AS11" s="213">
        <v>12500</v>
      </c>
      <c r="AT11" s="177">
        <v>1356.68</v>
      </c>
      <c r="AU11" s="92"/>
      <c r="AV11" s="213">
        <v>14562.58</v>
      </c>
      <c r="AW11" s="213">
        <v>25000</v>
      </c>
      <c r="AX11" s="91"/>
      <c r="AY11" s="92"/>
      <c r="AZ11" s="93">
        <f t="shared" si="3"/>
        <v>95250</v>
      </c>
      <c r="BA11" s="92"/>
      <c r="BB11" s="93">
        <f t="shared" si="4"/>
        <v>145350.5</v>
      </c>
      <c r="BC11" s="94"/>
      <c r="BD11" s="92"/>
      <c r="BE11" s="94">
        <f t="shared" si="5"/>
        <v>272248.21000000002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264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51500</v>
      </c>
      <c r="E13" s="91"/>
      <c r="F13" s="91"/>
      <c r="G13" s="92"/>
      <c r="H13" s="100">
        <f>H11+H12-H7</f>
        <v>0</v>
      </c>
      <c r="I13" s="91"/>
      <c r="J13" s="91"/>
      <c r="K13" s="92"/>
      <c r="L13" s="100">
        <f>L11+L12-L7</f>
        <v>6250</v>
      </c>
      <c r="M13" s="91"/>
      <c r="N13" s="91"/>
      <c r="O13" s="92"/>
      <c r="P13" s="100">
        <f>P11+P12-P7</f>
        <v>-12500</v>
      </c>
      <c r="Q13" s="91"/>
      <c r="R13" s="91"/>
      <c r="S13" s="92"/>
      <c r="T13" s="100">
        <f>T11+T12-T7</f>
        <v>0</v>
      </c>
      <c r="U13" s="91"/>
      <c r="V13" s="91"/>
      <c r="W13" s="92"/>
      <c r="X13" s="100">
        <f>X11+X12-X7</f>
        <v>25100.5</v>
      </c>
      <c r="Y13" s="91"/>
      <c r="Z13" s="91"/>
      <c r="AA13" s="92"/>
      <c r="AB13" s="100">
        <f>AB11+AB12-AB7</f>
        <v>0</v>
      </c>
      <c r="AC13" s="91"/>
      <c r="AD13" s="91"/>
      <c r="AE13" s="92"/>
      <c r="AF13" s="100">
        <f>AF11+AF12-AF7</f>
        <v>25402.949999999997</v>
      </c>
      <c r="AG13" s="91"/>
      <c r="AH13" s="91"/>
      <c r="AI13" s="92"/>
      <c r="AJ13" s="100">
        <f>AJ11+AJ12-AJ7</f>
        <v>0</v>
      </c>
      <c r="AK13" s="91"/>
      <c r="AL13" s="91"/>
      <c r="AM13" s="92"/>
      <c r="AN13" s="100">
        <f>AN11+AN12-AN7</f>
        <v>17575.5</v>
      </c>
      <c r="AO13" s="91"/>
      <c r="AP13" s="91"/>
      <c r="AQ13" s="92"/>
      <c r="AR13" s="100">
        <f>AR11+AR12-AR7</f>
        <v>6856.68</v>
      </c>
      <c r="AS13" s="91"/>
      <c r="AT13" s="91"/>
      <c r="AU13" s="92"/>
      <c r="AV13" s="100">
        <f>AV11+AV12-AV7</f>
        <v>2062.58</v>
      </c>
      <c r="AW13" s="91"/>
      <c r="AX13" s="91"/>
      <c r="AY13" s="92"/>
      <c r="AZ13" s="93">
        <f t="shared" si="3"/>
        <v>57750</v>
      </c>
      <c r="BA13" s="92"/>
      <c r="BB13" s="93">
        <f t="shared" si="4"/>
        <v>70350.5</v>
      </c>
      <c r="BC13" s="94"/>
      <c r="BD13" s="92"/>
      <c r="BE13" s="94">
        <f t="shared" si="5"/>
        <v>122248.21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100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265"/>
      <c r="C16" s="121">
        <f>'Revised PS Model 2018'!BG26</f>
        <v>-106801.46023292994</v>
      </c>
      <c r="D16" s="214">
        <v>300</v>
      </c>
      <c r="E16" s="123">
        <f t="shared" ref="E16:E23" si="6">D$10*D16/D$24</f>
        <v>17673.473325766172</v>
      </c>
      <c r="F16" s="266">
        <v>1823.6</v>
      </c>
      <c r="G16" s="123">
        <f t="shared" ref="G16:G23" si="7">E16-F16</f>
        <v>15849.873325766172</v>
      </c>
      <c r="H16" s="214">
        <v>300</v>
      </c>
      <c r="I16" s="123">
        <f t="shared" ref="I16:I23" si="8">H$10*H16/H$24</f>
        <v>33067.40976163451</v>
      </c>
      <c r="J16" s="266">
        <v>2550.58</v>
      </c>
      <c r="K16" s="123">
        <f t="shared" ref="K16:K23" si="9">I16-J16</f>
        <v>30516.829761634508</v>
      </c>
      <c r="L16" s="214">
        <v>300</v>
      </c>
      <c r="M16" s="123">
        <f t="shared" ref="M16:M23" si="10">L$10*L16/L$24</f>
        <v>23634.585698070376</v>
      </c>
      <c r="N16" s="266">
        <v>4567.17</v>
      </c>
      <c r="O16" s="123">
        <f t="shared" ref="O16:O23" si="11">M16-N16</f>
        <v>19067.415698070377</v>
      </c>
      <c r="P16" s="214">
        <v>300</v>
      </c>
      <c r="Q16" s="123">
        <f t="shared" ref="Q16:Q23" si="12">P$10*P16/P$24</f>
        <v>28267.23269012486</v>
      </c>
      <c r="R16" s="266">
        <v>12446.19</v>
      </c>
      <c r="S16" s="123">
        <f t="shared" ref="S16:S23" si="13">Q16-R16</f>
        <v>15821.042690124859</v>
      </c>
      <c r="T16" s="214">
        <v>300</v>
      </c>
      <c r="U16" s="123">
        <f t="shared" ref="U16:U23" si="14">T$10*T16/T$24</f>
        <v>30252.4494892168</v>
      </c>
      <c r="V16" s="266">
        <v>26135.73</v>
      </c>
      <c r="W16" s="123">
        <f t="shared" ref="W16:W23" si="15">U16-V16</f>
        <v>4116.7194892168009</v>
      </c>
      <c r="X16" s="214">
        <v>300</v>
      </c>
      <c r="Y16" s="123">
        <f t="shared" ref="Y16:Y23" si="16">X$10*X16/X$24</f>
        <v>36695.284903518732</v>
      </c>
      <c r="Z16" s="266">
        <v>5431.26</v>
      </c>
      <c r="AA16" s="123">
        <f t="shared" ref="AA16:AA23" si="17">Y16-Z16</f>
        <v>31264.02490351873</v>
      </c>
      <c r="AB16" s="214">
        <v>300</v>
      </c>
      <c r="AC16" s="123">
        <f t="shared" ref="AC16:AC23" si="18">AB$10*AB16/AB$24</f>
        <v>29577.527809307605</v>
      </c>
      <c r="AD16" s="266">
        <v>3691.52</v>
      </c>
      <c r="AE16" s="123">
        <f t="shared" ref="AE16:AE23" si="19">AC16-AD16</f>
        <v>25886.007809307604</v>
      </c>
      <c r="AF16" s="214">
        <v>300</v>
      </c>
      <c r="AG16" s="123">
        <f t="shared" ref="AG16:AG23" si="20">AF$10*AF16/AF$24</f>
        <v>23813.97275822928</v>
      </c>
      <c r="AH16" s="266">
        <v>6547.16</v>
      </c>
      <c r="AI16" s="123">
        <f t="shared" ref="AI16:AI23" si="21">AG16-AH16</f>
        <v>17266.81275822928</v>
      </c>
      <c r="AJ16" s="214">
        <v>300</v>
      </c>
      <c r="AK16" s="123">
        <f t="shared" ref="AK16:AK23" si="22">AJ$10*AJ16/AJ$24</f>
        <v>39065.448354143016</v>
      </c>
      <c r="AL16" s="266">
        <v>4855.33</v>
      </c>
      <c r="AM16" s="123">
        <f t="shared" ref="AM16:AM23" si="23">AK16-AL16</f>
        <v>34210.118354143015</v>
      </c>
      <c r="AN16" s="214">
        <v>300</v>
      </c>
      <c r="AO16" s="123">
        <f t="shared" ref="AO16:AO23" si="24">AN$10*AN16/AN$24</f>
        <v>44336.17716115262</v>
      </c>
      <c r="AP16" s="266">
        <v>5692.64</v>
      </c>
      <c r="AQ16" s="123">
        <f t="shared" ref="AQ16:AQ23" si="25">AO16-AP16</f>
        <v>38643.537161152621</v>
      </c>
      <c r="AR16" s="214">
        <v>300</v>
      </c>
      <c r="AS16" s="123">
        <f t="shared" ref="AS16:AS23" si="26">AR$10*AR16/AR$24</f>
        <v>8490.441835645679</v>
      </c>
      <c r="AT16" s="266">
        <v>2623.95</v>
      </c>
      <c r="AU16" s="123">
        <f t="shared" ref="AU16:AU23" si="27">AS16-AT16</f>
        <v>5866.4918356456792</v>
      </c>
      <c r="AV16" s="214">
        <v>300</v>
      </c>
      <c r="AW16" s="123">
        <f t="shared" ref="AW16:AW23" si="28">AV$10*AV16/AV$24</f>
        <v>4503.5282817502639</v>
      </c>
      <c r="AX16" s="266">
        <v>8382.31</v>
      </c>
      <c r="AY16" s="126">
        <f t="shared" ref="AY16:AY23" si="29">AW16-AX16</f>
        <v>-3878.7817182497356</v>
      </c>
      <c r="AZ16" s="127">
        <f t="shared" ref="AZ16:AZ23" si="30">IF($AV$3="1Q",AY16,0)+IF($AR$3="1Q",AU16,0)+IF($AN$3="1Q",AQ16,0)+IF($AJ$3="1Q",AM16,0)+IF($AF$3="1Q",AI16,0)+IF($AB$3="1Q",AE16,0)+IF($X$3="1Q",AA16,0)+IF($T$3="1Q",W16,0)+IF($P$3="1Q",S16,0)+IF($L$3="1Q",O16,0)+IF($H$3="1Q",K16,0)+IF($D$3="1Q",G16,0)</f>
        <v>65434.118785471059</v>
      </c>
      <c r="BA16" s="128">
        <f t="shared" ref="BA16:BA23" si="31">AZ16+$C16</f>
        <v>-41367.341447458879</v>
      </c>
      <c r="BB16" s="127">
        <f t="shared" ref="BB16:BB23" si="32">IF($AV$4="1H",AY16,0)+IF($AR$4="1H",AU16,0)+IF($AN$4="1H",AQ16,0)+IF($AJ$4="1H",AM16,0)+IF($AF$4="1H",AI16,0)+IF($AB$4="1H",AE16,0)+IF($X$4="1H",AA16,0)+IF($T$4="1H",W16,0)+IF($P$4="1H",S16,0)+IF($L$4="1H",O16,0)+IF($H$4="1H",K16,0)+IF($D$4="1H",G16,0)</f>
        <v>116635.90586833144</v>
      </c>
      <c r="BC16" s="127"/>
      <c r="BD16" s="128">
        <f t="shared" ref="BD16:BD23" si="33">BB16+$C16</f>
        <v>9834.4456354014983</v>
      </c>
      <c r="BE16" s="127">
        <f t="shared" ref="BE16:BE23" si="34">AY16+AU16+AQ16+AM16+AI16+AE16+AA16+W16+S16+O16+K16+G16</f>
        <v>234630.0920685599</v>
      </c>
      <c r="BF16" s="127"/>
      <c r="BG16" s="91">
        <f t="shared" ref="BG16:BG23" si="35">BE16+C16</f>
        <v>127828.63183562996</v>
      </c>
    </row>
    <row r="17" spans="1:59" ht="13">
      <c r="A17" s="89" t="s">
        <v>209</v>
      </c>
      <c r="B17" s="265"/>
      <c r="C17" s="121">
        <f>'Revised PS Model 2018'!BG27</f>
        <v>-527.87173323582829</v>
      </c>
      <c r="D17" s="214">
        <v>100</v>
      </c>
      <c r="E17" s="123">
        <f t="shared" si="6"/>
        <v>5891.1577752553903</v>
      </c>
      <c r="F17" s="124"/>
      <c r="G17" s="123">
        <f t="shared" si="7"/>
        <v>5891.1577752553903</v>
      </c>
      <c r="H17" s="214">
        <v>100</v>
      </c>
      <c r="I17" s="123">
        <f t="shared" si="8"/>
        <v>11022.469920544836</v>
      </c>
      <c r="J17" s="124"/>
      <c r="K17" s="123">
        <f t="shared" si="9"/>
        <v>11022.469920544836</v>
      </c>
      <c r="L17" s="214">
        <v>100</v>
      </c>
      <c r="M17" s="123">
        <f t="shared" si="10"/>
        <v>7878.1952326901237</v>
      </c>
      <c r="N17" s="124"/>
      <c r="O17" s="123">
        <f t="shared" si="11"/>
        <v>7878.1952326901237</v>
      </c>
      <c r="P17" s="214">
        <v>100</v>
      </c>
      <c r="Q17" s="123">
        <f t="shared" si="12"/>
        <v>9422.4108967082866</v>
      </c>
      <c r="R17" s="124"/>
      <c r="S17" s="123">
        <f t="shared" si="13"/>
        <v>9422.4108967082866</v>
      </c>
      <c r="T17" s="214">
        <v>100</v>
      </c>
      <c r="U17" s="123">
        <f t="shared" si="14"/>
        <v>10084.149829738933</v>
      </c>
      <c r="V17" s="124"/>
      <c r="W17" s="123">
        <f t="shared" si="15"/>
        <v>10084.149829738933</v>
      </c>
      <c r="X17" s="214">
        <v>100</v>
      </c>
      <c r="Y17" s="123">
        <f t="shared" si="16"/>
        <v>12231.761634506243</v>
      </c>
      <c r="Z17" s="124"/>
      <c r="AA17" s="123">
        <f t="shared" si="17"/>
        <v>12231.761634506243</v>
      </c>
      <c r="AB17" s="214">
        <v>100</v>
      </c>
      <c r="AC17" s="123">
        <f t="shared" si="18"/>
        <v>9859.1759364358677</v>
      </c>
      <c r="AD17" s="124"/>
      <c r="AE17" s="123">
        <f t="shared" si="19"/>
        <v>9859.1759364358677</v>
      </c>
      <c r="AF17" s="214">
        <v>100</v>
      </c>
      <c r="AG17" s="123">
        <f t="shared" si="20"/>
        <v>7937.99091940976</v>
      </c>
      <c r="AH17" s="124"/>
      <c r="AI17" s="123">
        <f t="shared" si="21"/>
        <v>7937.99091940976</v>
      </c>
      <c r="AJ17" s="214">
        <v>100</v>
      </c>
      <c r="AK17" s="123">
        <f t="shared" si="22"/>
        <v>13021.816118047673</v>
      </c>
      <c r="AL17" s="124"/>
      <c r="AM17" s="123">
        <f t="shared" si="23"/>
        <v>13021.816118047673</v>
      </c>
      <c r="AN17" s="214">
        <v>100</v>
      </c>
      <c r="AO17" s="123">
        <f t="shared" si="24"/>
        <v>14778.725720384209</v>
      </c>
      <c r="AP17" s="124"/>
      <c r="AQ17" s="123">
        <f t="shared" si="25"/>
        <v>14778.725720384209</v>
      </c>
      <c r="AR17" s="214">
        <v>100</v>
      </c>
      <c r="AS17" s="123">
        <f t="shared" si="26"/>
        <v>2830.1472785485598</v>
      </c>
      <c r="AT17" s="124"/>
      <c r="AU17" s="123">
        <f t="shared" si="27"/>
        <v>2830.1472785485598</v>
      </c>
      <c r="AV17" s="214">
        <v>100</v>
      </c>
      <c r="AW17" s="123">
        <f t="shared" si="28"/>
        <v>1501.1760939167546</v>
      </c>
      <c r="AX17" s="124"/>
      <c r="AY17" s="126">
        <f t="shared" si="29"/>
        <v>1501.1760939167546</v>
      </c>
      <c r="AZ17" s="127">
        <f t="shared" si="30"/>
        <v>24791.82292849035</v>
      </c>
      <c r="BA17" s="128">
        <f t="shared" si="31"/>
        <v>24263.951195254522</v>
      </c>
      <c r="BB17" s="127">
        <f t="shared" si="32"/>
        <v>56530.145289443812</v>
      </c>
      <c r="BC17" s="127"/>
      <c r="BD17" s="128">
        <f t="shared" si="33"/>
        <v>56002.273556207983</v>
      </c>
      <c r="BE17" s="127">
        <f t="shared" si="34"/>
        <v>106459.17735618664</v>
      </c>
      <c r="BF17" s="127"/>
      <c r="BG17" s="91">
        <f t="shared" si="35"/>
        <v>105931.30562295081</v>
      </c>
    </row>
    <row r="18" spans="1:59" ht="13">
      <c r="A18" s="89" t="s">
        <v>61</v>
      </c>
      <c r="B18" s="265"/>
      <c r="C18" s="121">
        <f>'Revised PS Model 2018'!BG28</f>
        <v>-84.376024461047564</v>
      </c>
      <c r="D18" s="53">
        <v>16</v>
      </c>
      <c r="E18" s="123">
        <f t="shared" si="6"/>
        <v>942.58524404086245</v>
      </c>
      <c r="F18" s="124"/>
      <c r="G18" s="126">
        <f t="shared" si="7"/>
        <v>942.58524404086245</v>
      </c>
      <c r="H18" s="53">
        <v>16</v>
      </c>
      <c r="I18" s="123">
        <f t="shared" si="8"/>
        <v>1763.5951872871738</v>
      </c>
      <c r="J18" s="124"/>
      <c r="K18" s="126">
        <f t="shared" si="9"/>
        <v>1763.5951872871738</v>
      </c>
      <c r="L18" s="53">
        <v>16</v>
      </c>
      <c r="M18" s="123">
        <f t="shared" si="10"/>
        <v>1260.51123723042</v>
      </c>
      <c r="N18" s="124"/>
      <c r="O18" s="126">
        <f t="shared" si="11"/>
        <v>1260.51123723042</v>
      </c>
      <c r="P18" s="53">
        <v>16</v>
      </c>
      <c r="Q18" s="123">
        <f t="shared" si="12"/>
        <v>1507.5857434733259</v>
      </c>
      <c r="R18" s="124"/>
      <c r="S18" s="126">
        <f t="shared" si="13"/>
        <v>1507.5857434733259</v>
      </c>
      <c r="T18" s="53">
        <v>16</v>
      </c>
      <c r="U18" s="123">
        <f t="shared" si="14"/>
        <v>1613.4639727582294</v>
      </c>
      <c r="V18" s="124"/>
      <c r="W18" s="126">
        <f t="shared" si="15"/>
        <v>1613.4639727582294</v>
      </c>
      <c r="X18" s="53">
        <v>16</v>
      </c>
      <c r="Y18" s="123">
        <f t="shared" si="16"/>
        <v>1957.0818615209989</v>
      </c>
      <c r="Z18" s="124"/>
      <c r="AA18" s="126">
        <f t="shared" si="17"/>
        <v>1957.0818615209989</v>
      </c>
      <c r="AB18" s="53">
        <v>16</v>
      </c>
      <c r="AC18" s="123">
        <f t="shared" si="18"/>
        <v>1577.4681498297389</v>
      </c>
      <c r="AD18" s="124"/>
      <c r="AE18" s="126">
        <f t="shared" si="19"/>
        <v>1577.4681498297389</v>
      </c>
      <c r="AF18" s="53">
        <v>16</v>
      </c>
      <c r="AG18" s="123">
        <f t="shared" si="20"/>
        <v>1270.0785471055615</v>
      </c>
      <c r="AH18" s="124"/>
      <c r="AI18" s="126">
        <f t="shared" si="21"/>
        <v>1270.0785471055615</v>
      </c>
      <c r="AJ18" s="53">
        <v>16</v>
      </c>
      <c r="AK18" s="123">
        <f t="shared" si="22"/>
        <v>2083.4905788876276</v>
      </c>
      <c r="AL18" s="124"/>
      <c r="AM18" s="126">
        <f t="shared" si="23"/>
        <v>2083.4905788876276</v>
      </c>
      <c r="AN18" s="53">
        <v>30</v>
      </c>
      <c r="AO18" s="123">
        <f t="shared" si="24"/>
        <v>4433.6177161152618</v>
      </c>
      <c r="AP18" s="124"/>
      <c r="AQ18" s="126">
        <f t="shared" si="25"/>
        <v>4433.6177161152618</v>
      </c>
      <c r="AR18" s="53">
        <v>30</v>
      </c>
      <c r="AS18" s="123">
        <f t="shared" si="26"/>
        <v>849.0441835645679</v>
      </c>
      <c r="AT18" s="124"/>
      <c r="AU18" s="126">
        <f t="shared" si="27"/>
        <v>849.0441835645679</v>
      </c>
      <c r="AV18" s="53">
        <v>30</v>
      </c>
      <c r="AW18" s="123">
        <f t="shared" si="28"/>
        <v>450.35282817502633</v>
      </c>
      <c r="AX18" s="124"/>
      <c r="AY18" s="126">
        <f t="shared" si="29"/>
        <v>450.35282817502633</v>
      </c>
      <c r="AZ18" s="127">
        <f t="shared" si="30"/>
        <v>3966.6916685584565</v>
      </c>
      <c r="BA18" s="128">
        <f t="shared" si="31"/>
        <v>3882.3156440974089</v>
      </c>
      <c r="BB18" s="127">
        <f t="shared" si="32"/>
        <v>9044.8232463110107</v>
      </c>
      <c r="BC18" s="127"/>
      <c r="BD18" s="128">
        <f t="shared" si="33"/>
        <v>8960.4472218499632</v>
      </c>
      <c r="BE18" s="127">
        <f t="shared" si="34"/>
        <v>19708.875249988796</v>
      </c>
      <c r="BF18" s="127"/>
      <c r="BG18" s="91">
        <f t="shared" si="35"/>
        <v>19624.499225527747</v>
      </c>
    </row>
    <row r="19" spans="1:59" ht="13">
      <c r="A19" s="89" t="s">
        <v>65</v>
      </c>
      <c r="B19" s="265"/>
      <c r="C19" s="121">
        <f>'Revised PS Model 2018'!BG29</f>
        <v>-84.376024461047564</v>
      </c>
      <c r="D19" s="53">
        <v>16</v>
      </c>
      <c r="E19" s="123">
        <f t="shared" si="6"/>
        <v>942.58524404086245</v>
      </c>
      <c r="F19" s="124"/>
      <c r="G19" s="126">
        <f t="shared" si="7"/>
        <v>942.58524404086245</v>
      </c>
      <c r="H19" s="53">
        <v>16</v>
      </c>
      <c r="I19" s="123">
        <f t="shared" si="8"/>
        <v>1763.5951872871738</v>
      </c>
      <c r="J19" s="124"/>
      <c r="K19" s="126">
        <f t="shared" si="9"/>
        <v>1763.5951872871738</v>
      </c>
      <c r="L19" s="53">
        <v>16</v>
      </c>
      <c r="M19" s="123">
        <f t="shared" si="10"/>
        <v>1260.51123723042</v>
      </c>
      <c r="N19" s="124"/>
      <c r="O19" s="126">
        <f t="shared" si="11"/>
        <v>1260.51123723042</v>
      </c>
      <c r="P19" s="53">
        <v>16</v>
      </c>
      <c r="Q19" s="123">
        <f t="shared" si="12"/>
        <v>1507.5857434733259</v>
      </c>
      <c r="R19" s="124"/>
      <c r="S19" s="126">
        <f t="shared" si="13"/>
        <v>1507.5857434733259</v>
      </c>
      <c r="T19" s="53">
        <v>16</v>
      </c>
      <c r="U19" s="123">
        <f t="shared" si="14"/>
        <v>1613.4639727582294</v>
      </c>
      <c r="V19" s="124"/>
      <c r="W19" s="126">
        <f t="shared" si="15"/>
        <v>1613.4639727582294</v>
      </c>
      <c r="X19" s="53">
        <v>16</v>
      </c>
      <c r="Y19" s="123">
        <f t="shared" si="16"/>
        <v>1957.0818615209989</v>
      </c>
      <c r="Z19" s="124"/>
      <c r="AA19" s="126">
        <f t="shared" si="17"/>
        <v>1957.0818615209989</v>
      </c>
      <c r="AB19" s="53">
        <v>16</v>
      </c>
      <c r="AC19" s="123">
        <f t="shared" si="18"/>
        <v>1577.4681498297389</v>
      </c>
      <c r="AD19" s="124"/>
      <c r="AE19" s="126">
        <f t="shared" si="19"/>
        <v>1577.4681498297389</v>
      </c>
      <c r="AF19" s="53">
        <v>16</v>
      </c>
      <c r="AG19" s="123">
        <f t="shared" si="20"/>
        <v>1270.0785471055615</v>
      </c>
      <c r="AH19" s="124"/>
      <c r="AI19" s="126">
        <f t="shared" si="21"/>
        <v>1270.0785471055615</v>
      </c>
      <c r="AJ19" s="53">
        <v>16</v>
      </c>
      <c r="AK19" s="123">
        <f t="shared" si="22"/>
        <v>2083.4905788876276</v>
      </c>
      <c r="AL19" s="124"/>
      <c r="AM19" s="126">
        <f t="shared" si="23"/>
        <v>2083.4905788876276</v>
      </c>
      <c r="AN19" s="53">
        <v>30</v>
      </c>
      <c r="AO19" s="123">
        <f t="shared" si="24"/>
        <v>4433.6177161152618</v>
      </c>
      <c r="AP19" s="124"/>
      <c r="AQ19" s="126">
        <f t="shared" si="25"/>
        <v>4433.6177161152618</v>
      </c>
      <c r="AR19" s="53">
        <v>30</v>
      </c>
      <c r="AS19" s="123">
        <f t="shared" si="26"/>
        <v>849.0441835645679</v>
      </c>
      <c r="AT19" s="124"/>
      <c r="AU19" s="126">
        <f t="shared" si="27"/>
        <v>849.0441835645679</v>
      </c>
      <c r="AV19" s="53">
        <v>30</v>
      </c>
      <c r="AW19" s="123">
        <f t="shared" si="28"/>
        <v>450.35282817502633</v>
      </c>
      <c r="AX19" s="124"/>
      <c r="AY19" s="126">
        <f t="shared" si="29"/>
        <v>450.35282817502633</v>
      </c>
      <c r="AZ19" s="127">
        <f t="shared" si="30"/>
        <v>3966.6916685584565</v>
      </c>
      <c r="BA19" s="128">
        <f t="shared" si="31"/>
        <v>3882.3156440974089</v>
      </c>
      <c r="BB19" s="127">
        <f t="shared" si="32"/>
        <v>9044.8232463110107</v>
      </c>
      <c r="BC19" s="127"/>
      <c r="BD19" s="128">
        <f t="shared" si="33"/>
        <v>8960.4472218499632</v>
      </c>
      <c r="BE19" s="127">
        <f t="shared" si="34"/>
        <v>19708.875249988796</v>
      </c>
      <c r="BF19" s="127"/>
      <c r="BG19" s="91">
        <f t="shared" si="35"/>
        <v>19624.499225527747</v>
      </c>
    </row>
    <row r="20" spans="1:59" ht="13">
      <c r="A20" s="89" t="s">
        <v>210</v>
      </c>
      <c r="B20" s="265"/>
      <c r="C20" s="121">
        <f>'Revised PS Model 2018'!BG30</f>
        <v>-13.130874006810359</v>
      </c>
      <c r="D20" s="53">
        <v>2.5</v>
      </c>
      <c r="E20" s="123">
        <f t="shared" si="6"/>
        <v>147.27894438138475</v>
      </c>
      <c r="F20" s="124"/>
      <c r="G20" s="126">
        <f t="shared" si="7"/>
        <v>147.27894438138475</v>
      </c>
      <c r="H20" s="53">
        <v>2.5</v>
      </c>
      <c r="I20" s="123">
        <f t="shared" si="8"/>
        <v>275.5617480136209</v>
      </c>
      <c r="J20" s="124"/>
      <c r="K20" s="126">
        <f t="shared" si="9"/>
        <v>275.5617480136209</v>
      </c>
      <c r="L20" s="53">
        <v>2.5</v>
      </c>
      <c r="M20" s="123">
        <f t="shared" si="10"/>
        <v>196.95488081725313</v>
      </c>
      <c r="N20" s="124"/>
      <c r="O20" s="126">
        <f t="shared" si="11"/>
        <v>196.95488081725313</v>
      </c>
      <c r="P20" s="53">
        <v>2.5</v>
      </c>
      <c r="Q20" s="123">
        <f t="shared" si="12"/>
        <v>235.56027241770715</v>
      </c>
      <c r="R20" s="124"/>
      <c r="S20" s="126">
        <f t="shared" si="13"/>
        <v>235.56027241770715</v>
      </c>
      <c r="T20" s="53">
        <v>2.5</v>
      </c>
      <c r="U20" s="123">
        <f t="shared" si="14"/>
        <v>252.10374574347333</v>
      </c>
      <c r="V20" s="124"/>
      <c r="W20" s="126">
        <f t="shared" si="15"/>
        <v>252.10374574347333</v>
      </c>
      <c r="X20" s="53">
        <v>2.5</v>
      </c>
      <c r="Y20" s="123">
        <f t="shared" si="16"/>
        <v>305.79404086265612</v>
      </c>
      <c r="Z20" s="124"/>
      <c r="AA20" s="126">
        <f t="shared" si="17"/>
        <v>305.79404086265612</v>
      </c>
      <c r="AB20" s="53">
        <v>2.5</v>
      </c>
      <c r="AC20" s="123">
        <f t="shared" si="18"/>
        <v>246.47939841089669</v>
      </c>
      <c r="AD20" s="124"/>
      <c r="AE20" s="126">
        <f t="shared" si="19"/>
        <v>246.47939841089669</v>
      </c>
      <c r="AF20" s="53">
        <v>2.5</v>
      </c>
      <c r="AG20" s="123">
        <f t="shared" si="20"/>
        <v>198.44977298524398</v>
      </c>
      <c r="AH20" s="124"/>
      <c r="AI20" s="126">
        <f t="shared" si="21"/>
        <v>198.44977298524398</v>
      </c>
      <c r="AJ20" s="53">
        <v>2.5</v>
      </c>
      <c r="AK20" s="123">
        <f t="shared" si="22"/>
        <v>325.54540295119182</v>
      </c>
      <c r="AL20" s="124"/>
      <c r="AM20" s="126">
        <f t="shared" si="23"/>
        <v>325.54540295119182</v>
      </c>
      <c r="AN20" s="53">
        <v>2.5</v>
      </c>
      <c r="AO20" s="123">
        <f t="shared" si="24"/>
        <v>369.46814300960523</v>
      </c>
      <c r="AP20" s="124"/>
      <c r="AQ20" s="126">
        <f t="shared" si="25"/>
        <v>369.46814300960523</v>
      </c>
      <c r="AR20" s="53">
        <v>2.5</v>
      </c>
      <c r="AS20" s="123">
        <f t="shared" si="26"/>
        <v>70.753681963713987</v>
      </c>
      <c r="AT20" s="124"/>
      <c r="AU20" s="126">
        <f t="shared" si="27"/>
        <v>70.753681963713987</v>
      </c>
      <c r="AV20" s="53">
        <v>2.5</v>
      </c>
      <c r="AW20" s="123">
        <f t="shared" si="28"/>
        <v>37.529402347918861</v>
      </c>
      <c r="AX20" s="124"/>
      <c r="AY20" s="126">
        <f t="shared" si="29"/>
        <v>37.529402347918861</v>
      </c>
      <c r="AZ20" s="127">
        <f t="shared" si="30"/>
        <v>619.79557321225877</v>
      </c>
      <c r="BA20" s="128">
        <f t="shared" si="31"/>
        <v>606.66469920544841</v>
      </c>
      <c r="BB20" s="127">
        <f t="shared" si="32"/>
        <v>1413.2536322360952</v>
      </c>
      <c r="BC20" s="127"/>
      <c r="BD20" s="128">
        <f t="shared" si="33"/>
        <v>1400.122758229285</v>
      </c>
      <c r="BE20" s="127">
        <f t="shared" si="34"/>
        <v>2661.4794339046662</v>
      </c>
      <c r="BF20" s="127"/>
      <c r="BG20" s="91">
        <f t="shared" si="35"/>
        <v>2648.3485598978559</v>
      </c>
    </row>
    <row r="21" spans="1:59" ht="13">
      <c r="A21" s="132" t="s">
        <v>254</v>
      </c>
      <c r="B21" s="267"/>
      <c r="C21" s="121">
        <f>'Revised PS Model 2018'!BG31</f>
        <v>-13.130874006810359</v>
      </c>
      <c r="D21" s="178">
        <v>2.5</v>
      </c>
      <c r="E21" s="134">
        <f t="shared" si="6"/>
        <v>147.27894438138475</v>
      </c>
      <c r="F21" s="135"/>
      <c r="G21" s="136">
        <f t="shared" si="7"/>
        <v>147.27894438138475</v>
      </c>
      <c r="H21" s="178">
        <v>2.5</v>
      </c>
      <c r="I21" s="134">
        <f t="shared" si="8"/>
        <v>275.5617480136209</v>
      </c>
      <c r="J21" s="135"/>
      <c r="K21" s="136">
        <f t="shared" si="9"/>
        <v>275.5617480136209</v>
      </c>
      <c r="L21" s="178">
        <v>2.5</v>
      </c>
      <c r="M21" s="134">
        <f t="shared" si="10"/>
        <v>196.95488081725313</v>
      </c>
      <c r="N21" s="135"/>
      <c r="O21" s="136">
        <f t="shared" si="11"/>
        <v>196.95488081725313</v>
      </c>
      <c r="P21" s="178">
        <v>2.5</v>
      </c>
      <c r="Q21" s="134">
        <f t="shared" si="12"/>
        <v>235.56027241770715</v>
      </c>
      <c r="R21" s="135"/>
      <c r="S21" s="136">
        <f t="shared" si="13"/>
        <v>235.56027241770715</v>
      </c>
      <c r="T21" s="178">
        <v>2.5</v>
      </c>
      <c r="U21" s="134">
        <f t="shared" si="14"/>
        <v>252.10374574347333</v>
      </c>
      <c r="V21" s="135"/>
      <c r="W21" s="136">
        <f t="shared" si="15"/>
        <v>252.10374574347333</v>
      </c>
      <c r="X21" s="178">
        <v>2.5</v>
      </c>
      <c r="Y21" s="134">
        <f t="shared" si="16"/>
        <v>305.79404086265612</v>
      </c>
      <c r="Z21" s="135"/>
      <c r="AA21" s="136">
        <f t="shared" si="17"/>
        <v>305.79404086265612</v>
      </c>
      <c r="AB21" s="178">
        <v>2.5</v>
      </c>
      <c r="AC21" s="134">
        <f t="shared" si="18"/>
        <v>246.47939841089669</v>
      </c>
      <c r="AD21" s="135"/>
      <c r="AE21" s="136">
        <f t="shared" si="19"/>
        <v>246.47939841089669</v>
      </c>
      <c r="AF21" s="178">
        <v>2.5</v>
      </c>
      <c r="AG21" s="134">
        <f t="shared" si="20"/>
        <v>198.44977298524398</v>
      </c>
      <c r="AH21" s="135"/>
      <c r="AI21" s="136">
        <f t="shared" si="21"/>
        <v>198.44977298524398</v>
      </c>
      <c r="AJ21" s="178">
        <v>2.5</v>
      </c>
      <c r="AK21" s="134">
        <f t="shared" si="22"/>
        <v>325.54540295119182</v>
      </c>
      <c r="AL21" s="135"/>
      <c r="AM21" s="136">
        <f t="shared" si="23"/>
        <v>325.54540295119182</v>
      </c>
      <c r="AN21" s="178">
        <v>2.5</v>
      </c>
      <c r="AO21" s="134">
        <f t="shared" si="24"/>
        <v>369.46814300960523</v>
      </c>
      <c r="AP21" s="135"/>
      <c r="AQ21" s="136">
        <f t="shared" si="25"/>
        <v>369.46814300960523</v>
      </c>
      <c r="AR21" s="178">
        <v>2.5</v>
      </c>
      <c r="AS21" s="134">
        <f t="shared" si="26"/>
        <v>70.753681963713987</v>
      </c>
      <c r="AT21" s="135"/>
      <c r="AU21" s="136">
        <f t="shared" si="27"/>
        <v>70.753681963713987</v>
      </c>
      <c r="AV21" s="178">
        <v>2.5</v>
      </c>
      <c r="AW21" s="134">
        <f t="shared" si="28"/>
        <v>37.529402347918861</v>
      </c>
      <c r="AX21" s="135"/>
      <c r="AY21" s="136">
        <f t="shared" si="29"/>
        <v>37.529402347918861</v>
      </c>
      <c r="AZ21" s="138">
        <f t="shared" si="30"/>
        <v>619.79557321225877</v>
      </c>
      <c r="BA21" s="137">
        <f t="shared" si="31"/>
        <v>606.66469920544841</v>
      </c>
      <c r="BB21" s="138">
        <f t="shared" si="32"/>
        <v>1413.2536322360952</v>
      </c>
      <c r="BC21" s="138"/>
      <c r="BD21" s="137">
        <f t="shared" si="33"/>
        <v>1400.122758229285</v>
      </c>
      <c r="BE21" s="138">
        <f t="shared" si="34"/>
        <v>2661.4794339046662</v>
      </c>
      <c r="BF21" s="138"/>
      <c r="BG21" s="140">
        <f t="shared" si="35"/>
        <v>2648.3485598978559</v>
      </c>
    </row>
    <row r="22" spans="1:59" ht="13">
      <c r="A22" s="132" t="s">
        <v>255</v>
      </c>
      <c r="B22" s="267"/>
      <c r="C22" s="121">
        <f>'Revised PS Model 2018'!BG32</f>
        <v>-13.130874006810359</v>
      </c>
      <c r="D22" s="178">
        <v>2.5</v>
      </c>
      <c r="E22" s="134">
        <f t="shared" si="6"/>
        <v>147.27894438138475</v>
      </c>
      <c r="F22" s="135"/>
      <c r="G22" s="136">
        <f t="shared" si="7"/>
        <v>147.27894438138475</v>
      </c>
      <c r="H22" s="178">
        <v>2.5</v>
      </c>
      <c r="I22" s="134">
        <f t="shared" si="8"/>
        <v>275.5617480136209</v>
      </c>
      <c r="J22" s="135"/>
      <c r="K22" s="136">
        <f t="shared" si="9"/>
        <v>275.5617480136209</v>
      </c>
      <c r="L22" s="178">
        <v>2.5</v>
      </c>
      <c r="M22" s="134">
        <f t="shared" si="10"/>
        <v>196.95488081725313</v>
      </c>
      <c r="N22" s="135"/>
      <c r="O22" s="136">
        <f t="shared" si="11"/>
        <v>196.95488081725313</v>
      </c>
      <c r="P22" s="178">
        <v>2.5</v>
      </c>
      <c r="Q22" s="134">
        <f t="shared" si="12"/>
        <v>235.56027241770715</v>
      </c>
      <c r="R22" s="135"/>
      <c r="S22" s="136">
        <f t="shared" si="13"/>
        <v>235.56027241770715</v>
      </c>
      <c r="T22" s="178">
        <v>2.5</v>
      </c>
      <c r="U22" s="134">
        <f t="shared" si="14"/>
        <v>252.10374574347333</v>
      </c>
      <c r="V22" s="135"/>
      <c r="W22" s="136">
        <f t="shared" si="15"/>
        <v>252.10374574347333</v>
      </c>
      <c r="X22" s="178">
        <v>2.5</v>
      </c>
      <c r="Y22" s="134">
        <f t="shared" si="16"/>
        <v>305.79404086265612</v>
      </c>
      <c r="Z22" s="135"/>
      <c r="AA22" s="136">
        <f t="shared" si="17"/>
        <v>305.79404086265612</v>
      </c>
      <c r="AB22" s="178">
        <v>2.5</v>
      </c>
      <c r="AC22" s="134">
        <f t="shared" si="18"/>
        <v>246.47939841089669</v>
      </c>
      <c r="AD22" s="135"/>
      <c r="AE22" s="136">
        <f t="shared" si="19"/>
        <v>246.47939841089669</v>
      </c>
      <c r="AF22" s="178">
        <v>2.5</v>
      </c>
      <c r="AG22" s="134">
        <f t="shared" si="20"/>
        <v>198.44977298524398</v>
      </c>
      <c r="AH22" s="135"/>
      <c r="AI22" s="136">
        <f t="shared" si="21"/>
        <v>198.44977298524398</v>
      </c>
      <c r="AJ22" s="178">
        <v>2.5</v>
      </c>
      <c r="AK22" s="134">
        <f t="shared" si="22"/>
        <v>325.54540295119182</v>
      </c>
      <c r="AL22" s="135"/>
      <c r="AM22" s="136">
        <f t="shared" si="23"/>
        <v>325.54540295119182</v>
      </c>
      <c r="AN22" s="178">
        <v>2.5</v>
      </c>
      <c r="AO22" s="134">
        <f t="shared" si="24"/>
        <v>369.46814300960523</v>
      </c>
      <c r="AP22" s="135"/>
      <c r="AQ22" s="136">
        <f t="shared" si="25"/>
        <v>369.46814300960523</v>
      </c>
      <c r="AR22" s="178">
        <v>2.5</v>
      </c>
      <c r="AS22" s="134">
        <f t="shared" si="26"/>
        <v>70.753681963713987</v>
      </c>
      <c r="AT22" s="135"/>
      <c r="AU22" s="136">
        <f t="shared" si="27"/>
        <v>70.753681963713987</v>
      </c>
      <c r="AV22" s="178">
        <v>2.5</v>
      </c>
      <c r="AW22" s="134">
        <f t="shared" si="28"/>
        <v>37.529402347918861</v>
      </c>
      <c r="AX22" s="135"/>
      <c r="AY22" s="136">
        <f t="shared" si="29"/>
        <v>37.529402347918861</v>
      </c>
      <c r="AZ22" s="138">
        <f t="shared" si="30"/>
        <v>619.79557321225877</v>
      </c>
      <c r="BA22" s="137">
        <f t="shared" si="31"/>
        <v>606.66469920544841</v>
      </c>
      <c r="BB22" s="138">
        <f t="shared" si="32"/>
        <v>1413.2536322360952</v>
      </c>
      <c r="BC22" s="138"/>
      <c r="BD22" s="137">
        <f t="shared" si="33"/>
        <v>1400.122758229285</v>
      </c>
      <c r="BE22" s="138">
        <f t="shared" si="34"/>
        <v>2661.4794339046662</v>
      </c>
      <c r="BF22" s="138"/>
      <c r="BG22" s="140">
        <f t="shared" si="35"/>
        <v>2648.3485598978559</v>
      </c>
    </row>
    <row r="23" spans="1:59" ht="13">
      <c r="A23" s="132" t="s">
        <v>211</v>
      </c>
      <c r="B23" s="267"/>
      <c r="C23" s="121">
        <f>'Revised PS Model 2018'!BG33</f>
        <v>-5.2523496027241663</v>
      </c>
      <c r="D23" s="178">
        <v>1</v>
      </c>
      <c r="E23" s="134">
        <f t="shared" si="6"/>
        <v>58.911577752553903</v>
      </c>
      <c r="F23" s="135"/>
      <c r="G23" s="136">
        <f t="shared" si="7"/>
        <v>58.911577752553903</v>
      </c>
      <c r="H23" s="178">
        <v>1</v>
      </c>
      <c r="I23" s="134">
        <f t="shared" si="8"/>
        <v>110.22469920544836</v>
      </c>
      <c r="J23" s="135"/>
      <c r="K23" s="136">
        <f t="shared" si="9"/>
        <v>110.22469920544836</v>
      </c>
      <c r="L23" s="178">
        <v>1</v>
      </c>
      <c r="M23" s="134">
        <f t="shared" si="10"/>
        <v>78.781952326901248</v>
      </c>
      <c r="N23" s="135"/>
      <c r="O23" s="136">
        <f t="shared" si="11"/>
        <v>78.781952326901248</v>
      </c>
      <c r="P23" s="178">
        <v>1</v>
      </c>
      <c r="Q23" s="134">
        <f t="shared" si="12"/>
        <v>94.22410896708287</v>
      </c>
      <c r="R23" s="135"/>
      <c r="S23" s="136">
        <f t="shared" si="13"/>
        <v>94.22410896708287</v>
      </c>
      <c r="T23" s="178">
        <v>1</v>
      </c>
      <c r="U23" s="134">
        <f t="shared" si="14"/>
        <v>100.84149829738934</v>
      </c>
      <c r="V23" s="135"/>
      <c r="W23" s="136">
        <f t="shared" si="15"/>
        <v>100.84149829738934</v>
      </c>
      <c r="X23" s="178">
        <v>1</v>
      </c>
      <c r="Y23" s="134">
        <f t="shared" si="16"/>
        <v>122.31761634506243</v>
      </c>
      <c r="Z23" s="135"/>
      <c r="AA23" s="136">
        <f t="shared" si="17"/>
        <v>122.31761634506243</v>
      </c>
      <c r="AB23" s="178">
        <v>1</v>
      </c>
      <c r="AC23" s="134">
        <f t="shared" si="18"/>
        <v>98.59175936435868</v>
      </c>
      <c r="AD23" s="135"/>
      <c r="AE23" s="136">
        <f t="shared" si="19"/>
        <v>98.59175936435868</v>
      </c>
      <c r="AF23" s="178">
        <v>1</v>
      </c>
      <c r="AG23" s="134">
        <f t="shared" si="20"/>
        <v>79.379909194097593</v>
      </c>
      <c r="AH23" s="135"/>
      <c r="AI23" s="136">
        <f t="shared" si="21"/>
        <v>79.379909194097593</v>
      </c>
      <c r="AJ23" s="178">
        <v>1</v>
      </c>
      <c r="AK23" s="134">
        <f t="shared" si="22"/>
        <v>130.21816118047673</v>
      </c>
      <c r="AL23" s="135"/>
      <c r="AM23" s="136">
        <f t="shared" si="23"/>
        <v>130.21816118047673</v>
      </c>
      <c r="AN23" s="178">
        <v>1</v>
      </c>
      <c r="AO23" s="134">
        <f t="shared" si="24"/>
        <v>147.78725720384207</v>
      </c>
      <c r="AP23" s="135"/>
      <c r="AQ23" s="136">
        <f t="shared" si="25"/>
        <v>147.78725720384207</v>
      </c>
      <c r="AR23" s="178">
        <v>1</v>
      </c>
      <c r="AS23" s="134">
        <f t="shared" si="26"/>
        <v>28.301472785485597</v>
      </c>
      <c r="AT23" s="135"/>
      <c r="AU23" s="136">
        <f t="shared" si="27"/>
        <v>28.301472785485597</v>
      </c>
      <c r="AV23" s="178">
        <v>1</v>
      </c>
      <c r="AW23" s="134">
        <f t="shared" si="28"/>
        <v>15.011760939167544</v>
      </c>
      <c r="AX23" s="135"/>
      <c r="AY23" s="136">
        <f t="shared" si="29"/>
        <v>15.011760939167544</v>
      </c>
      <c r="AZ23" s="138">
        <f t="shared" si="30"/>
        <v>247.91822928490353</v>
      </c>
      <c r="BA23" s="137">
        <f t="shared" si="31"/>
        <v>242.66587968217937</v>
      </c>
      <c r="BB23" s="138">
        <f t="shared" si="32"/>
        <v>565.30145289443817</v>
      </c>
      <c r="BC23" s="138"/>
      <c r="BD23" s="137">
        <f t="shared" si="33"/>
        <v>560.049103291714</v>
      </c>
      <c r="BE23" s="138">
        <f t="shared" si="34"/>
        <v>1064.5917735618664</v>
      </c>
      <c r="BF23" s="138"/>
      <c r="BG23" s="140">
        <f t="shared" si="35"/>
        <v>1059.3394239591421</v>
      </c>
    </row>
    <row r="24" spans="1:59" ht="13">
      <c r="A24" s="89"/>
      <c r="C24" s="61"/>
      <c r="D24" s="148">
        <f t="shared" ref="D24:E24" si="36">SUM(D16:D23)</f>
        <v>440.5</v>
      </c>
      <c r="E24" s="149">
        <f t="shared" si="36"/>
        <v>25950.55</v>
      </c>
      <c r="F24" s="91"/>
      <c r="G24" s="91"/>
      <c r="H24" s="148">
        <f t="shared" ref="H24:I24" si="37">SUM(H16:H23)</f>
        <v>440.5</v>
      </c>
      <c r="I24" s="149">
        <f t="shared" si="37"/>
        <v>48553.98</v>
      </c>
      <c r="J24" s="91"/>
      <c r="K24" s="91"/>
      <c r="L24" s="148">
        <f t="shared" ref="L24:M24" si="38">SUM(L16:L23)</f>
        <v>440.5</v>
      </c>
      <c r="M24" s="149">
        <f t="shared" si="38"/>
        <v>34703.450000000004</v>
      </c>
      <c r="N24" s="91"/>
      <c r="O24" s="91"/>
      <c r="P24" s="148">
        <f t="shared" ref="P24:Q24" si="39">SUM(P16:P23)</f>
        <v>440.5</v>
      </c>
      <c r="Q24" s="149">
        <f t="shared" si="39"/>
        <v>41505.720000000008</v>
      </c>
      <c r="R24" s="91"/>
      <c r="S24" s="91"/>
      <c r="T24" s="148">
        <f t="shared" ref="T24:U24" si="40">SUM(T16:T23)</f>
        <v>440.5</v>
      </c>
      <c r="U24" s="149">
        <f t="shared" si="40"/>
        <v>44420.680000000008</v>
      </c>
      <c r="V24" s="91"/>
      <c r="W24" s="91"/>
      <c r="X24" s="148">
        <f t="shared" ref="X24:Y24" si="41">SUM(X16:X23)</f>
        <v>440.5</v>
      </c>
      <c r="Y24" s="149">
        <f t="shared" si="41"/>
        <v>53880.909999999996</v>
      </c>
      <c r="Z24" s="91"/>
      <c r="AA24" s="91"/>
      <c r="AB24" s="148">
        <f t="shared" ref="AB24:AC24" si="42">SUM(AB16:AB23)</f>
        <v>440.5</v>
      </c>
      <c r="AC24" s="149">
        <f t="shared" si="42"/>
        <v>43429.67</v>
      </c>
      <c r="AD24" s="91"/>
      <c r="AE24" s="91"/>
      <c r="AF24" s="148">
        <f t="shared" ref="AF24:AG24" si="43">SUM(AF16:AF23)</f>
        <v>440.5</v>
      </c>
      <c r="AG24" s="149">
        <f t="shared" si="43"/>
        <v>34966.85</v>
      </c>
      <c r="AH24" s="91"/>
      <c r="AI24" s="91"/>
      <c r="AJ24" s="148">
        <f t="shared" ref="AJ24:AK24" si="44">SUM(AJ16:AJ23)</f>
        <v>440.5</v>
      </c>
      <c r="AK24" s="149">
        <f t="shared" si="44"/>
        <v>57361.099999999991</v>
      </c>
      <c r="AL24" s="91"/>
      <c r="AM24" s="91"/>
      <c r="AN24" s="148">
        <f t="shared" ref="AN24:AO24" si="45">SUM(AN16:AN23)</f>
        <v>468.5</v>
      </c>
      <c r="AO24" s="149">
        <f t="shared" si="45"/>
        <v>69238.330000000031</v>
      </c>
      <c r="AP24" s="91"/>
      <c r="AQ24" s="91"/>
      <c r="AR24" s="148">
        <f t="shared" ref="AR24:AS24" si="46">SUM(AR16:AR23)</f>
        <v>468.5</v>
      </c>
      <c r="AS24" s="149">
        <f t="shared" si="46"/>
        <v>13259.240000000002</v>
      </c>
      <c r="AT24" s="91"/>
      <c r="AU24" s="91"/>
      <c r="AV24" s="148">
        <f t="shared" ref="AV24:AW24" si="47">SUM(AV16:AV23)</f>
        <v>468.5</v>
      </c>
      <c r="AW24" s="149">
        <f t="shared" si="47"/>
        <v>7033.0099999999948</v>
      </c>
      <c r="AX24" s="124"/>
      <c r="AY24" s="92"/>
      <c r="AZ24" s="91"/>
      <c r="BA24" s="150"/>
      <c r="BB24" s="91"/>
      <c r="BC24" s="91"/>
      <c r="BD24" s="150"/>
    </row>
    <row r="25" spans="1:59" ht="14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V25">
        <f>SUM(AV17:AV23)/AV24</f>
        <v>0.35965848452508004</v>
      </c>
      <c r="AW25" s="151"/>
      <c r="AX25" s="151"/>
      <c r="AY25" s="92"/>
      <c r="AZ25" s="216" t="str">
        <f>"Paid for "&amp;AZ2</f>
        <v>Paid for 1Q</v>
      </c>
      <c r="BA25" s="217" t="s">
        <v>256</v>
      </c>
      <c r="BB25" s="216" t="str">
        <f>"Paid for "&amp;BB2</f>
        <v>Paid for 1H</v>
      </c>
      <c r="BC25" s="216" t="s">
        <v>270</v>
      </c>
      <c r="BD25" s="217" t="s">
        <v>256</v>
      </c>
      <c r="BE25" s="216" t="str">
        <f>"Paid for "&amp;BE2</f>
        <v>Paid for 2019</v>
      </c>
      <c r="BF25" s="216" t="s">
        <v>270</v>
      </c>
      <c r="BG25" s="217" t="s">
        <v>256</v>
      </c>
    </row>
    <row r="26" spans="1:59" ht="13">
      <c r="A26" s="89"/>
      <c r="B26" s="5"/>
      <c r="C26" s="61"/>
      <c r="D26" s="10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124">
        <v>2326.08</v>
      </c>
      <c r="AV26">
        <f>30000*AV25</f>
        <v>10789.754535752401</v>
      </c>
      <c r="AW26" s="151"/>
      <c r="AX26" s="124">
        <v>7243.27</v>
      </c>
      <c r="AY26" s="245" t="s">
        <v>83</v>
      </c>
      <c r="AZ26" s="246">
        <f>AZ13+0</f>
        <v>57750</v>
      </c>
      <c r="BA26" s="247">
        <f t="shared" ref="BA26:BA33" si="48">BA16-AZ26</f>
        <v>-99117.341447458879</v>
      </c>
      <c r="BB26" s="248">
        <f>BB13-AZ13+0</f>
        <v>12600.5</v>
      </c>
      <c r="BC26" s="248">
        <f t="shared" ref="BC26:BC33" si="49">AZ26+BB26</f>
        <v>70350.5</v>
      </c>
      <c r="BD26" s="249">
        <f t="shared" ref="BD26:BD33" si="50">BD16-BC26</f>
        <v>-60516.054364598502</v>
      </c>
      <c r="BE26" s="248">
        <f>BE13-BB13+0</f>
        <v>51897.710000000006</v>
      </c>
      <c r="BF26" s="248">
        <f t="shared" ref="BF26:BF33" si="51">BC26+BE26</f>
        <v>122248.21</v>
      </c>
      <c r="BG26" s="249">
        <f t="shared" ref="BG26:BG33" si="52">BG16-BF26</f>
        <v>5580.4218356299534</v>
      </c>
    </row>
    <row r="27" spans="1:59" ht="13">
      <c r="A27" s="89"/>
      <c r="B27" s="5"/>
      <c r="C27" s="61"/>
      <c r="D27" s="100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>
        <f>AT16-AT26</f>
        <v>297.86999999999989</v>
      </c>
      <c r="AW27" s="151"/>
      <c r="AY27" s="250" t="s">
        <v>209</v>
      </c>
      <c r="AZ27" s="251">
        <v>25435.67</v>
      </c>
      <c r="BA27" s="252">
        <f t="shared" si="48"/>
        <v>-1171.7188047454765</v>
      </c>
      <c r="BB27" s="251">
        <v>33717.620000000003</v>
      </c>
      <c r="BC27" s="248">
        <f t="shared" si="49"/>
        <v>59153.29</v>
      </c>
      <c r="BD27" s="249">
        <f t="shared" si="50"/>
        <v>-3151.0164437920175</v>
      </c>
      <c r="BE27" s="251">
        <v>55787.62</v>
      </c>
      <c r="BF27" s="248">
        <f t="shared" si="51"/>
        <v>114940.91</v>
      </c>
      <c r="BG27" s="249">
        <f t="shared" si="52"/>
        <v>-9009.604377049196</v>
      </c>
    </row>
    <row r="28" spans="1:59" ht="14">
      <c r="A28" s="89"/>
      <c r="B28" s="5"/>
      <c r="C28" s="61"/>
      <c r="D28" s="100"/>
      <c r="E28" s="91" t="s">
        <v>291</v>
      </c>
      <c r="F28" s="91"/>
      <c r="G28" s="91" t="s">
        <v>292</v>
      </c>
      <c r="H28" s="91"/>
      <c r="I28" s="91"/>
      <c r="J28" s="91"/>
      <c r="K28" s="91" t="s">
        <v>292</v>
      </c>
      <c r="L28" s="91"/>
      <c r="M28" s="91"/>
      <c r="N28" s="91"/>
      <c r="O28" s="91" t="s">
        <v>292</v>
      </c>
      <c r="P28" s="91"/>
      <c r="Q28" s="91"/>
      <c r="R28" s="91"/>
      <c r="S28" s="91" t="s">
        <v>292</v>
      </c>
      <c r="T28" s="91"/>
      <c r="U28" s="91"/>
      <c r="V28" s="91"/>
      <c r="W28" s="91" t="s">
        <v>292</v>
      </c>
      <c r="X28" s="91"/>
      <c r="Y28" s="91"/>
      <c r="Z28" s="91"/>
      <c r="AA28" s="91" t="s">
        <v>292</v>
      </c>
      <c r="AB28" s="91"/>
      <c r="AC28" s="91"/>
      <c r="AD28" s="91"/>
      <c r="AE28" s="91" t="s">
        <v>292</v>
      </c>
      <c r="AF28" s="91"/>
      <c r="AG28" s="91"/>
      <c r="AH28" s="91"/>
      <c r="AI28" s="91" t="s">
        <v>292</v>
      </c>
      <c r="AJ28" s="91"/>
      <c r="AK28" s="91"/>
      <c r="AL28" s="91"/>
      <c r="AM28" s="91" t="s">
        <v>292</v>
      </c>
      <c r="AN28" s="91"/>
      <c r="AO28" s="91"/>
      <c r="AP28" s="91"/>
      <c r="AQ28" s="91" t="s">
        <v>292</v>
      </c>
      <c r="AR28" s="91"/>
      <c r="AS28" s="124"/>
      <c r="AT28" s="91"/>
      <c r="AU28" s="91" t="s">
        <v>292</v>
      </c>
      <c r="AW28" s="151"/>
      <c r="AY28" s="250" t="s">
        <v>61</v>
      </c>
      <c r="AZ28" s="251">
        <v>4069.79</v>
      </c>
      <c r="BA28" s="252">
        <f t="shared" si="48"/>
        <v>-187.47435590259101</v>
      </c>
      <c r="BB28" s="251">
        <v>5394.82</v>
      </c>
      <c r="BC28" s="248">
        <f t="shared" si="49"/>
        <v>9464.61</v>
      </c>
      <c r="BD28" s="249">
        <f t="shared" si="50"/>
        <v>-504.16277815003741</v>
      </c>
      <c r="BE28" s="251">
        <v>12085.66</v>
      </c>
      <c r="BF28" s="248">
        <f t="shared" si="51"/>
        <v>21550.27</v>
      </c>
      <c r="BG28" s="249">
        <f t="shared" si="52"/>
        <v>-1925.7707744722538</v>
      </c>
    </row>
    <row r="29" spans="1:59" ht="13">
      <c r="A29" s="89"/>
      <c r="B29" s="5"/>
      <c r="C29" s="61"/>
      <c r="D29" s="100"/>
      <c r="E29" s="91">
        <f>D9+H9+L9-(E9+I9+M9)</f>
        <v>4896.2400000000007</v>
      </c>
      <c r="F29" s="91"/>
      <c r="G29" s="91">
        <v>26130.55</v>
      </c>
      <c r="H29" s="91"/>
      <c r="I29" s="91"/>
      <c r="J29" s="91"/>
      <c r="K29" s="91">
        <v>48643.98</v>
      </c>
      <c r="L29" s="91"/>
      <c r="M29" s="91"/>
      <c r="N29" s="91"/>
      <c r="O29" s="91">
        <v>34703.449999999997</v>
      </c>
      <c r="P29" s="91"/>
      <c r="Q29" s="91">
        <f>P9+T9+X9-(Q9+U9+Y9)</f>
        <v>37784.629999999997</v>
      </c>
      <c r="R29" s="91"/>
      <c r="S29" s="91">
        <v>41595.72</v>
      </c>
      <c r="T29" s="91"/>
      <c r="U29" s="91"/>
      <c r="V29" s="91"/>
      <c r="W29" s="91">
        <v>44510.68</v>
      </c>
      <c r="X29" s="91"/>
      <c r="Y29" s="91"/>
      <c r="Z29" s="91"/>
      <c r="AA29" s="91">
        <v>54060.91</v>
      </c>
      <c r="AB29" s="91"/>
      <c r="AC29" s="91">
        <f>AB9+AF9+AJ9-(AC9+AG9+AK9)</f>
        <v>6248</v>
      </c>
      <c r="AD29" s="91"/>
      <c r="AE29" s="91">
        <v>43639.67</v>
      </c>
      <c r="AF29" s="91"/>
      <c r="AG29" s="91"/>
      <c r="AH29" s="91"/>
      <c r="AI29" s="91">
        <v>34966.85</v>
      </c>
      <c r="AJ29" s="91"/>
      <c r="AK29" s="91"/>
      <c r="AL29" s="91"/>
      <c r="AM29" s="91">
        <v>57481.1</v>
      </c>
      <c r="AN29" s="91"/>
      <c r="AO29" s="91">
        <f>AN9+AR9+AV9-(AO9+AS9+AW9)</f>
        <v>6371.760000000002</v>
      </c>
      <c r="AP29" s="91"/>
      <c r="AQ29" s="91">
        <v>69358.33</v>
      </c>
      <c r="AR29" s="91"/>
      <c r="AS29" s="91"/>
      <c r="AT29" s="91"/>
      <c r="AU29" s="1">
        <v>13379.24</v>
      </c>
      <c r="AW29" s="151"/>
      <c r="AY29" s="253" t="s">
        <v>65</v>
      </c>
      <c r="AZ29" s="251">
        <v>4069.79</v>
      </c>
      <c r="BA29" s="254">
        <f t="shared" si="48"/>
        <v>-187.47435590259101</v>
      </c>
      <c r="BB29" s="251">
        <v>5394.82</v>
      </c>
      <c r="BC29" s="248">
        <f t="shared" si="49"/>
        <v>9464.61</v>
      </c>
      <c r="BD29" s="249">
        <f t="shared" si="50"/>
        <v>-504.16277815003741</v>
      </c>
      <c r="BE29" s="251">
        <v>12085.66</v>
      </c>
      <c r="BF29" s="248">
        <f t="shared" si="51"/>
        <v>21550.27</v>
      </c>
      <c r="BG29" s="249">
        <f t="shared" si="52"/>
        <v>-1925.7707744722538</v>
      </c>
    </row>
    <row r="30" spans="1:59" ht="13">
      <c r="A30" s="89"/>
      <c r="B30" s="5"/>
      <c r="C30" s="61"/>
      <c r="D30" s="100"/>
      <c r="E30" s="91">
        <f>D5+H5+L5-(E5+I5+M5)</f>
        <v>-5166.2399999999907</v>
      </c>
      <c r="F30" s="91"/>
      <c r="G30" s="91">
        <f>G29-D10</f>
        <v>180.00000000000364</v>
      </c>
      <c r="H30" s="91"/>
      <c r="I30" s="91"/>
      <c r="J30" s="91"/>
      <c r="K30" s="91"/>
      <c r="L30" s="91"/>
      <c r="M30" s="91"/>
      <c r="N30" s="91"/>
      <c r="O30" s="91"/>
      <c r="P30" s="91"/>
      <c r="Q30" s="91">
        <f>P5+T5+X5-(Q5+U5+Y5)</f>
        <v>-38144.630000000005</v>
      </c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>
        <f>AB5+AF5+AJ5-(AC5+AG5+AK5)</f>
        <v>-6577.9999999999854</v>
      </c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>
        <f>AN5+AR5+AV5-(AQ5+AS5+AW5)</f>
        <v>-6731.7600000000093</v>
      </c>
      <c r="AP30" s="91"/>
      <c r="AR30" s="91"/>
      <c r="AS30" s="91"/>
      <c r="AT30" s="91"/>
      <c r="AW30" s="151"/>
      <c r="AY30" s="250" t="s">
        <v>210</v>
      </c>
      <c r="AZ30" s="251">
        <v>635.96</v>
      </c>
      <c r="BA30" s="254">
        <f t="shared" si="48"/>
        <v>-29.295300794551622</v>
      </c>
      <c r="BB30" s="251">
        <v>842.94</v>
      </c>
      <c r="BC30" s="248">
        <f t="shared" si="49"/>
        <v>1478.9</v>
      </c>
      <c r="BD30" s="249">
        <f t="shared" si="50"/>
        <v>-78.777241770715136</v>
      </c>
      <c r="BE30" s="251">
        <v>1394.69</v>
      </c>
      <c r="BF30" s="248">
        <f t="shared" si="51"/>
        <v>2873.59</v>
      </c>
      <c r="BG30" s="249">
        <f t="shared" si="52"/>
        <v>-225.24144010214422</v>
      </c>
    </row>
    <row r="31" spans="1:59" ht="13">
      <c r="A31" s="89"/>
      <c r="B31" s="5"/>
      <c r="C31" s="61"/>
      <c r="D31" s="100"/>
      <c r="E31" s="91">
        <f>E30+E29</f>
        <v>-269.99999999999</v>
      </c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>
        <f>Q30+Q29</f>
        <v>-360.00000000000728</v>
      </c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>
        <f>AC30+AC29</f>
        <v>-329.99999999998545</v>
      </c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>
        <f>AO30+AO29</f>
        <v>-360.00000000000728</v>
      </c>
      <c r="AP31" s="91"/>
      <c r="AR31" s="91"/>
      <c r="AS31" s="91"/>
      <c r="AT31" s="91"/>
      <c r="AW31" s="151"/>
      <c r="AY31" s="250" t="s">
        <v>254</v>
      </c>
      <c r="AZ31" s="251">
        <v>635.96</v>
      </c>
      <c r="BA31" s="254">
        <f t="shared" si="48"/>
        <v>-29.295300794551622</v>
      </c>
      <c r="BB31" s="251">
        <v>842.94</v>
      </c>
      <c r="BC31" s="248">
        <f t="shared" si="49"/>
        <v>1478.9</v>
      </c>
      <c r="BD31" s="249">
        <f t="shared" si="50"/>
        <v>-78.777241770715136</v>
      </c>
      <c r="BE31" s="251">
        <v>1394.69</v>
      </c>
      <c r="BF31" s="248">
        <f t="shared" si="51"/>
        <v>2873.59</v>
      </c>
      <c r="BG31" s="249">
        <f t="shared" si="52"/>
        <v>-225.24144010214422</v>
      </c>
    </row>
    <row r="32" spans="1:59" ht="13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R32" s="91"/>
      <c r="AS32" s="91"/>
      <c r="AT32" s="91"/>
      <c r="AW32" s="151"/>
      <c r="AY32" s="250" t="s">
        <v>255</v>
      </c>
      <c r="AZ32" s="251">
        <v>635.96</v>
      </c>
      <c r="BA32" s="254">
        <f t="shared" si="48"/>
        <v>-29.295300794551622</v>
      </c>
      <c r="BB32" s="251">
        <v>842.94</v>
      </c>
      <c r="BC32" s="248">
        <f t="shared" si="49"/>
        <v>1478.9</v>
      </c>
      <c r="BD32" s="249">
        <f t="shared" si="50"/>
        <v>-78.777241770715136</v>
      </c>
      <c r="BE32" s="251">
        <v>1394.69</v>
      </c>
      <c r="BF32" s="248">
        <f t="shared" si="51"/>
        <v>2873.59</v>
      </c>
      <c r="BG32" s="249">
        <f t="shared" si="52"/>
        <v>-225.24144010214422</v>
      </c>
    </row>
    <row r="33" spans="1:59" ht="13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R33" s="91"/>
      <c r="AS33" s="91"/>
      <c r="AT33" s="91"/>
      <c r="AW33" s="151"/>
      <c r="AY33" s="255" t="s">
        <v>211</v>
      </c>
      <c r="AZ33" s="256">
        <v>254.38</v>
      </c>
      <c r="BA33" s="257">
        <f t="shared" si="48"/>
        <v>-11.71412031782063</v>
      </c>
      <c r="BB33" s="256">
        <v>337.18</v>
      </c>
      <c r="BC33" s="258">
        <f t="shared" si="49"/>
        <v>591.55999999999995</v>
      </c>
      <c r="BD33" s="259">
        <f t="shared" si="50"/>
        <v>-31.510896708285941</v>
      </c>
      <c r="BE33" s="256">
        <v>557.88</v>
      </c>
      <c r="BF33" s="258">
        <f t="shared" si="51"/>
        <v>1149.44</v>
      </c>
      <c r="BG33" s="259">
        <f t="shared" si="52"/>
        <v>-90.100576040857959</v>
      </c>
    </row>
    <row r="34" spans="1:59" ht="14">
      <c r="A34" s="89"/>
      <c r="C34" s="61"/>
      <c r="D34" s="62" t="s">
        <v>293</v>
      </c>
      <c r="H34" s="62" t="s">
        <v>293</v>
      </c>
      <c r="L34" s="62" t="s">
        <v>293</v>
      </c>
      <c r="P34" s="62" t="s">
        <v>293</v>
      </c>
      <c r="T34" s="62" t="s">
        <v>293</v>
      </c>
      <c r="X34" s="62" t="s">
        <v>293</v>
      </c>
      <c r="AB34" s="62" t="s">
        <v>293</v>
      </c>
      <c r="AF34" s="62" t="s">
        <v>293</v>
      </c>
      <c r="AJ34" s="62" t="s">
        <v>293</v>
      </c>
      <c r="AN34" s="62" t="s">
        <v>293</v>
      </c>
      <c r="AR34" s="62" t="s">
        <v>293</v>
      </c>
      <c r="AV34" s="62" t="s">
        <v>293</v>
      </c>
      <c r="AX34" s="1">
        <v>7153.01</v>
      </c>
      <c r="BD34" s="91"/>
      <c r="BE34" s="91"/>
      <c r="BF34" s="91"/>
      <c r="BG34" s="91"/>
    </row>
    <row r="35" spans="1:59" ht="14">
      <c r="A35" s="89"/>
      <c r="C35" s="61"/>
      <c r="D35" s="1" t="s">
        <v>294</v>
      </c>
      <c r="E35" s="100">
        <f>D5-E5</f>
        <v>-826.81999999999971</v>
      </c>
      <c r="H35" s="1" t="s">
        <v>294</v>
      </c>
      <c r="I35" s="100">
        <f>H5-I5</f>
        <v>-1210.4700000000012</v>
      </c>
      <c r="L35" s="1" t="s">
        <v>294</v>
      </c>
      <c r="M35" s="100">
        <f>L5-M5</f>
        <v>-3128.9500000000044</v>
      </c>
      <c r="P35" s="1" t="s">
        <v>294</v>
      </c>
      <c r="Q35" s="100">
        <f>P5-Q5</f>
        <v>-10901.940000000002</v>
      </c>
      <c r="T35" s="1" t="s">
        <v>294</v>
      </c>
      <c r="U35" s="100">
        <f>T5-U5</f>
        <v>-24283.139999999996</v>
      </c>
      <c r="X35" s="1" t="s">
        <v>294</v>
      </c>
      <c r="Y35" s="100">
        <f>X5-Y5</f>
        <v>-2959.5499999999956</v>
      </c>
      <c r="AB35" s="1" t="s">
        <v>294</v>
      </c>
      <c r="AC35" s="100">
        <f>AB5-AC5</f>
        <v>-1390.8199999999997</v>
      </c>
      <c r="AF35" s="1" t="s">
        <v>294</v>
      </c>
      <c r="AG35" s="100">
        <f>AF5-AG5</f>
        <v>-4385.0200000000004</v>
      </c>
      <c r="AJ35" s="1" t="s">
        <v>294</v>
      </c>
      <c r="AK35" s="100">
        <f>AJ5-AK5</f>
        <v>-802.15999999999622</v>
      </c>
      <c r="AN35" s="1" t="s">
        <v>294</v>
      </c>
      <c r="AO35" s="100">
        <f>AN5-AQ5</f>
        <v>-5054.8499999999985</v>
      </c>
      <c r="AR35" s="1" t="s">
        <v>294</v>
      </c>
      <c r="AS35" s="100">
        <f>AR5-AS5</f>
        <v>-417.86999999999898</v>
      </c>
      <c r="AV35" s="1" t="s">
        <v>294</v>
      </c>
      <c r="AW35" s="100">
        <f>AV5-AW5</f>
        <v>-1259.0400000000081</v>
      </c>
      <c r="AY35" s="1"/>
      <c r="BA35" s="230"/>
      <c r="BB35" s="230"/>
      <c r="BC35" s="230"/>
      <c r="BD35" s="91"/>
      <c r="BE35" s="91"/>
      <c r="BF35" s="91"/>
      <c r="BG35" s="91"/>
    </row>
    <row r="36" spans="1:59" ht="14">
      <c r="A36" s="89"/>
      <c r="C36" s="61"/>
      <c r="D36" s="62" t="s">
        <v>295</v>
      </c>
      <c r="E36" s="91">
        <f>D9-E9</f>
        <v>646.81999999999994</v>
      </c>
      <c r="H36" s="62" t="s">
        <v>295</v>
      </c>
      <c r="I36" s="91">
        <f>H9-I9</f>
        <v>1120.47</v>
      </c>
      <c r="L36" s="62" t="s">
        <v>295</v>
      </c>
      <c r="M36" s="91">
        <f>L9-M9</f>
        <v>3128.95</v>
      </c>
      <c r="P36" s="62" t="s">
        <v>295</v>
      </c>
      <c r="Q36" s="91">
        <f>P9-Q9</f>
        <v>10811.94</v>
      </c>
      <c r="T36" s="62" t="s">
        <v>295</v>
      </c>
      <c r="U36" s="91">
        <f>T9-U9</f>
        <v>24193.14</v>
      </c>
      <c r="X36" s="62" t="s">
        <v>295</v>
      </c>
      <c r="Y36" s="91">
        <f>X9-Y9</f>
        <v>2779.55</v>
      </c>
      <c r="AB36" s="62" t="s">
        <v>295</v>
      </c>
      <c r="AC36" s="91">
        <f>AB9-AC9</f>
        <v>1180.8200000000002</v>
      </c>
      <c r="AF36" s="62" t="s">
        <v>295</v>
      </c>
      <c r="AG36" s="91">
        <f>AF9-AG9</f>
        <v>4385.0200000000004</v>
      </c>
      <c r="AJ36" s="62" t="s">
        <v>295</v>
      </c>
      <c r="AK36" s="91">
        <f>AJ9-AK9</f>
        <v>682.15999999999985</v>
      </c>
      <c r="AN36" s="62" t="s">
        <v>295</v>
      </c>
      <c r="AO36" s="91">
        <f>AN9-AO9</f>
        <v>4934.8500000000004</v>
      </c>
      <c r="AR36" s="62" t="s">
        <v>295</v>
      </c>
      <c r="AS36" s="91">
        <f>AR9-AS9</f>
        <v>297.86999999999989</v>
      </c>
      <c r="AV36" s="62" t="s">
        <v>295</v>
      </c>
      <c r="AW36" s="91">
        <f>AV9-AW9</f>
        <v>1139.0399999999991</v>
      </c>
      <c r="AZ36" s="152"/>
      <c r="BA36" s="152"/>
      <c r="BB36" s="152"/>
      <c r="BC36" s="152"/>
      <c r="BD36" s="91"/>
      <c r="BE36" s="91"/>
      <c r="BF36" s="91"/>
      <c r="BG36" s="91"/>
    </row>
    <row r="37" spans="1:59" ht="28">
      <c r="A37" s="89" t="s">
        <v>201</v>
      </c>
      <c r="C37" s="61"/>
      <c r="D37" s="62" t="s">
        <v>296</v>
      </c>
      <c r="E37" s="91">
        <f>D10-G29</f>
        <v>-180.00000000000364</v>
      </c>
      <c r="H37" s="62" t="s">
        <v>296</v>
      </c>
      <c r="I37" s="91">
        <f>H10-K29</f>
        <v>-90</v>
      </c>
      <c r="L37" s="62" t="s">
        <v>296</v>
      </c>
      <c r="M37" s="91">
        <f>L10-O29</f>
        <v>0</v>
      </c>
      <c r="P37" s="62" t="s">
        <v>296</v>
      </c>
      <c r="Q37" s="91">
        <f>P10-S29</f>
        <v>-90</v>
      </c>
      <c r="T37" s="62" t="s">
        <v>296</v>
      </c>
      <c r="U37" s="91">
        <f>T10-W29</f>
        <v>-90</v>
      </c>
      <c r="X37" s="62" t="s">
        <v>296</v>
      </c>
      <c r="Y37" s="91">
        <f>X10-AA29</f>
        <v>-180</v>
      </c>
      <c r="AB37" s="62" t="s">
        <v>296</v>
      </c>
      <c r="AC37" s="91">
        <f>AB10-AE29</f>
        <v>-210</v>
      </c>
      <c r="AF37" s="62" t="s">
        <v>296</v>
      </c>
      <c r="AG37" s="91">
        <f>AF10-AI29</f>
        <v>0</v>
      </c>
      <c r="AJ37" s="62" t="s">
        <v>296</v>
      </c>
      <c r="AK37" s="91">
        <f>AJ10-AM29</f>
        <v>-120</v>
      </c>
      <c r="AN37" s="62" t="s">
        <v>296</v>
      </c>
      <c r="AO37" s="91">
        <f>AN10-AQ29</f>
        <v>-119.99999999998545</v>
      </c>
      <c r="AR37" s="62" t="s">
        <v>296</v>
      </c>
      <c r="AS37" s="91">
        <f>AR10-AU29</f>
        <v>-119.99999999999818</v>
      </c>
      <c r="AV37" s="62" t="s">
        <v>296</v>
      </c>
      <c r="AW37" s="91">
        <f>AV10-AX34</f>
        <v>-120.00000000000546</v>
      </c>
      <c r="AZ37" s="152"/>
      <c r="BA37" s="152"/>
      <c r="BB37" s="152"/>
      <c r="BC37" s="152"/>
      <c r="BD37" s="1" t="s">
        <v>297</v>
      </c>
      <c r="BE37" s="91">
        <f>SUM($AW$16,$AS$16,$AO$16,$AK$16,$AG$16,$AC$16,$Y$16,$U$16,$Q$16,$M$16,$I$16,$E$16)</f>
        <v>319377.5320685599</v>
      </c>
      <c r="BF37" s="91"/>
      <c r="BG37" s="91"/>
    </row>
    <row r="38" spans="1:59" ht="28">
      <c r="A38" s="89"/>
      <c r="C38" s="61"/>
      <c r="D38" s="62" t="s">
        <v>298</v>
      </c>
      <c r="E38" s="91">
        <f>E35+E36-E37</f>
        <v>3.865352482534945E-12</v>
      </c>
      <c r="H38" s="62" t="s">
        <v>298</v>
      </c>
      <c r="I38" s="91">
        <f>I35+I36-I37</f>
        <v>-1.1368683772161603E-12</v>
      </c>
      <c r="L38" s="62" t="s">
        <v>298</v>
      </c>
      <c r="M38" s="91">
        <f>M35+M36-M37</f>
        <v>-4.5474735088646412E-12</v>
      </c>
      <c r="P38" s="62" t="s">
        <v>298</v>
      </c>
      <c r="Q38" s="91">
        <f>Q35+Q36-Q37</f>
        <v>-1.8189894035458565E-12</v>
      </c>
      <c r="T38" s="62" t="s">
        <v>298</v>
      </c>
      <c r="U38" s="91">
        <f>U35+U36-U37</f>
        <v>3.637978807091713E-12</v>
      </c>
      <c r="X38" s="62" t="s">
        <v>298</v>
      </c>
      <c r="Y38" s="91">
        <f>Y35+Y36-Y37</f>
        <v>4.5474735088646412E-12</v>
      </c>
      <c r="AB38" s="62" t="s">
        <v>298</v>
      </c>
      <c r="AC38" s="91">
        <f>AC35+AC36-AC37</f>
        <v>4.5474735088646412E-13</v>
      </c>
      <c r="AF38" s="62" t="s">
        <v>298</v>
      </c>
      <c r="AG38" s="91">
        <f>AG35+AG36-AG37</f>
        <v>0</v>
      </c>
      <c r="AJ38" s="62" t="s">
        <v>298</v>
      </c>
      <c r="AK38" s="91">
        <f>AK35+AK36-AK37</f>
        <v>3.637978807091713E-12</v>
      </c>
      <c r="AN38" s="62" t="s">
        <v>298</v>
      </c>
      <c r="AO38" s="91">
        <f>AO35+AO36-AO37</f>
        <v>-1.2732925824820995E-11</v>
      </c>
      <c r="AR38" s="62" t="s">
        <v>298</v>
      </c>
      <c r="AS38" s="91">
        <f>AS35+AS36-AS37</f>
        <v>-9.0949470177292824E-13</v>
      </c>
      <c r="AV38" s="62" t="s">
        <v>298</v>
      </c>
      <c r="AW38" s="91">
        <f>AW35+AW36-AW37</f>
        <v>-3.637978807091713E-12</v>
      </c>
      <c r="BD38" s="1" t="s">
        <v>299</v>
      </c>
      <c r="BE38" s="172">
        <f>$BE$10*$D$16/$D$24</f>
        <v>323021.6730987514</v>
      </c>
    </row>
    <row r="39" spans="1:59" ht="14">
      <c r="A39" s="89"/>
      <c r="C39" s="61"/>
      <c r="D39" s="62"/>
      <c r="BD39" s="1" t="s">
        <v>300</v>
      </c>
      <c r="BE39" s="172">
        <f>SUMIF($D$15:$AY$15,$AX$15,$D$16:$AY$16)</f>
        <v>84747.44</v>
      </c>
    </row>
    <row r="40" spans="1:59" ht="14">
      <c r="A40" s="89"/>
      <c r="C40" s="61"/>
      <c r="D40" s="62"/>
      <c r="BD40" s="268" t="s">
        <v>301</v>
      </c>
      <c r="BE40" s="172">
        <f>BF26-BE13</f>
        <v>0</v>
      </c>
    </row>
    <row r="41" spans="1:59" ht="14">
      <c r="A41" s="89"/>
      <c r="C41" s="61"/>
      <c r="D41" s="62" t="s">
        <v>302</v>
      </c>
      <c r="E41">
        <f>SUM(D16:D23)</f>
        <v>440.5</v>
      </c>
      <c r="H41" s="62" t="s">
        <v>302</v>
      </c>
      <c r="I41">
        <f>SUM(H16:H23)</f>
        <v>440.5</v>
      </c>
      <c r="L41" s="62" t="s">
        <v>302</v>
      </c>
      <c r="M41">
        <f>SUM(L16:L23)</f>
        <v>440.5</v>
      </c>
      <c r="P41" s="62" t="s">
        <v>302</v>
      </c>
      <c r="Q41">
        <f>SUM(P16:P23)</f>
        <v>440.5</v>
      </c>
      <c r="T41" s="62" t="s">
        <v>302</v>
      </c>
      <c r="U41">
        <f>SUM(T16:T23)</f>
        <v>440.5</v>
      </c>
      <c r="X41" s="62" t="s">
        <v>302</v>
      </c>
      <c r="Y41">
        <f>SUM(X16:X23)</f>
        <v>440.5</v>
      </c>
      <c r="AB41" s="62" t="s">
        <v>302</v>
      </c>
      <c r="AC41">
        <f>SUM(AB16:AB23)</f>
        <v>440.5</v>
      </c>
      <c r="AF41" s="62" t="s">
        <v>302</v>
      </c>
      <c r="AG41">
        <f>SUM(AF16:AF23)</f>
        <v>440.5</v>
      </c>
      <c r="AJ41" s="62" t="s">
        <v>302</v>
      </c>
      <c r="AK41">
        <f>SUM(AJ16:AJ23)</f>
        <v>440.5</v>
      </c>
      <c r="AN41" s="62" t="s">
        <v>302</v>
      </c>
      <c r="AO41">
        <f>SUM(AN16:AN23)</f>
        <v>468.5</v>
      </c>
      <c r="AQ41" s="91"/>
      <c r="AR41" s="62" t="s">
        <v>302</v>
      </c>
      <c r="AS41">
        <f>SUM(AR16:AR23)</f>
        <v>468.5</v>
      </c>
      <c r="AY41" s="1" t="s">
        <v>83</v>
      </c>
      <c r="AZ41" s="17">
        <v>57750</v>
      </c>
      <c r="BA41" s="17">
        <v>-94037.219495131969</v>
      </c>
      <c r="BB41" s="17">
        <v>12600.5</v>
      </c>
      <c r="BC41" s="17">
        <v>70350.5</v>
      </c>
      <c r="BD41" s="17">
        <v>-17406.126475835714</v>
      </c>
      <c r="BE41" s="17">
        <v>51897.71</v>
      </c>
      <c r="BF41" s="17">
        <v>122248.21</v>
      </c>
      <c r="BG41" s="17">
        <v>61765.38</v>
      </c>
    </row>
    <row r="42" spans="1:59" ht="14">
      <c r="A42" s="89"/>
      <c r="C42" s="61"/>
      <c r="D42" s="1" t="s">
        <v>303</v>
      </c>
      <c r="E42" s="57">
        <f>D16/E41</f>
        <v>0.68104426787741201</v>
      </c>
      <c r="H42" s="1" t="s">
        <v>303</v>
      </c>
      <c r="I42" s="57">
        <f>H16/I41</f>
        <v>0.68104426787741201</v>
      </c>
      <c r="L42" s="1" t="s">
        <v>303</v>
      </c>
      <c r="M42" s="57">
        <f>L16/M41</f>
        <v>0.68104426787741201</v>
      </c>
      <c r="P42" s="1" t="s">
        <v>303</v>
      </c>
      <c r="Q42" s="57">
        <f>P16/Q41</f>
        <v>0.68104426787741201</v>
      </c>
      <c r="T42" s="1" t="s">
        <v>303</v>
      </c>
      <c r="U42" s="57">
        <f>T16/U41</f>
        <v>0.68104426787741201</v>
      </c>
      <c r="X42" s="1" t="s">
        <v>303</v>
      </c>
      <c r="Y42" s="57">
        <f>X16/Y41</f>
        <v>0.68104426787741201</v>
      </c>
      <c r="AB42" s="1" t="s">
        <v>303</v>
      </c>
      <c r="AC42" s="57">
        <f>AB16/AC41</f>
        <v>0.68104426787741201</v>
      </c>
      <c r="AF42" s="1" t="s">
        <v>303</v>
      </c>
      <c r="AG42" s="57">
        <f>AF16/AG41</f>
        <v>0.68104426787741201</v>
      </c>
      <c r="AJ42" s="1" t="s">
        <v>303</v>
      </c>
      <c r="AK42" s="57">
        <f>AJ16/AK41</f>
        <v>0.68104426787741201</v>
      </c>
      <c r="AN42" s="1" t="s">
        <v>303</v>
      </c>
      <c r="AO42" s="57">
        <f>AN16/AO41</f>
        <v>0.64034151547491991</v>
      </c>
      <c r="AQ42" s="91"/>
      <c r="AR42" s="1" t="s">
        <v>303</v>
      </c>
      <c r="AS42" s="57">
        <f>AR16/AS41</f>
        <v>0.64034151547491991</v>
      </c>
      <c r="AY42" s="1" t="s">
        <v>209</v>
      </c>
      <c r="AZ42" s="17">
        <v>25435.67</v>
      </c>
      <c r="BA42" s="17">
        <v>-1110.4248206365082</v>
      </c>
      <c r="BB42" s="17">
        <v>33717.620000000003</v>
      </c>
      <c r="BC42" s="17">
        <v>59153.29</v>
      </c>
      <c r="BD42" s="17">
        <v>-3007.9971475377606</v>
      </c>
      <c r="BE42" s="17">
        <v>55787.62</v>
      </c>
      <c r="BF42" s="17">
        <v>114940.91</v>
      </c>
      <c r="BG42" s="17">
        <v>-8714.83</v>
      </c>
    </row>
    <row r="43" spans="1:59" ht="14">
      <c r="A43" s="89"/>
      <c r="C43" s="61"/>
      <c r="D43" s="62" t="s">
        <v>304</v>
      </c>
      <c r="E43" s="57">
        <f>D17/E41</f>
        <v>0.22701475595913734</v>
      </c>
      <c r="H43" s="62" t="s">
        <v>304</v>
      </c>
      <c r="I43" s="57">
        <f>H17/I41</f>
        <v>0.22701475595913734</v>
      </c>
      <c r="L43" s="62" t="s">
        <v>304</v>
      </c>
      <c r="M43" s="57">
        <f>L17/M41</f>
        <v>0.22701475595913734</v>
      </c>
      <c r="P43" s="62" t="s">
        <v>304</v>
      </c>
      <c r="Q43" s="57">
        <f>P17/Q41</f>
        <v>0.22701475595913734</v>
      </c>
      <c r="T43" s="62" t="s">
        <v>304</v>
      </c>
      <c r="U43" s="57">
        <f>T17/U41</f>
        <v>0.22701475595913734</v>
      </c>
      <c r="X43" s="62" t="s">
        <v>304</v>
      </c>
      <c r="Y43" s="57">
        <f>X17/Y41</f>
        <v>0.22701475595913734</v>
      </c>
      <c r="AB43" s="62" t="s">
        <v>304</v>
      </c>
      <c r="AC43" s="57">
        <f>AB17/AC41</f>
        <v>0.22701475595913734</v>
      </c>
      <c r="AF43" s="62" t="s">
        <v>304</v>
      </c>
      <c r="AG43" s="57">
        <f>AF17/AG41</f>
        <v>0.22701475595913734</v>
      </c>
      <c r="AJ43" s="62" t="s">
        <v>304</v>
      </c>
      <c r="AK43" s="57">
        <f>AJ17/AK41</f>
        <v>0.22701475595913734</v>
      </c>
      <c r="AN43" s="62" t="s">
        <v>304</v>
      </c>
      <c r="AO43" s="57">
        <f>AN17/AO41</f>
        <v>0.21344717182497333</v>
      </c>
      <c r="AQ43" s="91"/>
      <c r="AR43" s="62" t="s">
        <v>304</v>
      </c>
      <c r="AS43" s="57">
        <f>AR17/AS41</f>
        <v>0.21344717182497333</v>
      </c>
      <c r="AY43" s="1" t="s">
        <v>61</v>
      </c>
      <c r="AZ43" s="17">
        <v>4069.79</v>
      </c>
      <c r="BA43" s="17">
        <v>-177.66731844515607</v>
      </c>
      <c r="BB43" s="17">
        <v>5394.82</v>
      </c>
      <c r="BC43" s="17">
        <v>9464.61</v>
      </c>
      <c r="BD43" s="17">
        <v>-481.27969074935754</v>
      </c>
      <c r="BE43" s="17">
        <v>12085.66</v>
      </c>
      <c r="BF43" s="17">
        <v>21550.27</v>
      </c>
      <c r="BG43" s="17">
        <v>-1867.85</v>
      </c>
    </row>
    <row r="44" spans="1:59" ht="14">
      <c r="A44" s="89"/>
      <c r="C44" s="61"/>
      <c r="D44" s="62" t="s">
        <v>305</v>
      </c>
      <c r="E44" s="17">
        <f>E42*E37</f>
        <v>-122.58796821793663</v>
      </c>
      <c r="H44" s="62" t="s">
        <v>305</v>
      </c>
      <c r="I44" s="17">
        <f>I42*I37</f>
        <v>-61.293984108967081</v>
      </c>
      <c r="L44" s="62" t="s">
        <v>305</v>
      </c>
      <c r="M44" s="17">
        <f>M42*M37</f>
        <v>0</v>
      </c>
      <c r="P44" s="62" t="s">
        <v>305</v>
      </c>
      <c r="Q44" s="17">
        <f>Q42*Q37</f>
        <v>-61.293984108967081</v>
      </c>
      <c r="T44" s="62" t="s">
        <v>305</v>
      </c>
      <c r="U44" s="17">
        <f>U42*U37</f>
        <v>-61.293984108967081</v>
      </c>
      <c r="X44" s="62" t="s">
        <v>305</v>
      </c>
      <c r="Y44" s="17">
        <f>Y42*Y37</f>
        <v>-122.58796821793416</v>
      </c>
      <c r="AB44" s="62" t="s">
        <v>305</v>
      </c>
      <c r="AC44" s="17">
        <f>AC42*AC37</f>
        <v>-143.01929625425652</v>
      </c>
      <c r="AF44" s="62" t="s">
        <v>305</v>
      </c>
      <c r="AG44" s="17">
        <f>AG42*AG37</f>
        <v>0</v>
      </c>
      <c r="AJ44" s="62" t="s">
        <v>305</v>
      </c>
      <c r="AK44" s="17">
        <f>AK42*AK37</f>
        <v>-81.725312145289436</v>
      </c>
      <c r="AN44" s="62" t="s">
        <v>305</v>
      </c>
      <c r="AO44" s="17">
        <f>AO42*AO37</f>
        <v>-76.840981856981074</v>
      </c>
      <c r="AQ44" s="91"/>
      <c r="AR44" s="62" t="s">
        <v>305</v>
      </c>
      <c r="AS44" s="17">
        <f>AS42*AS37</f>
        <v>-76.840981856989231</v>
      </c>
      <c r="AY44" t="s">
        <v>65</v>
      </c>
      <c r="AZ44" s="17">
        <v>4069.79</v>
      </c>
      <c r="BA44" s="17">
        <v>-177.66731844515607</v>
      </c>
      <c r="BB44" s="17">
        <v>5394.82</v>
      </c>
      <c r="BC44" s="17">
        <v>9464.61</v>
      </c>
      <c r="BD44" s="17">
        <v>-481.27969074935754</v>
      </c>
      <c r="BE44" s="17">
        <v>12085.66</v>
      </c>
      <c r="BF44" s="17">
        <v>21550.27</v>
      </c>
      <c r="BG44" s="17">
        <v>-1867.85</v>
      </c>
    </row>
    <row r="45" spans="1:59" ht="14">
      <c r="A45" s="89"/>
      <c r="C45" s="61"/>
      <c r="D45" s="62" t="s">
        <v>306</v>
      </c>
      <c r="E45" s="17">
        <f>E43*E37</f>
        <v>-40.862656072645549</v>
      </c>
      <c r="H45" s="62" t="s">
        <v>306</v>
      </c>
      <c r="I45" s="17">
        <f>I43*I37</f>
        <v>-20.431328036322359</v>
      </c>
      <c r="L45" s="62" t="s">
        <v>306</v>
      </c>
      <c r="M45" s="17">
        <f>M43*M37</f>
        <v>0</v>
      </c>
      <c r="P45" s="62" t="s">
        <v>306</v>
      </c>
      <c r="Q45" s="17">
        <f>Q43*Q37</f>
        <v>-20.431328036322359</v>
      </c>
      <c r="T45" s="62" t="s">
        <v>306</v>
      </c>
      <c r="U45" s="17">
        <f>U43*U37</f>
        <v>-20.431328036322359</v>
      </c>
      <c r="X45" s="62" t="s">
        <v>306</v>
      </c>
      <c r="Y45" s="17">
        <f>Y43*Y37</f>
        <v>-40.862656072644718</v>
      </c>
      <c r="AB45" s="62" t="s">
        <v>306</v>
      </c>
      <c r="AC45" s="17">
        <f>AC43*AC37</f>
        <v>-47.673098751418841</v>
      </c>
      <c r="AF45" s="62" t="s">
        <v>306</v>
      </c>
      <c r="AG45" s="17">
        <f>AG43*AG37</f>
        <v>0</v>
      </c>
      <c r="AJ45" s="62" t="s">
        <v>306</v>
      </c>
      <c r="AK45" s="17">
        <f>AK43*AK37</f>
        <v>-27.241770715096479</v>
      </c>
      <c r="AN45" s="62" t="s">
        <v>306</v>
      </c>
      <c r="AO45" s="17">
        <f>AO43*AO37</f>
        <v>-25.613660618993695</v>
      </c>
      <c r="AR45" s="62" t="s">
        <v>306</v>
      </c>
      <c r="AS45" s="17">
        <f>AS43*AS37</f>
        <v>-25.613660618996413</v>
      </c>
      <c r="AY45" s="1" t="s">
        <v>210</v>
      </c>
      <c r="AZ45" s="17">
        <v>635.96</v>
      </c>
      <c r="BA45" s="17">
        <v>-27.762951191827483</v>
      </c>
      <c r="BB45" s="17">
        <v>842.94</v>
      </c>
      <c r="BC45" s="17">
        <v>1478.9</v>
      </c>
      <c r="BD45" s="17">
        <v>-75.201759364358622</v>
      </c>
      <c r="BE45" s="17">
        <v>1394.69</v>
      </c>
      <c r="BF45" s="17">
        <v>2873.59</v>
      </c>
      <c r="BG45" s="17">
        <v>-217.87</v>
      </c>
    </row>
    <row r="46" spans="1:59" ht="14">
      <c r="A46" s="89"/>
      <c r="C46" s="61"/>
      <c r="D46" s="62"/>
      <c r="AY46" s="1" t="s">
        <v>254</v>
      </c>
      <c r="AZ46" s="17">
        <v>635.96</v>
      </c>
      <c r="BA46" s="17">
        <v>-27.762951191827483</v>
      </c>
      <c r="BB46" s="17">
        <v>842.94</v>
      </c>
      <c r="BC46" s="17">
        <v>1478.9</v>
      </c>
      <c r="BD46" s="17">
        <v>-75.201759364358622</v>
      </c>
      <c r="BE46" s="17">
        <v>1394.69</v>
      </c>
      <c r="BF46" s="17">
        <v>2873.59</v>
      </c>
      <c r="BG46" s="17">
        <v>-217.87</v>
      </c>
    </row>
    <row r="47" spans="1:59" ht="14">
      <c r="A47" s="89"/>
      <c r="C47" s="61"/>
      <c r="D47" s="62"/>
      <c r="AY47" s="1" t="s">
        <v>255</v>
      </c>
      <c r="AZ47" s="17">
        <v>635.96</v>
      </c>
      <c r="BA47" s="17">
        <v>-27.762951191827483</v>
      </c>
      <c r="BB47" s="17">
        <v>842.94</v>
      </c>
      <c r="BC47" s="17">
        <v>1478.9</v>
      </c>
      <c r="BD47" s="17">
        <v>-75.201759364358622</v>
      </c>
      <c r="BE47" s="17">
        <v>1394.69</v>
      </c>
      <c r="BF47" s="17">
        <v>2873.59</v>
      </c>
      <c r="BG47" s="17">
        <v>-217.87</v>
      </c>
    </row>
    <row r="48" spans="1:59" ht="14">
      <c r="A48" s="89"/>
      <c r="C48" s="61"/>
      <c r="D48" s="62"/>
      <c r="AY48" s="1" t="s">
        <v>211</v>
      </c>
      <c r="AZ48" s="17">
        <v>254.38</v>
      </c>
      <c r="BA48" s="17">
        <v>-11.101180476730946</v>
      </c>
      <c r="BB48" s="17">
        <v>337.18</v>
      </c>
      <c r="BC48" s="17">
        <v>591.55999999999995</v>
      </c>
      <c r="BD48" s="17">
        <v>-30.080703745743449</v>
      </c>
      <c r="BE48" s="17">
        <v>557.88</v>
      </c>
      <c r="BF48" s="17">
        <v>1149.44</v>
      </c>
      <c r="BG48" s="17">
        <v>-87.15</v>
      </c>
    </row>
    <row r="49" spans="1:59" ht="13">
      <c r="A49" s="89"/>
      <c r="C49" s="61"/>
      <c r="D49" s="62"/>
      <c r="AY49" s="1"/>
      <c r="AZ49" s="1"/>
      <c r="BB49" s="1"/>
      <c r="BC49" s="1"/>
      <c r="BE49" s="1"/>
      <c r="BF49" s="1"/>
    </row>
    <row r="50" spans="1:59" ht="13">
      <c r="A50" s="89"/>
      <c r="C50" s="61"/>
      <c r="D50" s="62"/>
      <c r="AY50" s="1"/>
      <c r="AZ50" s="17">
        <f t="shared" ref="AZ50:BG50" si="53">AZ26-AZ41</f>
        <v>0</v>
      </c>
      <c r="BA50" s="17">
        <f t="shared" si="53"/>
        <v>-5080.1219523269101</v>
      </c>
      <c r="BB50" s="17">
        <f t="shared" si="53"/>
        <v>0</v>
      </c>
      <c r="BC50" s="17">
        <f t="shared" si="53"/>
        <v>0</v>
      </c>
      <c r="BD50" s="17">
        <f t="shared" si="53"/>
        <v>-43109.927888762788</v>
      </c>
      <c r="BE50" s="17">
        <f t="shared" si="53"/>
        <v>0</v>
      </c>
      <c r="BF50" s="17">
        <f t="shared" si="53"/>
        <v>0</v>
      </c>
      <c r="BG50" s="17">
        <f t="shared" si="53"/>
        <v>-56184.958164370044</v>
      </c>
    </row>
    <row r="51" spans="1:59" ht="13">
      <c r="A51" s="89"/>
      <c r="C51" s="61"/>
      <c r="D51" s="62"/>
      <c r="AW51" s="17">
        <f>BG41-AT54</f>
        <v>6464.75</v>
      </c>
      <c r="AY51" s="1"/>
      <c r="AZ51" s="17">
        <f t="shared" ref="AZ51:BG51" si="54">AZ27-AZ42</f>
        <v>0</v>
      </c>
      <c r="BA51" s="17">
        <f t="shared" si="54"/>
        <v>-61.293984108968289</v>
      </c>
      <c r="BB51" s="17">
        <f t="shared" si="54"/>
        <v>0</v>
      </c>
      <c r="BC51" s="17">
        <f t="shared" si="54"/>
        <v>0</v>
      </c>
      <c r="BD51" s="17">
        <f t="shared" si="54"/>
        <v>-143.01929625425691</v>
      </c>
      <c r="BE51" s="17">
        <f t="shared" si="54"/>
        <v>0</v>
      </c>
      <c r="BF51" s="17">
        <f t="shared" si="54"/>
        <v>0</v>
      </c>
      <c r="BG51" s="17">
        <f t="shared" si="54"/>
        <v>-294.77437704919612</v>
      </c>
    </row>
    <row r="52" spans="1:59" ht="14">
      <c r="A52" s="89"/>
      <c r="C52" s="61"/>
      <c r="D52" s="62"/>
      <c r="AS52" s="1" t="s">
        <v>307</v>
      </c>
      <c r="AW52" s="17">
        <f>BG41-AT54+AT57</f>
        <v>5657.2655391237113</v>
      </c>
      <c r="AY52" s="1"/>
      <c r="AZ52" s="17">
        <f t="shared" ref="AZ52:BG52" si="55">AZ28-AZ43</f>
        <v>0</v>
      </c>
      <c r="BA52" s="17">
        <f t="shared" si="55"/>
        <v>-9.8070374574349444</v>
      </c>
      <c r="BB52" s="17">
        <f t="shared" si="55"/>
        <v>0</v>
      </c>
      <c r="BC52" s="17">
        <f t="shared" si="55"/>
        <v>0</v>
      </c>
      <c r="BD52" s="17">
        <f t="shared" si="55"/>
        <v>-22.883087400679869</v>
      </c>
      <c r="BE52" s="17">
        <f t="shared" si="55"/>
        <v>0</v>
      </c>
      <c r="BF52" s="17">
        <f t="shared" si="55"/>
        <v>0</v>
      </c>
      <c r="BG52" s="17">
        <f t="shared" si="55"/>
        <v>-57.920774472253925</v>
      </c>
    </row>
    <row r="53" spans="1:59" ht="14">
      <c r="A53" s="89"/>
      <c r="C53" s="61"/>
      <c r="D53" s="62"/>
      <c r="AS53" s="1" t="s">
        <v>308</v>
      </c>
      <c r="AT53" s="91">
        <f t="shared" ref="AT53:AT56" si="56">SUM(AW35,AO35,AS35,AK35,AG35,AC35,Y35,U35,Q35,M35,I35,E35)</f>
        <v>-56620.630000000005</v>
      </c>
      <c r="AW53" s="17">
        <f>AW52-BG26</f>
        <v>76.843703493757857</v>
      </c>
      <c r="AY53" s="1"/>
      <c r="AZ53" s="17">
        <f t="shared" ref="AZ53:BG53" si="57">AZ29-AZ44</f>
        <v>0</v>
      </c>
      <c r="BA53" s="17">
        <f t="shared" si="57"/>
        <v>-9.8070374574349444</v>
      </c>
      <c r="BB53" s="17">
        <f t="shared" si="57"/>
        <v>0</v>
      </c>
      <c r="BC53" s="17">
        <f t="shared" si="57"/>
        <v>0</v>
      </c>
      <c r="BD53" s="17">
        <f t="shared" si="57"/>
        <v>-22.883087400679869</v>
      </c>
      <c r="BE53" s="17">
        <f t="shared" si="57"/>
        <v>0</v>
      </c>
      <c r="BF53" s="17">
        <f t="shared" si="57"/>
        <v>0</v>
      </c>
      <c r="BG53" s="17">
        <f t="shared" si="57"/>
        <v>-57.920774472253925</v>
      </c>
    </row>
    <row r="54" spans="1:59" ht="14">
      <c r="A54" s="89"/>
      <c r="C54" s="61"/>
      <c r="D54" s="62"/>
      <c r="AS54" s="62" t="s">
        <v>295</v>
      </c>
      <c r="AT54" s="91">
        <f t="shared" si="56"/>
        <v>55300.63</v>
      </c>
      <c r="AY54" s="1"/>
      <c r="AZ54" s="17">
        <f t="shared" ref="AZ54:BG54" si="58">AZ30-AZ45</f>
        <v>0</v>
      </c>
      <c r="BA54" s="17">
        <f t="shared" si="58"/>
        <v>-1.532349602724139</v>
      </c>
      <c r="BB54" s="17">
        <f t="shared" si="58"/>
        <v>0</v>
      </c>
      <c r="BC54" s="17">
        <f t="shared" si="58"/>
        <v>0</v>
      </c>
      <c r="BD54" s="17">
        <f t="shared" si="58"/>
        <v>-3.5754824063565138</v>
      </c>
      <c r="BE54" s="17">
        <f t="shared" si="58"/>
        <v>0</v>
      </c>
      <c r="BF54" s="17">
        <f t="shared" si="58"/>
        <v>0</v>
      </c>
      <c r="BG54" s="17">
        <f t="shared" si="58"/>
        <v>-7.37144010214422</v>
      </c>
    </row>
    <row r="55" spans="1:59" ht="28">
      <c r="A55" s="89"/>
      <c r="C55" s="61"/>
      <c r="D55" s="62"/>
      <c r="AS55" s="62" t="s">
        <v>296</v>
      </c>
      <c r="AT55" s="91">
        <f t="shared" si="56"/>
        <v>-1319.9999999999927</v>
      </c>
      <c r="AU55" s="1" t="s">
        <v>309</v>
      </c>
      <c r="AY55" s="1"/>
      <c r="AZ55" s="17">
        <f t="shared" ref="AZ55:BG55" si="59">AZ31-AZ46</f>
        <v>0</v>
      </c>
      <c r="BA55" s="17">
        <f t="shared" si="59"/>
        <v>-1.532349602724139</v>
      </c>
      <c r="BB55" s="17">
        <f t="shared" si="59"/>
        <v>0</v>
      </c>
      <c r="BC55" s="17">
        <f t="shared" si="59"/>
        <v>0</v>
      </c>
      <c r="BD55" s="17">
        <f t="shared" si="59"/>
        <v>-3.5754824063565138</v>
      </c>
      <c r="BE55" s="17">
        <f t="shared" si="59"/>
        <v>0</v>
      </c>
      <c r="BF55" s="17">
        <f t="shared" si="59"/>
        <v>0</v>
      </c>
      <c r="BG55" s="17">
        <f t="shared" si="59"/>
        <v>-7.37144010214422</v>
      </c>
    </row>
    <row r="56" spans="1:59" ht="14">
      <c r="A56" s="89"/>
      <c r="C56" s="61"/>
      <c r="D56" s="62"/>
      <c r="AS56" s="62" t="s">
        <v>298</v>
      </c>
      <c r="AT56" s="91">
        <f t="shared" si="56"/>
        <v>-8.6401996668428183E-12</v>
      </c>
      <c r="AY56" s="1"/>
      <c r="AZ56" s="17">
        <f t="shared" ref="AZ56:BG56" si="60">AZ32-AZ47</f>
        <v>0</v>
      </c>
      <c r="BA56" s="17">
        <f t="shared" si="60"/>
        <v>-1.532349602724139</v>
      </c>
      <c r="BB56" s="17">
        <f t="shared" si="60"/>
        <v>0</v>
      </c>
      <c r="BC56" s="17">
        <f t="shared" si="60"/>
        <v>0</v>
      </c>
      <c r="BD56" s="17">
        <f t="shared" si="60"/>
        <v>-3.5754824063565138</v>
      </c>
      <c r="BE56" s="17">
        <f t="shared" si="60"/>
        <v>0</v>
      </c>
      <c r="BF56" s="17">
        <f t="shared" si="60"/>
        <v>0</v>
      </c>
      <c r="BG56" s="17">
        <f t="shared" si="60"/>
        <v>-7.37144010214422</v>
      </c>
    </row>
    <row r="57" spans="1:59" ht="14">
      <c r="A57" s="89"/>
      <c r="C57" s="61"/>
      <c r="D57" s="62"/>
      <c r="AS57" s="62" t="s">
        <v>305</v>
      </c>
      <c r="AT57" s="17">
        <f t="shared" ref="AT57:AT58" si="61">SUM(AS44,AO44,AK44,AG44,AC44,Y44,U44,Q44,M44,I44,E44,)</f>
        <v>-807.48446087628827</v>
      </c>
      <c r="AZ57" s="17">
        <f t="shared" ref="AZ57:BG57" si="62">AZ33-AZ48</f>
        <v>0</v>
      </c>
      <c r="BA57" s="17">
        <f t="shared" si="62"/>
        <v>-0.61293984108968402</v>
      </c>
      <c r="BB57" s="17">
        <f t="shared" si="62"/>
        <v>0</v>
      </c>
      <c r="BC57" s="17">
        <f t="shared" si="62"/>
        <v>0</v>
      </c>
      <c r="BD57" s="17">
        <f t="shared" si="62"/>
        <v>-1.4301929625424918</v>
      </c>
      <c r="BE57" s="17">
        <f t="shared" si="62"/>
        <v>0</v>
      </c>
      <c r="BF57" s="17">
        <f t="shared" si="62"/>
        <v>0</v>
      </c>
      <c r="BG57" s="17">
        <f t="shared" si="62"/>
        <v>-2.9505760408579533</v>
      </c>
    </row>
    <row r="58" spans="1:59" ht="14">
      <c r="A58" s="89"/>
      <c r="C58" s="61"/>
      <c r="D58" s="62"/>
      <c r="AS58" s="62" t="s">
        <v>306</v>
      </c>
      <c r="AT58" s="17">
        <f t="shared" si="61"/>
        <v>-269.16148695876274</v>
      </c>
    </row>
  </sheetData>
  <conditionalFormatting sqref="BE40">
    <cfRule type="cellIs" dxfId="10" priority="1" operator="equal">
      <formula>0</formula>
    </cfRule>
    <cfRule type="cellIs" dxfId="9" priority="2" operator="notEqual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G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9" width="15.1640625" customWidth="1"/>
  </cols>
  <sheetData>
    <row r="1" spans="1:59" ht="42.75" customHeight="1">
      <c r="A1" s="5" t="s">
        <v>148</v>
      </c>
      <c r="C1" s="61" t="s">
        <v>131</v>
      </c>
      <c r="D1" s="59">
        <v>43496</v>
      </c>
      <c r="E1" s="60"/>
      <c r="F1" s="60"/>
      <c r="G1" s="61"/>
      <c r="H1" s="59">
        <v>43524</v>
      </c>
      <c r="I1" s="60"/>
      <c r="J1" s="60"/>
      <c r="K1" s="61"/>
      <c r="L1" s="59">
        <v>43555</v>
      </c>
      <c r="M1" s="60"/>
      <c r="N1" s="60"/>
      <c r="O1" s="61"/>
      <c r="P1" s="59">
        <v>43585</v>
      </c>
      <c r="Q1" s="60"/>
      <c r="R1" s="60"/>
      <c r="S1" s="61"/>
      <c r="T1" s="59">
        <v>43616</v>
      </c>
      <c r="U1" s="60"/>
      <c r="V1" s="60"/>
      <c r="W1" s="61"/>
      <c r="X1" s="59">
        <v>43646</v>
      </c>
      <c r="Y1" s="60"/>
      <c r="Z1" s="60"/>
      <c r="AA1" s="61"/>
      <c r="AB1" s="59">
        <v>43677</v>
      </c>
      <c r="AC1" s="60"/>
      <c r="AD1" s="60"/>
      <c r="AE1" s="61"/>
      <c r="AF1" s="59">
        <v>43708</v>
      </c>
      <c r="AG1" s="60"/>
      <c r="AH1" s="60"/>
      <c r="AI1" s="61"/>
      <c r="AJ1" s="59">
        <v>43738</v>
      </c>
      <c r="AK1" s="60"/>
      <c r="AL1" s="60"/>
      <c r="AM1" s="61"/>
      <c r="AN1" s="59">
        <v>43769</v>
      </c>
      <c r="AO1" s="60"/>
      <c r="AP1" s="60"/>
      <c r="AQ1" s="61"/>
      <c r="AR1" s="59">
        <v>43799</v>
      </c>
      <c r="AS1" s="60"/>
      <c r="AT1" s="60"/>
      <c r="AU1" s="61"/>
      <c r="AV1" s="59">
        <v>43830</v>
      </c>
      <c r="AW1" s="60"/>
      <c r="AX1" s="60"/>
      <c r="BB1" s="62"/>
      <c r="BD1" s="61"/>
    </row>
    <row r="2" spans="1:59" ht="14">
      <c r="A2" s="5"/>
      <c r="C2" s="61"/>
      <c r="D2" s="62">
        <f>YEAR(D1)</f>
        <v>2019</v>
      </c>
      <c r="G2" s="61"/>
      <c r="H2" s="62">
        <f>YEAR(H1)</f>
        <v>2019</v>
      </c>
      <c r="K2" s="61"/>
      <c r="L2" s="62">
        <f>YEAR(L1)</f>
        <v>2019</v>
      </c>
      <c r="O2" s="61"/>
      <c r="P2" s="62">
        <f>YEAR(P1)</f>
        <v>2019</v>
      </c>
      <c r="S2" s="61"/>
      <c r="T2" s="62">
        <f>YEAR(T1)</f>
        <v>2019</v>
      </c>
      <c r="W2" s="61"/>
      <c r="X2" s="62">
        <f>YEAR(X1)</f>
        <v>2019</v>
      </c>
      <c r="AA2" s="61"/>
      <c r="AB2" s="62">
        <f>YEAR(AB1)</f>
        <v>2019</v>
      </c>
      <c r="AE2" s="61"/>
      <c r="AF2" s="62">
        <f>YEAR(AF1)</f>
        <v>2019</v>
      </c>
      <c r="AI2" s="61"/>
      <c r="AJ2" s="62">
        <f>YEAR(AJ1)</f>
        <v>2019</v>
      </c>
      <c r="AM2" s="61"/>
      <c r="AN2" s="62">
        <f>YEAR(AN1)</f>
        <v>2019</v>
      </c>
      <c r="AQ2" s="61"/>
      <c r="AR2" s="62">
        <f>YEAR(AR1)</f>
        <v>2019</v>
      </c>
      <c r="AU2" s="61"/>
      <c r="AV2" s="62">
        <f>YEAR(AV1)</f>
        <v>2019</v>
      </c>
      <c r="AY2" s="61"/>
      <c r="AZ2" s="65" t="s">
        <v>132</v>
      </c>
      <c r="BA2" s="65"/>
      <c r="BB2" s="209" t="s">
        <v>247</v>
      </c>
      <c r="BC2" s="65"/>
      <c r="BD2" s="61"/>
      <c r="BE2" s="67">
        <v>2019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28">
      <c r="A5" s="89" t="s">
        <v>136</v>
      </c>
      <c r="C5" s="61"/>
      <c r="D5" s="90">
        <v>37453.769999999997</v>
      </c>
      <c r="E5" s="212">
        <v>36626.949999999997</v>
      </c>
      <c r="F5" s="177">
        <f>D5-E5</f>
        <v>826.81999999999971</v>
      </c>
      <c r="G5" s="92"/>
      <c r="H5" s="90">
        <v>59713.87</v>
      </c>
      <c r="I5" s="91"/>
      <c r="J5" s="91"/>
      <c r="K5" s="92"/>
      <c r="L5" s="90">
        <v>45765.23</v>
      </c>
      <c r="M5" s="91"/>
      <c r="N5" s="91"/>
      <c r="O5" s="92"/>
      <c r="P5" s="90">
        <v>52461.47</v>
      </c>
      <c r="Q5" s="91"/>
      <c r="R5" s="91"/>
      <c r="S5" s="92"/>
      <c r="T5" s="90">
        <v>55068.09</v>
      </c>
      <c r="U5" s="90"/>
      <c r="V5" s="91"/>
      <c r="W5" s="92"/>
      <c r="X5" s="90">
        <v>63909.2</v>
      </c>
      <c r="Y5" s="91"/>
      <c r="Z5" s="91"/>
      <c r="AA5" s="92"/>
      <c r="AB5" s="90">
        <v>53628.97</v>
      </c>
      <c r="AC5" s="91"/>
      <c r="AD5" s="91"/>
      <c r="AE5" s="92"/>
      <c r="AF5" s="90">
        <v>9567.2000000000007</v>
      </c>
      <c r="AG5" s="91"/>
      <c r="AH5" s="91"/>
      <c r="AI5" s="92"/>
      <c r="AJ5" s="90">
        <v>65807.929999999993</v>
      </c>
      <c r="AK5" s="91"/>
      <c r="AL5" s="91"/>
      <c r="AM5" s="92"/>
      <c r="AN5" s="90">
        <v>33727.279999999999</v>
      </c>
      <c r="AO5" s="91" t="s">
        <v>287</v>
      </c>
      <c r="AP5" s="91" t="s">
        <v>288</v>
      </c>
      <c r="AQ5" s="92"/>
      <c r="AR5" s="90">
        <v>23553.16</v>
      </c>
      <c r="AS5" s="91"/>
      <c r="AT5" s="91"/>
      <c r="AU5" s="92"/>
      <c r="AV5" s="90">
        <v>-72291.149999999994</v>
      </c>
      <c r="AW5" s="263"/>
      <c r="AX5" s="151"/>
      <c r="AY5" s="92"/>
      <c r="AZ5" s="93">
        <f t="shared" ref="AZ5:AZ7" si="0">SUMIF($D$3:$AY$3,AZ$2,$D5:$AY5)</f>
        <v>142932.87</v>
      </c>
      <c r="BA5" s="92"/>
      <c r="BB5" s="93">
        <f t="shared" ref="BB5:BB7" si="1">SUMIF($D$4:$AY$4,BB$2,$D5:$AY5)</f>
        <v>314371.63</v>
      </c>
      <c r="BC5" s="94"/>
      <c r="BD5" s="92"/>
      <c r="BE5" s="94">
        <f t="shared" ref="BE5:BE7" si="2">SUMIF($D$2:$AY$2,$BE$2,$D5:$AY5)</f>
        <v>428365.02</v>
      </c>
      <c r="BF5" s="94"/>
      <c r="BG5" s="94"/>
    </row>
    <row r="6" spans="1:59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>
        <f>57959.78-AN5</f>
        <v>24232.5</v>
      </c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4"/>
      <c r="BD6" s="92"/>
      <c r="BE6" s="94">
        <f t="shared" si="2"/>
        <v>0</v>
      </c>
      <c r="BF6" s="94"/>
      <c r="BG6" s="94"/>
    </row>
    <row r="7" spans="1:59" ht="28">
      <c r="A7" s="89" t="s">
        <v>143</v>
      </c>
      <c r="B7" s="99">
        <v>12500</v>
      </c>
      <c r="C7" s="61"/>
      <c r="D7" s="100">
        <f>'Revised PS Model 2019'!ColinSalary</f>
        <v>12500</v>
      </c>
      <c r="E7" s="91"/>
      <c r="F7" s="91"/>
      <c r="G7" s="92"/>
      <c r="H7" s="100">
        <f>'Revised PS Model 2019'!ColinSalary</f>
        <v>12500</v>
      </c>
      <c r="I7" s="91"/>
      <c r="J7" s="91"/>
      <c r="K7" s="92"/>
      <c r="L7" s="100">
        <f>'Revised PS Model 2019'!ColinSalary</f>
        <v>12500</v>
      </c>
      <c r="M7" s="91"/>
      <c r="N7" s="91"/>
      <c r="O7" s="92"/>
      <c r="P7" s="100">
        <f>'Revised PS Model 2019'!ColinSalary</f>
        <v>12500</v>
      </c>
      <c r="Q7" s="91"/>
      <c r="R7" s="91"/>
      <c r="S7" s="92"/>
      <c r="T7" s="100">
        <f>'Revised PS Model 2019'!ColinSalary</f>
        <v>12500</v>
      </c>
      <c r="U7" s="91"/>
      <c r="V7" s="91"/>
      <c r="W7" s="92"/>
      <c r="X7" s="100">
        <f>'Revised PS Model 2019'!ColinSalary</f>
        <v>12500</v>
      </c>
      <c r="Y7" s="91"/>
      <c r="Z7" s="91"/>
      <c r="AA7" s="92"/>
      <c r="AB7" s="100">
        <f>'Revised PS Model 2019'!ColinSalary</f>
        <v>12500</v>
      </c>
      <c r="AC7" s="91"/>
      <c r="AD7" s="91"/>
      <c r="AE7" s="92"/>
      <c r="AF7" s="100">
        <f>'Revised PS Model 2019'!ColinSalary</f>
        <v>12500</v>
      </c>
      <c r="AG7" s="91"/>
      <c r="AH7" s="91"/>
      <c r="AI7" s="92"/>
      <c r="AJ7" s="100">
        <f>'Revised PS Model 2019'!ColinSalary</f>
        <v>12500</v>
      </c>
      <c r="AK7" s="91"/>
      <c r="AL7" s="91"/>
      <c r="AM7" s="92"/>
      <c r="AN7" s="100">
        <f>'Revised PS Model 2019'!ColinSalary</f>
        <v>12500</v>
      </c>
      <c r="AO7" s="91"/>
      <c r="AP7" s="91">
        <v>23732.5</v>
      </c>
      <c r="AQ7" s="92" t="s">
        <v>289</v>
      </c>
      <c r="AR7" s="100">
        <f>'Revised PS Model 2019'!ColinSalary</f>
        <v>12500</v>
      </c>
      <c r="AS7" s="91"/>
      <c r="AT7" s="91"/>
      <c r="AU7" s="92"/>
      <c r="AV7" s="100">
        <f>'Revised PS Model 2019'!ColinSalary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56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/>
      <c r="AC8" s="91"/>
      <c r="AD8" s="91"/>
      <c r="AE8" s="92"/>
      <c r="AF8" s="103">
        <f>SUM(AZ27:AZ33)</f>
        <v>35737.509999999995</v>
      </c>
      <c r="AG8" s="91"/>
      <c r="AH8" s="91"/>
      <c r="AI8" s="92"/>
      <c r="AJ8" s="103"/>
      <c r="AK8" s="91"/>
      <c r="AL8" s="91"/>
      <c r="AM8" s="92"/>
      <c r="AN8" s="54">
        <f>SUM(BB27:BB33)</f>
        <v>47373.260000000009</v>
      </c>
      <c r="AO8" s="91"/>
      <c r="AP8" s="91">
        <f>AP6-AP7</f>
        <v>500</v>
      </c>
      <c r="AQ8" s="92" t="s">
        <v>290</v>
      </c>
      <c r="AR8" s="103"/>
      <c r="AS8" s="91"/>
      <c r="AT8" s="91"/>
      <c r="AU8" s="92"/>
      <c r="AV8" s="103">
        <v>84700.89</v>
      </c>
      <c r="AW8" s="91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13">
      <c r="A9" s="89" t="s">
        <v>145</v>
      </c>
      <c r="B9" s="101"/>
      <c r="C9" s="102"/>
      <c r="D9" s="104">
        <f>SUM(F16:F23)</f>
        <v>1176.78</v>
      </c>
      <c r="E9" s="91"/>
      <c r="F9" s="91"/>
      <c r="G9" s="92"/>
      <c r="H9" s="104">
        <f>SUM(J16:J23)</f>
        <v>1430.11</v>
      </c>
      <c r="I9" s="91"/>
      <c r="J9" s="91"/>
      <c r="K9" s="92"/>
      <c r="L9" s="104">
        <f>SUM(N16:N23)</f>
        <v>1438.22</v>
      </c>
      <c r="M9" s="91"/>
      <c r="N9" s="91"/>
      <c r="O9" s="92"/>
      <c r="P9" s="104">
        <f>SUM(R16:R23)</f>
        <v>1634.25</v>
      </c>
      <c r="Q9" s="91"/>
      <c r="R9" s="91"/>
      <c r="S9" s="92"/>
      <c r="T9" s="104">
        <f>SUM(V16:V23)</f>
        <v>1942.59</v>
      </c>
      <c r="U9" s="91"/>
      <c r="V9" s="91"/>
      <c r="W9" s="92"/>
      <c r="X9" s="104">
        <f>SUM(Z16:Z23)</f>
        <v>2651.71</v>
      </c>
      <c r="Y9" s="91"/>
      <c r="Z9" s="91"/>
      <c r="AA9" s="92"/>
      <c r="AB9" s="104">
        <f>SUM(AD16:AD23)</f>
        <v>2510.6999999999998</v>
      </c>
      <c r="AC9" s="91"/>
      <c r="AD9" s="91"/>
      <c r="AE9" s="92"/>
      <c r="AF9" s="104">
        <f>SUM(AH16:AH23)</f>
        <v>2162.14</v>
      </c>
      <c r="AG9" s="91"/>
      <c r="AH9" s="91"/>
      <c r="AI9" s="92"/>
      <c r="AJ9" s="104">
        <f>SUM(AL16:AL23)</f>
        <v>4173.17</v>
      </c>
      <c r="AK9" s="91"/>
      <c r="AL9" s="91"/>
      <c r="AM9" s="92"/>
      <c r="AN9" s="104">
        <f>SUM(AP16:AP23)</f>
        <v>757.79</v>
      </c>
      <c r="AO9" s="91"/>
      <c r="AP9" s="91"/>
      <c r="AQ9" s="92"/>
      <c r="AR9" s="104">
        <f>SUM(AT16:AT23)</f>
        <v>2326.08</v>
      </c>
      <c r="AS9" s="91"/>
      <c r="AT9" s="91"/>
      <c r="AU9" s="92"/>
      <c r="AV9" s="104">
        <f>SUM(AX16:AX23)</f>
        <v>7243.27</v>
      </c>
      <c r="AW9" s="91"/>
      <c r="AX9" s="91"/>
      <c r="AY9" s="92"/>
      <c r="AZ9" s="93">
        <f t="shared" ref="AZ9:AZ13" si="3">SUMIF($D$3:$AY$3,AZ$2,$D9:$AY9)</f>
        <v>4045.1099999999997</v>
      </c>
      <c r="BA9" s="92"/>
      <c r="BB9" s="93">
        <f t="shared" ref="BB9:BB13" si="4">SUMIF($D$4:$AY$4,BB$2,$D9:$AY9)</f>
        <v>10273.66</v>
      </c>
      <c r="BC9" s="94"/>
      <c r="BD9" s="92"/>
      <c r="BE9" s="94">
        <f t="shared" ref="BE9:BE13" si="5">SUMIF($D$2:$AY$2,$BE$2,$D9:$AY9)</f>
        <v>29446.81</v>
      </c>
      <c r="BF9" s="94"/>
      <c r="BG9" s="94"/>
    </row>
    <row r="10" spans="1:59" ht="13">
      <c r="A10" s="89" t="s">
        <v>146</v>
      </c>
      <c r="C10" s="61"/>
      <c r="D10" s="104">
        <f>D5-D6-D7+D9+D8</f>
        <v>26130.549999999996</v>
      </c>
      <c r="E10" s="91"/>
      <c r="F10" s="91"/>
      <c r="G10" s="92"/>
      <c r="H10" s="104">
        <f>H5-H6-H7+H9+H8</f>
        <v>48643.98</v>
      </c>
      <c r="I10" s="91"/>
      <c r="J10" s="91"/>
      <c r="K10" s="92"/>
      <c r="L10" s="104">
        <f>L5-L6-L7+L9+L8</f>
        <v>34703.450000000004</v>
      </c>
      <c r="M10" s="91"/>
      <c r="N10" s="91"/>
      <c r="O10" s="92"/>
      <c r="P10" s="104">
        <f>P5-P6-P7+P9+P8</f>
        <v>41595.72</v>
      </c>
      <c r="Q10" s="91"/>
      <c r="R10" s="91"/>
      <c r="S10" s="92"/>
      <c r="T10" s="104">
        <f>T5-T6-T7+T9+T8</f>
        <v>44510.679999999993</v>
      </c>
      <c r="U10" s="91"/>
      <c r="V10" s="91"/>
      <c r="W10" s="92"/>
      <c r="X10" s="104">
        <f>X5-X6-X7+X9+X8</f>
        <v>54060.909999999996</v>
      </c>
      <c r="Y10" s="91"/>
      <c r="Z10" s="91"/>
      <c r="AA10" s="92"/>
      <c r="AB10" s="104">
        <f>AB5-AB6-AB7+AB9+AB8</f>
        <v>43639.67</v>
      </c>
      <c r="AC10" s="91"/>
      <c r="AD10" s="91"/>
      <c r="AE10" s="92"/>
      <c r="AF10" s="104">
        <f>AF5-AF6-AF7+AF9+AF8</f>
        <v>34966.85</v>
      </c>
      <c r="AG10" s="91"/>
      <c r="AH10" s="91"/>
      <c r="AI10" s="92"/>
      <c r="AJ10" s="104">
        <f>AJ5-AJ6-AJ7+AJ9+AJ8</f>
        <v>57481.099999999991</v>
      </c>
      <c r="AK10" s="91"/>
      <c r="AL10" s="91"/>
      <c r="AM10" s="92"/>
      <c r="AN10" s="104">
        <f>AN5-AN6-AN7+AN9+AN8</f>
        <v>69358.330000000016</v>
      </c>
      <c r="AO10" s="91"/>
      <c r="AP10" s="91"/>
      <c r="AQ10" s="92"/>
      <c r="AR10" s="104">
        <f>AR5-AR6-AR7+AR9+AR8</f>
        <v>13379.24</v>
      </c>
      <c r="AS10" s="91"/>
      <c r="AT10" s="91"/>
      <c r="AU10" s="92"/>
      <c r="AV10" s="104">
        <f>AV5-AV6-AV7+AV9+AV8</f>
        <v>7153.0100000000093</v>
      </c>
      <c r="AW10" s="91"/>
      <c r="AX10" s="91"/>
      <c r="AY10" s="92"/>
      <c r="AZ10" s="93">
        <f t="shared" si="3"/>
        <v>109477.98000000001</v>
      </c>
      <c r="BA10" s="92"/>
      <c r="BB10" s="93">
        <f t="shared" si="4"/>
        <v>249645.29</v>
      </c>
      <c r="BC10" s="94"/>
      <c r="BD10" s="92"/>
      <c r="BE10" s="94">
        <f t="shared" si="5"/>
        <v>475623.49</v>
      </c>
      <c r="BF10" s="94"/>
      <c r="BG10" s="94"/>
    </row>
    <row r="11" spans="1:59" ht="14">
      <c r="A11" s="89" t="s">
        <v>147</v>
      </c>
      <c r="C11" s="61"/>
      <c r="D11" s="90">
        <v>12500</v>
      </c>
      <c r="E11" s="91"/>
      <c r="F11" s="91"/>
      <c r="G11" s="92"/>
      <c r="H11" s="90">
        <v>12500</v>
      </c>
      <c r="I11" s="91"/>
      <c r="J11" s="91"/>
      <c r="K11" s="92"/>
      <c r="L11" s="90">
        <v>25000</v>
      </c>
      <c r="M11" s="91" t="s">
        <v>148</v>
      </c>
      <c r="N11" s="91"/>
      <c r="O11" s="92"/>
      <c r="P11" s="90">
        <v>32500</v>
      </c>
      <c r="Q11" s="91"/>
      <c r="R11" s="91"/>
      <c r="S11" s="92"/>
      <c r="T11" s="90">
        <v>0</v>
      </c>
      <c r="U11" s="91"/>
      <c r="V11" s="91"/>
      <c r="W11" s="92"/>
      <c r="X11" s="90">
        <v>12500</v>
      </c>
      <c r="Y11" s="91"/>
      <c r="Z11" s="91"/>
      <c r="AA11" s="92"/>
      <c r="AB11" s="90">
        <v>25000</v>
      </c>
      <c r="AC11" s="91"/>
      <c r="AD11" s="91"/>
      <c r="AE11" s="92"/>
      <c r="AF11" s="90">
        <v>18737</v>
      </c>
      <c r="AG11" s="91"/>
      <c r="AH11" s="91"/>
      <c r="AI11" s="92"/>
      <c r="AJ11" s="90">
        <v>80</v>
      </c>
      <c r="AK11" s="91"/>
      <c r="AL11" s="91"/>
      <c r="AM11" s="92"/>
      <c r="AN11" s="90">
        <v>52600.5</v>
      </c>
      <c r="AO11" s="91"/>
      <c r="AP11" s="91"/>
      <c r="AQ11" s="92"/>
      <c r="AR11" s="90">
        <v>12500</v>
      </c>
      <c r="AS11" s="91"/>
      <c r="AT11" s="91"/>
      <c r="AU11" s="92"/>
      <c r="AV11" s="90">
        <v>25000</v>
      </c>
      <c r="AW11" s="91"/>
      <c r="AX11" s="91"/>
      <c r="AY11" s="92"/>
      <c r="AZ11" s="93">
        <f t="shared" si="3"/>
        <v>50000</v>
      </c>
      <c r="BA11" s="92"/>
      <c r="BB11" s="93">
        <f t="shared" si="4"/>
        <v>95000</v>
      </c>
      <c r="BC11" s="94"/>
      <c r="BD11" s="92"/>
      <c r="BE11" s="94">
        <f t="shared" si="5"/>
        <v>228917.5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0</v>
      </c>
      <c r="E13" s="91"/>
      <c r="F13" s="91"/>
      <c r="G13" s="92"/>
      <c r="H13" s="100">
        <f>H11+H12-H7</f>
        <v>0</v>
      </c>
      <c r="I13" s="91"/>
      <c r="J13" s="91"/>
      <c r="K13" s="92"/>
      <c r="L13" s="100">
        <f>L11+L12-L7</f>
        <v>12500</v>
      </c>
      <c r="M13" s="91"/>
      <c r="N13" s="91"/>
      <c r="O13" s="92"/>
      <c r="P13" s="100">
        <f>P11+P12-P7</f>
        <v>20000</v>
      </c>
      <c r="Q13" s="91"/>
      <c r="R13" s="91"/>
      <c r="S13" s="92"/>
      <c r="T13" s="100">
        <f>T11+T12-T7</f>
        <v>-12500</v>
      </c>
      <c r="U13" s="91"/>
      <c r="V13" s="91"/>
      <c r="W13" s="92"/>
      <c r="X13" s="100">
        <f>X11+X12-X7</f>
        <v>0</v>
      </c>
      <c r="Y13" s="91"/>
      <c r="Z13" s="91"/>
      <c r="AA13" s="92"/>
      <c r="AB13" s="100">
        <f>AB11+AB12-AB7</f>
        <v>12500</v>
      </c>
      <c r="AC13" s="91"/>
      <c r="AD13" s="91"/>
      <c r="AE13" s="92"/>
      <c r="AF13" s="100">
        <f>AF11+AF12-AF7</f>
        <v>6237</v>
      </c>
      <c r="AG13" s="91"/>
      <c r="AH13" s="91"/>
      <c r="AI13" s="92"/>
      <c r="AJ13" s="100">
        <f>AJ11+AJ12-AJ7</f>
        <v>-12420</v>
      </c>
      <c r="AK13" s="91"/>
      <c r="AL13" s="91"/>
      <c r="AM13" s="92"/>
      <c r="AN13" s="100">
        <f>AN11+AN12-AN7</f>
        <v>40100.5</v>
      </c>
      <c r="AO13" s="91"/>
      <c r="AP13" s="91"/>
      <c r="AQ13" s="92"/>
      <c r="AR13" s="100">
        <f>AR11+AR12-AR7</f>
        <v>0</v>
      </c>
      <c r="AS13" s="91"/>
      <c r="AT13" s="91"/>
      <c r="AU13" s="92"/>
      <c r="AV13" s="100">
        <f>AV11+AV12-AV7</f>
        <v>12500</v>
      </c>
      <c r="AW13" s="91"/>
      <c r="AX13" s="91"/>
      <c r="AY13" s="92"/>
      <c r="AZ13" s="93">
        <f t="shared" si="3"/>
        <v>12500</v>
      </c>
      <c r="BA13" s="92"/>
      <c r="BB13" s="93">
        <f t="shared" si="4"/>
        <v>20000</v>
      </c>
      <c r="BC13" s="94"/>
      <c r="BD13" s="92"/>
      <c r="BE13" s="94">
        <f t="shared" si="5"/>
        <v>78917.5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100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265"/>
      <c r="C16" s="121">
        <f>'Revised PS Model 2018'!BG26</f>
        <v>-106801.46023292994</v>
      </c>
      <c r="D16" s="214">
        <v>300</v>
      </c>
      <c r="E16" s="123">
        <f t="shared" ref="E16:E23" si="6">D$10*D16/D$24</f>
        <v>17796.061293984108</v>
      </c>
      <c r="F16" s="124">
        <v>1176.78</v>
      </c>
      <c r="G16" s="123">
        <f t="shared" ref="G16:G23" si="7">E16-F16</f>
        <v>16619.28129398411</v>
      </c>
      <c r="H16" s="214">
        <v>300</v>
      </c>
      <c r="I16" s="123">
        <f t="shared" ref="I16:I23" si="8">H$10*H16/H$24</f>
        <v>33128.703745743478</v>
      </c>
      <c r="J16" s="124">
        <v>1430.11</v>
      </c>
      <c r="K16" s="123">
        <f t="shared" ref="K16:K23" si="9">I16-J16</f>
        <v>31698.593745743477</v>
      </c>
      <c r="L16" s="214">
        <v>300</v>
      </c>
      <c r="M16" s="123">
        <f t="shared" ref="M16:M23" si="10">L$10*L16/L$24</f>
        <v>23634.585698070379</v>
      </c>
      <c r="N16" s="124">
        <v>1438.22</v>
      </c>
      <c r="O16" s="123">
        <f t="shared" ref="O16:O23" si="11">M16-N16</f>
        <v>22196.365698070378</v>
      </c>
      <c r="P16" s="214">
        <v>300</v>
      </c>
      <c r="Q16" s="123">
        <f t="shared" ref="Q16:Q23" si="12">P$10*P16/P$24</f>
        <v>28328.526674233824</v>
      </c>
      <c r="R16" s="124">
        <v>1634.25</v>
      </c>
      <c r="S16" s="123">
        <f t="shared" ref="S16:S23" si="13">Q16-R16</f>
        <v>26694.276674233824</v>
      </c>
      <c r="T16" s="214">
        <v>300</v>
      </c>
      <c r="U16" s="123">
        <f t="shared" ref="U16:U23" si="14">T$10*T16/T$24</f>
        <v>30313.743473325761</v>
      </c>
      <c r="V16" s="124">
        <v>1942.59</v>
      </c>
      <c r="W16" s="123">
        <f t="shared" ref="W16:W23" si="15">U16-V16</f>
        <v>28371.153473325761</v>
      </c>
      <c r="X16" s="214">
        <v>300</v>
      </c>
      <c r="Y16" s="123">
        <f t="shared" ref="Y16:Y23" si="16">X$10*X16/X$24</f>
        <v>36817.872871736661</v>
      </c>
      <c r="Z16" s="124">
        <v>2651.71</v>
      </c>
      <c r="AA16" s="123">
        <f t="shared" ref="AA16:AA23" si="17">Y16-Z16</f>
        <v>34166.162871736662</v>
      </c>
      <c r="AB16" s="214">
        <v>300</v>
      </c>
      <c r="AC16" s="123">
        <f t="shared" ref="AC16:AC23" si="18">AB$10*AB16/AB$24</f>
        <v>29720.547105561862</v>
      </c>
      <c r="AD16" s="124">
        <v>2510.6999999999998</v>
      </c>
      <c r="AE16" s="123">
        <f t="shared" ref="AE16:AE23" si="19">AC16-AD16</f>
        <v>27209.847105561861</v>
      </c>
      <c r="AF16" s="214">
        <v>300</v>
      </c>
      <c r="AG16" s="123">
        <f t="shared" ref="AG16:AG23" si="20">AF$10*AF16/AF$24</f>
        <v>23813.972758229283</v>
      </c>
      <c r="AH16" s="124">
        <v>2162.14</v>
      </c>
      <c r="AI16" s="123">
        <f t="shared" ref="AI16:AI23" si="21">AG16-AH16</f>
        <v>21651.832758229284</v>
      </c>
      <c r="AJ16" s="214">
        <v>300</v>
      </c>
      <c r="AK16" s="123">
        <f t="shared" ref="AK16:AK23" si="22">AJ$10*AJ16/AJ$24</f>
        <v>39147.173666288298</v>
      </c>
      <c r="AL16" s="124">
        <v>4173.17</v>
      </c>
      <c r="AM16" s="123">
        <f t="shared" ref="AM16:AM23" si="23">AK16-AL16</f>
        <v>34974.003666288299</v>
      </c>
      <c r="AN16" s="214">
        <v>300</v>
      </c>
      <c r="AO16" s="123">
        <f t="shared" ref="AO16:AO23" si="24">AN$10*AN16/AN$24</f>
        <v>44413.018143009613</v>
      </c>
      <c r="AP16" s="124">
        <v>757.79</v>
      </c>
      <c r="AQ16" s="123">
        <f t="shared" ref="AQ16:AQ23" si="25">AO16-AP16</f>
        <v>43655.228143009612</v>
      </c>
      <c r="AR16" s="214">
        <v>300</v>
      </c>
      <c r="AS16" s="123">
        <f t="shared" ref="AS16:AS23" si="26">AR$10*AR16/AR$24</f>
        <v>8567.282817502668</v>
      </c>
      <c r="AT16" s="124">
        <v>2326.08</v>
      </c>
      <c r="AU16" s="123">
        <f t="shared" ref="AU16:AU23" si="27">AS16-AT16</f>
        <v>6241.202817502668</v>
      </c>
      <c r="AV16" s="214">
        <v>300</v>
      </c>
      <c r="AW16" s="123">
        <f t="shared" ref="AW16:AW23" si="28">AV$10*AV16/AV$24</f>
        <v>4580.3692636072628</v>
      </c>
      <c r="AX16" s="124">
        <v>7243.27</v>
      </c>
      <c r="AY16" s="126">
        <f t="shared" ref="AY16:AY23" si="29">AW16-AX16</f>
        <v>-2662.9007363927376</v>
      </c>
      <c r="AZ16" s="127">
        <f t="shared" ref="AZ16:AZ23" si="30">IF($AV$3="1Q",AY16,0)+IF($AR$3="1Q",AU16,0)+IF($AN$3="1Q",AQ16,0)+IF($AJ$3="1Q",AM16,0)+IF($AF$3="1Q",AI16,0)+IF($AB$3="1Q",AE16,0)+IF($X$3="1Q",AA16,0)+IF($T$3="1Q",W16,0)+IF($P$3="1Q",S16,0)+IF($L$3="1Q",O16,0)+IF($H$3="1Q",K16,0)+IF($D$3="1Q",G16,0)</f>
        <v>70514.240737797969</v>
      </c>
      <c r="BA16" s="128">
        <f t="shared" ref="BA16:BA23" si="31">AZ16+$C16</f>
        <v>-36287.219495131969</v>
      </c>
      <c r="BB16" s="127">
        <f t="shared" ref="BB16:BB23" si="32">IF($AV$4="1H",AY16,0)+IF($AR$4="1H",AU16,0)+IF($AN$4="1H",AQ16,0)+IF($AJ$4="1H",AM16,0)+IF($AF$4="1H",AI16,0)+IF($AB$4="1H",AE16,0)+IF($X$4="1H",AA16,0)+IF($T$4="1H",W16,0)+IF($P$4="1H",S16,0)+IF($L$4="1H",O16,0)+IF($H$4="1H",K16,0)+IF($D$4="1H",G16,0)</f>
        <v>159745.83375709422</v>
      </c>
      <c r="BC16" s="127"/>
      <c r="BD16" s="128">
        <f t="shared" ref="BD16:BD23" si="33">BB16+$C16</f>
        <v>52944.373524164286</v>
      </c>
      <c r="BE16" s="127">
        <f t="shared" ref="BE16:BE23" si="34">AY16+AU16+AQ16+AM16+AI16+AE16+AA16+W16+S16+O16+K16+G16</f>
        <v>290815.0475112932</v>
      </c>
      <c r="BF16" s="127"/>
      <c r="BG16" s="91">
        <f t="shared" ref="BG16:BG23" si="35">BE16+C16</f>
        <v>184013.58727836327</v>
      </c>
    </row>
    <row r="17" spans="1:59" ht="13">
      <c r="A17" s="89" t="s">
        <v>209</v>
      </c>
      <c r="B17" s="265"/>
      <c r="C17" s="121">
        <f>'Revised PS Model 2018'!BG27</f>
        <v>-527.87173323582829</v>
      </c>
      <c r="D17" s="214">
        <v>100</v>
      </c>
      <c r="E17" s="123">
        <f t="shared" si="6"/>
        <v>5932.0204313280356</v>
      </c>
      <c r="F17" s="124"/>
      <c r="G17" s="123">
        <f t="shared" si="7"/>
        <v>5932.0204313280356</v>
      </c>
      <c r="H17" s="214">
        <v>100</v>
      </c>
      <c r="I17" s="123">
        <f t="shared" si="8"/>
        <v>11042.901248581158</v>
      </c>
      <c r="J17" s="124"/>
      <c r="K17" s="123">
        <f t="shared" si="9"/>
        <v>11042.901248581158</v>
      </c>
      <c r="L17" s="214">
        <v>100</v>
      </c>
      <c r="M17" s="123">
        <f t="shared" si="10"/>
        <v>7878.1952326901255</v>
      </c>
      <c r="N17" s="124"/>
      <c r="O17" s="123">
        <f t="shared" si="11"/>
        <v>7878.1952326901255</v>
      </c>
      <c r="P17" s="214">
        <v>100</v>
      </c>
      <c r="Q17" s="123">
        <f t="shared" si="12"/>
        <v>9442.8422247446088</v>
      </c>
      <c r="R17" s="124"/>
      <c r="S17" s="123">
        <f t="shared" si="13"/>
        <v>9442.8422247446088</v>
      </c>
      <c r="T17" s="214">
        <v>100</v>
      </c>
      <c r="U17" s="123">
        <f t="shared" si="14"/>
        <v>10104.581157775254</v>
      </c>
      <c r="V17" s="124"/>
      <c r="W17" s="123">
        <f t="shared" si="15"/>
        <v>10104.581157775254</v>
      </c>
      <c r="X17" s="214">
        <v>100</v>
      </c>
      <c r="Y17" s="123">
        <f t="shared" si="16"/>
        <v>12272.624290578888</v>
      </c>
      <c r="Z17" s="124"/>
      <c r="AA17" s="123">
        <f t="shared" si="17"/>
        <v>12272.624290578888</v>
      </c>
      <c r="AB17" s="214">
        <v>100</v>
      </c>
      <c r="AC17" s="123">
        <f t="shared" si="18"/>
        <v>9906.8490351872879</v>
      </c>
      <c r="AD17" s="124"/>
      <c r="AE17" s="123">
        <f t="shared" si="19"/>
        <v>9906.8490351872879</v>
      </c>
      <c r="AF17" s="214">
        <v>100</v>
      </c>
      <c r="AG17" s="123">
        <f t="shared" si="20"/>
        <v>7937.9909194097618</v>
      </c>
      <c r="AH17" s="124"/>
      <c r="AI17" s="123">
        <f t="shared" si="21"/>
        <v>7937.9909194097618</v>
      </c>
      <c r="AJ17" s="214">
        <v>100</v>
      </c>
      <c r="AK17" s="123">
        <f t="shared" si="22"/>
        <v>13049.057888762767</v>
      </c>
      <c r="AL17" s="124"/>
      <c r="AM17" s="123">
        <f t="shared" si="23"/>
        <v>13049.057888762767</v>
      </c>
      <c r="AN17" s="214">
        <v>100</v>
      </c>
      <c r="AO17" s="123">
        <f t="shared" si="24"/>
        <v>14804.339381003205</v>
      </c>
      <c r="AP17" s="124"/>
      <c r="AQ17" s="123">
        <f t="shared" si="25"/>
        <v>14804.339381003205</v>
      </c>
      <c r="AR17" s="214">
        <v>100</v>
      </c>
      <c r="AS17" s="123">
        <f t="shared" si="26"/>
        <v>2855.760939167556</v>
      </c>
      <c r="AT17" s="124"/>
      <c r="AU17" s="123">
        <f t="shared" si="27"/>
        <v>2855.760939167556</v>
      </c>
      <c r="AV17" s="214">
        <v>100</v>
      </c>
      <c r="AW17" s="123">
        <f t="shared" si="28"/>
        <v>1526.7897545357544</v>
      </c>
      <c r="AX17" s="124"/>
      <c r="AY17" s="126">
        <f t="shared" si="29"/>
        <v>1526.7897545357544</v>
      </c>
      <c r="AZ17" s="127">
        <f t="shared" si="30"/>
        <v>24853.116912599318</v>
      </c>
      <c r="BA17" s="128">
        <f t="shared" si="31"/>
        <v>24325.24517936349</v>
      </c>
      <c r="BB17" s="127">
        <f t="shared" si="32"/>
        <v>56673.164585698069</v>
      </c>
      <c r="BC17" s="127"/>
      <c r="BD17" s="128">
        <f t="shared" si="33"/>
        <v>56145.29285246224</v>
      </c>
      <c r="BE17" s="127">
        <f t="shared" si="34"/>
        <v>106753.95250376441</v>
      </c>
      <c r="BF17" s="127"/>
      <c r="BG17" s="91">
        <f t="shared" si="35"/>
        <v>106226.08077052858</v>
      </c>
    </row>
    <row r="18" spans="1:59" ht="13">
      <c r="A18" s="89" t="s">
        <v>61</v>
      </c>
      <c r="B18" s="265"/>
      <c r="C18" s="121">
        <f>'Revised PS Model 2018'!BG28</f>
        <v>-84.376024461047564</v>
      </c>
      <c r="D18" s="53">
        <v>16</v>
      </c>
      <c r="E18" s="123">
        <f t="shared" si="6"/>
        <v>949.12326901248571</v>
      </c>
      <c r="F18" s="124"/>
      <c r="G18" s="126">
        <f t="shared" si="7"/>
        <v>949.12326901248571</v>
      </c>
      <c r="H18" s="53">
        <v>16</v>
      </c>
      <c r="I18" s="123">
        <f t="shared" si="8"/>
        <v>1766.8641997729853</v>
      </c>
      <c r="J18" s="124"/>
      <c r="K18" s="126">
        <f t="shared" si="9"/>
        <v>1766.8641997729853</v>
      </c>
      <c r="L18" s="53">
        <v>16</v>
      </c>
      <c r="M18" s="123">
        <f t="shared" si="10"/>
        <v>1260.5112372304202</v>
      </c>
      <c r="N18" s="124"/>
      <c r="O18" s="126">
        <f t="shared" si="11"/>
        <v>1260.5112372304202</v>
      </c>
      <c r="P18" s="53">
        <v>16</v>
      </c>
      <c r="Q18" s="123">
        <f t="shared" si="12"/>
        <v>1510.8547559591375</v>
      </c>
      <c r="R18" s="124"/>
      <c r="S18" s="126">
        <f t="shared" si="13"/>
        <v>1510.8547559591375</v>
      </c>
      <c r="T18" s="53">
        <v>16</v>
      </c>
      <c r="U18" s="123">
        <f t="shared" si="14"/>
        <v>1616.7329852440407</v>
      </c>
      <c r="V18" s="124"/>
      <c r="W18" s="126">
        <f t="shared" si="15"/>
        <v>1616.7329852440407</v>
      </c>
      <c r="X18" s="53">
        <v>16</v>
      </c>
      <c r="Y18" s="123">
        <f t="shared" si="16"/>
        <v>1963.6198864926218</v>
      </c>
      <c r="Z18" s="124"/>
      <c r="AA18" s="126">
        <f t="shared" si="17"/>
        <v>1963.6198864926218</v>
      </c>
      <c r="AB18" s="53">
        <v>16</v>
      </c>
      <c r="AC18" s="123">
        <f t="shared" si="18"/>
        <v>1585.0958456299659</v>
      </c>
      <c r="AD18" s="124"/>
      <c r="AE18" s="126">
        <f t="shared" si="19"/>
        <v>1585.0958456299659</v>
      </c>
      <c r="AF18" s="53">
        <v>16</v>
      </c>
      <c r="AG18" s="123">
        <f t="shared" si="20"/>
        <v>1270.0785471055617</v>
      </c>
      <c r="AH18" s="124"/>
      <c r="AI18" s="126">
        <f t="shared" si="21"/>
        <v>1270.0785471055617</v>
      </c>
      <c r="AJ18" s="53">
        <v>16</v>
      </c>
      <c r="AK18" s="123">
        <f t="shared" si="22"/>
        <v>2087.8492622020426</v>
      </c>
      <c r="AL18" s="124"/>
      <c r="AM18" s="126">
        <f t="shared" si="23"/>
        <v>2087.8492622020426</v>
      </c>
      <c r="AN18" s="53">
        <v>30</v>
      </c>
      <c r="AO18" s="123">
        <f t="shared" si="24"/>
        <v>4441.3018143009613</v>
      </c>
      <c r="AP18" s="124"/>
      <c r="AQ18" s="126">
        <f t="shared" si="25"/>
        <v>4441.3018143009613</v>
      </c>
      <c r="AR18" s="53">
        <v>30</v>
      </c>
      <c r="AS18" s="123">
        <f t="shared" si="26"/>
        <v>856.72828175026689</v>
      </c>
      <c r="AT18" s="124"/>
      <c r="AU18" s="126">
        <f t="shared" si="27"/>
        <v>856.72828175026689</v>
      </c>
      <c r="AV18" s="53">
        <v>30</v>
      </c>
      <c r="AW18" s="123">
        <f t="shared" si="28"/>
        <v>458.03692636072634</v>
      </c>
      <c r="AX18" s="124"/>
      <c r="AY18" s="126">
        <f t="shared" si="29"/>
        <v>458.03692636072634</v>
      </c>
      <c r="AZ18" s="127">
        <f t="shared" si="30"/>
        <v>3976.4987060158915</v>
      </c>
      <c r="BA18" s="128">
        <f t="shared" si="31"/>
        <v>3892.1226815548439</v>
      </c>
      <c r="BB18" s="127">
        <f t="shared" si="32"/>
        <v>9067.7063337116906</v>
      </c>
      <c r="BC18" s="127"/>
      <c r="BD18" s="128">
        <f t="shared" si="33"/>
        <v>8983.330309250643</v>
      </c>
      <c r="BE18" s="127">
        <f t="shared" si="34"/>
        <v>19766.797011061219</v>
      </c>
      <c r="BF18" s="127"/>
      <c r="BG18" s="91">
        <f t="shared" si="35"/>
        <v>19682.420986600169</v>
      </c>
    </row>
    <row r="19" spans="1:59" ht="13">
      <c r="A19" s="89" t="s">
        <v>65</v>
      </c>
      <c r="B19" s="265"/>
      <c r="C19" s="121">
        <f>'Revised PS Model 2018'!BG29</f>
        <v>-84.376024461047564</v>
      </c>
      <c r="D19" s="53">
        <v>16</v>
      </c>
      <c r="E19" s="123">
        <f t="shared" si="6"/>
        <v>949.12326901248571</v>
      </c>
      <c r="F19" s="124"/>
      <c r="G19" s="126">
        <f t="shared" si="7"/>
        <v>949.12326901248571</v>
      </c>
      <c r="H19" s="53">
        <v>16</v>
      </c>
      <c r="I19" s="123">
        <f t="shared" si="8"/>
        <v>1766.8641997729853</v>
      </c>
      <c r="J19" s="124"/>
      <c r="K19" s="126">
        <f t="shared" si="9"/>
        <v>1766.8641997729853</v>
      </c>
      <c r="L19" s="53">
        <v>16</v>
      </c>
      <c r="M19" s="123">
        <f t="shared" si="10"/>
        <v>1260.5112372304202</v>
      </c>
      <c r="N19" s="124"/>
      <c r="O19" s="126">
        <f t="shared" si="11"/>
        <v>1260.5112372304202</v>
      </c>
      <c r="P19" s="53">
        <v>16</v>
      </c>
      <c r="Q19" s="123">
        <f t="shared" si="12"/>
        <v>1510.8547559591375</v>
      </c>
      <c r="R19" s="124"/>
      <c r="S19" s="126">
        <f t="shared" si="13"/>
        <v>1510.8547559591375</v>
      </c>
      <c r="T19" s="53">
        <v>16</v>
      </c>
      <c r="U19" s="123">
        <f t="shared" si="14"/>
        <v>1616.7329852440407</v>
      </c>
      <c r="V19" s="124"/>
      <c r="W19" s="126">
        <f t="shared" si="15"/>
        <v>1616.7329852440407</v>
      </c>
      <c r="X19" s="53">
        <v>16</v>
      </c>
      <c r="Y19" s="123">
        <f t="shared" si="16"/>
        <v>1963.6198864926218</v>
      </c>
      <c r="Z19" s="124"/>
      <c r="AA19" s="126">
        <f t="shared" si="17"/>
        <v>1963.6198864926218</v>
      </c>
      <c r="AB19" s="53">
        <v>16</v>
      </c>
      <c r="AC19" s="123">
        <f t="shared" si="18"/>
        <v>1585.0958456299659</v>
      </c>
      <c r="AD19" s="124"/>
      <c r="AE19" s="126">
        <f t="shared" si="19"/>
        <v>1585.0958456299659</v>
      </c>
      <c r="AF19" s="53">
        <v>16</v>
      </c>
      <c r="AG19" s="123">
        <f t="shared" si="20"/>
        <v>1270.0785471055617</v>
      </c>
      <c r="AH19" s="124"/>
      <c r="AI19" s="126">
        <f t="shared" si="21"/>
        <v>1270.0785471055617</v>
      </c>
      <c r="AJ19" s="53">
        <v>16</v>
      </c>
      <c r="AK19" s="123">
        <f t="shared" si="22"/>
        <v>2087.8492622020426</v>
      </c>
      <c r="AL19" s="124"/>
      <c r="AM19" s="126">
        <f t="shared" si="23"/>
        <v>2087.8492622020426</v>
      </c>
      <c r="AN19" s="53">
        <v>30</v>
      </c>
      <c r="AO19" s="123">
        <f t="shared" si="24"/>
        <v>4441.3018143009613</v>
      </c>
      <c r="AP19" s="124"/>
      <c r="AQ19" s="126">
        <f t="shared" si="25"/>
        <v>4441.3018143009613</v>
      </c>
      <c r="AR19" s="53">
        <v>30</v>
      </c>
      <c r="AS19" s="123">
        <f t="shared" si="26"/>
        <v>856.72828175026689</v>
      </c>
      <c r="AT19" s="124"/>
      <c r="AU19" s="126">
        <f t="shared" si="27"/>
        <v>856.72828175026689</v>
      </c>
      <c r="AV19" s="53">
        <v>30</v>
      </c>
      <c r="AW19" s="123">
        <f t="shared" si="28"/>
        <v>458.03692636072634</v>
      </c>
      <c r="AX19" s="124"/>
      <c r="AY19" s="126">
        <f t="shared" si="29"/>
        <v>458.03692636072634</v>
      </c>
      <c r="AZ19" s="127">
        <f t="shared" si="30"/>
        <v>3976.4987060158915</v>
      </c>
      <c r="BA19" s="128">
        <f t="shared" si="31"/>
        <v>3892.1226815548439</v>
      </c>
      <c r="BB19" s="127">
        <f t="shared" si="32"/>
        <v>9067.7063337116906</v>
      </c>
      <c r="BC19" s="127"/>
      <c r="BD19" s="128">
        <f t="shared" si="33"/>
        <v>8983.330309250643</v>
      </c>
      <c r="BE19" s="127">
        <f t="shared" si="34"/>
        <v>19766.797011061219</v>
      </c>
      <c r="BF19" s="127"/>
      <c r="BG19" s="91">
        <f t="shared" si="35"/>
        <v>19682.420986600169</v>
      </c>
    </row>
    <row r="20" spans="1:59" ht="13">
      <c r="A20" s="89" t="s">
        <v>210</v>
      </c>
      <c r="B20" s="265"/>
      <c r="C20" s="121">
        <f>'Revised PS Model 2018'!BG30</f>
        <v>-13.130874006810359</v>
      </c>
      <c r="D20" s="53">
        <v>2.5</v>
      </c>
      <c r="E20" s="123">
        <f t="shared" si="6"/>
        <v>148.30051078320088</v>
      </c>
      <c r="F20" s="124"/>
      <c r="G20" s="126">
        <f t="shared" si="7"/>
        <v>148.30051078320088</v>
      </c>
      <c r="H20" s="53">
        <v>2.5</v>
      </c>
      <c r="I20" s="123">
        <f t="shared" si="8"/>
        <v>276.07253121452896</v>
      </c>
      <c r="J20" s="124"/>
      <c r="K20" s="126">
        <f t="shared" si="9"/>
        <v>276.07253121452896</v>
      </c>
      <c r="L20" s="53">
        <v>2.5</v>
      </c>
      <c r="M20" s="123">
        <f t="shared" si="10"/>
        <v>196.95488081725316</v>
      </c>
      <c r="N20" s="124"/>
      <c r="O20" s="126">
        <f t="shared" si="11"/>
        <v>196.95488081725316</v>
      </c>
      <c r="P20" s="53">
        <v>2.5</v>
      </c>
      <c r="Q20" s="123">
        <f t="shared" si="12"/>
        <v>236.07105561861522</v>
      </c>
      <c r="R20" s="124"/>
      <c r="S20" s="126">
        <f t="shared" si="13"/>
        <v>236.07105561861522</v>
      </c>
      <c r="T20" s="53">
        <v>2.5</v>
      </c>
      <c r="U20" s="123">
        <f t="shared" si="14"/>
        <v>252.61452894438133</v>
      </c>
      <c r="V20" s="124"/>
      <c r="W20" s="126">
        <f t="shared" si="15"/>
        <v>252.61452894438133</v>
      </c>
      <c r="X20" s="53">
        <v>2.5</v>
      </c>
      <c r="Y20" s="123">
        <f t="shared" si="16"/>
        <v>306.81560726447219</v>
      </c>
      <c r="Z20" s="124"/>
      <c r="AA20" s="126">
        <f t="shared" si="17"/>
        <v>306.81560726447219</v>
      </c>
      <c r="AB20" s="53">
        <v>2.5</v>
      </c>
      <c r="AC20" s="123">
        <f t="shared" si="18"/>
        <v>247.67122587968214</v>
      </c>
      <c r="AD20" s="124"/>
      <c r="AE20" s="126">
        <f t="shared" si="19"/>
        <v>247.67122587968214</v>
      </c>
      <c r="AF20" s="53">
        <v>2.5</v>
      </c>
      <c r="AG20" s="123">
        <f t="shared" si="20"/>
        <v>198.44977298524404</v>
      </c>
      <c r="AH20" s="124"/>
      <c r="AI20" s="126">
        <f t="shared" si="21"/>
        <v>198.44977298524404</v>
      </c>
      <c r="AJ20" s="53">
        <v>2.5</v>
      </c>
      <c r="AK20" s="123">
        <f t="shared" si="22"/>
        <v>326.2264472190692</v>
      </c>
      <c r="AL20" s="124"/>
      <c r="AM20" s="126">
        <f t="shared" si="23"/>
        <v>326.2264472190692</v>
      </c>
      <c r="AN20" s="53">
        <v>2.5</v>
      </c>
      <c r="AO20" s="123">
        <f t="shared" si="24"/>
        <v>370.10848452508014</v>
      </c>
      <c r="AP20" s="124"/>
      <c r="AQ20" s="126">
        <f t="shared" si="25"/>
        <v>370.10848452508014</v>
      </c>
      <c r="AR20" s="53">
        <v>2.5</v>
      </c>
      <c r="AS20" s="123">
        <f t="shared" si="26"/>
        <v>71.394023479188903</v>
      </c>
      <c r="AT20" s="124"/>
      <c r="AU20" s="126">
        <f t="shared" si="27"/>
        <v>71.394023479188903</v>
      </c>
      <c r="AV20" s="53">
        <v>2.5</v>
      </c>
      <c r="AW20" s="123">
        <f t="shared" si="28"/>
        <v>38.169743863393862</v>
      </c>
      <c r="AX20" s="124"/>
      <c r="AY20" s="126">
        <f t="shared" si="29"/>
        <v>38.169743863393862</v>
      </c>
      <c r="AZ20" s="127">
        <f t="shared" si="30"/>
        <v>621.32792281498291</v>
      </c>
      <c r="BA20" s="128">
        <f t="shared" si="31"/>
        <v>608.19704880817255</v>
      </c>
      <c r="BB20" s="127">
        <f t="shared" si="32"/>
        <v>1416.8291146424519</v>
      </c>
      <c r="BC20" s="127"/>
      <c r="BD20" s="128">
        <f t="shared" si="33"/>
        <v>1403.6982406356415</v>
      </c>
      <c r="BE20" s="127">
        <f t="shared" si="34"/>
        <v>2668.8488125941103</v>
      </c>
      <c r="BF20" s="127"/>
      <c r="BG20" s="91">
        <f t="shared" si="35"/>
        <v>2655.7179385873001</v>
      </c>
    </row>
    <row r="21" spans="1:59" ht="13">
      <c r="A21" s="132" t="s">
        <v>254</v>
      </c>
      <c r="B21" s="267"/>
      <c r="C21" s="121">
        <f>'Revised PS Model 2018'!BG31</f>
        <v>-13.130874006810359</v>
      </c>
      <c r="D21" s="178">
        <v>2.5</v>
      </c>
      <c r="E21" s="134">
        <f t="shared" si="6"/>
        <v>148.30051078320088</v>
      </c>
      <c r="F21" s="135"/>
      <c r="G21" s="136">
        <f t="shared" si="7"/>
        <v>148.30051078320088</v>
      </c>
      <c r="H21" s="178">
        <v>2.5</v>
      </c>
      <c r="I21" s="134">
        <f t="shared" si="8"/>
        <v>276.07253121452896</v>
      </c>
      <c r="J21" s="135"/>
      <c r="K21" s="136">
        <f t="shared" si="9"/>
        <v>276.07253121452896</v>
      </c>
      <c r="L21" s="178">
        <v>2.5</v>
      </c>
      <c r="M21" s="134">
        <f t="shared" si="10"/>
        <v>196.95488081725316</v>
      </c>
      <c r="N21" s="135"/>
      <c r="O21" s="136">
        <f t="shared" si="11"/>
        <v>196.95488081725316</v>
      </c>
      <c r="P21" s="178">
        <v>2.5</v>
      </c>
      <c r="Q21" s="134">
        <f t="shared" si="12"/>
        <v>236.07105561861522</v>
      </c>
      <c r="R21" s="135"/>
      <c r="S21" s="136">
        <f t="shared" si="13"/>
        <v>236.07105561861522</v>
      </c>
      <c r="T21" s="178">
        <v>2.5</v>
      </c>
      <c r="U21" s="134">
        <f t="shared" si="14"/>
        <v>252.61452894438133</v>
      </c>
      <c r="V21" s="135"/>
      <c r="W21" s="136">
        <f t="shared" si="15"/>
        <v>252.61452894438133</v>
      </c>
      <c r="X21" s="178">
        <v>2.5</v>
      </c>
      <c r="Y21" s="134">
        <f t="shared" si="16"/>
        <v>306.81560726447219</v>
      </c>
      <c r="Z21" s="135"/>
      <c r="AA21" s="136">
        <f t="shared" si="17"/>
        <v>306.81560726447219</v>
      </c>
      <c r="AB21" s="178">
        <v>2.5</v>
      </c>
      <c r="AC21" s="134">
        <f t="shared" si="18"/>
        <v>247.67122587968214</v>
      </c>
      <c r="AD21" s="135"/>
      <c r="AE21" s="136">
        <f t="shared" si="19"/>
        <v>247.67122587968214</v>
      </c>
      <c r="AF21" s="178">
        <v>2.5</v>
      </c>
      <c r="AG21" s="134">
        <f t="shared" si="20"/>
        <v>198.44977298524404</v>
      </c>
      <c r="AH21" s="135"/>
      <c r="AI21" s="136">
        <f t="shared" si="21"/>
        <v>198.44977298524404</v>
      </c>
      <c r="AJ21" s="178">
        <v>2.5</v>
      </c>
      <c r="AK21" s="134">
        <f t="shared" si="22"/>
        <v>326.2264472190692</v>
      </c>
      <c r="AL21" s="135"/>
      <c r="AM21" s="136">
        <f t="shared" si="23"/>
        <v>326.2264472190692</v>
      </c>
      <c r="AN21" s="178">
        <v>2.5</v>
      </c>
      <c r="AO21" s="134">
        <f t="shared" si="24"/>
        <v>370.10848452508014</v>
      </c>
      <c r="AP21" s="135"/>
      <c r="AQ21" s="136">
        <f t="shared" si="25"/>
        <v>370.10848452508014</v>
      </c>
      <c r="AR21" s="178">
        <v>2.5</v>
      </c>
      <c r="AS21" s="134">
        <f t="shared" si="26"/>
        <v>71.394023479188903</v>
      </c>
      <c r="AT21" s="135"/>
      <c r="AU21" s="136">
        <f t="shared" si="27"/>
        <v>71.394023479188903</v>
      </c>
      <c r="AV21" s="178">
        <v>2.5</v>
      </c>
      <c r="AW21" s="134">
        <f t="shared" si="28"/>
        <v>38.169743863393862</v>
      </c>
      <c r="AX21" s="135"/>
      <c r="AY21" s="136">
        <f t="shared" si="29"/>
        <v>38.169743863393862</v>
      </c>
      <c r="AZ21" s="138">
        <f t="shared" si="30"/>
        <v>621.32792281498291</v>
      </c>
      <c r="BA21" s="137">
        <f t="shared" si="31"/>
        <v>608.19704880817255</v>
      </c>
      <c r="BB21" s="138">
        <f t="shared" si="32"/>
        <v>1416.8291146424519</v>
      </c>
      <c r="BC21" s="138"/>
      <c r="BD21" s="137">
        <f t="shared" si="33"/>
        <v>1403.6982406356415</v>
      </c>
      <c r="BE21" s="138">
        <f t="shared" si="34"/>
        <v>2668.8488125941103</v>
      </c>
      <c r="BF21" s="138"/>
      <c r="BG21" s="140">
        <f t="shared" si="35"/>
        <v>2655.7179385873001</v>
      </c>
    </row>
    <row r="22" spans="1:59" ht="13">
      <c r="A22" s="132" t="s">
        <v>255</v>
      </c>
      <c r="B22" s="267"/>
      <c r="C22" s="121">
        <f>'Revised PS Model 2018'!BG32</f>
        <v>-13.130874006810359</v>
      </c>
      <c r="D22" s="178">
        <v>2.5</v>
      </c>
      <c r="E22" s="134">
        <f t="shared" si="6"/>
        <v>148.30051078320088</v>
      </c>
      <c r="F22" s="135"/>
      <c r="G22" s="136">
        <f t="shared" si="7"/>
        <v>148.30051078320088</v>
      </c>
      <c r="H22" s="178">
        <v>2.5</v>
      </c>
      <c r="I22" s="134">
        <f t="shared" si="8"/>
        <v>276.07253121452896</v>
      </c>
      <c r="J22" s="135"/>
      <c r="K22" s="136">
        <f t="shared" si="9"/>
        <v>276.07253121452896</v>
      </c>
      <c r="L22" s="178">
        <v>2.5</v>
      </c>
      <c r="M22" s="134">
        <f t="shared" si="10"/>
        <v>196.95488081725316</v>
      </c>
      <c r="N22" s="135"/>
      <c r="O22" s="136">
        <f t="shared" si="11"/>
        <v>196.95488081725316</v>
      </c>
      <c r="P22" s="178">
        <v>2.5</v>
      </c>
      <c r="Q22" s="134">
        <f t="shared" si="12"/>
        <v>236.07105561861522</v>
      </c>
      <c r="R22" s="135"/>
      <c r="S22" s="136">
        <f t="shared" si="13"/>
        <v>236.07105561861522</v>
      </c>
      <c r="T22" s="178">
        <v>2.5</v>
      </c>
      <c r="U22" s="134">
        <f t="shared" si="14"/>
        <v>252.61452894438133</v>
      </c>
      <c r="V22" s="135"/>
      <c r="W22" s="136">
        <f t="shared" si="15"/>
        <v>252.61452894438133</v>
      </c>
      <c r="X22" s="178">
        <v>2.5</v>
      </c>
      <c r="Y22" s="134">
        <f t="shared" si="16"/>
        <v>306.81560726447219</v>
      </c>
      <c r="Z22" s="135"/>
      <c r="AA22" s="136">
        <f t="shared" si="17"/>
        <v>306.81560726447219</v>
      </c>
      <c r="AB22" s="178">
        <v>2.5</v>
      </c>
      <c r="AC22" s="134">
        <f t="shared" si="18"/>
        <v>247.67122587968214</v>
      </c>
      <c r="AD22" s="135"/>
      <c r="AE22" s="136">
        <f t="shared" si="19"/>
        <v>247.67122587968214</v>
      </c>
      <c r="AF22" s="178">
        <v>2.5</v>
      </c>
      <c r="AG22" s="134">
        <f t="shared" si="20"/>
        <v>198.44977298524404</v>
      </c>
      <c r="AH22" s="135"/>
      <c r="AI22" s="136">
        <f t="shared" si="21"/>
        <v>198.44977298524404</v>
      </c>
      <c r="AJ22" s="178">
        <v>2.5</v>
      </c>
      <c r="AK22" s="134">
        <f t="shared" si="22"/>
        <v>326.2264472190692</v>
      </c>
      <c r="AL22" s="135"/>
      <c r="AM22" s="136">
        <f t="shared" si="23"/>
        <v>326.2264472190692</v>
      </c>
      <c r="AN22" s="178">
        <v>2.5</v>
      </c>
      <c r="AO22" s="134">
        <f t="shared" si="24"/>
        <v>370.10848452508014</v>
      </c>
      <c r="AP22" s="135"/>
      <c r="AQ22" s="136">
        <f t="shared" si="25"/>
        <v>370.10848452508014</v>
      </c>
      <c r="AR22" s="178">
        <v>2.5</v>
      </c>
      <c r="AS22" s="134">
        <f t="shared" si="26"/>
        <v>71.394023479188903</v>
      </c>
      <c r="AT22" s="135"/>
      <c r="AU22" s="136">
        <f t="shared" si="27"/>
        <v>71.394023479188903</v>
      </c>
      <c r="AV22" s="178">
        <v>2.5</v>
      </c>
      <c r="AW22" s="134">
        <f t="shared" si="28"/>
        <v>38.169743863393862</v>
      </c>
      <c r="AX22" s="135"/>
      <c r="AY22" s="136">
        <f t="shared" si="29"/>
        <v>38.169743863393862</v>
      </c>
      <c r="AZ22" s="138">
        <f t="shared" si="30"/>
        <v>621.32792281498291</v>
      </c>
      <c r="BA22" s="137">
        <f t="shared" si="31"/>
        <v>608.19704880817255</v>
      </c>
      <c r="BB22" s="138">
        <f t="shared" si="32"/>
        <v>1416.8291146424519</v>
      </c>
      <c r="BC22" s="138"/>
      <c r="BD22" s="137">
        <f t="shared" si="33"/>
        <v>1403.6982406356415</v>
      </c>
      <c r="BE22" s="138">
        <f t="shared" si="34"/>
        <v>2668.8488125941103</v>
      </c>
      <c r="BF22" s="138"/>
      <c r="BG22" s="140">
        <f t="shared" si="35"/>
        <v>2655.7179385873001</v>
      </c>
    </row>
    <row r="23" spans="1:59" ht="13">
      <c r="A23" s="132" t="s">
        <v>211</v>
      </c>
      <c r="B23" s="267"/>
      <c r="C23" s="121">
        <f>'Revised PS Model 2018'!BG33</f>
        <v>-5.2523496027241663</v>
      </c>
      <c r="D23" s="178">
        <v>1</v>
      </c>
      <c r="E23" s="134">
        <f t="shared" si="6"/>
        <v>59.320204313280357</v>
      </c>
      <c r="F23" s="135"/>
      <c r="G23" s="136">
        <f t="shared" si="7"/>
        <v>59.320204313280357</v>
      </c>
      <c r="H23" s="178">
        <v>1</v>
      </c>
      <c r="I23" s="134">
        <f t="shared" si="8"/>
        <v>110.42901248581158</v>
      </c>
      <c r="J23" s="135"/>
      <c r="K23" s="136">
        <f t="shared" si="9"/>
        <v>110.42901248581158</v>
      </c>
      <c r="L23" s="178">
        <v>1</v>
      </c>
      <c r="M23" s="134">
        <f t="shared" si="10"/>
        <v>78.781952326901262</v>
      </c>
      <c r="N23" s="135"/>
      <c r="O23" s="136">
        <f t="shared" si="11"/>
        <v>78.781952326901262</v>
      </c>
      <c r="P23" s="178">
        <v>1</v>
      </c>
      <c r="Q23" s="134">
        <f t="shared" si="12"/>
        <v>94.428422247446093</v>
      </c>
      <c r="R23" s="135"/>
      <c r="S23" s="136">
        <f t="shared" si="13"/>
        <v>94.428422247446093</v>
      </c>
      <c r="T23" s="178">
        <v>1</v>
      </c>
      <c r="U23" s="134">
        <f t="shared" si="14"/>
        <v>101.04581157775254</v>
      </c>
      <c r="V23" s="135"/>
      <c r="W23" s="136">
        <f t="shared" si="15"/>
        <v>101.04581157775254</v>
      </c>
      <c r="X23" s="178">
        <v>1</v>
      </c>
      <c r="Y23" s="134">
        <f t="shared" si="16"/>
        <v>122.72624290578887</v>
      </c>
      <c r="Z23" s="135"/>
      <c r="AA23" s="136">
        <f t="shared" si="17"/>
        <v>122.72624290578887</v>
      </c>
      <c r="AB23" s="178">
        <v>1</v>
      </c>
      <c r="AC23" s="134">
        <f t="shared" si="18"/>
        <v>99.068490351872867</v>
      </c>
      <c r="AD23" s="135"/>
      <c r="AE23" s="136">
        <f t="shared" si="19"/>
        <v>99.068490351872867</v>
      </c>
      <c r="AF23" s="178">
        <v>1</v>
      </c>
      <c r="AG23" s="134">
        <f t="shared" si="20"/>
        <v>79.379909194097607</v>
      </c>
      <c r="AH23" s="135"/>
      <c r="AI23" s="136">
        <f t="shared" si="21"/>
        <v>79.379909194097607</v>
      </c>
      <c r="AJ23" s="178">
        <v>1</v>
      </c>
      <c r="AK23" s="134">
        <f t="shared" si="22"/>
        <v>130.49057888762766</v>
      </c>
      <c r="AL23" s="135"/>
      <c r="AM23" s="136">
        <f t="shared" si="23"/>
        <v>130.49057888762766</v>
      </c>
      <c r="AN23" s="178">
        <v>1</v>
      </c>
      <c r="AO23" s="134">
        <f t="shared" si="24"/>
        <v>148.04339381003206</v>
      </c>
      <c r="AP23" s="135"/>
      <c r="AQ23" s="136">
        <f t="shared" si="25"/>
        <v>148.04339381003206</v>
      </c>
      <c r="AR23" s="178">
        <v>1</v>
      </c>
      <c r="AS23" s="134">
        <f t="shared" si="26"/>
        <v>28.557609391675559</v>
      </c>
      <c r="AT23" s="135"/>
      <c r="AU23" s="136">
        <f t="shared" si="27"/>
        <v>28.557609391675559</v>
      </c>
      <c r="AV23" s="178">
        <v>1</v>
      </c>
      <c r="AW23" s="134">
        <f t="shared" si="28"/>
        <v>15.267897545357544</v>
      </c>
      <c r="AX23" s="135"/>
      <c r="AY23" s="136">
        <f t="shared" si="29"/>
        <v>15.267897545357544</v>
      </c>
      <c r="AZ23" s="138">
        <f t="shared" si="30"/>
        <v>248.53116912599322</v>
      </c>
      <c r="BA23" s="137">
        <f t="shared" si="31"/>
        <v>243.27881952326905</v>
      </c>
      <c r="BB23" s="138">
        <f t="shared" si="32"/>
        <v>566.73164585698066</v>
      </c>
      <c r="BC23" s="138"/>
      <c r="BD23" s="137">
        <f t="shared" si="33"/>
        <v>561.4792962542565</v>
      </c>
      <c r="BE23" s="138">
        <f t="shared" si="34"/>
        <v>1067.5395250376439</v>
      </c>
      <c r="BF23" s="138"/>
      <c r="BG23" s="140">
        <f t="shared" si="35"/>
        <v>1062.2871754349198</v>
      </c>
    </row>
    <row r="24" spans="1:59" ht="13">
      <c r="A24" s="89"/>
      <c r="C24" s="61"/>
      <c r="D24" s="148">
        <f t="shared" ref="D24:E24" si="36">SUM(D16:D23)</f>
        <v>440.5</v>
      </c>
      <c r="E24" s="149">
        <f t="shared" si="36"/>
        <v>26130.549999999992</v>
      </c>
      <c r="F24" s="91"/>
      <c r="G24" s="91"/>
      <c r="H24" s="148">
        <f t="shared" ref="H24:I24" si="37">SUM(H16:H23)</f>
        <v>440.5</v>
      </c>
      <c r="I24" s="149">
        <f t="shared" si="37"/>
        <v>48643.98</v>
      </c>
      <c r="J24" s="91"/>
      <c r="K24" s="91"/>
      <c r="L24" s="148">
        <f t="shared" ref="L24:M24" si="38">SUM(L16:L23)</f>
        <v>440.5</v>
      </c>
      <c r="M24" s="149">
        <f t="shared" si="38"/>
        <v>34703.450000000012</v>
      </c>
      <c r="N24" s="91"/>
      <c r="O24" s="91"/>
      <c r="P24" s="148">
        <f t="shared" ref="P24:Q24" si="39">SUM(P16:P23)</f>
        <v>440.5</v>
      </c>
      <c r="Q24" s="149">
        <f t="shared" si="39"/>
        <v>41595.720000000008</v>
      </c>
      <c r="R24" s="91"/>
      <c r="S24" s="91"/>
      <c r="T24" s="148">
        <f t="shared" ref="T24:U24" si="40">SUM(T16:T23)</f>
        <v>440.5</v>
      </c>
      <c r="U24" s="149">
        <f t="shared" si="40"/>
        <v>44510.679999999986</v>
      </c>
      <c r="V24" s="91"/>
      <c r="W24" s="91"/>
      <c r="X24" s="148">
        <f t="shared" ref="X24:Y24" si="41">SUM(X16:X23)</f>
        <v>440.5</v>
      </c>
      <c r="Y24" s="149">
        <f t="shared" si="41"/>
        <v>54060.909999999989</v>
      </c>
      <c r="Z24" s="91"/>
      <c r="AA24" s="91"/>
      <c r="AB24" s="148">
        <f t="shared" ref="AB24:AC24" si="42">SUM(AB16:AB23)</f>
        <v>440.5</v>
      </c>
      <c r="AC24" s="149">
        <f t="shared" si="42"/>
        <v>43639.67</v>
      </c>
      <c r="AD24" s="91"/>
      <c r="AE24" s="91"/>
      <c r="AF24" s="148">
        <f t="shared" ref="AF24:AG24" si="43">SUM(AF16:AF23)</f>
        <v>440.5</v>
      </c>
      <c r="AG24" s="149">
        <f t="shared" si="43"/>
        <v>34966.850000000006</v>
      </c>
      <c r="AH24" s="91"/>
      <c r="AI24" s="91"/>
      <c r="AJ24" s="148">
        <f t="shared" ref="AJ24:AK24" si="44">SUM(AJ16:AJ23)</f>
        <v>440.5</v>
      </c>
      <c r="AK24" s="149">
        <f t="shared" si="44"/>
        <v>57481.1</v>
      </c>
      <c r="AL24" s="91"/>
      <c r="AM24" s="91"/>
      <c r="AN24" s="148">
        <f t="shared" ref="AN24:AO24" si="45">SUM(AN16:AN23)</f>
        <v>468.5</v>
      </c>
      <c r="AO24" s="149">
        <f t="shared" si="45"/>
        <v>69358.329999999987</v>
      </c>
      <c r="AP24" s="91"/>
      <c r="AQ24" s="91"/>
      <c r="AR24" s="148">
        <f t="shared" ref="AR24:AS24" si="46">SUM(AR16:AR23)</f>
        <v>468.5</v>
      </c>
      <c r="AS24" s="149">
        <f t="shared" si="46"/>
        <v>13379.239999999998</v>
      </c>
      <c r="AT24" s="91"/>
      <c r="AU24" s="91"/>
      <c r="AV24" s="148">
        <f t="shared" ref="AV24:AW24" si="47">SUM(AV16:AV23)</f>
        <v>468.5</v>
      </c>
      <c r="AW24" s="149">
        <f t="shared" si="47"/>
        <v>7153.0100000000084</v>
      </c>
      <c r="AX24" s="124"/>
      <c r="AY24" s="92"/>
      <c r="AZ24" s="91"/>
      <c r="BA24" s="150"/>
      <c r="BB24" s="91"/>
      <c r="BC24" s="91"/>
      <c r="BD24" s="150"/>
    </row>
    <row r="25" spans="1:59" ht="14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V25">
        <f>SUM(AV17:AV23)/AV24</f>
        <v>0.35965848452508004</v>
      </c>
      <c r="AW25" s="151"/>
      <c r="AX25" s="151"/>
      <c r="AY25" s="92"/>
      <c r="AZ25" s="216" t="str">
        <f>"Paid for "&amp;AZ2</f>
        <v>Paid for 1Q</v>
      </c>
      <c r="BA25" s="217" t="s">
        <v>256</v>
      </c>
      <c r="BB25" s="216" t="str">
        <f>"Paid for "&amp;BB2</f>
        <v>Paid for 1H</v>
      </c>
      <c r="BC25" s="216" t="s">
        <v>270</v>
      </c>
      <c r="BD25" s="217" t="s">
        <v>256</v>
      </c>
      <c r="BE25" s="216" t="str">
        <f>"Paid for "&amp;BE2</f>
        <v>Paid for 2019</v>
      </c>
      <c r="BF25" s="216" t="s">
        <v>270</v>
      </c>
      <c r="BG25" s="217" t="s">
        <v>256</v>
      </c>
    </row>
    <row r="26" spans="1:59" ht="13">
      <c r="A26" s="89"/>
      <c r="B26" s="5"/>
      <c r="C26" s="61"/>
      <c r="D26" s="10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V26">
        <f>30000*AV25</f>
        <v>10789.754535752401</v>
      </c>
      <c r="AW26" s="151"/>
      <c r="AY26" s="245" t="s">
        <v>83</v>
      </c>
      <c r="AZ26" s="246">
        <f>AZ13+0</f>
        <v>12500</v>
      </c>
      <c r="BA26" s="247">
        <f t="shared" ref="BA26:BA33" si="48">BA16-AZ26</f>
        <v>-48787.219495131969</v>
      </c>
      <c r="BB26" s="248">
        <f>BB13-AZ13+0</f>
        <v>7500</v>
      </c>
      <c r="BC26" s="248">
        <f t="shared" ref="BC26:BC33" si="49">AZ26+BB26</f>
        <v>20000</v>
      </c>
      <c r="BD26" s="249">
        <f t="shared" ref="BD26:BD33" si="50">BD16-BC26</f>
        <v>32944.373524164286</v>
      </c>
      <c r="BE26" s="248">
        <f>BE13-BB13+0</f>
        <v>58917.5</v>
      </c>
      <c r="BF26" s="248">
        <f t="shared" ref="BF26:BF33" si="51">BC26+BE26</f>
        <v>78917.5</v>
      </c>
      <c r="BG26" s="249">
        <f t="shared" ref="BG26:BG33" si="52">BG16-BF26</f>
        <v>105096.08727836327</v>
      </c>
    </row>
    <row r="27" spans="1:59" ht="13">
      <c r="A27" s="89"/>
      <c r="B27" s="5"/>
      <c r="C27" s="61"/>
      <c r="D27" s="100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W27" s="151"/>
      <c r="AY27" s="250" t="s">
        <v>209</v>
      </c>
      <c r="AZ27" s="251">
        <v>25435.67</v>
      </c>
      <c r="BA27" s="252">
        <f t="shared" si="48"/>
        <v>-1110.4248206365082</v>
      </c>
      <c r="BB27" s="251">
        <v>33717.620000000003</v>
      </c>
      <c r="BC27" s="248">
        <f t="shared" si="49"/>
        <v>59153.29</v>
      </c>
      <c r="BD27" s="249">
        <f t="shared" si="50"/>
        <v>-3007.9971475377606</v>
      </c>
      <c r="BE27" s="251">
        <v>55787.62</v>
      </c>
      <c r="BF27" s="248">
        <f t="shared" si="51"/>
        <v>114940.91</v>
      </c>
      <c r="BG27" s="249">
        <f t="shared" si="52"/>
        <v>-8714.8292294714192</v>
      </c>
    </row>
    <row r="28" spans="1:59" ht="13">
      <c r="A28" s="89"/>
      <c r="B28" s="5"/>
      <c r="C28" s="61"/>
      <c r="D28" s="100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124"/>
      <c r="AT28" s="91"/>
      <c r="AW28" s="151"/>
      <c r="AY28" s="250" t="s">
        <v>61</v>
      </c>
      <c r="AZ28" s="251">
        <v>4069.79</v>
      </c>
      <c r="BA28" s="252">
        <f t="shared" si="48"/>
        <v>-177.66731844515607</v>
      </c>
      <c r="BB28" s="251">
        <v>5394.82</v>
      </c>
      <c r="BC28" s="248">
        <f t="shared" si="49"/>
        <v>9464.61</v>
      </c>
      <c r="BD28" s="249">
        <f t="shared" si="50"/>
        <v>-481.27969074935754</v>
      </c>
      <c r="BE28" s="251">
        <v>12085.66</v>
      </c>
      <c r="BF28" s="248">
        <f t="shared" si="51"/>
        <v>21550.27</v>
      </c>
      <c r="BG28" s="249">
        <f t="shared" si="52"/>
        <v>-1867.8490133998312</v>
      </c>
    </row>
    <row r="29" spans="1:59" ht="13">
      <c r="A29" s="89"/>
      <c r="B29" s="5"/>
      <c r="C29" s="61"/>
      <c r="D29" s="100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W29" s="151"/>
      <c r="AY29" s="253" t="s">
        <v>65</v>
      </c>
      <c r="AZ29" s="251">
        <v>4069.79</v>
      </c>
      <c r="BA29" s="254">
        <f t="shared" si="48"/>
        <v>-177.66731844515607</v>
      </c>
      <c r="BB29" s="251">
        <v>5394.82</v>
      </c>
      <c r="BC29" s="248">
        <f t="shared" si="49"/>
        <v>9464.61</v>
      </c>
      <c r="BD29" s="249">
        <f t="shared" si="50"/>
        <v>-481.27969074935754</v>
      </c>
      <c r="BE29" s="251">
        <v>12085.66</v>
      </c>
      <c r="BF29" s="248">
        <f t="shared" si="51"/>
        <v>21550.27</v>
      </c>
      <c r="BG29" s="249">
        <f t="shared" si="52"/>
        <v>-1867.8490133998312</v>
      </c>
    </row>
    <row r="30" spans="1:59" ht="13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W30" s="151"/>
      <c r="AY30" s="250" t="s">
        <v>210</v>
      </c>
      <c r="AZ30" s="251">
        <v>635.96</v>
      </c>
      <c r="BA30" s="254">
        <f t="shared" si="48"/>
        <v>-27.762951191827483</v>
      </c>
      <c r="BB30" s="251">
        <v>842.94</v>
      </c>
      <c r="BC30" s="248">
        <f t="shared" si="49"/>
        <v>1478.9</v>
      </c>
      <c r="BD30" s="249">
        <f t="shared" si="50"/>
        <v>-75.201759364358622</v>
      </c>
      <c r="BE30" s="251">
        <v>1394.69</v>
      </c>
      <c r="BF30" s="248">
        <f t="shared" si="51"/>
        <v>2873.59</v>
      </c>
      <c r="BG30" s="249">
        <f t="shared" si="52"/>
        <v>-217.87206141270008</v>
      </c>
    </row>
    <row r="31" spans="1:59" ht="13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W31" s="151"/>
      <c r="AY31" s="250" t="s">
        <v>254</v>
      </c>
      <c r="AZ31" s="251">
        <v>635.96</v>
      </c>
      <c r="BA31" s="254">
        <f t="shared" si="48"/>
        <v>-27.762951191827483</v>
      </c>
      <c r="BB31" s="251">
        <v>842.94</v>
      </c>
      <c r="BC31" s="248">
        <f t="shared" si="49"/>
        <v>1478.9</v>
      </c>
      <c r="BD31" s="249">
        <f t="shared" si="50"/>
        <v>-75.201759364358622</v>
      </c>
      <c r="BE31" s="251">
        <v>1394.69</v>
      </c>
      <c r="BF31" s="248">
        <f t="shared" si="51"/>
        <v>2873.59</v>
      </c>
      <c r="BG31" s="249">
        <f t="shared" si="52"/>
        <v>-217.87206141270008</v>
      </c>
    </row>
    <row r="32" spans="1:59" ht="13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W32" s="151"/>
      <c r="AY32" s="250" t="s">
        <v>255</v>
      </c>
      <c r="AZ32" s="251">
        <v>635.96</v>
      </c>
      <c r="BA32" s="254">
        <f t="shared" si="48"/>
        <v>-27.762951191827483</v>
      </c>
      <c r="BB32" s="251">
        <v>842.94</v>
      </c>
      <c r="BC32" s="248">
        <f t="shared" si="49"/>
        <v>1478.9</v>
      </c>
      <c r="BD32" s="249">
        <f t="shared" si="50"/>
        <v>-75.201759364358622</v>
      </c>
      <c r="BE32" s="251">
        <v>1394.69</v>
      </c>
      <c r="BF32" s="248">
        <f t="shared" si="51"/>
        <v>2873.59</v>
      </c>
      <c r="BG32" s="249">
        <f t="shared" si="52"/>
        <v>-217.87206141270008</v>
      </c>
    </row>
    <row r="33" spans="1:59" ht="13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W33" s="151"/>
      <c r="AY33" s="255" t="s">
        <v>211</v>
      </c>
      <c r="AZ33" s="256">
        <v>254.38</v>
      </c>
      <c r="BA33" s="257">
        <f t="shared" si="48"/>
        <v>-11.101180476730946</v>
      </c>
      <c r="BB33" s="256">
        <v>337.18</v>
      </c>
      <c r="BC33" s="258">
        <f t="shared" si="49"/>
        <v>591.55999999999995</v>
      </c>
      <c r="BD33" s="259">
        <f t="shared" si="50"/>
        <v>-30.080703745743449</v>
      </c>
      <c r="BE33" s="256">
        <v>557.88</v>
      </c>
      <c r="BF33" s="258">
        <f t="shared" si="51"/>
        <v>1149.44</v>
      </c>
      <c r="BG33" s="259">
        <f t="shared" si="52"/>
        <v>-87.152824565080209</v>
      </c>
    </row>
    <row r="34" spans="1:59" ht="13">
      <c r="A34" s="89"/>
      <c r="C34" s="61"/>
      <c r="D34" s="62"/>
      <c r="BD34" s="91"/>
      <c r="BE34" s="91"/>
      <c r="BF34" s="91"/>
      <c r="BG34" s="91"/>
    </row>
    <row r="35" spans="1:59" ht="13">
      <c r="A35" s="89"/>
      <c r="C35" s="61"/>
      <c r="D35" s="62"/>
      <c r="AY35" s="1"/>
      <c r="BA35" s="230"/>
      <c r="BB35" s="230"/>
      <c r="BC35" s="230"/>
      <c r="BD35" s="91"/>
      <c r="BE35" s="91"/>
      <c r="BF35" s="91"/>
      <c r="BG35" s="91"/>
    </row>
    <row r="36" spans="1:59" ht="13">
      <c r="A36" s="89"/>
      <c r="C36" s="61"/>
      <c r="D36" s="62"/>
      <c r="AZ36" s="152"/>
      <c r="BA36" s="152"/>
      <c r="BB36" s="152"/>
      <c r="BC36" s="152"/>
      <c r="BD36" s="91"/>
      <c r="BE36" s="91"/>
      <c r="BF36" s="91"/>
      <c r="BG36" s="91"/>
    </row>
    <row r="37" spans="1:59" ht="14">
      <c r="A37" s="89" t="s">
        <v>201</v>
      </c>
      <c r="C37" s="61"/>
      <c r="D37" s="62"/>
      <c r="AN37" s="1" t="s">
        <v>148</v>
      </c>
      <c r="AZ37" s="152"/>
      <c r="BA37" s="152"/>
      <c r="BB37" s="152"/>
      <c r="BC37" s="152"/>
      <c r="BD37" s="91"/>
      <c r="BE37" s="91"/>
      <c r="BF37" s="91"/>
      <c r="BG37" s="91"/>
    </row>
    <row r="38" spans="1:59" ht="13">
      <c r="A38" s="89"/>
      <c r="C38" s="61"/>
      <c r="D38" s="62"/>
      <c r="BD38" s="91"/>
    </row>
    <row r="39" spans="1:59" ht="13">
      <c r="A39" s="89"/>
      <c r="C39" s="61"/>
      <c r="D39" s="62"/>
    </row>
    <row r="40" spans="1:59" ht="13">
      <c r="A40" s="89"/>
      <c r="C40" s="61"/>
      <c r="D40" s="62"/>
    </row>
    <row r="41" spans="1:59" ht="13">
      <c r="A41" s="89"/>
      <c r="C41" s="61"/>
      <c r="D41" s="62"/>
    </row>
    <row r="42" spans="1:59" ht="13">
      <c r="A42" s="89"/>
      <c r="C42" s="61"/>
      <c r="D42" s="62"/>
    </row>
    <row r="43" spans="1:59" ht="13">
      <c r="A43" s="89"/>
      <c r="C43" s="61"/>
      <c r="D43" s="62"/>
    </row>
    <row r="44" spans="1:59" ht="13">
      <c r="A44" s="89"/>
      <c r="C44" s="61"/>
      <c r="D44" s="62"/>
    </row>
    <row r="45" spans="1:59" ht="13">
      <c r="A45" s="89"/>
      <c r="C45" s="61"/>
      <c r="D45" s="62"/>
    </row>
    <row r="46" spans="1:59" ht="13">
      <c r="A46" s="89"/>
      <c r="C46" s="61"/>
      <c r="D46" s="62"/>
    </row>
    <row r="47" spans="1:59" ht="13">
      <c r="A47" s="89"/>
      <c r="C47" s="61"/>
      <c r="D47" s="62"/>
    </row>
    <row r="48" spans="1:59" ht="13">
      <c r="A48" s="89"/>
      <c r="C48" s="61"/>
      <c r="D48" s="62"/>
    </row>
    <row r="49" spans="1:4" ht="13">
      <c r="A49" s="89"/>
      <c r="C49" s="61"/>
      <c r="D49" s="62"/>
    </row>
    <row r="50" spans="1:4" ht="13">
      <c r="A50" s="89"/>
      <c r="C50" s="61"/>
      <c r="D50" s="6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G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9" width="15.1640625" customWidth="1"/>
  </cols>
  <sheetData>
    <row r="1" spans="1:59" ht="42.75" customHeight="1">
      <c r="A1" s="5" t="s">
        <v>148</v>
      </c>
      <c r="C1" s="61" t="s">
        <v>131</v>
      </c>
      <c r="D1" s="59">
        <v>43496</v>
      </c>
      <c r="E1" s="60"/>
      <c r="F1" s="60"/>
      <c r="G1" s="61"/>
      <c r="H1" s="59">
        <v>43524</v>
      </c>
      <c r="I1" s="60"/>
      <c r="J1" s="60"/>
      <c r="K1" s="61"/>
      <c r="L1" s="59">
        <v>43555</v>
      </c>
      <c r="M1" s="60"/>
      <c r="N1" s="60"/>
      <c r="O1" s="61"/>
      <c r="P1" s="59">
        <v>43585</v>
      </c>
      <c r="Q1" s="60"/>
      <c r="R1" s="60"/>
      <c r="S1" s="61"/>
      <c r="T1" s="59">
        <v>43616</v>
      </c>
      <c r="U1" s="60"/>
      <c r="V1" s="60"/>
      <c r="W1" s="61"/>
      <c r="X1" s="59">
        <v>43646</v>
      </c>
      <c r="Y1" s="60"/>
      <c r="Z1" s="60"/>
      <c r="AA1" s="61"/>
      <c r="AB1" s="59">
        <v>43677</v>
      </c>
      <c r="AC1" s="60"/>
      <c r="AD1" s="60"/>
      <c r="AE1" s="61"/>
      <c r="AF1" s="59">
        <v>43708</v>
      </c>
      <c r="AG1" s="60"/>
      <c r="AH1" s="60"/>
      <c r="AI1" s="61"/>
      <c r="AJ1" s="59">
        <v>43738</v>
      </c>
      <c r="AK1" s="60"/>
      <c r="AL1" s="60"/>
      <c r="AM1" s="61"/>
      <c r="AN1" s="59">
        <v>43769</v>
      </c>
      <c r="AO1" s="60"/>
      <c r="AP1" s="60"/>
      <c r="AQ1" s="61"/>
      <c r="AR1" s="59">
        <v>43799</v>
      </c>
      <c r="AS1" s="60"/>
      <c r="AT1" s="60"/>
      <c r="AU1" s="61"/>
      <c r="AV1" s="59">
        <v>43830</v>
      </c>
      <c r="AW1" s="60"/>
      <c r="AX1" s="60"/>
      <c r="BB1" s="62"/>
      <c r="BD1" s="61"/>
    </row>
    <row r="2" spans="1:59" ht="14">
      <c r="A2" s="5"/>
      <c r="C2" s="61"/>
      <c r="D2" s="62">
        <f>YEAR(D1)</f>
        <v>2019</v>
      </c>
      <c r="G2" s="61"/>
      <c r="H2" s="62">
        <f>YEAR(H1)</f>
        <v>2019</v>
      </c>
      <c r="K2" s="61"/>
      <c r="L2" s="62">
        <f>YEAR(L1)</f>
        <v>2019</v>
      </c>
      <c r="O2" s="61"/>
      <c r="P2" s="62">
        <f>YEAR(P1)</f>
        <v>2019</v>
      </c>
      <c r="S2" s="61"/>
      <c r="T2" s="62">
        <f>YEAR(T1)</f>
        <v>2019</v>
      </c>
      <c r="W2" s="61"/>
      <c r="X2" s="62">
        <f>YEAR(X1)</f>
        <v>2019</v>
      </c>
      <c r="AA2" s="61"/>
      <c r="AB2" s="62">
        <f>YEAR(AB1)</f>
        <v>2019</v>
      </c>
      <c r="AE2" s="61"/>
      <c r="AF2" s="62">
        <f>YEAR(AF1)</f>
        <v>2019</v>
      </c>
      <c r="AI2" s="61"/>
      <c r="AJ2" s="62">
        <f>YEAR(AJ1)</f>
        <v>2019</v>
      </c>
      <c r="AM2" s="61"/>
      <c r="AN2" s="62">
        <f>YEAR(AN1)</f>
        <v>2019</v>
      </c>
      <c r="AQ2" s="61"/>
      <c r="AR2" s="62">
        <f>YEAR(AR1)</f>
        <v>2019</v>
      </c>
      <c r="AU2" s="61"/>
      <c r="AV2" s="62">
        <f>YEAR(AV1)</f>
        <v>2019</v>
      </c>
      <c r="AY2" s="61"/>
      <c r="AZ2" s="65" t="s">
        <v>132</v>
      </c>
      <c r="BA2" s="65"/>
      <c r="BB2" s="209" t="s">
        <v>247</v>
      </c>
      <c r="BC2" s="65"/>
      <c r="BD2" s="61"/>
      <c r="BE2" s="67">
        <v>2019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13">
      <c r="A5" s="89" t="s">
        <v>136</v>
      </c>
      <c r="C5" s="61"/>
      <c r="D5" s="90">
        <v>37817.589999999997</v>
      </c>
      <c r="E5" s="91"/>
      <c r="F5" s="91"/>
      <c r="G5" s="92"/>
      <c r="H5" s="90">
        <v>61337.120000000003</v>
      </c>
      <c r="I5" s="91"/>
      <c r="J5" s="91"/>
      <c r="K5" s="92"/>
      <c r="L5" s="90">
        <v>49033.52</v>
      </c>
      <c r="M5" s="91"/>
      <c r="N5" s="91"/>
      <c r="O5" s="92"/>
      <c r="P5" s="90">
        <v>55702.6</v>
      </c>
      <c r="Q5" s="91"/>
      <c r="R5" s="91"/>
      <c r="S5" s="92"/>
      <c r="T5" s="90">
        <v>57492.28</v>
      </c>
      <c r="U5" s="90">
        <v>56904.73</v>
      </c>
      <c r="V5" s="91"/>
      <c r="W5" s="92"/>
      <c r="X5" s="90">
        <v>67190.100000000006</v>
      </c>
      <c r="Y5" s="91"/>
      <c r="Z5" s="91"/>
      <c r="AA5" s="92"/>
      <c r="AB5" s="90">
        <v>56098.2</v>
      </c>
      <c r="AC5" s="91"/>
      <c r="AD5" s="91"/>
      <c r="AE5" s="92"/>
      <c r="AF5" s="90">
        <v>13554.5</v>
      </c>
      <c r="AG5" s="91"/>
      <c r="AH5" s="91"/>
      <c r="AI5" s="92"/>
      <c r="AJ5" s="90">
        <v>69004.800000000003</v>
      </c>
      <c r="AK5" s="91"/>
      <c r="AL5" s="91"/>
      <c r="AM5" s="92"/>
      <c r="AN5" s="90">
        <v>63099.199999999997</v>
      </c>
      <c r="AO5" s="91"/>
      <c r="AP5" s="91"/>
      <c r="AQ5" s="92"/>
      <c r="AR5" s="90">
        <v>33834.92</v>
      </c>
      <c r="AS5" s="91"/>
      <c r="AT5" s="91"/>
      <c r="AU5" s="92"/>
      <c r="AV5" s="90">
        <v>17977.38</v>
      </c>
      <c r="AW5" s="151"/>
      <c r="AX5" s="151"/>
      <c r="AY5" s="92"/>
      <c r="AZ5" s="93">
        <f t="shared" ref="AZ5:AZ7" si="0">SUMIF($D$3:$AY$3,AZ$2,$D5:$AY5)</f>
        <v>148188.22999999998</v>
      </c>
      <c r="BA5" s="92"/>
      <c r="BB5" s="93">
        <f t="shared" ref="BB5:BB7" si="1">SUMIF($D$4:$AY$4,BB$2,$D5:$AY5)</f>
        <v>328573.20999999996</v>
      </c>
      <c r="BC5" s="94"/>
      <c r="BD5" s="92"/>
      <c r="BE5" s="94">
        <f t="shared" ref="BE5:BE7" si="2">SUMIF($D$2:$AY$2,$BE$2,$D5:$AY5)</f>
        <v>582142.21</v>
      </c>
      <c r="BF5" s="94"/>
      <c r="BG5" s="94"/>
    </row>
    <row r="6" spans="1:59" ht="14">
      <c r="A6" s="89" t="s">
        <v>138</v>
      </c>
      <c r="C6" s="61"/>
      <c r="D6" s="90">
        <v>363.82</v>
      </c>
      <c r="E6" s="91" t="s">
        <v>310</v>
      </c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23732.5</v>
      </c>
      <c r="AO6" s="91" t="s">
        <v>311</v>
      </c>
      <c r="AP6" s="91"/>
      <c r="AQ6" s="92"/>
      <c r="AR6" s="90">
        <v>4675</v>
      </c>
      <c r="AS6" s="91" t="s">
        <v>312</v>
      </c>
      <c r="AT6" s="91"/>
      <c r="AU6" s="92"/>
      <c r="AV6" s="90">
        <v>0</v>
      </c>
      <c r="AW6" s="91"/>
      <c r="AX6" s="91"/>
      <c r="AY6" s="92"/>
      <c r="AZ6" s="93">
        <f t="shared" si="0"/>
        <v>363.82</v>
      </c>
      <c r="BA6" s="92"/>
      <c r="BB6" s="93">
        <f t="shared" si="1"/>
        <v>363.82</v>
      </c>
      <c r="BC6" s="94"/>
      <c r="BD6" s="92"/>
      <c r="BE6" s="94">
        <f t="shared" si="2"/>
        <v>28771.32</v>
      </c>
      <c r="BF6" s="94"/>
      <c r="BG6" s="94"/>
    </row>
    <row r="7" spans="1:59" ht="13">
      <c r="A7" s="89" t="s">
        <v>143</v>
      </c>
      <c r="B7" s="99">
        <v>12500</v>
      </c>
      <c r="C7" s="61"/>
      <c r="D7" s="100">
        <f>'PS Model 2019'!ColinSalary</f>
        <v>12500</v>
      </c>
      <c r="E7" s="91"/>
      <c r="F7" s="91"/>
      <c r="G7" s="92"/>
      <c r="H7" s="100">
        <f>'PS Model 2019'!ColinSalary</f>
        <v>12500</v>
      </c>
      <c r="I7" s="91"/>
      <c r="J7" s="91"/>
      <c r="K7" s="92"/>
      <c r="L7" s="100">
        <f>'PS Model 2019'!ColinSalary</f>
        <v>12500</v>
      </c>
      <c r="M7" s="91"/>
      <c r="N7" s="91"/>
      <c r="O7" s="92"/>
      <c r="P7" s="100">
        <f>'PS Model 2019'!ColinSalary</f>
        <v>12500</v>
      </c>
      <c r="Q7" s="91"/>
      <c r="R7" s="91"/>
      <c r="S7" s="92"/>
      <c r="T7" s="100">
        <f>'PS Model 2019'!ColinSalary</f>
        <v>12500</v>
      </c>
      <c r="U7" s="91"/>
      <c r="V7" s="91"/>
      <c r="W7" s="92"/>
      <c r="X7" s="100">
        <f>'PS Model 2019'!ColinSalary</f>
        <v>12500</v>
      </c>
      <c r="Y7" s="91"/>
      <c r="Z7" s="91"/>
      <c r="AA7" s="92"/>
      <c r="AB7" s="100">
        <f>'PS Model 2019'!ColinSalary</f>
        <v>12500</v>
      </c>
      <c r="AC7" s="91"/>
      <c r="AD7" s="91"/>
      <c r="AE7" s="92"/>
      <c r="AF7" s="100">
        <f>'PS Model 2019'!ColinSalary</f>
        <v>12500</v>
      </c>
      <c r="AG7" s="91"/>
      <c r="AH7" s="91"/>
      <c r="AI7" s="92"/>
      <c r="AJ7" s="100">
        <f>'PS Model 2019'!ColinSalary</f>
        <v>12500</v>
      </c>
      <c r="AK7" s="91"/>
      <c r="AL7" s="91"/>
      <c r="AM7" s="92"/>
      <c r="AN7" s="100">
        <f>'PS Model 2019'!ColinSalary</f>
        <v>12500</v>
      </c>
      <c r="AO7" s="91"/>
      <c r="AP7" s="91"/>
      <c r="AQ7" s="92"/>
      <c r="AR7" s="100">
        <f>'PS Model 2019'!ColinSalary</f>
        <v>12500</v>
      </c>
      <c r="AS7" s="91"/>
      <c r="AT7" s="91"/>
      <c r="AU7" s="92"/>
      <c r="AV7" s="100">
        <f>'PS Model 2019'!ColinSalary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/>
      <c r="AC8" s="91"/>
      <c r="AD8" s="91"/>
      <c r="AE8" s="92"/>
      <c r="AF8" s="103">
        <f>SUM(AZ27:AZ33)</f>
        <v>35737.509999999995</v>
      </c>
      <c r="AG8" s="91"/>
      <c r="AH8" s="91"/>
      <c r="AI8" s="92"/>
      <c r="AJ8" s="103"/>
      <c r="AK8" s="91"/>
      <c r="AL8" s="91"/>
      <c r="AM8" s="92"/>
      <c r="AN8" s="54">
        <f>SUM(BB27:BB33)</f>
        <v>47373.260000000009</v>
      </c>
      <c r="AO8" s="91"/>
      <c r="AP8" s="91"/>
      <c r="AQ8" s="92"/>
      <c r="AR8" s="103"/>
      <c r="AS8" s="91"/>
      <c r="AT8" s="91"/>
      <c r="AU8" s="92"/>
      <c r="AV8" s="103"/>
      <c r="AW8" s="91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13">
      <c r="A9" s="89" t="s">
        <v>145</v>
      </c>
      <c r="B9" s="101"/>
      <c r="C9" s="102"/>
      <c r="D9" s="104">
        <f>SUM(F16:F23)</f>
        <v>1176.78</v>
      </c>
      <c r="E9" s="91"/>
      <c r="F9" s="91"/>
      <c r="G9" s="92"/>
      <c r="H9" s="104">
        <f>SUM(J16:J23)</f>
        <v>1430.11</v>
      </c>
      <c r="I9" s="91"/>
      <c r="J9" s="91"/>
      <c r="K9" s="92"/>
      <c r="L9" s="104">
        <f>SUM(N16:N23)</f>
        <v>1438.22</v>
      </c>
      <c r="M9" s="91"/>
      <c r="N9" s="91"/>
      <c r="O9" s="92"/>
      <c r="P9" s="104">
        <f>SUM(R16:R23)</f>
        <v>1634.25</v>
      </c>
      <c r="Q9" s="91"/>
      <c r="R9" s="91"/>
      <c r="S9" s="92"/>
      <c r="T9" s="104">
        <f>SUM(V16:V23)</f>
        <v>1942.59</v>
      </c>
      <c r="U9" s="91"/>
      <c r="V9" s="91"/>
      <c r="W9" s="92"/>
      <c r="X9" s="104">
        <f>SUM(Z16:Z23)</f>
        <v>2651.71</v>
      </c>
      <c r="Y9" s="91"/>
      <c r="Z9" s="91"/>
      <c r="AA9" s="92"/>
      <c r="AB9" s="104">
        <f>SUM(AD16:AD23)</f>
        <v>2510.6999999999998</v>
      </c>
      <c r="AC9" s="91"/>
      <c r="AD9" s="91"/>
      <c r="AE9" s="92"/>
      <c r="AF9" s="104">
        <f>SUM(AH16:AH23)</f>
        <v>2162.14</v>
      </c>
      <c r="AG9" s="91"/>
      <c r="AH9" s="91"/>
      <c r="AI9" s="92"/>
      <c r="AJ9" s="104">
        <f>SUM(AL16:AL23)</f>
        <v>4173.17</v>
      </c>
      <c r="AK9" s="91"/>
      <c r="AL9" s="91"/>
      <c r="AM9" s="92"/>
      <c r="AN9" s="104">
        <f>SUM(AP16:AP23)</f>
        <v>757.79</v>
      </c>
      <c r="AO9" s="91"/>
      <c r="AP9" s="91"/>
      <c r="AQ9" s="92"/>
      <c r="AR9" s="104">
        <f>SUM(AT16:AT23)</f>
        <v>2326.08</v>
      </c>
      <c r="AS9" s="91"/>
      <c r="AT9" s="91"/>
      <c r="AU9" s="92"/>
      <c r="AV9" s="104">
        <f>SUM(AX16:AX23)</f>
        <v>6274.06</v>
      </c>
      <c r="AW9" s="91"/>
      <c r="AX9" s="91"/>
      <c r="AY9" s="92"/>
      <c r="AZ9" s="93">
        <f t="shared" ref="AZ9:AZ13" si="3">SUMIF($D$3:$AY$3,AZ$2,$D9:$AY9)</f>
        <v>4045.1099999999997</v>
      </c>
      <c r="BA9" s="92"/>
      <c r="BB9" s="93">
        <f t="shared" ref="BB9:BB13" si="4">SUMIF($D$4:$AY$4,BB$2,$D9:$AY9)</f>
        <v>10273.66</v>
      </c>
      <c r="BC9" s="94"/>
      <c r="BD9" s="92"/>
      <c r="BE9" s="94">
        <f t="shared" ref="BE9:BE13" si="5">SUMIF($D$2:$AY$2,$BE$2,$D9:$AY9)</f>
        <v>28477.600000000002</v>
      </c>
      <c r="BF9" s="94"/>
      <c r="BG9" s="94"/>
    </row>
    <row r="10" spans="1:59" ht="13">
      <c r="A10" s="89" t="s">
        <v>146</v>
      </c>
      <c r="C10" s="61"/>
      <c r="D10" s="104">
        <f>D5-D6-D7+D9+D8</f>
        <v>26130.549999999996</v>
      </c>
      <c r="E10" s="91"/>
      <c r="F10" s="91"/>
      <c r="G10" s="92"/>
      <c r="H10" s="104">
        <f>H5-H6-H7+H9+H8</f>
        <v>50267.23</v>
      </c>
      <c r="I10" s="91"/>
      <c r="J10" s="91"/>
      <c r="K10" s="92"/>
      <c r="L10" s="104">
        <f>L5-L6-L7+L9+L8</f>
        <v>37971.74</v>
      </c>
      <c r="M10" s="91"/>
      <c r="N10" s="91"/>
      <c r="O10" s="92"/>
      <c r="P10" s="104">
        <f>P5-P6-P7+P9+P8</f>
        <v>44836.85</v>
      </c>
      <c r="Q10" s="91"/>
      <c r="R10" s="91"/>
      <c r="S10" s="92"/>
      <c r="T10" s="104">
        <f>T5-T6-T7+T9+T8</f>
        <v>46934.869999999995</v>
      </c>
      <c r="U10" s="91"/>
      <c r="V10" s="91"/>
      <c r="W10" s="92"/>
      <c r="X10" s="104">
        <f>X5-X6-X7+X9+X8</f>
        <v>57341.810000000005</v>
      </c>
      <c r="Y10" s="91"/>
      <c r="Z10" s="91"/>
      <c r="AA10" s="92"/>
      <c r="AB10" s="104">
        <f>AB5-AB6-AB7+AB9+AB8</f>
        <v>46108.899999999994</v>
      </c>
      <c r="AC10" s="91"/>
      <c r="AD10" s="91"/>
      <c r="AE10" s="92"/>
      <c r="AF10" s="104">
        <f>AF5-AF6-AF7+AF9+AF8</f>
        <v>38954.149999999994</v>
      </c>
      <c r="AG10" s="91"/>
      <c r="AH10" s="91"/>
      <c r="AI10" s="92"/>
      <c r="AJ10" s="104">
        <f>AJ5-AJ6-AJ7+AJ9+AJ8</f>
        <v>60677.97</v>
      </c>
      <c r="AK10" s="91"/>
      <c r="AL10" s="91"/>
      <c r="AM10" s="92"/>
      <c r="AN10" s="104">
        <f>AN5-AN6-AN7+AN9+AN8</f>
        <v>74997.75</v>
      </c>
      <c r="AO10" s="91"/>
      <c r="AP10" s="91"/>
      <c r="AQ10" s="92"/>
      <c r="AR10" s="104">
        <f>AR5-AR6-AR7+AR9+AR8</f>
        <v>18986</v>
      </c>
      <c r="AS10" s="91"/>
      <c r="AT10" s="91"/>
      <c r="AU10" s="92"/>
      <c r="AV10" s="104">
        <f>AV5-AV6-AV7+AV9+AV8</f>
        <v>11751.440000000002</v>
      </c>
      <c r="AW10" s="91"/>
      <c r="AX10" s="91"/>
      <c r="AY10" s="92"/>
      <c r="AZ10" s="93">
        <f t="shared" si="3"/>
        <v>114369.51999999999</v>
      </c>
      <c r="BA10" s="92"/>
      <c r="BB10" s="93">
        <f t="shared" si="4"/>
        <v>263483.05</v>
      </c>
      <c r="BC10" s="94"/>
      <c r="BD10" s="92"/>
      <c r="BE10" s="94">
        <f t="shared" si="5"/>
        <v>514959.25999999995</v>
      </c>
      <c r="BF10" s="94"/>
      <c r="BG10" s="94"/>
    </row>
    <row r="11" spans="1:59" ht="14">
      <c r="A11" s="89" t="s">
        <v>147</v>
      </c>
      <c r="C11" s="61"/>
      <c r="D11" s="90">
        <v>12500</v>
      </c>
      <c r="E11" s="91"/>
      <c r="F11" s="91"/>
      <c r="G11" s="92"/>
      <c r="H11" s="90">
        <v>12500</v>
      </c>
      <c r="I11" s="91"/>
      <c r="J11" s="91"/>
      <c r="K11" s="92"/>
      <c r="L11" s="90">
        <v>25000</v>
      </c>
      <c r="M11" s="91" t="s">
        <v>148</v>
      </c>
      <c r="N11" s="91"/>
      <c r="O11" s="92"/>
      <c r="P11" s="90">
        <v>32500</v>
      </c>
      <c r="Q11" s="91"/>
      <c r="R11" s="91"/>
      <c r="S11" s="92"/>
      <c r="T11" s="90">
        <v>0</v>
      </c>
      <c r="U11" s="91"/>
      <c r="V11" s="91"/>
      <c r="W11" s="92"/>
      <c r="X11" s="90">
        <v>12500</v>
      </c>
      <c r="Y11" s="91"/>
      <c r="Z11" s="91"/>
      <c r="AA11" s="92"/>
      <c r="AB11" s="90">
        <v>25000</v>
      </c>
      <c r="AC11" s="91"/>
      <c r="AD11" s="91"/>
      <c r="AE11" s="92"/>
      <c r="AF11" s="90">
        <v>18737</v>
      </c>
      <c r="AG11" s="91"/>
      <c r="AH11" s="91"/>
      <c r="AI11" s="92"/>
      <c r="AJ11" s="90">
        <v>80</v>
      </c>
      <c r="AK11" s="91"/>
      <c r="AL11" s="91"/>
      <c r="AM11" s="92"/>
      <c r="AN11" s="90">
        <v>52600.5</v>
      </c>
      <c r="AO11" s="91"/>
      <c r="AP11" s="91"/>
      <c r="AQ11" s="92"/>
      <c r="AR11" s="90">
        <v>12500</v>
      </c>
      <c r="AS11" s="91"/>
      <c r="AT11" s="91"/>
      <c r="AU11" s="92"/>
      <c r="AV11" s="90">
        <v>25000</v>
      </c>
      <c r="AW11" s="91"/>
      <c r="AX11" s="91"/>
      <c r="AY11" s="92"/>
      <c r="AZ11" s="93">
        <f t="shared" si="3"/>
        <v>50000</v>
      </c>
      <c r="BA11" s="92"/>
      <c r="BB11" s="93">
        <f t="shared" si="4"/>
        <v>95000</v>
      </c>
      <c r="BC11" s="94"/>
      <c r="BD11" s="92"/>
      <c r="BE11" s="94">
        <f t="shared" si="5"/>
        <v>228917.5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0</v>
      </c>
      <c r="E13" s="91"/>
      <c r="F13" s="91"/>
      <c r="G13" s="92"/>
      <c r="H13" s="100">
        <f>H11+H12-H7</f>
        <v>0</v>
      </c>
      <c r="I13" s="91"/>
      <c r="J13" s="91"/>
      <c r="K13" s="92"/>
      <c r="L13" s="100">
        <f>L11+L12-L7</f>
        <v>12500</v>
      </c>
      <c r="M13" s="91"/>
      <c r="N13" s="91"/>
      <c r="O13" s="92"/>
      <c r="P13" s="100">
        <f>P11+P12-P7</f>
        <v>20000</v>
      </c>
      <c r="Q13" s="91"/>
      <c r="R13" s="91"/>
      <c r="S13" s="92"/>
      <c r="T13" s="100">
        <f>T11+T12-T7</f>
        <v>-12500</v>
      </c>
      <c r="U13" s="91"/>
      <c r="V13" s="91"/>
      <c r="W13" s="92"/>
      <c r="X13" s="100">
        <f>X11+X12-X7</f>
        <v>0</v>
      </c>
      <c r="Y13" s="91"/>
      <c r="Z13" s="91"/>
      <c r="AA13" s="92"/>
      <c r="AB13" s="100">
        <f>AB11+AB12-AB7</f>
        <v>12500</v>
      </c>
      <c r="AC13" s="91"/>
      <c r="AD13" s="91"/>
      <c r="AE13" s="92"/>
      <c r="AF13" s="100">
        <f>AF11+AF12-AF7</f>
        <v>6237</v>
      </c>
      <c r="AG13" s="91"/>
      <c r="AH13" s="91"/>
      <c r="AI13" s="92"/>
      <c r="AJ13" s="100">
        <f>AJ11+AJ12-AJ7</f>
        <v>-12420</v>
      </c>
      <c r="AK13" s="91"/>
      <c r="AL13" s="91"/>
      <c r="AM13" s="92"/>
      <c r="AN13" s="100">
        <f>AN11+AN12-AN7</f>
        <v>40100.5</v>
      </c>
      <c r="AO13" s="91"/>
      <c r="AP13" s="91"/>
      <c r="AQ13" s="92"/>
      <c r="AR13" s="100">
        <f>AR11+AR12-AR7</f>
        <v>0</v>
      </c>
      <c r="AS13" s="91"/>
      <c r="AT13" s="91"/>
      <c r="AU13" s="92"/>
      <c r="AV13" s="100">
        <f>AV11+AV12-AV7</f>
        <v>12500</v>
      </c>
      <c r="AW13" s="91"/>
      <c r="AX13" s="91"/>
      <c r="AY13" s="92"/>
      <c r="AZ13" s="93">
        <f t="shared" si="3"/>
        <v>12500</v>
      </c>
      <c r="BA13" s="92"/>
      <c r="BB13" s="93">
        <f t="shared" si="4"/>
        <v>20000</v>
      </c>
      <c r="BC13" s="94"/>
      <c r="BD13" s="92"/>
      <c r="BE13" s="94">
        <f t="shared" si="5"/>
        <v>78917.5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100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265"/>
      <c r="C16" s="121">
        <f>'Revised PS Model 2018'!BG26</f>
        <v>-106801.46023292994</v>
      </c>
      <c r="D16" s="214">
        <v>300</v>
      </c>
      <c r="E16" s="123">
        <f t="shared" ref="E16:E23" si="6">D$10*D16/D$24</f>
        <v>17796.061293984108</v>
      </c>
      <c r="F16" s="124">
        <v>1176.78</v>
      </c>
      <c r="G16" s="123">
        <f t="shared" ref="G16:G23" si="7">E16-F16</f>
        <v>16619.28129398411</v>
      </c>
      <c r="H16" s="214">
        <v>300</v>
      </c>
      <c r="I16" s="123">
        <f t="shared" ref="I16:I23" si="8">H$10*H16/H$24</f>
        <v>34234.208853575488</v>
      </c>
      <c r="J16" s="124">
        <v>1430.11</v>
      </c>
      <c r="K16" s="123">
        <f t="shared" ref="K16:K23" si="9">I16-J16</f>
        <v>32804.098853575488</v>
      </c>
      <c r="L16" s="214">
        <v>300</v>
      </c>
      <c r="M16" s="123">
        <f t="shared" ref="M16:M23" si="10">L$10*L16/L$24</f>
        <v>25860.435868331442</v>
      </c>
      <c r="N16" s="124">
        <v>1438.22</v>
      </c>
      <c r="O16" s="123">
        <f t="shared" ref="O16:O23" si="11">M16-N16</f>
        <v>24422.215868331441</v>
      </c>
      <c r="P16" s="214">
        <v>300</v>
      </c>
      <c r="Q16" s="123">
        <f t="shared" ref="Q16:Q23" si="12">P$10*P16/P$24</f>
        <v>30535.87968217934</v>
      </c>
      <c r="R16" s="124">
        <v>1634.25</v>
      </c>
      <c r="S16" s="123">
        <f t="shared" ref="S16:S23" si="13">Q16-R16</f>
        <v>28901.62968217934</v>
      </c>
      <c r="T16" s="214">
        <v>300</v>
      </c>
      <c r="U16" s="123">
        <f t="shared" ref="U16:U23" si="14">T$10*T16/T$24</f>
        <v>31964.724177071505</v>
      </c>
      <c r="V16" s="124">
        <v>1942.59</v>
      </c>
      <c r="W16" s="123">
        <f t="shared" ref="W16:W23" si="15">U16-V16</f>
        <v>30022.134177071504</v>
      </c>
      <c r="X16" s="214">
        <v>300</v>
      </c>
      <c r="Y16" s="123">
        <f t="shared" ref="Y16:Y23" si="16">X$10*X16/X$24</f>
        <v>39052.311010215664</v>
      </c>
      <c r="Z16" s="124">
        <v>2651.71</v>
      </c>
      <c r="AA16" s="123">
        <f t="shared" ref="AA16:AA23" si="17">Y16-Z16</f>
        <v>36400.601010215665</v>
      </c>
      <c r="AB16" s="214">
        <v>300</v>
      </c>
      <c r="AC16" s="123">
        <f t="shared" ref="AC16:AC23" si="18">AB$10*AB16/AB$24</f>
        <v>31402.202043132798</v>
      </c>
      <c r="AD16" s="124">
        <v>2510.6999999999998</v>
      </c>
      <c r="AE16" s="123">
        <f t="shared" ref="AE16:AE23" si="19">AC16-AD16</f>
        <v>28891.502043132798</v>
      </c>
      <c r="AF16" s="214">
        <v>300</v>
      </c>
      <c r="AG16" s="123">
        <f t="shared" ref="AG16:AG23" si="20">AF$10*AF16/AF$24</f>
        <v>26529.500567536885</v>
      </c>
      <c r="AH16" s="124">
        <v>2162.14</v>
      </c>
      <c r="AI16" s="123">
        <f t="shared" ref="AI16:AI23" si="21">AG16-AH16</f>
        <v>24367.360567536885</v>
      </c>
      <c r="AJ16" s="214">
        <v>300</v>
      </c>
      <c r="AK16" s="123">
        <f t="shared" ref="AK16:AK23" si="22">AJ$10*AJ16/AJ$24</f>
        <v>41324.38365493757</v>
      </c>
      <c r="AL16" s="124">
        <v>4173.17</v>
      </c>
      <c r="AM16" s="123">
        <f t="shared" ref="AM16:AM23" si="23">AK16-AL16</f>
        <v>37151.213654937572</v>
      </c>
      <c r="AN16" s="214">
        <v>300</v>
      </c>
      <c r="AO16" s="123">
        <f t="shared" ref="AO16:AO23" si="24">AN$10*AN16/AN$24</f>
        <v>48024.172892209179</v>
      </c>
      <c r="AP16" s="124">
        <v>757.79</v>
      </c>
      <c r="AQ16" s="123">
        <f t="shared" ref="AQ16:AQ23" si="25">AO16-AP16</f>
        <v>47266.382892209178</v>
      </c>
      <c r="AR16" s="214">
        <v>300</v>
      </c>
      <c r="AS16" s="123">
        <f t="shared" ref="AS16:AS23" si="26">AR$10*AR16/AR$24</f>
        <v>12157.524012806831</v>
      </c>
      <c r="AT16" s="124">
        <v>2326.08</v>
      </c>
      <c r="AU16" s="123">
        <f t="shared" ref="AU16:AU23" si="27">AS16-AT16</f>
        <v>9831.4440128068309</v>
      </c>
      <c r="AV16" s="214">
        <v>300</v>
      </c>
      <c r="AW16" s="123">
        <f t="shared" ref="AW16:AW23" si="28">AV$10*AV16/AV$24</f>
        <v>7524.9348986125951</v>
      </c>
      <c r="AX16" s="124">
        <v>6274.06</v>
      </c>
      <c r="AY16" s="126">
        <f t="shared" ref="AY16:AY23" si="29">AW16-AX16</f>
        <v>1250.8748986125947</v>
      </c>
      <c r="AZ16" s="127">
        <f t="shared" ref="AZ16:AZ23" si="30">IF($AV$3="1Q",AY16,0)+IF($AR$3="1Q",AU16,0)+IF($AN$3="1Q",AQ16,0)+IF($AJ$3="1Q",AM16,0)+IF($AF$3="1Q",AI16,0)+IF($AB$3="1Q",AE16,0)+IF($X$3="1Q",AA16,0)+IF($T$3="1Q",W16,0)+IF($P$3="1Q",S16,0)+IF($L$3="1Q",O16,0)+IF($H$3="1Q",K16,0)+IF($D$3="1Q",G16,0)</f>
        <v>73845.596015891031</v>
      </c>
      <c r="BA16" s="128">
        <f t="shared" ref="BA16:BA23" si="31">AZ16+$C16</f>
        <v>-32955.864217038907</v>
      </c>
      <c r="BB16" s="127">
        <f t="shared" ref="BB16:BB23" si="32">IF($AV$4="1H",AY16,0)+IF($AR$4="1H",AU16,0)+IF($AN$4="1H",AQ16,0)+IF($AJ$4="1H",AM16,0)+IF($AF$4="1H",AI16,0)+IF($AB$4="1H",AE16,0)+IF($X$4="1H",AA16,0)+IF($T$4="1H",W16,0)+IF($P$4="1H",S16,0)+IF($L$4="1H",O16,0)+IF($H$4="1H",K16,0)+IF($D$4="1H",G16,0)</f>
        <v>169169.96088535752</v>
      </c>
      <c r="BC16" s="127"/>
      <c r="BD16" s="128">
        <f t="shared" ref="BD16:BD23" si="33">BB16+$C16</f>
        <v>62368.500652427581</v>
      </c>
      <c r="BE16" s="127">
        <f t="shared" ref="BE16:BE23" si="34">AY16+AU16+AQ16+AM16+AI16+AE16+AA16+W16+S16+O16+K16+G16</f>
        <v>317928.73895459337</v>
      </c>
      <c r="BF16" s="127"/>
      <c r="BG16" s="91">
        <f t="shared" ref="BG16:BG23" si="35">BE16+C16</f>
        <v>211127.27872166343</v>
      </c>
    </row>
    <row r="17" spans="1:59" ht="13">
      <c r="A17" s="89" t="s">
        <v>209</v>
      </c>
      <c r="B17" s="265"/>
      <c r="C17" s="121">
        <f>'Revised PS Model 2018'!BG27</f>
        <v>-527.87173323582829</v>
      </c>
      <c r="D17" s="214">
        <v>100</v>
      </c>
      <c r="E17" s="123">
        <f t="shared" si="6"/>
        <v>5932.0204313280356</v>
      </c>
      <c r="F17" s="124"/>
      <c r="G17" s="123">
        <f t="shared" si="7"/>
        <v>5932.0204313280356</v>
      </c>
      <c r="H17" s="214">
        <v>100</v>
      </c>
      <c r="I17" s="123">
        <f t="shared" si="8"/>
        <v>11411.402951191827</v>
      </c>
      <c r="J17" s="124"/>
      <c r="K17" s="123">
        <f t="shared" si="9"/>
        <v>11411.402951191827</v>
      </c>
      <c r="L17" s="214">
        <v>100</v>
      </c>
      <c r="M17" s="123">
        <f t="shared" si="10"/>
        <v>8620.1452894438135</v>
      </c>
      <c r="N17" s="124"/>
      <c r="O17" s="123">
        <f t="shared" si="11"/>
        <v>8620.1452894438135</v>
      </c>
      <c r="P17" s="214">
        <v>100</v>
      </c>
      <c r="Q17" s="123">
        <f t="shared" si="12"/>
        <v>10178.626560726447</v>
      </c>
      <c r="R17" s="124"/>
      <c r="S17" s="123">
        <f t="shared" si="13"/>
        <v>10178.626560726447</v>
      </c>
      <c r="T17" s="214">
        <v>100</v>
      </c>
      <c r="U17" s="123">
        <f t="shared" si="14"/>
        <v>10654.908059023837</v>
      </c>
      <c r="V17" s="124"/>
      <c r="W17" s="123">
        <f t="shared" si="15"/>
        <v>10654.908059023837</v>
      </c>
      <c r="X17" s="214">
        <v>100</v>
      </c>
      <c r="Y17" s="123">
        <f t="shared" si="16"/>
        <v>13017.437003405223</v>
      </c>
      <c r="Z17" s="124"/>
      <c r="AA17" s="123">
        <f t="shared" si="17"/>
        <v>13017.437003405223</v>
      </c>
      <c r="AB17" s="214">
        <v>100</v>
      </c>
      <c r="AC17" s="123">
        <f t="shared" si="18"/>
        <v>10467.400681044266</v>
      </c>
      <c r="AD17" s="124"/>
      <c r="AE17" s="123">
        <f t="shared" si="19"/>
        <v>10467.400681044266</v>
      </c>
      <c r="AF17" s="214">
        <v>100</v>
      </c>
      <c r="AG17" s="123">
        <f t="shared" si="20"/>
        <v>8843.1668558456295</v>
      </c>
      <c r="AH17" s="124"/>
      <c r="AI17" s="123">
        <f t="shared" si="21"/>
        <v>8843.1668558456295</v>
      </c>
      <c r="AJ17" s="214">
        <v>100</v>
      </c>
      <c r="AK17" s="123">
        <f t="shared" si="22"/>
        <v>13774.794551645857</v>
      </c>
      <c r="AL17" s="124"/>
      <c r="AM17" s="123">
        <f t="shared" si="23"/>
        <v>13774.794551645857</v>
      </c>
      <c r="AN17" s="214">
        <v>100</v>
      </c>
      <c r="AO17" s="123">
        <f t="shared" si="24"/>
        <v>16008.057630736394</v>
      </c>
      <c r="AP17" s="124"/>
      <c r="AQ17" s="123">
        <f t="shared" si="25"/>
        <v>16008.057630736394</v>
      </c>
      <c r="AR17" s="214">
        <v>100</v>
      </c>
      <c r="AS17" s="123">
        <f t="shared" si="26"/>
        <v>4052.5080042689433</v>
      </c>
      <c r="AT17" s="124"/>
      <c r="AU17" s="123">
        <f t="shared" si="27"/>
        <v>4052.5080042689433</v>
      </c>
      <c r="AV17" s="214">
        <v>100</v>
      </c>
      <c r="AW17" s="123">
        <f t="shared" si="28"/>
        <v>2508.3116328708647</v>
      </c>
      <c r="AX17" s="124"/>
      <c r="AY17" s="126">
        <f t="shared" si="29"/>
        <v>2508.3116328708647</v>
      </c>
      <c r="AZ17" s="127">
        <f t="shared" si="30"/>
        <v>25963.568671963672</v>
      </c>
      <c r="BA17" s="128">
        <f t="shared" si="31"/>
        <v>25435.696938727844</v>
      </c>
      <c r="BB17" s="127">
        <f t="shared" si="32"/>
        <v>59814.540295119179</v>
      </c>
      <c r="BC17" s="127"/>
      <c r="BD17" s="128">
        <f t="shared" si="33"/>
        <v>59286.668561883351</v>
      </c>
      <c r="BE17" s="127">
        <f t="shared" si="34"/>
        <v>115468.77965153116</v>
      </c>
      <c r="BF17" s="127"/>
      <c r="BG17" s="91">
        <f t="shared" si="35"/>
        <v>114940.90791829533</v>
      </c>
    </row>
    <row r="18" spans="1:59" ht="13">
      <c r="A18" s="89" t="s">
        <v>61</v>
      </c>
      <c r="B18" s="265"/>
      <c r="C18" s="121">
        <f>'Revised PS Model 2018'!BG28</f>
        <v>-84.376024461047564</v>
      </c>
      <c r="D18" s="53">
        <v>16</v>
      </c>
      <c r="E18" s="123">
        <f t="shared" si="6"/>
        <v>949.12326901248571</v>
      </c>
      <c r="F18" s="124"/>
      <c r="G18" s="126">
        <f t="shared" si="7"/>
        <v>949.12326901248571</v>
      </c>
      <c r="H18" s="53">
        <v>16</v>
      </c>
      <c r="I18" s="123">
        <f t="shared" si="8"/>
        <v>1825.8244721906924</v>
      </c>
      <c r="J18" s="124"/>
      <c r="K18" s="126">
        <f t="shared" si="9"/>
        <v>1825.8244721906924</v>
      </c>
      <c r="L18" s="53">
        <v>16</v>
      </c>
      <c r="M18" s="123">
        <f t="shared" si="10"/>
        <v>1379.2232463110101</v>
      </c>
      <c r="N18" s="124"/>
      <c r="O18" s="126">
        <f t="shared" si="11"/>
        <v>1379.2232463110101</v>
      </c>
      <c r="P18" s="53">
        <v>16</v>
      </c>
      <c r="Q18" s="123">
        <f t="shared" si="12"/>
        <v>1628.5802497162315</v>
      </c>
      <c r="R18" s="124"/>
      <c r="S18" s="126">
        <f t="shared" si="13"/>
        <v>1628.5802497162315</v>
      </c>
      <c r="T18" s="53">
        <v>16</v>
      </c>
      <c r="U18" s="123">
        <f t="shared" si="14"/>
        <v>1704.7852894438138</v>
      </c>
      <c r="V18" s="124"/>
      <c r="W18" s="126">
        <f t="shared" si="15"/>
        <v>1704.7852894438138</v>
      </c>
      <c r="X18" s="53">
        <v>16</v>
      </c>
      <c r="Y18" s="123">
        <f t="shared" si="16"/>
        <v>2082.7899205448357</v>
      </c>
      <c r="Z18" s="124"/>
      <c r="AA18" s="126">
        <f t="shared" si="17"/>
        <v>2082.7899205448357</v>
      </c>
      <c r="AB18" s="53">
        <v>16</v>
      </c>
      <c r="AC18" s="123">
        <f t="shared" si="18"/>
        <v>1674.7841089670826</v>
      </c>
      <c r="AD18" s="124"/>
      <c r="AE18" s="126">
        <f t="shared" si="19"/>
        <v>1674.7841089670826</v>
      </c>
      <c r="AF18" s="53">
        <v>16</v>
      </c>
      <c r="AG18" s="123">
        <f t="shared" si="20"/>
        <v>1414.9066969353005</v>
      </c>
      <c r="AH18" s="124"/>
      <c r="AI18" s="126">
        <f t="shared" si="21"/>
        <v>1414.9066969353005</v>
      </c>
      <c r="AJ18" s="53">
        <v>16</v>
      </c>
      <c r="AK18" s="123">
        <f t="shared" si="22"/>
        <v>2203.9671282633371</v>
      </c>
      <c r="AL18" s="124"/>
      <c r="AM18" s="126">
        <f t="shared" si="23"/>
        <v>2203.9671282633371</v>
      </c>
      <c r="AN18" s="53">
        <v>30</v>
      </c>
      <c r="AO18" s="123">
        <f t="shared" si="24"/>
        <v>4802.4172892209181</v>
      </c>
      <c r="AP18" s="124"/>
      <c r="AQ18" s="126">
        <f t="shared" si="25"/>
        <v>4802.4172892209181</v>
      </c>
      <c r="AR18" s="53">
        <v>30</v>
      </c>
      <c r="AS18" s="123">
        <f t="shared" si="26"/>
        <v>1215.752401280683</v>
      </c>
      <c r="AT18" s="124"/>
      <c r="AU18" s="126">
        <f t="shared" si="27"/>
        <v>1215.752401280683</v>
      </c>
      <c r="AV18" s="53">
        <v>30</v>
      </c>
      <c r="AW18" s="123">
        <f t="shared" si="28"/>
        <v>752.49348986125949</v>
      </c>
      <c r="AX18" s="124"/>
      <c r="AY18" s="126">
        <f t="shared" si="29"/>
        <v>752.49348986125949</v>
      </c>
      <c r="AZ18" s="127">
        <f t="shared" si="30"/>
        <v>4154.1709875141878</v>
      </c>
      <c r="BA18" s="128">
        <f t="shared" si="31"/>
        <v>4069.7949630531402</v>
      </c>
      <c r="BB18" s="127">
        <f t="shared" si="32"/>
        <v>9570.3264472190695</v>
      </c>
      <c r="BC18" s="127"/>
      <c r="BD18" s="128">
        <f t="shared" si="33"/>
        <v>9485.9504227580219</v>
      </c>
      <c r="BE18" s="127">
        <f t="shared" si="34"/>
        <v>21634.64756174765</v>
      </c>
      <c r="BF18" s="127"/>
      <c r="BG18" s="91">
        <f t="shared" si="35"/>
        <v>21550.271537286601</v>
      </c>
    </row>
    <row r="19" spans="1:59" ht="13">
      <c r="A19" s="89" t="s">
        <v>65</v>
      </c>
      <c r="B19" s="265"/>
      <c r="C19" s="121">
        <f>'Revised PS Model 2018'!BG29</f>
        <v>-84.376024461047564</v>
      </c>
      <c r="D19" s="53">
        <v>16</v>
      </c>
      <c r="E19" s="123">
        <f t="shared" si="6"/>
        <v>949.12326901248571</v>
      </c>
      <c r="F19" s="124"/>
      <c r="G19" s="126">
        <f t="shared" si="7"/>
        <v>949.12326901248571</v>
      </c>
      <c r="H19" s="53">
        <v>16</v>
      </c>
      <c r="I19" s="123">
        <f t="shared" si="8"/>
        <v>1825.8244721906924</v>
      </c>
      <c r="J19" s="124"/>
      <c r="K19" s="126">
        <f t="shared" si="9"/>
        <v>1825.8244721906924</v>
      </c>
      <c r="L19" s="53">
        <v>16</v>
      </c>
      <c r="M19" s="123">
        <f t="shared" si="10"/>
        <v>1379.2232463110101</v>
      </c>
      <c r="N19" s="124"/>
      <c r="O19" s="126">
        <f t="shared" si="11"/>
        <v>1379.2232463110101</v>
      </c>
      <c r="P19" s="53">
        <v>16</v>
      </c>
      <c r="Q19" s="123">
        <f t="shared" si="12"/>
        <v>1628.5802497162315</v>
      </c>
      <c r="R19" s="124"/>
      <c r="S19" s="126">
        <f t="shared" si="13"/>
        <v>1628.5802497162315</v>
      </c>
      <c r="T19" s="53">
        <v>16</v>
      </c>
      <c r="U19" s="123">
        <f t="shared" si="14"/>
        <v>1704.7852894438138</v>
      </c>
      <c r="V19" s="124"/>
      <c r="W19" s="126">
        <f t="shared" si="15"/>
        <v>1704.7852894438138</v>
      </c>
      <c r="X19" s="53">
        <v>16</v>
      </c>
      <c r="Y19" s="123">
        <f t="shared" si="16"/>
        <v>2082.7899205448357</v>
      </c>
      <c r="Z19" s="124"/>
      <c r="AA19" s="126">
        <f t="shared" si="17"/>
        <v>2082.7899205448357</v>
      </c>
      <c r="AB19" s="53">
        <v>16</v>
      </c>
      <c r="AC19" s="123">
        <f t="shared" si="18"/>
        <v>1674.7841089670826</v>
      </c>
      <c r="AD19" s="124"/>
      <c r="AE19" s="126">
        <f t="shared" si="19"/>
        <v>1674.7841089670826</v>
      </c>
      <c r="AF19" s="53">
        <v>16</v>
      </c>
      <c r="AG19" s="123">
        <f t="shared" si="20"/>
        <v>1414.9066969353005</v>
      </c>
      <c r="AH19" s="124"/>
      <c r="AI19" s="126">
        <f t="shared" si="21"/>
        <v>1414.9066969353005</v>
      </c>
      <c r="AJ19" s="53">
        <v>16</v>
      </c>
      <c r="AK19" s="123">
        <f t="shared" si="22"/>
        <v>2203.9671282633371</v>
      </c>
      <c r="AL19" s="124"/>
      <c r="AM19" s="126">
        <f t="shared" si="23"/>
        <v>2203.9671282633371</v>
      </c>
      <c r="AN19" s="53">
        <v>30</v>
      </c>
      <c r="AO19" s="123">
        <f t="shared" si="24"/>
        <v>4802.4172892209181</v>
      </c>
      <c r="AP19" s="124"/>
      <c r="AQ19" s="126">
        <f t="shared" si="25"/>
        <v>4802.4172892209181</v>
      </c>
      <c r="AR19" s="53">
        <v>30</v>
      </c>
      <c r="AS19" s="123">
        <f t="shared" si="26"/>
        <v>1215.752401280683</v>
      </c>
      <c r="AT19" s="124"/>
      <c r="AU19" s="126">
        <f t="shared" si="27"/>
        <v>1215.752401280683</v>
      </c>
      <c r="AV19" s="53">
        <v>30</v>
      </c>
      <c r="AW19" s="123">
        <f t="shared" si="28"/>
        <v>752.49348986125949</v>
      </c>
      <c r="AX19" s="124"/>
      <c r="AY19" s="126">
        <f t="shared" si="29"/>
        <v>752.49348986125949</v>
      </c>
      <c r="AZ19" s="127">
        <f t="shared" si="30"/>
        <v>4154.1709875141878</v>
      </c>
      <c r="BA19" s="128">
        <f t="shared" si="31"/>
        <v>4069.7949630531402</v>
      </c>
      <c r="BB19" s="127">
        <f t="shared" si="32"/>
        <v>9570.3264472190695</v>
      </c>
      <c r="BC19" s="127"/>
      <c r="BD19" s="128">
        <f t="shared" si="33"/>
        <v>9485.9504227580219</v>
      </c>
      <c r="BE19" s="127">
        <f t="shared" si="34"/>
        <v>21634.64756174765</v>
      </c>
      <c r="BF19" s="127"/>
      <c r="BG19" s="91">
        <f t="shared" si="35"/>
        <v>21550.271537286601</v>
      </c>
    </row>
    <row r="20" spans="1:59" ht="13">
      <c r="A20" s="89" t="s">
        <v>210</v>
      </c>
      <c r="B20" s="265"/>
      <c r="C20" s="121">
        <f>'Revised PS Model 2018'!BG30</f>
        <v>-13.130874006810359</v>
      </c>
      <c r="D20" s="53">
        <v>2.5</v>
      </c>
      <c r="E20" s="123">
        <f t="shared" si="6"/>
        <v>148.30051078320088</v>
      </c>
      <c r="F20" s="124"/>
      <c r="G20" s="126">
        <f t="shared" si="7"/>
        <v>148.30051078320088</v>
      </c>
      <c r="H20" s="53">
        <v>2.5</v>
      </c>
      <c r="I20" s="123">
        <f t="shared" si="8"/>
        <v>285.28507377979571</v>
      </c>
      <c r="J20" s="124"/>
      <c r="K20" s="126">
        <f t="shared" si="9"/>
        <v>285.28507377979571</v>
      </c>
      <c r="L20" s="53">
        <v>2.5</v>
      </c>
      <c r="M20" s="123">
        <f t="shared" si="10"/>
        <v>215.50363223609531</v>
      </c>
      <c r="N20" s="124"/>
      <c r="O20" s="126">
        <f t="shared" si="11"/>
        <v>215.50363223609531</v>
      </c>
      <c r="P20" s="53">
        <v>2.5</v>
      </c>
      <c r="Q20" s="123">
        <f t="shared" si="12"/>
        <v>254.46566401816119</v>
      </c>
      <c r="R20" s="124"/>
      <c r="S20" s="126">
        <f t="shared" si="13"/>
        <v>254.46566401816119</v>
      </c>
      <c r="T20" s="53">
        <v>2.5</v>
      </c>
      <c r="U20" s="123">
        <f t="shared" si="14"/>
        <v>266.37270147559587</v>
      </c>
      <c r="V20" s="124"/>
      <c r="W20" s="126">
        <f t="shared" si="15"/>
        <v>266.37270147559587</v>
      </c>
      <c r="X20" s="53">
        <v>2.5</v>
      </c>
      <c r="Y20" s="123">
        <f t="shared" si="16"/>
        <v>325.43592508513058</v>
      </c>
      <c r="Z20" s="124"/>
      <c r="AA20" s="126">
        <f t="shared" si="17"/>
        <v>325.43592508513058</v>
      </c>
      <c r="AB20" s="53">
        <v>2.5</v>
      </c>
      <c r="AC20" s="123">
        <f t="shared" si="18"/>
        <v>261.68501702610666</v>
      </c>
      <c r="AD20" s="124"/>
      <c r="AE20" s="126">
        <f t="shared" si="19"/>
        <v>261.68501702610666</v>
      </c>
      <c r="AF20" s="53">
        <v>2.5</v>
      </c>
      <c r="AG20" s="123">
        <f t="shared" si="20"/>
        <v>221.07917139614071</v>
      </c>
      <c r="AH20" s="124"/>
      <c r="AI20" s="126">
        <f t="shared" si="21"/>
        <v>221.07917139614071</v>
      </c>
      <c r="AJ20" s="53">
        <v>2.5</v>
      </c>
      <c r="AK20" s="123">
        <f t="shared" si="22"/>
        <v>344.36986379114637</v>
      </c>
      <c r="AL20" s="124"/>
      <c r="AM20" s="126">
        <f t="shared" si="23"/>
        <v>344.36986379114637</v>
      </c>
      <c r="AN20" s="53">
        <v>2.5</v>
      </c>
      <c r="AO20" s="123">
        <f t="shared" si="24"/>
        <v>400.20144076840984</v>
      </c>
      <c r="AP20" s="124"/>
      <c r="AQ20" s="126">
        <f t="shared" si="25"/>
        <v>400.20144076840984</v>
      </c>
      <c r="AR20" s="53">
        <v>2.5</v>
      </c>
      <c r="AS20" s="123">
        <f t="shared" si="26"/>
        <v>101.31270010672358</v>
      </c>
      <c r="AT20" s="124"/>
      <c r="AU20" s="126">
        <f t="shared" si="27"/>
        <v>101.31270010672358</v>
      </c>
      <c r="AV20" s="53">
        <v>2.5</v>
      </c>
      <c r="AW20" s="123">
        <f t="shared" si="28"/>
        <v>62.707790821771624</v>
      </c>
      <c r="AX20" s="124"/>
      <c r="AY20" s="126">
        <f t="shared" si="29"/>
        <v>62.707790821771624</v>
      </c>
      <c r="AZ20" s="127">
        <f t="shared" si="30"/>
        <v>649.0892167990919</v>
      </c>
      <c r="BA20" s="128">
        <f t="shared" si="31"/>
        <v>635.95834279228154</v>
      </c>
      <c r="BB20" s="127">
        <f t="shared" si="32"/>
        <v>1495.3635073779797</v>
      </c>
      <c r="BC20" s="127"/>
      <c r="BD20" s="128">
        <f t="shared" si="33"/>
        <v>1482.2326333711694</v>
      </c>
      <c r="BE20" s="127">
        <f t="shared" si="34"/>
        <v>2886.7194912882783</v>
      </c>
      <c r="BF20" s="127"/>
      <c r="BG20" s="91">
        <f t="shared" si="35"/>
        <v>2873.588617281468</v>
      </c>
    </row>
    <row r="21" spans="1:59" ht="13">
      <c r="A21" s="132" t="s">
        <v>254</v>
      </c>
      <c r="B21" s="267"/>
      <c r="C21" s="121">
        <f>'Revised PS Model 2018'!BG31</f>
        <v>-13.130874006810359</v>
      </c>
      <c r="D21" s="178">
        <v>2.5</v>
      </c>
      <c r="E21" s="134">
        <f t="shared" si="6"/>
        <v>148.30051078320088</v>
      </c>
      <c r="F21" s="135"/>
      <c r="G21" s="136">
        <f t="shared" si="7"/>
        <v>148.30051078320088</v>
      </c>
      <c r="H21" s="178">
        <v>2.5</v>
      </c>
      <c r="I21" s="134">
        <f t="shared" si="8"/>
        <v>285.28507377979571</v>
      </c>
      <c r="J21" s="135"/>
      <c r="K21" s="136">
        <f t="shared" si="9"/>
        <v>285.28507377979571</v>
      </c>
      <c r="L21" s="178">
        <v>2.5</v>
      </c>
      <c r="M21" s="134">
        <f t="shared" si="10"/>
        <v>215.50363223609531</v>
      </c>
      <c r="N21" s="135"/>
      <c r="O21" s="136">
        <f t="shared" si="11"/>
        <v>215.50363223609531</v>
      </c>
      <c r="P21" s="178">
        <v>2.5</v>
      </c>
      <c r="Q21" s="134">
        <f t="shared" si="12"/>
        <v>254.46566401816119</v>
      </c>
      <c r="R21" s="135"/>
      <c r="S21" s="136">
        <f t="shared" si="13"/>
        <v>254.46566401816119</v>
      </c>
      <c r="T21" s="178">
        <v>2.5</v>
      </c>
      <c r="U21" s="134">
        <f t="shared" si="14"/>
        <v>266.37270147559587</v>
      </c>
      <c r="V21" s="135"/>
      <c r="W21" s="136">
        <f t="shared" si="15"/>
        <v>266.37270147559587</v>
      </c>
      <c r="X21" s="178">
        <v>2.5</v>
      </c>
      <c r="Y21" s="134">
        <f t="shared" si="16"/>
        <v>325.43592508513058</v>
      </c>
      <c r="Z21" s="135"/>
      <c r="AA21" s="136">
        <f t="shared" si="17"/>
        <v>325.43592508513058</v>
      </c>
      <c r="AB21" s="178">
        <v>2.5</v>
      </c>
      <c r="AC21" s="134">
        <f t="shared" si="18"/>
        <v>261.68501702610666</v>
      </c>
      <c r="AD21" s="135"/>
      <c r="AE21" s="136">
        <f t="shared" si="19"/>
        <v>261.68501702610666</v>
      </c>
      <c r="AF21" s="178">
        <v>2.5</v>
      </c>
      <c r="AG21" s="134">
        <f t="shared" si="20"/>
        <v>221.07917139614071</v>
      </c>
      <c r="AH21" s="135"/>
      <c r="AI21" s="136">
        <f t="shared" si="21"/>
        <v>221.07917139614071</v>
      </c>
      <c r="AJ21" s="178">
        <v>2.5</v>
      </c>
      <c r="AK21" s="134">
        <f t="shared" si="22"/>
        <v>344.36986379114637</v>
      </c>
      <c r="AL21" s="135"/>
      <c r="AM21" s="136">
        <f t="shared" si="23"/>
        <v>344.36986379114637</v>
      </c>
      <c r="AN21" s="178">
        <v>2.5</v>
      </c>
      <c r="AO21" s="134">
        <f t="shared" si="24"/>
        <v>400.20144076840984</v>
      </c>
      <c r="AP21" s="135"/>
      <c r="AQ21" s="136">
        <f t="shared" si="25"/>
        <v>400.20144076840984</v>
      </c>
      <c r="AR21" s="178">
        <v>2.5</v>
      </c>
      <c r="AS21" s="134">
        <f t="shared" si="26"/>
        <v>101.31270010672358</v>
      </c>
      <c r="AT21" s="135"/>
      <c r="AU21" s="136">
        <f t="shared" si="27"/>
        <v>101.31270010672358</v>
      </c>
      <c r="AV21" s="178">
        <v>2.5</v>
      </c>
      <c r="AW21" s="134">
        <f t="shared" si="28"/>
        <v>62.707790821771624</v>
      </c>
      <c r="AX21" s="135"/>
      <c r="AY21" s="136">
        <f t="shared" si="29"/>
        <v>62.707790821771624</v>
      </c>
      <c r="AZ21" s="138">
        <f t="shared" si="30"/>
        <v>649.0892167990919</v>
      </c>
      <c r="BA21" s="137">
        <f t="shared" si="31"/>
        <v>635.95834279228154</v>
      </c>
      <c r="BB21" s="138">
        <f t="shared" si="32"/>
        <v>1495.3635073779797</v>
      </c>
      <c r="BC21" s="138"/>
      <c r="BD21" s="137">
        <f t="shared" si="33"/>
        <v>1482.2326333711694</v>
      </c>
      <c r="BE21" s="138">
        <f t="shared" si="34"/>
        <v>2886.7194912882783</v>
      </c>
      <c r="BF21" s="138"/>
      <c r="BG21" s="140">
        <f t="shared" si="35"/>
        <v>2873.588617281468</v>
      </c>
    </row>
    <row r="22" spans="1:59" ht="13">
      <c r="A22" s="132" t="s">
        <v>255</v>
      </c>
      <c r="B22" s="267"/>
      <c r="C22" s="121">
        <f>'Revised PS Model 2018'!BG32</f>
        <v>-13.130874006810359</v>
      </c>
      <c r="D22" s="178">
        <v>2.5</v>
      </c>
      <c r="E22" s="134">
        <f t="shared" si="6"/>
        <v>148.30051078320088</v>
      </c>
      <c r="F22" s="135"/>
      <c r="G22" s="136">
        <f t="shared" si="7"/>
        <v>148.30051078320088</v>
      </c>
      <c r="H22" s="178">
        <v>2.5</v>
      </c>
      <c r="I22" s="134">
        <f t="shared" si="8"/>
        <v>285.28507377979571</v>
      </c>
      <c r="J22" s="135"/>
      <c r="K22" s="136">
        <f t="shared" si="9"/>
        <v>285.28507377979571</v>
      </c>
      <c r="L22" s="178">
        <v>2.5</v>
      </c>
      <c r="M22" s="134">
        <f t="shared" si="10"/>
        <v>215.50363223609531</v>
      </c>
      <c r="N22" s="135"/>
      <c r="O22" s="136">
        <f t="shared" si="11"/>
        <v>215.50363223609531</v>
      </c>
      <c r="P22" s="178">
        <v>2.5</v>
      </c>
      <c r="Q22" s="134">
        <f t="shared" si="12"/>
        <v>254.46566401816119</v>
      </c>
      <c r="R22" s="135"/>
      <c r="S22" s="136">
        <f t="shared" si="13"/>
        <v>254.46566401816119</v>
      </c>
      <c r="T22" s="178">
        <v>2.5</v>
      </c>
      <c r="U22" s="134">
        <f t="shared" si="14"/>
        <v>266.37270147559587</v>
      </c>
      <c r="V22" s="135"/>
      <c r="W22" s="136">
        <f t="shared" si="15"/>
        <v>266.37270147559587</v>
      </c>
      <c r="X22" s="178">
        <v>2.5</v>
      </c>
      <c r="Y22" s="134">
        <f t="shared" si="16"/>
        <v>325.43592508513058</v>
      </c>
      <c r="Z22" s="135"/>
      <c r="AA22" s="136">
        <f t="shared" si="17"/>
        <v>325.43592508513058</v>
      </c>
      <c r="AB22" s="178">
        <v>2.5</v>
      </c>
      <c r="AC22" s="134">
        <f t="shared" si="18"/>
        <v>261.68501702610666</v>
      </c>
      <c r="AD22" s="135"/>
      <c r="AE22" s="136">
        <f t="shared" si="19"/>
        <v>261.68501702610666</v>
      </c>
      <c r="AF22" s="178">
        <v>2.5</v>
      </c>
      <c r="AG22" s="134">
        <f t="shared" si="20"/>
        <v>221.07917139614071</v>
      </c>
      <c r="AH22" s="135"/>
      <c r="AI22" s="136">
        <f t="shared" si="21"/>
        <v>221.07917139614071</v>
      </c>
      <c r="AJ22" s="178">
        <v>2.5</v>
      </c>
      <c r="AK22" s="134">
        <f t="shared" si="22"/>
        <v>344.36986379114637</v>
      </c>
      <c r="AL22" s="135"/>
      <c r="AM22" s="136">
        <f t="shared" si="23"/>
        <v>344.36986379114637</v>
      </c>
      <c r="AN22" s="178">
        <v>2.5</v>
      </c>
      <c r="AO22" s="134">
        <f t="shared" si="24"/>
        <v>400.20144076840984</v>
      </c>
      <c r="AP22" s="135"/>
      <c r="AQ22" s="136">
        <f t="shared" si="25"/>
        <v>400.20144076840984</v>
      </c>
      <c r="AR22" s="178">
        <v>2.5</v>
      </c>
      <c r="AS22" s="134">
        <f t="shared" si="26"/>
        <v>101.31270010672358</v>
      </c>
      <c r="AT22" s="135"/>
      <c r="AU22" s="136">
        <f t="shared" si="27"/>
        <v>101.31270010672358</v>
      </c>
      <c r="AV22" s="178">
        <v>2.5</v>
      </c>
      <c r="AW22" s="134">
        <f t="shared" si="28"/>
        <v>62.707790821771624</v>
      </c>
      <c r="AX22" s="135"/>
      <c r="AY22" s="136">
        <f t="shared" si="29"/>
        <v>62.707790821771624</v>
      </c>
      <c r="AZ22" s="138">
        <f t="shared" si="30"/>
        <v>649.0892167990919</v>
      </c>
      <c r="BA22" s="137">
        <f t="shared" si="31"/>
        <v>635.95834279228154</v>
      </c>
      <c r="BB22" s="138">
        <f t="shared" si="32"/>
        <v>1495.3635073779797</v>
      </c>
      <c r="BC22" s="138"/>
      <c r="BD22" s="137">
        <f t="shared" si="33"/>
        <v>1482.2326333711694</v>
      </c>
      <c r="BE22" s="138">
        <f t="shared" si="34"/>
        <v>2886.7194912882783</v>
      </c>
      <c r="BF22" s="138"/>
      <c r="BG22" s="140">
        <f t="shared" si="35"/>
        <v>2873.588617281468</v>
      </c>
    </row>
    <row r="23" spans="1:59" ht="13">
      <c r="A23" s="132" t="s">
        <v>211</v>
      </c>
      <c r="B23" s="267"/>
      <c r="C23" s="121">
        <f>'Revised PS Model 2018'!BG33</f>
        <v>-5.2523496027241663</v>
      </c>
      <c r="D23" s="178">
        <v>1</v>
      </c>
      <c r="E23" s="134">
        <f t="shared" si="6"/>
        <v>59.320204313280357</v>
      </c>
      <c r="F23" s="135"/>
      <c r="G23" s="136">
        <f t="shared" si="7"/>
        <v>59.320204313280357</v>
      </c>
      <c r="H23" s="178">
        <v>1</v>
      </c>
      <c r="I23" s="134">
        <f t="shared" si="8"/>
        <v>114.11402951191828</v>
      </c>
      <c r="J23" s="135"/>
      <c r="K23" s="136">
        <f t="shared" si="9"/>
        <v>114.11402951191828</v>
      </c>
      <c r="L23" s="178">
        <v>1</v>
      </c>
      <c r="M23" s="134">
        <f t="shared" si="10"/>
        <v>86.201452894438134</v>
      </c>
      <c r="N23" s="135"/>
      <c r="O23" s="136">
        <f t="shared" si="11"/>
        <v>86.201452894438134</v>
      </c>
      <c r="P23" s="178">
        <v>1</v>
      </c>
      <c r="Q23" s="134">
        <f t="shared" si="12"/>
        <v>101.78626560726447</v>
      </c>
      <c r="R23" s="135"/>
      <c r="S23" s="136">
        <f t="shared" si="13"/>
        <v>101.78626560726447</v>
      </c>
      <c r="T23" s="178">
        <v>1</v>
      </c>
      <c r="U23" s="134">
        <f t="shared" si="14"/>
        <v>106.54908059023836</v>
      </c>
      <c r="V23" s="135"/>
      <c r="W23" s="136">
        <f t="shared" si="15"/>
        <v>106.54908059023836</v>
      </c>
      <c r="X23" s="178">
        <v>1</v>
      </c>
      <c r="Y23" s="134">
        <f t="shared" si="16"/>
        <v>130.17437003405223</v>
      </c>
      <c r="Z23" s="135"/>
      <c r="AA23" s="136">
        <f t="shared" si="17"/>
        <v>130.17437003405223</v>
      </c>
      <c r="AB23" s="178">
        <v>1</v>
      </c>
      <c r="AC23" s="134">
        <f t="shared" si="18"/>
        <v>104.67400681044266</v>
      </c>
      <c r="AD23" s="135"/>
      <c r="AE23" s="136">
        <f t="shared" si="19"/>
        <v>104.67400681044266</v>
      </c>
      <c r="AF23" s="178">
        <v>1</v>
      </c>
      <c r="AG23" s="134">
        <f t="shared" si="20"/>
        <v>88.43166855845628</v>
      </c>
      <c r="AH23" s="135"/>
      <c r="AI23" s="136">
        <f t="shared" si="21"/>
        <v>88.43166855845628</v>
      </c>
      <c r="AJ23" s="178">
        <v>1</v>
      </c>
      <c r="AK23" s="134">
        <f t="shared" si="22"/>
        <v>137.74794551645857</v>
      </c>
      <c r="AL23" s="135"/>
      <c r="AM23" s="136">
        <f t="shared" si="23"/>
        <v>137.74794551645857</v>
      </c>
      <c r="AN23" s="178">
        <v>1</v>
      </c>
      <c r="AO23" s="134">
        <f t="shared" si="24"/>
        <v>160.08057630736394</v>
      </c>
      <c r="AP23" s="135"/>
      <c r="AQ23" s="136">
        <f t="shared" si="25"/>
        <v>160.08057630736394</v>
      </c>
      <c r="AR23" s="178">
        <v>1</v>
      </c>
      <c r="AS23" s="134">
        <f t="shared" si="26"/>
        <v>40.525080042689432</v>
      </c>
      <c r="AT23" s="135"/>
      <c r="AU23" s="136">
        <f t="shared" si="27"/>
        <v>40.525080042689432</v>
      </c>
      <c r="AV23" s="178">
        <v>1</v>
      </c>
      <c r="AW23" s="134">
        <f t="shared" si="28"/>
        <v>25.083116328708648</v>
      </c>
      <c r="AX23" s="135"/>
      <c r="AY23" s="136">
        <f t="shared" si="29"/>
        <v>25.083116328708648</v>
      </c>
      <c r="AZ23" s="138">
        <f t="shared" si="30"/>
        <v>259.63568671963674</v>
      </c>
      <c r="BA23" s="137">
        <f t="shared" si="31"/>
        <v>254.38333711691257</v>
      </c>
      <c r="BB23" s="138">
        <f t="shared" si="32"/>
        <v>598.14540295119184</v>
      </c>
      <c r="BC23" s="138"/>
      <c r="BD23" s="137">
        <f t="shared" si="33"/>
        <v>592.89305334846767</v>
      </c>
      <c r="BE23" s="138">
        <f t="shared" si="34"/>
        <v>1154.6877965153112</v>
      </c>
      <c r="BF23" s="138"/>
      <c r="BG23" s="140">
        <f t="shared" si="35"/>
        <v>1149.4354469125869</v>
      </c>
    </row>
    <row r="24" spans="1:59" ht="13">
      <c r="A24" s="89"/>
      <c r="C24" s="61"/>
      <c r="D24" s="148">
        <f t="shared" ref="D24:E24" si="36">SUM(D16:D23)</f>
        <v>440.5</v>
      </c>
      <c r="E24" s="149">
        <f t="shared" si="36"/>
        <v>26130.549999999992</v>
      </c>
      <c r="F24" s="91"/>
      <c r="G24" s="91"/>
      <c r="H24" s="148">
        <f t="shared" ref="H24:I24" si="37">SUM(H16:H23)</f>
        <v>440.5</v>
      </c>
      <c r="I24" s="149">
        <f t="shared" si="37"/>
        <v>50267.23</v>
      </c>
      <c r="J24" s="91"/>
      <c r="K24" s="91"/>
      <c r="L24" s="148">
        <f t="shared" ref="L24:M24" si="38">SUM(L16:L23)</f>
        <v>440.5</v>
      </c>
      <c r="M24" s="149">
        <f t="shared" si="38"/>
        <v>37971.740000000005</v>
      </c>
      <c r="N24" s="91"/>
      <c r="O24" s="91"/>
      <c r="P24" s="148">
        <f t="shared" ref="P24:Q24" si="39">SUM(P16:P23)</f>
        <v>440.5</v>
      </c>
      <c r="Q24" s="149">
        <f t="shared" si="39"/>
        <v>44836.85</v>
      </c>
      <c r="R24" s="91"/>
      <c r="S24" s="91"/>
      <c r="T24" s="148">
        <f t="shared" ref="T24:U24" si="40">SUM(T16:T23)</f>
        <v>440.5</v>
      </c>
      <c r="U24" s="149">
        <f t="shared" si="40"/>
        <v>46934.869999999981</v>
      </c>
      <c r="V24" s="91"/>
      <c r="W24" s="91"/>
      <c r="X24" s="148">
        <f t="shared" ref="X24:Y24" si="41">SUM(X16:X23)</f>
        <v>440.5</v>
      </c>
      <c r="Y24" s="149">
        <f t="shared" si="41"/>
        <v>57341.810000000012</v>
      </c>
      <c r="Z24" s="91"/>
      <c r="AA24" s="91"/>
      <c r="AB24" s="148">
        <f t="shared" ref="AB24:AC24" si="42">SUM(AB16:AB23)</f>
        <v>440.5</v>
      </c>
      <c r="AC24" s="149">
        <f t="shared" si="42"/>
        <v>46108.9</v>
      </c>
      <c r="AD24" s="91"/>
      <c r="AE24" s="91"/>
      <c r="AF24" s="148">
        <f t="shared" ref="AF24:AG24" si="43">SUM(AF16:AF23)</f>
        <v>440.5</v>
      </c>
      <c r="AG24" s="149">
        <f t="shared" si="43"/>
        <v>38954.149999999987</v>
      </c>
      <c r="AH24" s="91"/>
      <c r="AI24" s="91"/>
      <c r="AJ24" s="148">
        <f t="shared" ref="AJ24:AK24" si="44">SUM(AJ16:AJ23)</f>
        <v>440.5</v>
      </c>
      <c r="AK24" s="149">
        <f t="shared" si="44"/>
        <v>60677.969999999987</v>
      </c>
      <c r="AL24" s="91"/>
      <c r="AM24" s="91"/>
      <c r="AN24" s="148">
        <f t="shared" ref="AN24:AO24" si="45">SUM(AN16:AN23)</f>
        <v>468.5</v>
      </c>
      <c r="AO24" s="149">
        <f t="shared" si="45"/>
        <v>74997.749999999985</v>
      </c>
      <c r="AP24" s="91"/>
      <c r="AQ24" s="91"/>
      <c r="AR24" s="148">
        <f t="shared" ref="AR24:AS24" si="46">SUM(AR16:AR23)</f>
        <v>468.5</v>
      </c>
      <c r="AS24" s="149">
        <f t="shared" si="46"/>
        <v>18985.999999999996</v>
      </c>
      <c r="AT24" s="91"/>
      <c r="AU24" s="91"/>
      <c r="AV24" s="148">
        <f t="shared" ref="AV24:AW24" si="47">SUM(AV16:AV23)</f>
        <v>468.5</v>
      </c>
      <c r="AW24" s="149">
        <f t="shared" si="47"/>
        <v>11751.440000000004</v>
      </c>
      <c r="AX24" s="124"/>
      <c r="AY24" s="92"/>
      <c r="AZ24" s="91"/>
      <c r="BA24" s="150"/>
      <c r="BB24" s="91"/>
      <c r="BC24" s="91"/>
      <c r="BD24" s="150"/>
    </row>
    <row r="25" spans="1:59" ht="14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X25" s="151"/>
      <c r="AY25" s="92"/>
      <c r="AZ25" s="216" t="str">
        <f>"Paid for "&amp;AZ2</f>
        <v>Paid for 1Q</v>
      </c>
      <c r="BA25" s="217" t="s">
        <v>256</v>
      </c>
      <c r="BB25" s="216" t="str">
        <f>"Paid for "&amp;BB2</f>
        <v>Paid for 1H</v>
      </c>
      <c r="BC25" s="216" t="s">
        <v>270</v>
      </c>
      <c r="BD25" s="217" t="s">
        <v>256</v>
      </c>
      <c r="BE25" s="216" t="str">
        <f>"Paid for "&amp;BE2</f>
        <v>Paid for 2019</v>
      </c>
      <c r="BF25" s="216" t="s">
        <v>270</v>
      </c>
      <c r="BG25" s="217" t="s">
        <v>256</v>
      </c>
    </row>
    <row r="26" spans="1:59" ht="13">
      <c r="A26" s="89"/>
      <c r="B26" s="5"/>
      <c r="C26" s="61"/>
      <c r="D26" s="10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W26" s="151"/>
      <c r="AY26" s="245" t="s">
        <v>83</v>
      </c>
      <c r="AZ26" s="246">
        <v>0</v>
      </c>
      <c r="BA26" s="247">
        <f t="shared" ref="BA26:BA33" si="48">BA16-AZ26</f>
        <v>-32955.864217038907</v>
      </c>
      <c r="BB26" s="248">
        <v>0</v>
      </c>
      <c r="BC26" s="248">
        <f t="shared" ref="BC26:BC33" si="49">AZ26+BB26</f>
        <v>0</v>
      </c>
      <c r="BD26" s="249">
        <f t="shared" ref="BD26:BD33" si="50">BD16-BC26</f>
        <v>62368.500652427581</v>
      </c>
      <c r="BE26" s="248">
        <v>0</v>
      </c>
      <c r="BF26" s="248">
        <f t="shared" ref="BF26:BF33" si="51">BC26+BE26</f>
        <v>0</v>
      </c>
      <c r="BG26" s="249">
        <f t="shared" ref="BG26:BG33" si="52">BG16-BF26</f>
        <v>211127.27872166343</v>
      </c>
    </row>
    <row r="27" spans="1:59" ht="13">
      <c r="A27" s="89"/>
      <c r="B27" s="5"/>
      <c r="C27" s="61"/>
      <c r="D27" s="100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W27" s="151"/>
      <c r="AY27" s="250" t="s">
        <v>209</v>
      </c>
      <c r="AZ27" s="251">
        <v>25435.67</v>
      </c>
      <c r="BA27" s="252">
        <f t="shared" si="48"/>
        <v>2.6938727845845278E-2</v>
      </c>
      <c r="BB27" s="251">
        <v>33717.620000000003</v>
      </c>
      <c r="BC27" s="248">
        <f t="shared" si="49"/>
        <v>59153.29</v>
      </c>
      <c r="BD27" s="249">
        <f t="shared" si="50"/>
        <v>133.3785618833499</v>
      </c>
      <c r="BE27" s="251">
        <v>55787.62</v>
      </c>
      <c r="BF27" s="248">
        <f t="shared" si="51"/>
        <v>114940.91</v>
      </c>
      <c r="BG27" s="249">
        <f t="shared" si="52"/>
        <v>-2.0817046752199531E-3</v>
      </c>
    </row>
    <row r="28" spans="1:59" ht="13">
      <c r="A28" s="89"/>
      <c r="B28" s="5"/>
      <c r="C28" s="61"/>
      <c r="D28" s="100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124"/>
      <c r="AT28" s="91"/>
      <c r="AW28" s="151"/>
      <c r="AY28" s="250" t="s">
        <v>61</v>
      </c>
      <c r="AZ28" s="251">
        <v>4069.79</v>
      </c>
      <c r="BA28" s="252">
        <f t="shared" si="48"/>
        <v>4.9630531402726774E-3</v>
      </c>
      <c r="BB28" s="251">
        <v>5394.82</v>
      </c>
      <c r="BC28" s="248">
        <f t="shared" si="49"/>
        <v>9464.61</v>
      </c>
      <c r="BD28" s="249">
        <f t="shared" si="50"/>
        <v>21.340422758021305</v>
      </c>
      <c r="BE28" s="251">
        <v>12085.66</v>
      </c>
      <c r="BF28" s="248">
        <f t="shared" si="51"/>
        <v>21550.27</v>
      </c>
      <c r="BG28" s="249">
        <f t="shared" si="52"/>
        <v>1.53728660006891E-3</v>
      </c>
    </row>
    <row r="29" spans="1:59" ht="13">
      <c r="A29" s="89"/>
      <c r="B29" s="5"/>
      <c r="C29" s="61"/>
      <c r="D29" s="100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W29" s="151"/>
      <c r="AY29" s="253" t="s">
        <v>65</v>
      </c>
      <c r="AZ29" s="251">
        <v>4069.79</v>
      </c>
      <c r="BA29" s="254">
        <f t="shared" si="48"/>
        <v>4.9630531402726774E-3</v>
      </c>
      <c r="BB29" s="251">
        <v>5394.82</v>
      </c>
      <c r="BC29" s="248">
        <f t="shared" si="49"/>
        <v>9464.61</v>
      </c>
      <c r="BD29" s="249">
        <f t="shared" si="50"/>
        <v>21.340422758021305</v>
      </c>
      <c r="BE29" s="251">
        <v>12085.66</v>
      </c>
      <c r="BF29" s="248">
        <f t="shared" si="51"/>
        <v>21550.27</v>
      </c>
      <c r="BG29" s="249">
        <f t="shared" si="52"/>
        <v>1.53728660006891E-3</v>
      </c>
    </row>
    <row r="30" spans="1:59" ht="13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W30" s="151"/>
      <c r="AY30" s="250" t="s">
        <v>210</v>
      </c>
      <c r="AZ30" s="251">
        <v>635.96</v>
      </c>
      <c r="BA30" s="254">
        <f t="shared" si="48"/>
        <v>-1.6572077184946465E-3</v>
      </c>
      <c r="BB30" s="251">
        <v>842.94</v>
      </c>
      <c r="BC30" s="248">
        <f t="shared" si="49"/>
        <v>1478.9</v>
      </c>
      <c r="BD30" s="249">
        <f t="shared" si="50"/>
        <v>3.3326333711693223</v>
      </c>
      <c r="BE30" s="251">
        <v>1394.69</v>
      </c>
      <c r="BF30" s="248">
        <f t="shared" si="51"/>
        <v>2873.59</v>
      </c>
      <c r="BG30" s="249">
        <f t="shared" si="52"/>
        <v>-1.3827185321133584E-3</v>
      </c>
    </row>
    <row r="31" spans="1:59" ht="13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W31" s="151"/>
      <c r="AY31" s="250" t="s">
        <v>254</v>
      </c>
      <c r="AZ31" s="251">
        <v>635.96</v>
      </c>
      <c r="BA31" s="254">
        <f t="shared" si="48"/>
        <v>-1.6572077184946465E-3</v>
      </c>
      <c r="BB31" s="251">
        <v>842.94</v>
      </c>
      <c r="BC31" s="248">
        <f t="shared" si="49"/>
        <v>1478.9</v>
      </c>
      <c r="BD31" s="249">
        <f t="shared" si="50"/>
        <v>3.3326333711693223</v>
      </c>
      <c r="BE31" s="251">
        <v>1394.69</v>
      </c>
      <c r="BF31" s="248">
        <f t="shared" si="51"/>
        <v>2873.59</v>
      </c>
      <c r="BG31" s="249">
        <f t="shared" si="52"/>
        <v>-1.3827185321133584E-3</v>
      </c>
    </row>
    <row r="32" spans="1:59" ht="13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W32" s="151"/>
      <c r="AY32" s="250" t="s">
        <v>255</v>
      </c>
      <c r="AZ32" s="251">
        <v>635.96</v>
      </c>
      <c r="BA32" s="254">
        <f t="shared" si="48"/>
        <v>-1.6572077184946465E-3</v>
      </c>
      <c r="BB32" s="251">
        <v>842.94</v>
      </c>
      <c r="BC32" s="248">
        <f t="shared" si="49"/>
        <v>1478.9</v>
      </c>
      <c r="BD32" s="249">
        <f t="shared" si="50"/>
        <v>3.3326333711693223</v>
      </c>
      <c r="BE32" s="251">
        <v>1394.69</v>
      </c>
      <c r="BF32" s="248">
        <f t="shared" si="51"/>
        <v>2873.59</v>
      </c>
      <c r="BG32" s="249">
        <f t="shared" si="52"/>
        <v>-1.3827185321133584E-3</v>
      </c>
    </row>
    <row r="33" spans="1:59" ht="13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W33" s="151"/>
      <c r="AY33" s="255" t="s">
        <v>211</v>
      </c>
      <c r="AZ33" s="256">
        <v>254.38</v>
      </c>
      <c r="BA33" s="257">
        <f t="shared" si="48"/>
        <v>3.337116912575766E-3</v>
      </c>
      <c r="BB33" s="256">
        <v>337.18</v>
      </c>
      <c r="BC33" s="258">
        <f t="shared" si="49"/>
        <v>591.55999999999995</v>
      </c>
      <c r="BD33" s="259">
        <f t="shared" si="50"/>
        <v>1.3330533484677289</v>
      </c>
      <c r="BE33" s="256">
        <v>557.88</v>
      </c>
      <c r="BF33" s="258">
        <f t="shared" si="51"/>
        <v>1149.44</v>
      </c>
      <c r="BG33" s="259">
        <f t="shared" si="52"/>
        <v>-4.5530874131145538E-3</v>
      </c>
    </row>
    <row r="34" spans="1:59" ht="13">
      <c r="A34" s="89"/>
      <c r="C34" s="61"/>
      <c r="D34" s="62"/>
      <c r="BD34" s="91"/>
      <c r="BE34" s="91"/>
      <c r="BF34" s="91"/>
      <c r="BG34" s="91"/>
    </row>
    <row r="35" spans="1:59" ht="13">
      <c r="A35" s="89"/>
      <c r="C35" s="61"/>
      <c r="D35" s="62"/>
      <c r="AY35" s="1"/>
      <c r="BA35" s="230"/>
      <c r="BB35" s="230"/>
      <c r="BC35" s="230"/>
      <c r="BD35" s="91"/>
      <c r="BE35" s="91"/>
      <c r="BF35" s="91"/>
      <c r="BG35" s="91"/>
    </row>
    <row r="36" spans="1:59" ht="13">
      <c r="A36" s="89"/>
      <c r="C36" s="61"/>
      <c r="D36" s="62"/>
      <c r="AZ36" s="152"/>
      <c r="BA36" s="152"/>
      <c r="BB36" s="152"/>
      <c r="BC36" s="152"/>
      <c r="BD36" s="91"/>
      <c r="BE36" s="91"/>
      <c r="BF36" s="91"/>
      <c r="BG36" s="91"/>
    </row>
    <row r="37" spans="1:59" ht="14">
      <c r="A37" s="89" t="s">
        <v>201</v>
      </c>
      <c r="C37" s="61"/>
      <c r="D37" s="62"/>
      <c r="AN37" s="1" t="s">
        <v>148</v>
      </c>
      <c r="AZ37" s="152"/>
      <c r="BA37" s="152"/>
      <c r="BB37" s="152"/>
      <c r="BC37" s="152"/>
      <c r="BD37" s="91"/>
      <c r="BE37" s="91"/>
      <c r="BF37" s="91"/>
      <c r="BG37" s="91"/>
    </row>
    <row r="38" spans="1:59" ht="13">
      <c r="A38" s="89"/>
      <c r="C38" s="61"/>
      <c r="D38" s="62"/>
      <c r="BD38" s="91"/>
    </row>
    <row r="39" spans="1:59" ht="13">
      <c r="A39" s="89"/>
      <c r="C39" s="61"/>
      <c r="D39" s="62"/>
    </row>
    <row r="40" spans="1:59" ht="13">
      <c r="A40" s="89"/>
      <c r="C40" s="61"/>
      <c r="D40" s="62"/>
    </row>
    <row r="41" spans="1:59" ht="13">
      <c r="A41" s="89"/>
      <c r="C41" s="61"/>
      <c r="D41" s="62"/>
    </row>
    <row r="42" spans="1:59" ht="13">
      <c r="A42" s="89"/>
      <c r="C42" s="61"/>
      <c r="D42" s="62"/>
    </row>
    <row r="43" spans="1:59" ht="13">
      <c r="A43" s="89"/>
      <c r="C43" s="61"/>
      <c r="D43" s="62"/>
    </row>
    <row r="44" spans="1:59" ht="13">
      <c r="A44" s="89"/>
      <c r="C44" s="61"/>
      <c r="D44" s="62"/>
    </row>
    <row r="45" spans="1:59" ht="13">
      <c r="A45" s="89"/>
      <c r="C45" s="61"/>
      <c r="D45" s="62"/>
    </row>
    <row r="46" spans="1:59" ht="13">
      <c r="A46" s="89"/>
      <c r="C46" s="61"/>
      <c r="D46" s="62"/>
    </row>
    <row r="47" spans="1:59" ht="13">
      <c r="A47" s="89"/>
      <c r="C47" s="61"/>
      <c r="D47" s="62"/>
    </row>
    <row r="48" spans="1:59" ht="13">
      <c r="A48" s="89"/>
      <c r="C48" s="61"/>
      <c r="D48" s="62"/>
    </row>
    <row r="49" spans="1:4" ht="13">
      <c r="A49" s="89"/>
      <c r="C49" s="61"/>
      <c r="D49" s="62"/>
    </row>
    <row r="50" spans="1:4" ht="13">
      <c r="A50" s="89"/>
      <c r="C50" s="61"/>
      <c r="D50" s="6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G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5" width="15.1640625" customWidth="1"/>
    <col min="56" max="56" width="17.83203125" customWidth="1"/>
    <col min="57" max="59" width="15.1640625" customWidth="1"/>
  </cols>
  <sheetData>
    <row r="1" spans="1:59" ht="42.75" customHeight="1">
      <c r="A1" s="5" t="s">
        <v>148</v>
      </c>
      <c r="C1" s="61" t="s">
        <v>131</v>
      </c>
      <c r="D1" s="59">
        <v>43131</v>
      </c>
      <c r="E1" s="60"/>
      <c r="F1" s="60"/>
      <c r="G1" s="61"/>
      <c r="H1" s="59">
        <v>43159</v>
      </c>
      <c r="I1" s="60"/>
      <c r="J1" s="60"/>
      <c r="K1" s="61"/>
      <c r="L1" s="59">
        <v>43190</v>
      </c>
      <c r="M1" s="60"/>
      <c r="N1" s="60"/>
      <c r="O1" s="61"/>
      <c r="P1" s="59">
        <v>43220</v>
      </c>
      <c r="Q1" s="60"/>
      <c r="R1" s="60"/>
      <c r="S1" s="61"/>
      <c r="T1" s="59">
        <v>43251</v>
      </c>
      <c r="U1" s="60"/>
      <c r="V1" s="60"/>
      <c r="W1" s="61"/>
      <c r="X1" s="59">
        <v>43281</v>
      </c>
      <c r="Y1" s="60"/>
      <c r="Z1" s="60"/>
      <c r="AA1" s="61"/>
      <c r="AB1" s="59">
        <v>43312</v>
      </c>
      <c r="AC1" s="60"/>
      <c r="AD1" s="60"/>
      <c r="AE1" s="61"/>
      <c r="AF1" s="59">
        <v>43343</v>
      </c>
      <c r="AG1" s="60"/>
      <c r="AH1" s="60"/>
      <c r="AI1" s="61"/>
      <c r="AJ1" s="59">
        <v>43373</v>
      </c>
      <c r="AK1" s="60"/>
      <c r="AL1" s="60"/>
      <c r="AM1" s="61"/>
      <c r="AN1" s="59">
        <v>43404</v>
      </c>
      <c r="AO1" s="60"/>
      <c r="AP1" s="60"/>
      <c r="AQ1" s="61"/>
      <c r="AR1" s="59">
        <v>43434</v>
      </c>
      <c r="AS1" s="60"/>
      <c r="AT1" s="60"/>
      <c r="AU1" s="61"/>
      <c r="AV1" s="59">
        <v>43465</v>
      </c>
      <c r="AW1" s="60"/>
      <c r="AX1" s="60"/>
      <c r="BB1" s="62"/>
      <c r="BD1" s="61"/>
    </row>
    <row r="2" spans="1:59" ht="14">
      <c r="A2" s="5"/>
      <c r="C2" s="61"/>
      <c r="D2" s="62">
        <f>YEAR(D1)</f>
        <v>2018</v>
      </c>
      <c r="G2" s="61"/>
      <c r="H2" s="62">
        <f>YEAR(H1)</f>
        <v>2018</v>
      </c>
      <c r="K2" s="61"/>
      <c r="L2" s="62">
        <f>YEAR(L1)</f>
        <v>2018</v>
      </c>
      <c r="O2" s="61"/>
      <c r="P2" s="62">
        <f>YEAR(P1)</f>
        <v>2018</v>
      </c>
      <c r="S2" s="61"/>
      <c r="T2" s="62">
        <f>YEAR(T1)</f>
        <v>2018</v>
      </c>
      <c r="W2" s="61"/>
      <c r="X2" s="62">
        <f>YEAR(X1)</f>
        <v>2018</v>
      </c>
      <c r="AA2" s="61"/>
      <c r="AB2" s="62">
        <f>YEAR(AB1)</f>
        <v>2018</v>
      </c>
      <c r="AE2" s="61"/>
      <c r="AF2" s="62">
        <f>YEAR(AF1)</f>
        <v>2018</v>
      </c>
      <c r="AI2" s="61"/>
      <c r="AJ2" s="62">
        <f>YEAR(AJ1)</f>
        <v>2018</v>
      </c>
      <c r="AM2" s="61"/>
      <c r="AN2" s="62">
        <f>YEAR(AN1)</f>
        <v>2018</v>
      </c>
      <c r="AQ2" s="61"/>
      <c r="AR2" s="62">
        <f>YEAR(AR1)</f>
        <v>2018</v>
      </c>
      <c r="AU2" s="61"/>
      <c r="AV2" s="62">
        <f>YEAR(AV1)</f>
        <v>2018</v>
      </c>
      <c r="AY2" s="61"/>
      <c r="AZ2" s="65" t="s">
        <v>132</v>
      </c>
      <c r="BA2" s="65"/>
      <c r="BB2" s="209" t="s">
        <v>247</v>
      </c>
      <c r="BC2" s="65"/>
      <c r="BD2" s="61"/>
      <c r="BE2" s="67">
        <v>2018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O4" s="91"/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13">
      <c r="A5" s="89" t="s">
        <v>136</v>
      </c>
      <c r="C5" s="61"/>
      <c r="D5" s="90">
        <v>12256.45</v>
      </c>
      <c r="E5" s="91"/>
      <c r="F5" s="91"/>
      <c r="G5" s="92"/>
      <c r="H5" s="90">
        <v>-733.27</v>
      </c>
      <c r="I5" s="91"/>
      <c r="J5" s="91"/>
      <c r="K5" s="92"/>
      <c r="L5" s="90">
        <v>-17.02</v>
      </c>
      <c r="M5" s="91"/>
      <c r="N5" s="91"/>
      <c r="O5" s="92"/>
      <c r="P5" s="90">
        <v>13363.1</v>
      </c>
      <c r="Q5" s="91"/>
      <c r="R5" s="91"/>
      <c r="S5" s="92"/>
      <c r="T5" s="90">
        <v>-117.31</v>
      </c>
      <c r="U5" s="91"/>
      <c r="V5" s="91"/>
      <c r="W5" s="92"/>
      <c r="X5" s="90">
        <v>12178.72</v>
      </c>
      <c r="Y5" s="91"/>
      <c r="Z5" s="91"/>
      <c r="AA5" s="92"/>
      <c r="AB5" s="90">
        <v>23598.639999999999</v>
      </c>
      <c r="AC5" s="91"/>
      <c r="AD5" s="91"/>
      <c r="AE5" s="92"/>
      <c r="AF5" s="90">
        <v>36608.46</v>
      </c>
      <c r="AG5" s="91"/>
      <c r="AH5" s="91"/>
      <c r="AI5" s="92"/>
      <c r="AJ5" s="90">
        <v>27627.57</v>
      </c>
      <c r="AK5" s="91"/>
      <c r="AL5" s="91"/>
      <c r="AM5" s="92"/>
      <c r="AN5" s="186">
        <v>48235.19</v>
      </c>
      <c r="AO5" s="188">
        <v>55367.31</v>
      </c>
      <c r="AP5" s="91"/>
      <c r="AQ5" s="92"/>
      <c r="AR5" s="186">
        <v>32828.14</v>
      </c>
      <c r="AS5" s="187">
        <v>36957.26</v>
      </c>
      <c r="AT5" s="91"/>
      <c r="AU5" s="92"/>
      <c r="AV5" s="186">
        <v>-28720.41</v>
      </c>
      <c r="AW5" s="269"/>
      <c r="AX5" s="151"/>
      <c r="AY5" s="92"/>
      <c r="AZ5" s="93">
        <f t="shared" ref="AZ5:AZ7" si="0">SUMIF($D$3:$AY$3,AZ$2,$D5:$AY5)</f>
        <v>11506.16</v>
      </c>
      <c r="BA5" s="92"/>
      <c r="BB5" s="93">
        <f t="shared" ref="BB5:BB7" si="1">SUMIF($D$4:$AY$4,BB$2,$D5:$AY5)</f>
        <v>36930.67</v>
      </c>
      <c r="BC5" s="94"/>
      <c r="BD5" s="92"/>
      <c r="BE5" s="94">
        <f t="shared" ref="BE5:BE7" si="2">SUMIF($D$2:$AY$2,$BE$2,$D5:$AY5)</f>
        <v>177108.25999999998</v>
      </c>
      <c r="BF5" s="94"/>
      <c r="BG5" s="94"/>
    </row>
    <row r="6" spans="1:59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186">
        <v>0</v>
      </c>
      <c r="AO6" s="91"/>
      <c r="AP6" s="91"/>
      <c r="AQ6" s="92"/>
      <c r="AR6" s="186">
        <v>0</v>
      </c>
      <c r="AS6" s="91"/>
      <c r="AT6" s="91"/>
      <c r="AU6" s="92"/>
      <c r="AV6" s="186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4"/>
      <c r="BD6" s="92"/>
      <c r="BE6" s="94">
        <f t="shared" si="2"/>
        <v>0</v>
      </c>
      <c r="BF6" s="94"/>
      <c r="BG6" s="94"/>
    </row>
    <row r="7" spans="1:59" ht="13">
      <c r="A7" s="89" t="s">
        <v>143</v>
      </c>
      <c r="B7" s="99">
        <v>12500</v>
      </c>
      <c r="C7" s="61"/>
      <c r="D7" s="100">
        <f>'Revised PS Model 2018'!ColinSalary</f>
        <v>12500</v>
      </c>
      <c r="E7" s="91"/>
      <c r="F7" s="91"/>
      <c r="G7" s="92"/>
      <c r="H7" s="100">
        <f>'Revised PS Model 2018'!ColinSalary</f>
        <v>12500</v>
      </c>
      <c r="I7" s="91"/>
      <c r="J7" s="91"/>
      <c r="K7" s="92"/>
      <c r="L7" s="100">
        <f>'Revised PS Model 2018'!ColinSalary</f>
        <v>12500</v>
      </c>
      <c r="M7" s="91"/>
      <c r="N7" s="91"/>
      <c r="O7" s="92"/>
      <c r="P7" s="100">
        <f>'Revised PS Model 2018'!ColinSalary</f>
        <v>12500</v>
      </c>
      <c r="Q7" s="91"/>
      <c r="R7" s="91"/>
      <c r="S7" s="92"/>
      <c r="T7" s="100">
        <f>'Revised PS Model 2018'!ColinSalary</f>
        <v>12500</v>
      </c>
      <c r="U7" s="91"/>
      <c r="V7" s="91"/>
      <c r="W7" s="92"/>
      <c r="X7" s="100">
        <f>'Revised PS Model 2018'!ColinSalary</f>
        <v>12500</v>
      </c>
      <c r="Y7" s="91"/>
      <c r="Z7" s="91"/>
      <c r="AA7" s="92"/>
      <c r="AB7" s="100">
        <f>'Revised PS Model 2018'!ColinSalary</f>
        <v>12500</v>
      </c>
      <c r="AC7" s="91"/>
      <c r="AD7" s="91"/>
      <c r="AE7" s="92"/>
      <c r="AF7" s="100">
        <f>'Revised PS Model 2018'!ColinSalary</f>
        <v>12500</v>
      </c>
      <c r="AG7" s="91"/>
      <c r="AH7" s="91"/>
      <c r="AI7" s="92"/>
      <c r="AJ7" s="100">
        <f>'Revised PS Model 2018'!ColinSalary</f>
        <v>12500</v>
      </c>
      <c r="AK7" s="91"/>
      <c r="AL7" s="91"/>
      <c r="AM7" s="92"/>
      <c r="AN7" s="100">
        <f>'Revised PS Model 2018'!ColinSalary</f>
        <v>12500</v>
      </c>
      <c r="AO7" s="91"/>
      <c r="AP7" s="91"/>
      <c r="AQ7" s="92"/>
      <c r="AR7" s="100">
        <f>'Revised PS Model 2018'!ColinSalary</f>
        <v>12500</v>
      </c>
      <c r="AS7" s="91"/>
      <c r="AT7" s="91"/>
      <c r="AU7" s="92"/>
      <c r="AV7" s="100">
        <f>'Revised PS Model 2018'!ColinSalary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/>
      <c r="AC8" s="91"/>
      <c r="AD8" s="91"/>
      <c r="AE8" s="92"/>
      <c r="AF8" s="103"/>
      <c r="AG8" s="91"/>
      <c r="AH8" s="91"/>
      <c r="AI8" s="92"/>
      <c r="AJ8" s="103">
        <f>SUM(BB27:BB33)</f>
        <v>24740.22</v>
      </c>
      <c r="AK8" s="91"/>
      <c r="AL8" s="91"/>
      <c r="AM8" s="92"/>
      <c r="AO8" s="91"/>
      <c r="AP8" s="91"/>
      <c r="AQ8" s="92"/>
      <c r="AR8" s="103"/>
      <c r="AS8" s="91"/>
      <c r="AT8" s="91"/>
      <c r="AU8" s="92"/>
      <c r="AV8" s="103">
        <f>SUM(BE27:BE33)</f>
        <v>53475.26</v>
      </c>
      <c r="AW8" s="91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13">
      <c r="A9" s="89" t="s">
        <v>145</v>
      </c>
      <c r="B9" s="101"/>
      <c r="C9" s="102"/>
      <c r="D9" s="104">
        <f>SUM(F16:F23)</f>
        <v>600.67999999999995</v>
      </c>
      <c r="E9" s="91"/>
      <c r="F9" s="91"/>
      <c r="G9" s="92"/>
      <c r="H9" s="104">
        <f>SUM(J16:J23)</f>
        <v>5137.57</v>
      </c>
      <c r="I9" s="91"/>
      <c r="J9" s="91"/>
      <c r="K9" s="92"/>
      <c r="L9" s="104">
        <f>SUM(N16:N23)</f>
        <v>11972.51</v>
      </c>
      <c r="M9" s="91"/>
      <c r="N9" s="91"/>
      <c r="O9" s="92"/>
      <c r="P9" s="104">
        <f>SUM(R16:R23)</f>
        <v>2092</v>
      </c>
      <c r="Q9" s="91"/>
      <c r="R9" s="91"/>
      <c r="S9" s="92"/>
      <c r="T9" s="104">
        <f>SUM(V16:V23)</f>
        <v>6505.11</v>
      </c>
      <c r="U9" s="91"/>
      <c r="V9" s="91"/>
      <c r="W9" s="92"/>
      <c r="X9" s="104">
        <f>SUM(Z16:Z23)</f>
        <v>2058.87</v>
      </c>
      <c r="Y9" s="91"/>
      <c r="Z9" s="91"/>
      <c r="AA9" s="92"/>
      <c r="AB9" s="104">
        <f>SUM(AD16:AD23)</f>
        <v>7559.25</v>
      </c>
      <c r="AC9" s="91"/>
      <c r="AD9" s="91"/>
      <c r="AE9" s="92"/>
      <c r="AF9" s="104">
        <f>SUM(AH16:AH23)</f>
        <v>3073.38</v>
      </c>
      <c r="AG9" s="91"/>
      <c r="AH9" s="91"/>
      <c r="AI9" s="92"/>
      <c r="AJ9" s="104">
        <f>SUM(AL16:AL23)</f>
        <v>2052.7399999999998</v>
      </c>
      <c r="AK9" s="91"/>
      <c r="AL9" s="91"/>
      <c r="AM9" s="92"/>
      <c r="AN9" s="104">
        <f>SUM(AP16:AP23)</f>
        <v>4423.8999999999996</v>
      </c>
      <c r="AO9" s="91"/>
      <c r="AP9" s="91"/>
      <c r="AQ9" s="92"/>
      <c r="AR9" s="104">
        <f>SUM(AT16:AT23)</f>
        <v>1629.61</v>
      </c>
      <c r="AS9" s="91"/>
      <c r="AT9" s="91"/>
      <c r="AU9" s="92"/>
      <c r="AV9" s="104">
        <f>SUM(AX16:AX23)</f>
        <v>3323.22</v>
      </c>
      <c r="AW9" s="91"/>
      <c r="AX9" s="91"/>
      <c r="AY9" s="92"/>
      <c r="AZ9" s="93">
        <f t="shared" ref="AZ9:AZ13" si="3">SUMIF($D$3:$AY$3,AZ$2,$D9:$AY9)</f>
        <v>17710.760000000002</v>
      </c>
      <c r="BA9" s="92"/>
      <c r="BB9" s="93">
        <f t="shared" ref="BB9:BB13" si="4">SUMIF($D$4:$AY$4,BB$2,$D9:$AY9)</f>
        <v>28366.74</v>
      </c>
      <c r="BC9" s="94"/>
      <c r="BD9" s="92"/>
      <c r="BE9" s="94">
        <f t="shared" ref="BE9:BE13" si="5">SUMIF($D$2:$AY$2,$BE$2,$D9:$AY9)</f>
        <v>50428.840000000004</v>
      </c>
      <c r="BF9" s="94"/>
      <c r="BG9" s="94"/>
    </row>
    <row r="10" spans="1:59" ht="13">
      <c r="A10" s="89" t="s">
        <v>146</v>
      </c>
      <c r="C10" s="61"/>
      <c r="D10" s="104">
        <f>D5-D6-D7+D9+D8</f>
        <v>357.13000000000068</v>
      </c>
      <c r="E10" s="91"/>
      <c r="F10" s="91"/>
      <c r="G10" s="92"/>
      <c r="H10" s="104">
        <f>H5-H6-H7+H9+H8</f>
        <v>-8095.7000000000007</v>
      </c>
      <c r="I10" s="91"/>
      <c r="J10" s="91"/>
      <c r="K10" s="92"/>
      <c r="L10" s="104">
        <f>L5-L6-L7+L9+L8</f>
        <v>-544.51000000000022</v>
      </c>
      <c r="M10" s="91"/>
      <c r="N10" s="91"/>
      <c r="O10" s="92"/>
      <c r="P10" s="104">
        <f>P5-P6-P7+P9+P8</f>
        <v>2955.1000000000004</v>
      </c>
      <c r="Q10" s="91"/>
      <c r="R10" s="91"/>
      <c r="S10" s="92"/>
      <c r="T10" s="104">
        <f>T5-T6-T7+T9+T8</f>
        <v>-6112.2</v>
      </c>
      <c r="U10" s="91"/>
      <c r="V10" s="91"/>
      <c r="W10" s="92"/>
      <c r="X10" s="104">
        <f>X5-X6-X7+X9+X8</f>
        <v>1737.5899999999992</v>
      </c>
      <c r="Y10" s="91"/>
      <c r="Z10" s="91"/>
      <c r="AA10" s="92"/>
      <c r="AB10" s="104">
        <f>AB5-AB6-AB7+AB9+AB8</f>
        <v>18657.89</v>
      </c>
      <c r="AC10" s="91"/>
      <c r="AD10" s="91"/>
      <c r="AE10" s="92"/>
      <c r="AF10" s="104">
        <f>AF5-AF6-AF7+AF9+AF8</f>
        <v>27181.84</v>
      </c>
      <c r="AG10" s="91"/>
      <c r="AH10" s="91"/>
      <c r="AI10" s="92"/>
      <c r="AJ10" s="104">
        <f>AJ5-AJ6-AJ7+AJ9+AJ8</f>
        <v>41920.53</v>
      </c>
      <c r="AK10" s="91"/>
      <c r="AL10" s="91"/>
      <c r="AM10" s="92"/>
      <c r="AN10" s="104">
        <f>AN5-AN6-AN7+AN9+AN8</f>
        <v>40159.090000000004</v>
      </c>
      <c r="AO10" s="91"/>
      <c r="AP10" s="91"/>
      <c r="AQ10" s="92"/>
      <c r="AR10" s="104">
        <f>AR5-AR6-AR7+AR9+AR8</f>
        <v>21957.75</v>
      </c>
      <c r="AS10" s="91"/>
      <c r="AT10" s="91"/>
      <c r="AU10" s="92"/>
      <c r="AV10" s="104">
        <f>AV5-AV6-AV7+AV9+AV8</f>
        <v>15578.07</v>
      </c>
      <c r="AW10" s="91"/>
      <c r="AX10" s="91"/>
      <c r="AY10" s="92"/>
      <c r="AZ10" s="93">
        <f t="shared" si="3"/>
        <v>-8283.08</v>
      </c>
      <c r="BA10" s="92"/>
      <c r="BB10" s="93">
        <f t="shared" si="4"/>
        <v>-9702.59</v>
      </c>
      <c r="BC10" s="94"/>
      <c r="BD10" s="92"/>
      <c r="BE10" s="94">
        <f t="shared" si="5"/>
        <v>155752.58000000002</v>
      </c>
      <c r="BF10" s="94"/>
      <c r="BG10" s="94"/>
    </row>
    <row r="11" spans="1:59" ht="14">
      <c r="A11" s="89" t="s">
        <v>147</v>
      </c>
      <c r="C11" s="61"/>
      <c r="D11" s="90">
        <v>12500</v>
      </c>
      <c r="E11" s="91"/>
      <c r="F11" s="91"/>
      <c r="G11" s="92"/>
      <c r="H11" s="90">
        <v>12500</v>
      </c>
      <c r="I11" s="91"/>
      <c r="J11" s="91"/>
      <c r="K11" s="92"/>
      <c r="L11" s="90">
        <v>25000</v>
      </c>
      <c r="M11" s="91" t="s">
        <v>148</v>
      </c>
      <c r="N11" s="91"/>
      <c r="O11" s="92"/>
      <c r="P11" s="90">
        <v>32500</v>
      </c>
      <c r="Q11" s="91"/>
      <c r="R11" s="91"/>
      <c r="S11" s="92"/>
      <c r="T11" s="90">
        <v>0</v>
      </c>
      <c r="U11" s="91"/>
      <c r="V11" s="91"/>
      <c r="W11" s="92"/>
      <c r="X11" s="90">
        <v>12500</v>
      </c>
      <c r="Y11" s="91"/>
      <c r="Z11" s="91"/>
      <c r="AA11" s="92"/>
      <c r="AB11" s="90">
        <v>25000</v>
      </c>
      <c r="AC11" s="91"/>
      <c r="AD11" s="91"/>
      <c r="AE11" s="92"/>
      <c r="AF11" s="90">
        <v>18737</v>
      </c>
      <c r="AG11" s="91"/>
      <c r="AH11" s="91"/>
      <c r="AI11" s="92"/>
      <c r="AJ11" s="90">
        <v>80</v>
      </c>
      <c r="AK11" s="91"/>
      <c r="AL11" s="91"/>
      <c r="AM11" s="92"/>
      <c r="AN11" s="90">
        <v>52600.5</v>
      </c>
      <c r="AO11" s="91"/>
      <c r="AP11" s="91"/>
      <c r="AQ11" s="92"/>
      <c r="AR11" s="90">
        <v>12500</v>
      </c>
      <c r="AS11" s="91"/>
      <c r="AT11" s="91"/>
      <c r="AU11" s="92"/>
      <c r="AV11" s="90">
        <v>25000</v>
      </c>
      <c r="AW11" s="91"/>
      <c r="AX11" s="91"/>
      <c r="AY11" s="92"/>
      <c r="AZ11" s="93">
        <f t="shared" si="3"/>
        <v>50000</v>
      </c>
      <c r="BA11" s="92"/>
      <c r="BB11" s="93">
        <f t="shared" si="4"/>
        <v>95000</v>
      </c>
      <c r="BC11" s="94"/>
      <c r="BD11" s="92"/>
      <c r="BE11" s="94">
        <f t="shared" si="5"/>
        <v>228917.5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0</v>
      </c>
      <c r="E13" s="91"/>
      <c r="F13" s="91"/>
      <c r="G13" s="92"/>
      <c r="H13" s="100">
        <f>H11+H12-H7</f>
        <v>0</v>
      </c>
      <c r="I13" s="91"/>
      <c r="J13" s="91"/>
      <c r="K13" s="92"/>
      <c r="L13" s="100">
        <f>L11+L12-L7</f>
        <v>12500</v>
      </c>
      <c r="M13" s="91"/>
      <c r="N13" s="91"/>
      <c r="O13" s="92"/>
      <c r="P13" s="100">
        <f>P11+P12-P7</f>
        <v>20000</v>
      </c>
      <c r="Q13" s="91"/>
      <c r="R13" s="91"/>
      <c r="S13" s="92"/>
      <c r="T13" s="100">
        <f>T11+T12-T7</f>
        <v>-12500</v>
      </c>
      <c r="U13" s="91"/>
      <c r="V13" s="91"/>
      <c r="W13" s="92"/>
      <c r="X13" s="100">
        <f>X11+X12-X7</f>
        <v>0</v>
      </c>
      <c r="Y13" s="91"/>
      <c r="Z13" s="91"/>
      <c r="AA13" s="92"/>
      <c r="AB13" s="100">
        <f>AB11+AB12-AB7</f>
        <v>12500</v>
      </c>
      <c r="AC13" s="91"/>
      <c r="AD13" s="91"/>
      <c r="AE13" s="92"/>
      <c r="AF13" s="100">
        <f>AF11+AF12-AF7</f>
        <v>6237</v>
      </c>
      <c r="AG13" s="91"/>
      <c r="AH13" s="91"/>
      <c r="AI13" s="92"/>
      <c r="AJ13" s="100">
        <f>AJ11+AJ12-AJ7</f>
        <v>-12420</v>
      </c>
      <c r="AK13" s="91"/>
      <c r="AL13" s="91"/>
      <c r="AM13" s="92"/>
      <c r="AN13" s="100">
        <f>AN11+AN12-AN7</f>
        <v>40100.5</v>
      </c>
      <c r="AO13" s="91"/>
      <c r="AP13" s="91"/>
      <c r="AQ13" s="92"/>
      <c r="AR13" s="100">
        <f>AR11+AR12-AR7</f>
        <v>0</v>
      </c>
      <c r="AS13" s="91"/>
      <c r="AT13" s="91"/>
      <c r="AU13" s="92"/>
      <c r="AV13" s="100">
        <f>AV11+AV12-AV7</f>
        <v>12500</v>
      </c>
      <c r="AW13" s="91"/>
      <c r="AX13" s="91"/>
      <c r="AY13" s="92"/>
      <c r="AZ13" s="93">
        <f t="shared" si="3"/>
        <v>12500</v>
      </c>
      <c r="BA13" s="92"/>
      <c r="BB13" s="93">
        <f t="shared" si="4"/>
        <v>20000</v>
      </c>
      <c r="BC13" s="94"/>
      <c r="BD13" s="92"/>
      <c r="BE13" s="94">
        <f t="shared" si="5"/>
        <v>78917.5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100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265"/>
      <c r="C16" s="121">
        <f>'Mirek Revised PS Model 2017'!BE22</f>
        <v>-83304.605492957751</v>
      </c>
      <c r="D16" s="53">
        <v>300</v>
      </c>
      <c r="E16" s="123">
        <f t="shared" ref="E16:E23" si="6">D$10*D16/D$24</f>
        <v>251.50000000000048</v>
      </c>
      <c r="F16" s="124">
        <v>600.67999999999995</v>
      </c>
      <c r="G16" s="123">
        <f t="shared" ref="G16:G23" si="7">E16-F16</f>
        <v>-349.1799999999995</v>
      </c>
      <c r="H16" s="214">
        <v>300</v>
      </c>
      <c r="I16" s="123">
        <f t="shared" ref="I16:I23" si="8">H$10*H16/H$24</f>
        <v>-5701.1971830985913</v>
      </c>
      <c r="J16" s="124">
        <v>5137.57</v>
      </c>
      <c r="K16" s="123">
        <f t="shared" ref="K16:K23" si="9">I16-J16</f>
        <v>-10838.767183098591</v>
      </c>
      <c r="L16" s="214">
        <v>300</v>
      </c>
      <c r="M16" s="123">
        <f t="shared" ref="M16:M23" si="10">L$10*L16/L$24</f>
        <v>-383.45774647887339</v>
      </c>
      <c r="N16" s="124">
        <v>11972.51</v>
      </c>
      <c r="O16" s="123">
        <f t="shared" ref="O16:O23" si="11">M16-N16</f>
        <v>-12355.967746478873</v>
      </c>
      <c r="P16" s="214">
        <v>300</v>
      </c>
      <c r="Q16" s="123">
        <f t="shared" ref="Q16:Q23" si="12">P$10*P16/P$24</f>
        <v>2081.0563380281692</v>
      </c>
      <c r="R16" s="124">
        <v>2092</v>
      </c>
      <c r="S16" s="123">
        <f t="shared" ref="S16:S23" si="13">Q16-R16</f>
        <v>-10.943661971830807</v>
      </c>
      <c r="T16" s="214">
        <v>300</v>
      </c>
      <c r="U16" s="123">
        <f t="shared" ref="U16:U23" si="14">T$10*T16/T$24</f>
        <v>-4304.3661971830988</v>
      </c>
      <c r="V16" s="124">
        <v>6505.11</v>
      </c>
      <c r="W16" s="123">
        <f t="shared" ref="W16:W23" si="15">U16-V16</f>
        <v>-10809.476197183099</v>
      </c>
      <c r="X16" s="214">
        <v>300</v>
      </c>
      <c r="Y16" s="123">
        <f t="shared" ref="Y16:Y23" si="16">X$10*X16/X$24</f>
        <v>1223.6549295774641</v>
      </c>
      <c r="Z16" s="124">
        <v>2058.87</v>
      </c>
      <c r="AA16" s="123">
        <f t="shared" ref="AA16:AA23" si="17">Y16-Z16</f>
        <v>-835.21507042253575</v>
      </c>
      <c r="AB16" s="214">
        <v>300</v>
      </c>
      <c r="AC16" s="123">
        <f t="shared" ref="AC16:AC23" si="18">AB$10*AB16/AB$24</f>
        <v>12706.849035187288</v>
      </c>
      <c r="AD16" s="124">
        <v>7559.25</v>
      </c>
      <c r="AE16" s="123">
        <f t="shared" ref="AE16:AE23" si="19">AC16-AD16</f>
        <v>5147.5990351872879</v>
      </c>
      <c r="AF16" s="214">
        <v>300</v>
      </c>
      <c r="AG16" s="123">
        <f t="shared" ref="AG16:AG23" si="20">AF$10*AF16/AF$24</f>
        <v>18512.036322360953</v>
      </c>
      <c r="AH16" s="124">
        <v>3073.38</v>
      </c>
      <c r="AI16" s="123">
        <f t="shared" ref="AI16:AI23" si="21">AG16-AH16</f>
        <v>15438.656322360952</v>
      </c>
      <c r="AJ16" s="214">
        <v>300</v>
      </c>
      <c r="AK16" s="123">
        <f t="shared" ref="AK16:AK23" si="22">AJ$10*AJ16/AJ$24</f>
        <v>28549.736662883086</v>
      </c>
      <c r="AL16" s="124">
        <v>2052.7399999999998</v>
      </c>
      <c r="AM16" s="123">
        <f t="shared" ref="AM16:AM23" si="23">AK16-AL16</f>
        <v>26496.996662883088</v>
      </c>
      <c r="AN16" s="214">
        <v>300</v>
      </c>
      <c r="AO16" s="123">
        <f t="shared" ref="AO16:AO23" si="24">AN$10*AN16/AN$24</f>
        <v>27350.118047673102</v>
      </c>
      <c r="AP16" s="124">
        <v>4423.8999999999996</v>
      </c>
      <c r="AQ16" s="123">
        <f t="shared" ref="AQ16:AQ23" si="25">AO16-AP16</f>
        <v>22926.218047673101</v>
      </c>
      <c r="AR16" s="214">
        <v>300</v>
      </c>
      <c r="AS16" s="123">
        <f t="shared" ref="AS16:AS23" si="26">AR$10*AR16/AR$24</f>
        <v>14954.199772985245</v>
      </c>
      <c r="AT16" s="124">
        <v>1629.61</v>
      </c>
      <c r="AU16" s="123">
        <f t="shared" ref="AU16:AU23" si="27">AS16-AT16</f>
        <v>13324.589772985244</v>
      </c>
      <c r="AV16" s="214">
        <v>300</v>
      </c>
      <c r="AW16" s="123">
        <f t="shared" ref="AW16:AW23" si="28">AV$10*AV16/AV$24</f>
        <v>10609.355278093077</v>
      </c>
      <c r="AX16" s="124">
        <v>3323.22</v>
      </c>
      <c r="AY16" s="126">
        <f t="shared" ref="AY16:AY23" si="29">AW16-AX16</f>
        <v>7286.1352780930774</v>
      </c>
      <c r="AZ16" s="127">
        <f t="shared" ref="AZ16:AZ23" si="30">IF($AV$3="1Q",AY16,0)+IF($AR$3="1Q",AU16,0)+IF($AN$3="1Q",AQ16,0)+IF($AJ$3="1Q",AM16,0)+IF($AF$3="1Q",AI16,0)+IF($AB$3="1Q",AE16,0)+IF($X$3="1Q",AA16,0)+IF($T$3="1Q",W16,0)+IF($P$3="1Q",S16,0)+IF($L$3="1Q",O16,0)+IF($H$3="1Q",K16,0)+IF($D$3="1Q",G16,0)</f>
        <v>-23543.914929577462</v>
      </c>
      <c r="BA16" s="128">
        <f t="shared" ref="BA16:BA23" si="31">AZ16+$C16</f>
        <v>-106848.52042253522</v>
      </c>
      <c r="BB16" s="127">
        <f t="shared" ref="BB16:BB23" si="32">IF($AV$4="1H",AY16,0)+IF($AR$4="1H",AU16,0)+IF($AN$4="1H",AQ16,0)+IF($AJ$4="1H",AM16,0)+IF($AF$4="1H",AI16,0)+IF($AB$4="1H",AE16,0)+IF($X$4="1H",AA16,0)+IF($T$4="1H",W16,0)+IF($P$4="1H",S16,0)+IF($L$4="1H",O16,0)+IF($H$4="1H",K16,0)+IF($D$4="1H",G16,0)</f>
        <v>-35199.549859154933</v>
      </c>
      <c r="BC16" s="127"/>
      <c r="BD16" s="128">
        <f t="shared" ref="BD16:BD23" si="33">BB16+$C16</f>
        <v>-118504.15535211269</v>
      </c>
      <c r="BE16" s="127">
        <f t="shared" ref="BE16:BE23" si="34">AY16+AU16+AQ16+AM16+AI16+AE16+AA16+W16+S16+O16+K16+G16</f>
        <v>55420.645260027821</v>
      </c>
      <c r="BF16" s="127"/>
      <c r="BG16" s="91">
        <f t="shared" ref="BG16:BG23" si="35">BE16+C16</f>
        <v>-27883.96023292993</v>
      </c>
    </row>
    <row r="17" spans="1:59" ht="13">
      <c r="A17" s="89" t="s">
        <v>209</v>
      </c>
      <c r="B17" s="265"/>
      <c r="C17" s="121">
        <f>'Revised PS Model 2017'!BE23</f>
        <v>22111.836513421556</v>
      </c>
      <c r="D17" s="53">
        <v>100</v>
      </c>
      <c r="E17" s="123">
        <f t="shared" si="6"/>
        <v>83.833333333333485</v>
      </c>
      <c r="F17" s="124"/>
      <c r="G17" s="123">
        <f t="shared" si="7"/>
        <v>83.833333333333485</v>
      </c>
      <c r="H17" s="214">
        <v>100</v>
      </c>
      <c r="I17" s="123">
        <f t="shared" si="8"/>
        <v>-1900.3990610328642</v>
      </c>
      <c r="J17" s="124"/>
      <c r="K17" s="123">
        <f t="shared" si="9"/>
        <v>-1900.3990610328642</v>
      </c>
      <c r="L17" s="214">
        <v>100</v>
      </c>
      <c r="M17" s="123">
        <f t="shared" si="10"/>
        <v>-127.81924882629113</v>
      </c>
      <c r="N17" s="124"/>
      <c r="O17" s="123">
        <f t="shared" si="11"/>
        <v>-127.81924882629113</v>
      </c>
      <c r="P17" s="214">
        <v>100</v>
      </c>
      <c r="Q17" s="123">
        <f t="shared" si="12"/>
        <v>693.68544600938981</v>
      </c>
      <c r="R17" s="124"/>
      <c r="S17" s="123">
        <f t="shared" si="13"/>
        <v>693.68544600938981</v>
      </c>
      <c r="T17" s="214">
        <v>100</v>
      </c>
      <c r="U17" s="123">
        <f t="shared" si="14"/>
        <v>-1434.7887323943662</v>
      </c>
      <c r="V17" s="124"/>
      <c r="W17" s="123">
        <f t="shared" si="15"/>
        <v>-1434.7887323943662</v>
      </c>
      <c r="X17" s="214">
        <v>100</v>
      </c>
      <c r="Y17" s="123">
        <f t="shared" si="16"/>
        <v>407.8849765258214</v>
      </c>
      <c r="Z17" s="124"/>
      <c r="AA17" s="123">
        <f t="shared" si="17"/>
        <v>407.8849765258214</v>
      </c>
      <c r="AB17" s="214">
        <v>100</v>
      </c>
      <c r="AC17" s="123">
        <f t="shared" si="18"/>
        <v>4235.616345062429</v>
      </c>
      <c r="AD17" s="124"/>
      <c r="AE17" s="123">
        <f t="shared" si="19"/>
        <v>4235.616345062429</v>
      </c>
      <c r="AF17" s="214">
        <v>100</v>
      </c>
      <c r="AG17" s="123">
        <f t="shared" si="20"/>
        <v>6170.6787741203179</v>
      </c>
      <c r="AH17" s="124"/>
      <c r="AI17" s="123">
        <f t="shared" si="21"/>
        <v>6170.6787741203179</v>
      </c>
      <c r="AJ17" s="214">
        <v>100</v>
      </c>
      <c r="AK17" s="123">
        <f t="shared" si="22"/>
        <v>9516.5788876276965</v>
      </c>
      <c r="AL17" s="124"/>
      <c r="AM17" s="123">
        <f t="shared" si="23"/>
        <v>9516.5788876276965</v>
      </c>
      <c r="AN17" s="214">
        <v>100</v>
      </c>
      <c r="AO17" s="123">
        <f t="shared" si="24"/>
        <v>9116.7060158910335</v>
      </c>
      <c r="AP17" s="124"/>
      <c r="AQ17" s="123">
        <f t="shared" si="25"/>
        <v>9116.7060158910335</v>
      </c>
      <c r="AR17" s="214">
        <v>100</v>
      </c>
      <c r="AS17" s="123">
        <f t="shared" si="26"/>
        <v>4984.7332576617482</v>
      </c>
      <c r="AT17" s="124"/>
      <c r="AU17" s="123">
        <f t="shared" si="27"/>
        <v>4984.7332576617482</v>
      </c>
      <c r="AV17" s="214">
        <v>100</v>
      </c>
      <c r="AW17" s="123">
        <f t="shared" si="28"/>
        <v>3536.4517593643586</v>
      </c>
      <c r="AX17" s="124"/>
      <c r="AY17" s="126">
        <f t="shared" si="29"/>
        <v>3536.4517593643586</v>
      </c>
      <c r="AZ17" s="127">
        <f t="shared" si="30"/>
        <v>-1944.3849765258219</v>
      </c>
      <c r="BA17" s="128">
        <f t="shared" si="31"/>
        <v>20167.451536895736</v>
      </c>
      <c r="BB17" s="127">
        <f t="shared" si="32"/>
        <v>-2277.6032863849769</v>
      </c>
      <c r="BC17" s="127"/>
      <c r="BD17" s="128">
        <f t="shared" si="33"/>
        <v>19834.233227036581</v>
      </c>
      <c r="BE17" s="127">
        <f t="shared" si="34"/>
        <v>35283.161753342611</v>
      </c>
      <c r="BF17" s="127"/>
      <c r="BG17" s="91">
        <f t="shared" si="35"/>
        <v>57394.998266764167</v>
      </c>
    </row>
    <row r="18" spans="1:59" ht="13">
      <c r="A18" s="89" t="s">
        <v>61</v>
      </c>
      <c r="B18" s="265"/>
      <c r="C18" s="121">
        <f>'Revised PS Model 2017'!BE24</f>
        <v>2729.6399964125849</v>
      </c>
      <c r="D18" s="53">
        <v>13</v>
      </c>
      <c r="E18" s="123">
        <f t="shared" si="6"/>
        <v>10.898333333333353</v>
      </c>
      <c r="F18" s="124"/>
      <c r="G18" s="126">
        <f t="shared" si="7"/>
        <v>10.898333333333353</v>
      </c>
      <c r="H18" s="53">
        <v>13</v>
      </c>
      <c r="I18" s="123">
        <f t="shared" si="8"/>
        <v>-247.05187793427231</v>
      </c>
      <c r="J18" s="124"/>
      <c r="K18" s="126">
        <f t="shared" si="9"/>
        <v>-247.05187793427231</v>
      </c>
      <c r="L18" s="53">
        <v>13</v>
      </c>
      <c r="M18" s="123">
        <f t="shared" si="10"/>
        <v>-16.616502347417846</v>
      </c>
      <c r="N18" s="124"/>
      <c r="O18" s="126">
        <f t="shared" si="11"/>
        <v>-16.616502347417846</v>
      </c>
      <c r="P18" s="53">
        <v>13</v>
      </c>
      <c r="Q18" s="123">
        <f t="shared" si="12"/>
        <v>90.179107981220668</v>
      </c>
      <c r="R18" s="124"/>
      <c r="S18" s="126">
        <f t="shared" si="13"/>
        <v>90.179107981220668</v>
      </c>
      <c r="T18" s="53">
        <v>13</v>
      </c>
      <c r="U18" s="123">
        <f t="shared" si="14"/>
        <v>-186.52253521126758</v>
      </c>
      <c r="V18" s="124"/>
      <c r="W18" s="126">
        <f t="shared" si="15"/>
        <v>-186.52253521126758</v>
      </c>
      <c r="X18" s="53">
        <v>13</v>
      </c>
      <c r="Y18" s="123">
        <f t="shared" si="16"/>
        <v>53.025046948356788</v>
      </c>
      <c r="Z18" s="124"/>
      <c r="AA18" s="126">
        <f t="shared" si="17"/>
        <v>53.025046948356788</v>
      </c>
      <c r="AB18" s="53">
        <v>16</v>
      </c>
      <c r="AC18" s="123">
        <f t="shared" si="18"/>
        <v>677.69861520998859</v>
      </c>
      <c r="AD18" s="124"/>
      <c r="AE18" s="126">
        <f t="shared" si="19"/>
        <v>677.69861520998859</v>
      </c>
      <c r="AF18" s="53">
        <v>16</v>
      </c>
      <c r="AG18" s="123">
        <f t="shared" si="20"/>
        <v>987.30860385925087</v>
      </c>
      <c r="AH18" s="124"/>
      <c r="AI18" s="126">
        <f t="shared" si="21"/>
        <v>987.30860385925087</v>
      </c>
      <c r="AJ18" s="53">
        <v>16</v>
      </c>
      <c r="AK18" s="123">
        <f t="shared" si="22"/>
        <v>1522.6526220204312</v>
      </c>
      <c r="AL18" s="124"/>
      <c r="AM18" s="126">
        <f t="shared" si="23"/>
        <v>1522.6526220204312</v>
      </c>
      <c r="AN18" s="53">
        <v>16</v>
      </c>
      <c r="AO18" s="123">
        <f t="shared" si="24"/>
        <v>1458.6729625425653</v>
      </c>
      <c r="AP18" s="124"/>
      <c r="AQ18" s="126">
        <f t="shared" si="25"/>
        <v>1458.6729625425653</v>
      </c>
      <c r="AR18" s="53">
        <v>16</v>
      </c>
      <c r="AS18" s="123">
        <f t="shared" si="26"/>
        <v>797.55732122587972</v>
      </c>
      <c r="AT18" s="124"/>
      <c r="AU18" s="126">
        <f t="shared" si="27"/>
        <v>797.55732122587972</v>
      </c>
      <c r="AV18" s="53">
        <v>16</v>
      </c>
      <c r="AW18" s="123">
        <f t="shared" si="28"/>
        <v>565.83228149829733</v>
      </c>
      <c r="AX18" s="124"/>
      <c r="AY18" s="126">
        <f t="shared" si="29"/>
        <v>565.83228149829733</v>
      </c>
      <c r="AZ18" s="127">
        <f t="shared" si="30"/>
        <v>-252.77004694835679</v>
      </c>
      <c r="BA18" s="128">
        <f t="shared" si="31"/>
        <v>2476.8699494642283</v>
      </c>
      <c r="BB18" s="127">
        <f t="shared" si="32"/>
        <v>-296.08842723004693</v>
      </c>
      <c r="BC18" s="127"/>
      <c r="BD18" s="128">
        <f t="shared" si="33"/>
        <v>2433.5515691825381</v>
      </c>
      <c r="BE18" s="127">
        <f t="shared" si="34"/>
        <v>5713.6339791263681</v>
      </c>
      <c r="BF18" s="127"/>
      <c r="BG18" s="91">
        <f t="shared" si="35"/>
        <v>8443.2739755389521</v>
      </c>
    </row>
    <row r="19" spans="1:59" ht="13">
      <c r="A19" s="89" t="s">
        <v>65</v>
      </c>
      <c r="B19" s="265"/>
      <c r="C19" s="121">
        <f>'Revised PS Model 2017'!BE25</f>
        <v>2729.6399964125849</v>
      </c>
      <c r="D19" s="53">
        <v>13</v>
      </c>
      <c r="E19" s="123">
        <f t="shared" si="6"/>
        <v>10.898333333333353</v>
      </c>
      <c r="F19" s="124"/>
      <c r="G19" s="126">
        <f t="shared" si="7"/>
        <v>10.898333333333353</v>
      </c>
      <c r="H19" s="53">
        <v>13</v>
      </c>
      <c r="I19" s="123">
        <f t="shared" si="8"/>
        <v>-247.05187793427231</v>
      </c>
      <c r="J19" s="124"/>
      <c r="K19" s="126">
        <f t="shared" si="9"/>
        <v>-247.05187793427231</v>
      </c>
      <c r="L19" s="53">
        <v>13</v>
      </c>
      <c r="M19" s="123">
        <f t="shared" si="10"/>
        <v>-16.616502347417846</v>
      </c>
      <c r="N19" s="124"/>
      <c r="O19" s="126">
        <f t="shared" si="11"/>
        <v>-16.616502347417846</v>
      </c>
      <c r="P19" s="53">
        <v>13</v>
      </c>
      <c r="Q19" s="123">
        <f t="shared" si="12"/>
        <v>90.179107981220668</v>
      </c>
      <c r="R19" s="124"/>
      <c r="S19" s="126">
        <f t="shared" si="13"/>
        <v>90.179107981220668</v>
      </c>
      <c r="T19" s="53">
        <v>13</v>
      </c>
      <c r="U19" s="123">
        <f t="shared" si="14"/>
        <v>-186.52253521126758</v>
      </c>
      <c r="V19" s="124"/>
      <c r="W19" s="126">
        <f t="shared" si="15"/>
        <v>-186.52253521126758</v>
      </c>
      <c r="X19" s="53">
        <v>13</v>
      </c>
      <c r="Y19" s="123">
        <f t="shared" si="16"/>
        <v>53.025046948356788</v>
      </c>
      <c r="Z19" s="124"/>
      <c r="AA19" s="126">
        <f t="shared" si="17"/>
        <v>53.025046948356788</v>
      </c>
      <c r="AB19" s="53">
        <v>16</v>
      </c>
      <c r="AC19" s="123">
        <f t="shared" si="18"/>
        <v>677.69861520998859</v>
      </c>
      <c r="AD19" s="124"/>
      <c r="AE19" s="126">
        <f t="shared" si="19"/>
        <v>677.69861520998859</v>
      </c>
      <c r="AF19" s="53">
        <v>16</v>
      </c>
      <c r="AG19" s="123">
        <f t="shared" si="20"/>
        <v>987.30860385925087</v>
      </c>
      <c r="AH19" s="124"/>
      <c r="AI19" s="126">
        <f t="shared" si="21"/>
        <v>987.30860385925087</v>
      </c>
      <c r="AJ19" s="53">
        <v>16</v>
      </c>
      <c r="AK19" s="123">
        <f t="shared" si="22"/>
        <v>1522.6526220204312</v>
      </c>
      <c r="AL19" s="124"/>
      <c r="AM19" s="126">
        <f t="shared" si="23"/>
        <v>1522.6526220204312</v>
      </c>
      <c r="AN19" s="53">
        <v>16</v>
      </c>
      <c r="AO19" s="123">
        <f t="shared" si="24"/>
        <v>1458.6729625425653</v>
      </c>
      <c r="AP19" s="124"/>
      <c r="AQ19" s="126">
        <f t="shared" si="25"/>
        <v>1458.6729625425653</v>
      </c>
      <c r="AR19" s="53">
        <v>16</v>
      </c>
      <c r="AS19" s="123">
        <f t="shared" si="26"/>
        <v>797.55732122587972</v>
      </c>
      <c r="AT19" s="124"/>
      <c r="AU19" s="126">
        <f t="shared" si="27"/>
        <v>797.55732122587972</v>
      </c>
      <c r="AV19" s="53">
        <v>16</v>
      </c>
      <c r="AW19" s="123">
        <f t="shared" si="28"/>
        <v>565.83228149829733</v>
      </c>
      <c r="AX19" s="124"/>
      <c r="AY19" s="126">
        <f t="shared" si="29"/>
        <v>565.83228149829733</v>
      </c>
      <c r="AZ19" s="127">
        <f t="shared" si="30"/>
        <v>-252.77004694835679</v>
      </c>
      <c r="BA19" s="128">
        <f t="shared" si="31"/>
        <v>2476.8699494642283</v>
      </c>
      <c r="BB19" s="127">
        <f t="shared" si="32"/>
        <v>-296.08842723004693</v>
      </c>
      <c r="BC19" s="127"/>
      <c r="BD19" s="128">
        <f t="shared" si="33"/>
        <v>2433.5515691825381</v>
      </c>
      <c r="BE19" s="127">
        <f t="shared" si="34"/>
        <v>5713.6339791263681</v>
      </c>
      <c r="BF19" s="127"/>
      <c r="BG19" s="91">
        <f t="shared" si="35"/>
        <v>8443.2739755389521</v>
      </c>
    </row>
    <row r="20" spans="1:59" ht="14">
      <c r="A20" s="89" t="s">
        <v>210</v>
      </c>
      <c r="B20" s="265"/>
      <c r="C20" s="121">
        <f>'Revised PS Model 2017'!BE26</f>
        <v>0</v>
      </c>
      <c r="D20" s="53"/>
      <c r="E20" s="123">
        <f t="shared" si="6"/>
        <v>0</v>
      </c>
      <c r="F20" s="124"/>
      <c r="G20" s="126">
        <f t="shared" si="7"/>
        <v>0</v>
      </c>
      <c r="H20" s="53"/>
      <c r="I20" s="123">
        <f t="shared" si="8"/>
        <v>0</v>
      </c>
      <c r="J20" s="124"/>
      <c r="K20" s="126">
        <f t="shared" si="9"/>
        <v>0</v>
      </c>
      <c r="L20" s="53"/>
      <c r="M20" s="123">
        <f t="shared" si="10"/>
        <v>0</v>
      </c>
      <c r="N20" s="124"/>
      <c r="O20" s="126">
        <f t="shared" si="11"/>
        <v>0</v>
      </c>
      <c r="P20" s="53"/>
      <c r="Q20" s="123">
        <f t="shared" si="12"/>
        <v>0</v>
      </c>
      <c r="R20" s="124"/>
      <c r="S20" s="126">
        <f t="shared" si="13"/>
        <v>0</v>
      </c>
      <c r="T20" s="53"/>
      <c r="U20" s="123">
        <f t="shared" si="14"/>
        <v>0</v>
      </c>
      <c r="V20" s="124"/>
      <c r="W20" s="126">
        <f t="shared" si="15"/>
        <v>0</v>
      </c>
      <c r="X20" s="53"/>
      <c r="Y20" s="123">
        <f t="shared" si="16"/>
        <v>0</v>
      </c>
      <c r="Z20" s="124"/>
      <c r="AA20" s="126">
        <f t="shared" si="17"/>
        <v>0</v>
      </c>
      <c r="AB20" s="53">
        <v>2.5</v>
      </c>
      <c r="AC20" s="123">
        <f t="shared" si="18"/>
        <v>105.89040862656073</v>
      </c>
      <c r="AD20" s="124"/>
      <c r="AE20" s="126">
        <f t="shared" si="19"/>
        <v>105.89040862656073</v>
      </c>
      <c r="AF20" s="53">
        <v>2.5</v>
      </c>
      <c r="AG20" s="123">
        <f t="shared" si="20"/>
        <v>154.26696935300797</v>
      </c>
      <c r="AH20" s="124"/>
      <c r="AI20" s="126">
        <f t="shared" si="21"/>
        <v>154.26696935300797</v>
      </c>
      <c r="AJ20" s="53">
        <v>2.5</v>
      </c>
      <c r="AK20" s="123">
        <f t="shared" si="22"/>
        <v>237.91447219069238</v>
      </c>
      <c r="AL20" s="124"/>
      <c r="AM20" s="126">
        <f t="shared" si="23"/>
        <v>237.91447219069238</v>
      </c>
      <c r="AN20" s="53">
        <v>2.5</v>
      </c>
      <c r="AO20" s="123">
        <f t="shared" si="24"/>
        <v>227.91765039727585</v>
      </c>
      <c r="AP20" s="124"/>
      <c r="AQ20" s="126">
        <f t="shared" si="25"/>
        <v>227.91765039727585</v>
      </c>
      <c r="AR20" s="53">
        <v>2.5</v>
      </c>
      <c r="AS20" s="123">
        <f t="shared" si="26"/>
        <v>124.6183314415437</v>
      </c>
      <c r="AT20" s="124"/>
      <c r="AU20" s="126">
        <f t="shared" si="27"/>
        <v>124.6183314415437</v>
      </c>
      <c r="AV20" s="53">
        <v>2.5</v>
      </c>
      <c r="AW20" s="123">
        <f t="shared" si="28"/>
        <v>88.41129398410898</v>
      </c>
      <c r="AX20" s="124"/>
      <c r="AY20" s="126">
        <f t="shared" si="29"/>
        <v>88.41129398410898</v>
      </c>
      <c r="AZ20" s="127">
        <f t="shared" si="30"/>
        <v>0</v>
      </c>
      <c r="BA20" s="128">
        <f t="shared" si="31"/>
        <v>0</v>
      </c>
      <c r="BB20" s="127">
        <f t="shared" si="32"/>
        <v>0</v>
      </c>
      <c r="BC20" s="127"/>
      <c r="BD20" s="128">
        <f t="shared" si="33"/>
        <v>0</v>
      </c>
      <c r="BE20" s="127">
        <f t="shared" si="34"/>
        <v>939.01912599318962</v>
      </c>
      <c r="BF20" s="127"/>
      <c r="BG20" s="91">
        <f t="shared" si="35"/>
        <v>939.01912599318962</v>
      </c>
    </row>
    <row r="21" spans="1:59" ht="14">
      <c r="A21" s="132" t="s">
        <v>254</v>
      </c>
      <c r="B21" s="267"/>
      <c r="C21" s="270">
        <f>'Revised PS Model 2017'!BE27</f>
        <v>0</v>
      </c>
      <c r="D21" s="178"/>
      <c r="E21" s="134">
        <f t="shared" si="6"/>
        <v>0</v>
      </c>
      <c r="F21" s="135"/>
      <c r="G21" s="136">
        <f t="shared" si="7"/>
        <v>0</v>
      </c>
      <c r="H21" s="178"/>
      <c r="I21" s="134">
        <f t="shared" si="8"/>
        <v>0</v>
      </c>
      <c r="J21" s="135"/>
      <c r="K21" s="136">
        <f t="shared" si="9"/>
        <v>0</v>
      </c>
      <c r="L21" s="178"/>
      <c r="M21" s="134">
        <f t="shared" si="10"/>
        <v>0</v>
      </c>
      <c r="N21" s="135"/>
      <c r="O21" s="136">
        <f t="shared" si="11"/>
        <v>0</v>
      </c>
      <c r="P21" s="178"/>
      <c r="Q21" s="134">
        <f t="shared" si="12"/>
        <v>0</v>
      </c>
      <c r="R21" s="135"/>
      <c r="S21" s="136">
        <f t="shared" si="13"/>
        <v>0</v>
      </c>
      <c r="T21" s="178"/>
      <c r="U21" s="134">
        <f t="shared" si="14"/>
        <v>0</v>
      </c>
      <c r="V21" s="135"/>
      <c r="W21" s="136">
        <f t="shared" si="15"/>
        <v>0</v>
      </c>
      <c r="X21" s="178"/>
      <c r="Y21" s="134">
        <f t="shared" si="16"/>
        <v>0</v>
      </c>
      <c r="Z21" s="135"/>
      <c r="AA21" s="136">
        <f t="shared" si="17"/>
        <v>0</v>
      </c>
      <c r="AB21" s="178">
        <v>2.5</v>
      </c>
      <c r="AC21" s="134">
        <f t="shared" si="18"/>
        <v>105.89040862656073</v>
      </c>
      <c r="AD21" s="135"/>
      <c r="AE21" s="136">
        <f t="shared" si="19"/>
        <v>105.89040862656073</v>
      </c>
      <c r="AF21" s="178">
        <v>2.5</v>
      </c>
      <c r="AG21" s="134">
        <f t="shared" si="20"/>
        <v>154.26696935300797</v>
      </c>
      <c r="AH21" s="135"/>
      <c r="AI21" s="136">
        <f t="shared" si="21"/>
        <v>154.26696935300797</v>
      </c>
      <c r="AJ21" s="178">
        <v>2.5</v>
      </c>
      <c r="AK21" s="134">
        <f t="shared" si="22"/>
        <v>237.91447219069238</v>
      </c>
      <c r="AL21" s="135"/>
      <c r="AM21" s="136">
        <f t="shared" si="23"/>
        <v>237.91447219069238</v>
      </c>
      <c r="AN21" s="178">
        <v>2.5</v>
      </c>
      <c r="AO21" s="134">
        <f t="shared" si="24"/>
        <v>227.91765039727585</v>
      </c>
      <c r="AP21" s="135"/>
      <c r="AQ21" s="136">
        <f t="shared" si="25"/>
        <v>227.91765039727585</v>
      </c>
      <c r="AR21" s="178">
        <v>2.5</v>
      </c>
      <c r="AS21" s="134">
        <f t="shared" si="26"/>
        <v>124.6183314415437</v>
      </c>
      <c r="AT21" s="135"/>
      <c r="AU21" s="136">
        <f t="shared" si="27"/>
        <v>124.6183314415437</v>
      </c>
      <c r="AV21" s="178">
        <v>2.5</v>
      </c>
      <c r="AW21" s="134">
        <f t="shared" si="28"/>
        <v>88.41129398410898</v>
      </c>
      <c r="AX21" s="135"/>
      <c r="AY21" s="136">
        <f t="shared" si="29"/>
        <v>88.41129398410898</v>
      </c>
      <c r="AZ21" s="138">
        <f t="shared" si="30"/>
        <v>0</v>
      </c>
      <c r="BA21" s="137">
        <f t="shared" si="31"/>
        <v>0</v>
      </c>
      <c r="BB21" s="138">
        <f t="shared" si="32"/>
        <v>0</v>
      </c>
      <c r="BC21" s="138"/>
      <c r="BD21" s="137">
        <f t="shared" si="33"/>
        <v>0</v>
      </c>
      <c r="BE21" s="138">
        <f t="shared" si="34"/>
        <v>939.01912599318962</v>
      </c>
      <c r="BF21" s="138"/>
      <c r="BG21" s="140">
        <f t="shared" si="35"/>
        <v>939.01912599318962</v>
      </c>
    </row>
    <row r="22" spans="1:59" ht="14">
      <c r="A22" s="132" t="s">
        <v>255</v>
      </c>
      <c r="B22" s="267"/>
      <c r="C22" s="270">
        <f>'Revised PS Model 2017'!BE28</f>
        <v>0</v>
      </c>
      <c r="D22" s="178"/>
      <c r="E22" s="134">
        <f t="shared" si="6"/>
        <v>0</v>
      </c>
      <c r="F22" s="135"/>
      <c r="G22" s="136">
        <f t="shared" si="7"/>
        <v>0</v>
      </c>
      <c r="H22" s="178"/>
      <c r="I22" s="134">
        <f t="shared" si="8"/>
        <v>0</v>
      </c>
      <c r="J22" s="135"/>
      <c r="K22" s="136">
        <f t="shared" si="9"/>
        <v>0</v>
      </c>
      <c r="L22" s="178"/>
      <c r="M22" s="134">
        <f t="shared" si="10"/>
        <v>0</v>
      </c>
      <c r="N22" s="135"/>
      <c r="O22" s="136">
        <f t="shared" si="11"/>
        <v>0</v>
      </c>
      <c r="P22" s="178"/>
      <c r="Q22" s="134">
        <f t="shared" si="12"/>
        <v>0</v>
      </c>
      <c r="R22" s="135"/>
      <c r="S22" s="136">
        <f t="shared" si="13"/>
        <v>0</v>
      </c>
      <c r="T22" s="178"/>
      <c r="U22" s="134">
        <f t="shared" si="14"/>
        <v>0</v>
      </c>
      <c r="V22" s="135"/>
      <c r="W22" s="136">
        <f t="shared" si="15"/>
        <v>0</v>
      </c>
      <c r="X22" s="178"/>
      <c r="Y22" s="134">
        <f t="shared" si="16"/>
        <v>0</v>
      </c>
      <c r="Z22" s="135"/>
      <c r="AA22" s="136">
        <f t="shared" si="17"/>
        <v>0</v>
      </c>
      <c r="AB22" s="178">
        <v>2.5</v>
      </c>
      <c r="AC22" s="134">
        <f t="shared" si="18"/>
        <v>105.89040862656073</v>
      </c>
      <c r="AD22" s="135"/>
      <c r="AE22" s="136">
        <f t="shared" si="19"/>
        <v>105.89040862656073</v>
      </c>
      <c r="AF22" s="178">
        <v>2.5</v>
      </c>
      <c r="AG22" s="134">
        <f t="shared" si="20"/>
        <v>154.26696935300797</v>
      </c>
      <c r="AH22" s="135"/>
      <c r="AI22" s="136">
        <f t="shared" si="21"/>
        <v>154.26696935300797</v>
      </c>
      <c r="AJ22" s="178">
        <v>2.5</v>
      </c>
      <c r="AK22" s="134">
        <f t="shared" si="22"/>
        <v>237.91447219069238</v>
      </c>
      <c r="AL22" s="135"/>
      <c r="AM22" s="136">
        <f t="shared" si="23"/>
        <v>237.91447219069238</v>
      </c>
      <c r="AN22" s="178">
        <v>2.5</v>
      </c>
      <c r="AO22" s="134">
        <f t="shared" si="24"/>
        <v>227.91765039727585</v>
      </c>
      <c r="AP22" s="135"/>
      <c r="AQ22" s="136">
        <f t="shared" si="25"/>
        <v>227.91765039727585</v>
      </c>
      <c r="AR22" s="178">
        <v>2.5</v>
      </c>
      <c r="AS22" s="134">
        <f t="shared" si="26"/>
        <v>124.6183314415437</v>
      </c>
      <c r="AT22" s="135"/>
      <c r="AU22" s="136">
        <f t="shared" si="27"/>
        <v>124.6183314415437</v>
      </c>
      <c r="AV22" s="178">
        <v>2.5</v>
      </c>
      <c r="AW22" s="134">
        <f t="shared" si="28"/>
        <v>88.41129398410898</v>
      </c>
      <c r="AX22" s="135"/>
      <c r="AY22" s="136">
        <f t="shared" si="29"/>
        <v>88.41129398410898</v>
      </c>
      <c r="AZ22" s="138">
        <f t="shared" si="30"/>
        <v>0</v>
      </c>
      <c r="BA22" s="137">
        <f t="shared" si="31"/>
        <v>0</v>
      </c>
      <c r="BB22" s="138">
        <f t="shared" si="32"/>
        <v>0</v>
      </c>
      <c r="BC22" s="138"/>
      <c r="BD22" s="137">
        <f t="shared" si="33"/>
        <v>0</v>
      </c>
      <c r="BE22" s="138">
        <f t="shared" si="34"/>
        <v>939.01912599318962</v>
      </c>
      <c r="BF22" s="138"/>
      <c r="BG22" s="140">
        <f t="shared" si="35"/>
        <v>939.01912599318962</v>
      </c>
    </row>
    <row r="23" spans="1:59" ht="14">
      <c r="A23" s="132" t="s">
        <v>211</v>
      </c>
      <c r="B23" s="267"/>
      <c r="C23" s="270">
        <f>'Revised PS Model 2017'!BE29</f>
        <v>0</v>
      </c>
      <c r="D23" s="178"/>
      <c r="E23" s="134">
        <f t="shared" si="6"/>
        <v>0</v>
      </c>
      <c r="F23" s="135"/>
      <c r="G23" s="136">
        <f t="shared" si="7"/>
        <v>0</v>
      </c>
      <c r="H23" s="178"/>
      <c r="I23" s="134">
        <f t="shared" si="8"/>
        <v>0</v>
      </c>
      <c r="J23" s="135"/>
      <c r="K23" s="136">
        <f t="shared" si="9"/>
        <v>0</v>
      </c>
      <c r="L23" s="178"/>
      <c r="M23" s="134">
        <f t="shared" si="10"/>
        <v>0</v>
      </c>
      <c r="N23" s="135"/>
      <c r="O23" s="136">
        <f t="shared" si="11"/>
        <v>0</v>
      </c>
      <c r="P23" s="178"/>
      <c r="Q23" s="134">
        <f t="shared" si="12"/>
        <v>0</v>
      </c>
      <c r="R23" s="135"/>
      <c r="S23" s="136">
        <f t="shared" si="13"/>
        <v>0</v>
      </c>
      <c r="T23" s="178"/>
      <c r="U23" s="134">
        <f t="shared" si="14"/>
        <v>0</v>
      </c>
      <c r="V23" s="135"/>
      <c r="W23" s="136">
        <f t="shared" si="15"/>
        <v>0</v>
      </c>
      <c r="X23" s="178"/>
      <c r="Y23" s="134">
        <f t="shared" si="16"/>
        <v>0</v>
      </c>
      <c r="Z23" s="135"/>
      <c r="AA23" s="136">
        <f t="shared" si="17"/>
        <v>0</v>
      </c>
      <c r="AB23" s="178">
        <v>1</v>
      </c>
      <c r="AC23" s="134">
        <f t="shared" si="18"/>
        <v>42.356163450624287</v>
      </c>
      <c r="AD23" s="135"/>
      <c r="AE23" s="136">
        <f t="shared" si="19"/>
        <v>42.356163450624287</v>
      </c>
      <c r="AF23" s="178">
        <v>1</v>
      </c>
      <c r="AG23" s="134">
        <f t="shared" si="20"/>
        <v>61.706787741203179</v>
      </c>
      <c r="AH23" s="135"/>
      <c r="AI23" s="136">
        <f t="shared" si="21"/>
        <v>61.706787741203179</v>
      </c>
      <c r="AJ23" s="178">
        <v>1</v>
      </c>
      <c r="AK23" s="134">
        <f t="shared" si="22"/>
        <v>95.165788876276949</v>
      </c>
      <c r="AL23" s="135"/>
      <c r="AM23" s="136">
        <f t="shared" si="23"/>
        <v>95.165788876276949</v>
      </c>
      <c r="AN23" s="178">
        <v>1</v>
      </c>
      <c r="AO23" s="134">
        <f t="shared" si="24"/>
        <v>91.167060158910331</v>
      </c>
      <c r="AP23" s="135"/>
      <c r="AQ23" s="136">
        <f t="shared" si="25"/>
        <v>91.167060158910331</v>
      </c>
      <c r="AR23" s="178">
        <v>1</v>
      </c>
      <c r="AS23" s="134">
        <f t="shared" si="26"/>
        <v>49.847332576617482</v>
      </c>
      <c r="AT23" s="135"/>
      <c r="AU23" s="136">
        <f t="shared" si="27"/>
        <v>49.847332576617482</v>
      </c>
      <c r="AV23" s="178">
        <v>1</v>
      </c>
      <c r="AW23" s="134">
        <f t="shared" si="28"/>
        <v>35.364517593643583</v>
      </c>
      <c r="AX23" s="135"/>
      <c r="AY23" s="136">
        <f t="shared" si="29"/>
        <v>35.364517593643583</v>
      </c>
      <c r="AZ23" s="138">
        <f t="shared" si="30"/>
        <v>0</v>
      </c>
      <c r="BA23" s="137">
        <f t="shared" si="31"/>
        <v>0</v>
      </c>
      <c r="BB23" s="138">
        <f t="shared" si="32"/>
        <v>0</v>
      </c>
      <c r="BC23" s="138"/>
      <c r="BD23" s="137">
        <f t="shared" si="33"/>
        <v>0</v>
      </c>
      <c r="BE23" s="138">
        <f t="shared" si="34"/>
        <v>375.60765039727585</v>
      </c>
      <c r="BF23" s="138"/>
      <c r="BG23" s="140">
        <f t="shared" si="35"/>
        <v>375.60765039727585</v>
      </c>
    </row>
    <row r="24" spans="1:59" ht="13">
      <c r="A24" s="89"/>
      <c r="C24" s="61"/>
      <c r="D24" s="148">
        <f t="shared" ref="D24:E24" si="36">SUM(D16:D23)</f>
        <v>426</v>
      </c>
      <c r="E24" s="149">
        <f t="shared" si="36"/>
        <v>357.13000000000068</v>
      </c>
      <c r="F24" s="91"/>
      <c r="G24" s="91"/>
      <c r="H24" s="148">
        <f t="shared" ref="H24:I24" si="37">SUM(H16:H23)</f>
        <v>426</v>
      </c>
      <c r="I24" s="149">
        <f t="shared" si="37"/>
        <v>-8095.6999999999989</v>
      </c>
      <c r="J24" s="91"/>
      <c r="K24" s="91"/>
      <c r="L24" s="148">
        <f t="shared" ref="L24:M24" si="38">SUM(L16:L23)</f>
        <v>426</v>
      </c>
      <c r="M24" s="149">
        <f t="shared" si="38"/>
        <v>-544.51000000000022</v>
      </c>
      <c r="N24" s="91"/>
      <c r="O24" s="91"/>
      <c r="P24" s="148">
        <f t="shared" ref="P24:Q24" si="39">SUM(P16:P23)</f>
        <v>426</v>
      </c>
      <c r="Q24" s="149">
        <f t="shared" si="39"/>
        <v>2955.1000000000004</v>
      </c>
      <c r="R24" s="91"/>
      <c r="S24" s="91"/>
      <c r="T24" s="148">
        <f t="shared" ref="T24:U24" si="40">SUM(T16:T23)</f>
        <v>426</v>
      </c>
      <c r="U24" s="149">
        <f t="shared" si="40"/>
        <v>-6112.2</v>
      </c>
      <c r="V24" s="91"/>
      <c r="W24" s="91"/>
      <c r="X24" s="148">
        <f t="shared" ref="X24:Y24" si="41">SUM(X16:X23)</f>
        <v>426</v>
      </c>
      <c r="Y24" s="149">
        <f t="shared" si="41"/>
        <v>1737.589999999999</v>
      </c>
      <c r="Z24" s="91"/>
      <c r="AA24" s="91"/>
      <c r="AB24" s="148">
        <f t="shared" ref="AB24:AC24" si="42">SUM(AB16:AB23)</f>
        <v>440.5</v>
      </c>
      <c r="AC24" s="149">
        <f t="shared" si="42"/>
        <v>18657.890000000003</v>
      </c>
      <c r="AD24" s="91"/>
      <c r="AE24" s="91"/>
      <c r="AF24" s="148">
        <f t="shared" ref="AF24:AG24" si="43">SUM(AF16:AF23)</f>
        <v>440.5</v>
      </c>
      <c r="AG24" s="149">
        <f t="shared" si="43"/>
        <v>27181.840000000004</v>
      </c>
      <c r="AH24" s="91"/>
      <c r="AI24" s="91"/>
      <c r="AJ24" s="148">
        <f t="shared" ref="AJ24:AK24" si="44">SUM(AJ16:AJ23)</f>
        <v>440.5</v>
      </c>
      <c r="AK24" s="149">
        <f t="shared" si="44"/>
        <v>41920.530000000006</v>
      </c>
      <c r="AL24" s="91"/>
      <c r="AM24" s="91"/>
      <c r="AN24" s="148">
        <f t="shared" ref="AN24:AO24" si="45">SUM(AN16:AN23)</f>
        <v>440.5</v>
      </c>
      <c r="AO24" s="149">
        <f t="shared" si="45"/>
        <v>40159.090000000011</v>
      </c>
      <c r="AP24" s="91"/>
      <c r="AQ24" s="91"/>
      <c r="AR24" s="148">
        <f t="shared" ref="AR24:AS24" si="46">SUM(AR16:AR23)</f>
        <v>440.5</v>
      </c>
      <c r="AS24" s="149">
        <f t="shared" si="46"/>
        <v>21957.749999999996</v>
      </c>
      <c r="AT24" s="91"/>
      <c r="AU24" s="91"/>
      <c r="AV24" s="148">
        <f t="shared" ref="AV24:AW24" si="47">SUM(AV16:AV23)</f>
        <v>440.5</v>
      </c>
      <c r="AW24" s="149">
        <f t="shared" si="47"/>
        <v>15578.069999999998</v>
      </c>
      <c r="AX24" s="124"/>
      <c r="AY24" s="92"/>
      <c r="AZ24" s="91"/>
      <c r="BA24" s="150"/>
      <c r="BB24" s="91"/>
      <c r="BC24" s="91"/>
      <c r="BD24" s="150"/>
    </row>
    <row r="25" spans="1:59" ht="14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X25" s="151"/>
      <c r="AY25" s="92"/>
      <c r="AZ25" s="216" t="str">
        <f>"Paid for "&amp;AZ2</f>
        <v>Paid for 1Q</v>
      </c>
      <c r="BA25" s="217" t="s">
        <v>256</v>
      </c>
      <c r="BB25" s="216" t="str">
        <f>"Paid for "&amp;BB2</f>
        <v>Paid for 1H</v>
      </c>
      <c r="BC25" s="216" t="s">
        <v>270</v>
      </c>
      <c r="BD25" s="217" t="s">
        <v>256</v>
      </c>
      <c r="BE25" s="216" t="str">
        <f>"Paid for "&amp;BE2</f>
        <v>Paid for 2018</v>
      </c>
      <c r="BF25" s="216" t="s">
        <v>270</v>
      </c>
      <c r="BG25" s="217" t="s">
        <v>256</v>
      </c>
    </row>
    <row r="26" spans="1:59" ht="13">
      <c r="A26" s="89"/>
      <c r="B26" s="5"/>
      <c r="C26" s="61"/>
      <c r="D26" s="10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W26" s="151"/>
      <c r="AY26" s="245" t="s">
        <v>83</v>
      </c>
      <c r="AZ26" s="200">
        <f>AZ13+0</f>
        <v>12500</v>
      </c>
      <c r="BA26" s="271">
        <f t="shared" ref="BA26:BA33" si="48">BA16-AZ26</f>
        <v>-119348.52042253522</v>
      </c>
      <c r="BB26" s="263">
        <f>BB13-AZ13+0</f>
        <v>7500</v>
      </c>
      <c r="BC26" s="263">
        <f t="shared" ref="BC26:BC33" si="49">AZ26+BB26</f>
        <v>20000</v>
      </c>
      <c r="BD26" s="272">
        <f t="shared" ref="BD26:BD33" si="50">BD16-BC26</f>
        <v>-138504.15535211269</v>
      </c>
      <c r="BE26" s="263">
        <f>BE13-BB13+0</f>
        <v>58917.5</v>
      </c>
      <c r="BF26" s="263">
        <f t="shared" ref="BF26:BF33" si="51">BC26+BE26</f>
        <v>78917.5</v>
      </c>
      <c r="BG26" s="272">
        <f t="shared" ref="BG26:BG33" si="52">BG16-BF26</f>
        <v>-106801.46023292994</v>
      </c>
    </row>
    <row r="27" spans="1:59" ht="13">
      <c r="A27" s="89"/>
      <c r="B27" s="5"/>
      <c r="C27" s="61"/>
      <c r="D27" s="100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W27" s="151"/>
      <c r="AY27" s="250" t="s">
        <v>209</v>
      </c>
      <c r="AZ27" s="90">
        <v>0</v>
      </c>
      <c r="BA27" s="273">
        <f t="shared" si="48"/>
        <v>20167.451536895736</v>
      </c>
      <c r="BB27" s="90">
        <v>19865.099999999999</v>
      </c>
      <c r="BC27" s="263">
        <f t="shared" si="49"/>
        <v>19865.099999999999</v>
      </c>
      <c r="BD27" s="272">
        <f t="shared" si="50"/>
        <v>-30.866772963418043</v>
      </c>
      <c r="BE27" s="90">
        <v>38057.769999999997</v>
      </c>
      <c r="BF27" s="263">
        <f t="shared" si="51"/>
        <v>57922.869999999995</v>
      </c>
      <c r="BG27" s="272">
        <f t="shared" si="52"/>
        <v>-527.87173323582829</v>
      </c>
    </row>
    <row r="28" spans="1:59" ht="13">
      <c r="A28" s="89"/>
      <c r="B28" s="5"/>
      <c r="C28" s="61"/>
      <c r="D28" s="100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W28" s="151"/>
      <c r="AY28" s="250" t="s">
        <v>61</v>
      </c>
      <c r="AZ28" s="90">
        <v>0</v>
      </c>
      <c r="BA28" s="273">
        <f t="shared" si="48"/>
        <v>2476.8699494642283</v>
      </c>
      <c r="BB28" s="90">
        <v>2437.56</v>
      </c>
      <c r="BC28" s="263">
        <f t="shared" si="49"/>
        <v>2437.56</v>
      </c>
      <c r="BD28" s="272">
        <f t="shared" si="50"/>
        <v>-4.0084308174618855</v>
      </c>
      <c r="BE28" s="90">
        <v>6090.09</v>
      </c>
      <c r="BF28" s="263">
        <f t="shared" si="51"/>
        <v>8527.65</v>
      </c>
      <c r="BG28" s="272">
        <f t="shared" si="52"/>
        <v>-84.376024461047564</v>
      </c>
    </row>
    <row r="29" spans="1:59" ht="13">
      <c r="A29" s="89"/>
      <c r="B29" s="5"/>
      <c r="C29" s="61"/>
      <c r="D29" s="100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W29" s="151"/>
      <c r="AY29" s="253" t="s">
        <v>65</v>
      </c>
      <c r="AZ29" s="90">
        <v>0</v>
      </c>
      <c r="BA29" s="140">
        <f t="shared" si="48"/>
        <v>2476.8699494642283</v>
      </c>
      <c r="BB29" s="90">
        <v>2437.56</v>
      </c>
      <c r="BC29" s="263">
        <f t="shared" si="49"/>
        <v>2437.56</v>
      </c>
      <c r="BD29" s="272">
        <f t="shared" si="50"/>
        <v>-4.0084308174618855</v>
      </c>
      <c r="BE29" s="90">
        <v>6090.09</v>
      </c>
      <c r="BF29" s="263">
        <f t="shared" si="51"/>
        <v>8527.65</v>
      </c>
      <c r="BG29" s="272">
        <f t="shared" si="52"/>
        <v>-84.376024461047564</v>
      </c>
    </row>
    <row r="30" spans="1:59" ht="13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W30" s="151"/>
      <c r="AY30" s="250" t="s">
        <v>210</v>
      </c>
      <c r="AZ30" s="90">
        <v>0</v>
      </c>
      <c r="BA30" s="140">
        <f t="shared" si="48"/>
        <v>0</v>
      </c>
      <c r="BB30" s="90">
        <f t="shared" ref="BB30:BB33" si="53">0</f>
        <v>0</v>
      </c>
      <c r="BC30" s="263">
        <f t="shared" si="49"/>
        <v>0</v>
      </c>
      <c r="BD30" s="272">
        <f t="shared" si="50"/>
        <v>0</v>
      </c>
      <c r="BE30" s="90">
        <v>952.15</v>
      </c>
      <c r="BF30" s="263">
        <f t="shared" si="51"/>
        <v>952.15</v>
      </c>
      <c r="BG30" s="272">
        <f t="shared" si="52"/>
        <v>-13.130874006810359</v>
      </c>
    </row>
    <row r="31" spans="1:59" ht="13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W31" s="151"/>
      <c r="AY31" s="250" t="s">
        <v>254</v>
      </c>
      <c r="AZ31" s="90">
        <v>0</v>
      </c>
      <c r="BA31" s="140">
        <f t="shared" si="48"/>
        <v>0</v>
      </c>
      <c r="BB31" s="90">
        <f t="shared" si="53"/>
        <v>0</v>
      </c>
      <c r="BC31" s="263">
        <f t="shared" si="49"/>
        <v>0</v>
      </c>
      <c r="BD31" s="272">
        <f t="shared" si="50"/>
        <v>0</v>
      </c>
      <c r="BE31" s="90">
        <v>952.15</v>
      </c>
      <c r="BF31" s="263">
        <f t="shared" si="51"/>
        <v>952.15</v>
      </c>
      <c r="BG31" s="272">
        <f t="shared" si="52"/>
        <v>-13.130874006810359</v>
      </c>
    </row>
    <row r="32" spans="1:59" ht="13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W32" s="151"/>
      <c r="AY32" s="250" t="s">
        <v>255</v>
      </c>
      <c r="AZ32" s="90">
        <v>0</v>
      </c>
      <c r="BA32" s="140">
        <f t="shared" si="48"/>
        <v>0</v>
      </c>
      <c r="BB32" s="90">
        <f t="shared" si="53"/>
        <v>0</v>
      </c>
      <c r="BC32" s="263">
        <f t="shared" si="49"/>
        <v>0</v>
      </c>
      <c r="BD32" s="272">
        <f t="shared" si="50"/>
        <v>0</v>
      </c>
      <c r="BE32" s="90">
        <v>952.15</v>
      </c>
      <c r="BF32" s="263">
        <f t="shared" si="51"/>
        <v>952.15</v>
      </c>
      <c r="BG32" s="272">
        <f t="shared" si="52"/>
        <v>-13.130874006810359</v>
      </c>
    </row>
    <row r="33" spans="1:59" ht="13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W33" s="151"/>
      <c r="AY33" s="255" t="s">
        <v>211</v>
      </c>
      <c r="AZ33" s="274">
        <v>0</v>
      </c>
      <c r="BA33" s="275">
        <f t="shared" si="48"/>
        <v>0</v>
      </c>
      <c r="BB33" s="274">
        <f t="shared" si="53"/>
        <v>0</v>
      </c>
      <c r="BC33" s="276">
        <f t="shared" si="49"/>
        <v>0</v>
      </c>
      <c r="BD33" s="277">
        <f t="shared" si="50"/>
        <v>0</v>
      </c>
      <c r="BE33" s="274">
        <v>380.86</v>
      </c>
      <c r="BF33" s="276">
        <f t="shared" si="51"/>
        <v>380.86</v>
      </c>
      <c r="BG33" s="277">
        <f t="shared" si="52"/>
        <v>-5.2523496027241663</v>
      </c>
    </row>
    <row r="34" spans="1:59" ht="13">
      <c r="A34" s="89"/>
      <c r="C34" s="61"/>
      <c r="D34" s="62"/>
      <c r="BD34" s="91"/>
      <c r="BE34" s="91"/>
      <c r="BF34" s="91"/>
      <c r="BG34" s="91"/>
    </row>
    <row r="35" spans="1:59" ht="13">
      <c r="A35" s="89"/>
      <c r="C35" s="61"/>
      <c r="D35" s="62"/>
      <c r="AY35" s="1"/>
      <c r="BA35" s="230"/>
      <c r="BB35" s="230"/>
      <c r="BC35" s="230"/>
      <c r="BD35" s="91"/>
      <c r="BE35" s="91"/>
      <c r="BF35" s="91"/>
      <c r="BG35" s="91"/>
    </row>
    <row r="36" spans="1:59" ht="13">
      <c r="A36" s="89"/>
      <c r="C36" s="61"/>
      <c r="D36" s="62"/>
      <c r="AZ36" s="152"/>
      <c r="BA36" s="152"/>
      <c r="BB36" s="152"/>
      <c r="BC36" s="152"/>
      <c r="BD36" s="91"/>
      <c r="BE36" s="91"/>
      <c r="BF36" s="91"/>
      <c r="BG36" s="91"/>
    </row>
    <row r="37" spans="1:59" ht="14">
      <c r="A37" s="89" t="s">
        <v>201</v>
      </c>
      <c r="C37" s="61"/>
      <c r="D37" s="62"/>
      <c r="AN37" s="1" t="s">
        <v>148</v>
      </c>
      <c r="AZ37" s="152"/>
      <c r="BA37" s="152"/>
      <c r="BB37" s="152"/>
      <c r="BC37" s="152"/>
      <c r="BD37" s="1" t="s">
        <v>297</v>
      </c>
      <c r="BE37" s="91">
        <f>SUM($AW$16,$AS$16,$AO$16,$AK$16,$AG$16,$AC$16,$Y$16,$U$16,$Q$16,$M$16,$I$16,$E$16)</f>
        <v>105849.48526002781</v>
      </c>
      <c r="BF37" s="91"/>
      <c r="BG37" s="91"/>
    </row>
    <row r="38" spans="1:59" ht="14">
      <c r="A38" s="89"/>
      <c r="C38" s="61"/>
      <c r="D38" s="62"/>
      <c r="BD38" s="1" t="s">
        <v>299</v>
      </c>
      <c r="BE38" s="172">
        <f>$BE$10*$D$16/$D$24</f>
        <v>109684.91549295776</v>
      </c>
    </row>
    <row r="39" spans="1:59" ht="14">
      <c r="A39" s="89"/>
      <c r="C39" s="61"/>
      <c r="D39" s="62"/>
      <c r="BD39" s="1" t="s">
        <v>300</v>
      </c>
      <c r="BE39" s="172">
        <f>SUMIF($D$15:$AY$15,$AX$15,$D$16:$AY$16)</f>
        <v>50428.840000000004</v>
      </c>
    </row>
    <row r="40" spans="1:59" ht="14">
      <c r="A40" s="89"/>
      <c r="C40" s="61"/>
      <c r="D40" s="62"/>
      <c r="BD40" s="268" t="s">
        <v>301</v>
      </c>
      <c r="BE40" s="172">
        <f>BF26-BE13</f>
        <v>0</v>
      </c>
      <c r="BF40" s="267"/>
    </row>
    <row r="41" spans="1:59" ht="28">
      <c r="A41" s="89"/>
      <c r="C41" s="61"/>
      <c r="D41" s="62"/>
      <c r="BD41" s="1" t="s">
        <v>313</v>
      </c>
      <c r="BE41" s="172">
        <f>$C$16+BE38-BE39-($BE$11-$BE$7)-$BE$12</f>
        <v>-102966.03</v>
      </c>
      <c r="BF41" s="1" t="s">
        <v>314</v>
      </c>
    </row>
    <row r="42" spans="1:59" ht="13">
      <c r="A42" s="89"/>
      <c r="C42" s="61"/>
      <c r="D42" s="62"/>
    </row>
    <row r="43" spans="1:59" ht="13">
      <c r="A43" s="89"/>
      <c r="C43" s="61"/>
      <c r="D43" s="62"/>
      <c r="AZ43" s="324" t="s">
        <v>315</v>
      </c>
      <c r="BA43" s="319"/>
      <c r="BB43" s="319"/>
    </row>
    <row r="44" spans="1:59" ht="13">
      <c r="A44" s="89"/>
      <c r="C44" s="61"/>
      <c r="D44" s="62"/>
    </row>
    <row r="45" spans="1:59" ht="13">
      <c r="A45" s="89"/>
      <c r="C45" s="61"/>
      <c r="D45" s="62"/>
    </row>
    <row r="46" spans="1:59" ht="13">
      <c r="A46" s="89"/>
      <c r="C46" s="61"/>
      <c r="D46" s="62"/>
    </row>
    <row r="47" spans="1:59" ht="13">
      <c r="A47" s="89"/>
      <c r="C47" s="61"/>
      <c r="D47" s="62"/>
    </row>
    <row r="48" spans="1:59" ht="13">
      <c r="A48" s="89"/>
      <c r="C48" s="61"/>
      <c r="D48" s="62"/>
    </row>
    <row r="49" spans="1:58" ht="13">
      <c r="A49" s="89"/>
      <c r="C49" s="61"/>
      <c r="D49" s="62"/>
    </row>
    <row r="50" spans="1:58" ht="13">
      <c r="A50" s="89"/>
      <c r="C50" s="61"/>
      <c r="D50" s="62"/>
    </row>
    <row r="51" spans="1:58" ht="13">
      <c r="A51" s="89"/>
    </row>
    <row r="52" spans="1:58" ht="13">
      <c r="A52" s="89"/>
    </row>
    <row r="53" spans="1:58" ht="13">
      <c r="A53" s="89"/>
    </row>
    <row r="54" spans="1:58" ht="13">
      <c r="A54" s="89"/>
    </row>
    <row r="55" spans="1:58" ht="13">
      <c r="A55" s="89"/>
    </row>
    <row r="56" spans="1:58" ht="13">
      <c r="A56" s="89"/>
    </row>
    <row r="57" spans="1:58" ht="13">
      <c r="A57" s="89"/>
    </row>
    <row r="58" spans="1:58" ht="13">
      <c r="A58" s="89"/>
    </row>
    <row r="59" spans="1:58" ht="13">
      <c r="A59" s="89"/>
    </row>
    <row r="60" spans="1:58" ht="13">
      <c r="A60" s="89"/>
    </row>
    <row r="61" spans="1:58" ht="13">
      <c r="A61" s="89"/>
      <c r="AY61" s="1"/>
      <c r="AZ61" s="1"/>
      <c r="BB61" s="1"/>
      <c r="BC61" s="1"/>
      <c r="BE61" s="1"/>
      <c r="BF61" s="1"/>
    </row>
    <row r="62" spans="1:58" ht="13">
      <c r="A62" s="89"/>
      <c r="AY62" s="1"/>
      <c r="AZ62" s="1"/>
      <c r="BB62" s="1"/>
      <c r="BC62" s="1"/>
      <c r="BE62" s="1"/>
      <c r="BF62" s="1"/>
    </row>
    <row r="63" spans="1:58" ht="13">
      <c r="A63" s="89"/>
      <c r="AY63" s="1"/>
      <c r="AZ63" s="1"/>
      <c r="BB63" s="1"/>
      <c r="BC63" s="1"/>
      <c r="BE63" s="1"/>
      <c r="BF63" s="1"/>
    </row>
    <row r="64" spans="1:58" ht="13">
      <c r="A64" s="89"/>
      <c r="AY64" s="1"/>
      <c r="AZ64" s="1"/>
      <c r="BB64" s="1"/>
      <c r="BC64" s="1"/>
      <c r="BE64" s="1"/>
      <c r="BF64" s="1"/>
    </row>
    <row r="65" spans="1:58" ht="13">
      <c r="A65" s="89"/>
      <c r="AY65" s="1"/>
      <c r="AZ65" s="1"/>
      <c r="BB65" s="1"/>
      <c r="BC65" s="1"/>
      <c r="BE65" s="1"/>
      <c r="BF65" s="1"/>
    </row>
    <row r="66" spans="1:58" ht="13">
      <c r="A66" s="89"/>
      <c r="AY66" s="1"/>
      <c r="AZ66" s="1"/>
      <c r="BB66" s="1"/>
      <c r="BC66" s="1"/>
      <c r="BE66" s="1"/>
      <c r="BF66" s="1"/>
    </row>
  </sheetData>
  <mergeCells count="1">
    <mergeCell ref="AZ43:BB43"/>
  </mergeCells>
  <conditionalFormatting sqref="BE40">
    <cfRule type="cellIs" dxfId="8" priority="1" operator="equal">
      <formula>0</formula>
    </cfRule>
    <cfRule type="cellIs" dxfId="7" priority="2" operator="notEqual">
      <formula>0</formula>
    </cfRule>
  </conditionalFormatting>
  <conditionalFormatting sqref="BE41">
    <cfRule type="expression" dxfId="6" priority="3">
      <formula>BE41=BF28</formula>
    </cfRule>
    <cfRule type="expression" dxfId="5" priority="4">
      <formula>BE41&lt;&gt;BF28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G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9" width="15.1640625" customWidth="1"/>
  </cols>
  <sheetData>
    <row r="1" spans="1:59" ht="42.75" customHeight="1">
      <c r="A1" s="5" t="s">
        <v>148</v>
      </c>
      <c r="C1" s="61" t="s">
        <v>131</v>
      </c>
      <c r="D1" s="59">
        <v>43131</v>
      </c>
      <c r="E1" s="60"/>
      <c r="F1" s="60"/>
      <c r="G1" s="61"/>
      <c r="H1" s="59">
        <v>43159</v>
      </c>
      <c r="I1" s="60"/>
      <c r="J1" s="60"/>
      <c r="K1" s="61"/>
      <c r="L1" s="59">
        <v>43190</v>
      </c>
      <c r="M1" s="60"/>
      <c r="N1" s="60"/>
      <c r="O1" s="61"/>
      <c r="P1" s="59">
        <v>43220</v>
      </c>
      <c r="Q1" s="60"/>
      <c r="R1" s="60"/>
      <c r="S1" s="61"/>
      <c r="T1" s="59">
        <v>43251</v>
      </c>
      <c r="U1" s="60"/>
      <c r="V1" s="60"/>
      <c r="W1" s="61"/>
      <c r="X1" s="59">
        <v>43281</v>
      </c>
      <c r="Y1" s="60"/>
      <c r="Z1" s="60"/>
      <c r="AA1" s="61"/>
      <c r="AB1" s="59">
        <v>43312</v>
      </c>
      <c r="AC1" s="60"/>
      <c r="AD1" s="60"/>
      <c r="AE1" s="61"/>
      <c r="AF1" s="59">
        <v>43343</v>
      </c>
      <c r="AG1" s="60"/>
      <c r="AH1" s="60"/>
      <c r="AI1" s="61"/>
      <c r="AJ1" s="59">
        <v>43373</v>
      </c>
      <c r="AK1" s="60"/>
      <c r="AL1" s="60"/>
      <c r="AM1" s="61"/>
      <c r="AN1" s="59">
        <v>43404</v>
      </c>
      <c r="AO1" s="60"/>
      <c r="AP1" s="60"/>
      <c r="AQ1" s="61"/>
      <c r="AR1" s="59">
        <v>43434</v>
      </c>
      <c r="AS1" s="60"/>
      <c r="AT1" s="60"/>
      <c r="AU1" s="61"/>
      <c r="AV1" s="59">
        <v>43465</v>
      </c>
      <c r="AW1" s="60"/>
      <c r="AX1" s="60"/>
      <c r="BB1" s="62"/>
      <c r="BD1" s="61"/>
    </row>
    <row r="2" spans="1:59" ht="14">
      <c r="A2" s="5"/>
      <c r="C2" s="61"/>
      <c r="D2" s="62">
        <f>YEAR(D1)</f>
        <v>2018</v>
      </c>
      <c r="G2" s="61"/>
      <c r="H2" s="62">
        <f>YEAR(H1)</f>
        <v>2018</v>
      </c>
      <c r="K2" s="61"/>
      <c r="L2" s="62">
        <f>YEAR(L1)</f>
        <v>2018</v>
      </c>
      <c r="O2" s="61"/>
      <c r="P2" s="62">
        <f>YEAR(P1)</f>
        <v>2018</v>
      </c>
      <c r="S2" s="61"/>
      <c r="T2" s="62">
        <f>YEAR(T1)</f>
        <v>2018</v>
      </c>
      <c r="W2" s="61"/>
      <c r="X2" s="62">
        <f>YEAR(X1)</f>
        <v>2018</v>
      </c>
      <c r="AA2" s="61"/>
      <c r="AB2" s="62">
        <f>YEAR(AB1)</f>
        <v>2018</v>
      </c>
      <c r="AE2" s="61"/>
      <c r="AF2" s="62">
        <f>YEAR(AF1)</f>
        <v>2018</v>
      </c>
      <c r="AI2" s="61"/>
      <c r="AJ2" s="62">
        <f>YEAR(AJ1)</f>
        <v>2018</v>
      </c>
      <c r="AM2" s="61"/>
      <c r="AN2" s="62">
        <f>YEAR(AN1)</f>
        <v>2018</v>
      </c>
      <c r="AQ2" s="61"/>
      <c r="AR2" s="62">
        <f>YEAR(AR1)</f>
        <v>2018</v>
      </c>
      <c r="AU2" s="61"/>
      <c r="AV2" s="62">
        <f>YEAR(AV1)</f>
        <v>2018</v>
      </c>
      <c r="AY2" s="61"/>
      <c r="AZ2" s="65" t="s">
        <v>132</v>
      </c>
      <c r="BA2" s="65"/>
      <c r="BB2" s="209" t="s">
        <v>247</v>
      </c>
      <c r="BC2" s="65"/>
      <c r="BD2" s="61"/>
      <c r="BE2" s="67">
        <v>2018</v>
      </c>
      <c r="BF2" s="67"/>
      <c r="BG2" s="67"/>
    </row>
    <row r="3" spans="1:59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70"/>
      <c r="BD3" s="61"/>
      <c r="BE3" s="72"/>
      <c r="BF3" s="72"/>
      <c r="BG3" s="72"/>
    </row>
    <row r="4" spans="1:59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70"/>
      <c r="BD4" s="61"/>
      <c r="BE4" s="72"/>
      <c r="BF4" s="72"/>
      <c r="BG4" s="72"/>
    </row>
    <row r="5" spans="1:59" ht="13">
      <c r="A5" s="89" t="s">
        <v>136</v>
      </c>
      <c r="C5" s="61"/>
      <c r="D5" s="90">
        <v>12256.45</v>
      </c>
      <c r="E5" s="91"/>
      <c r="F5" s="91"/>
      <c r="G5" s="92"/>
      <c r="H5" s="90">
        <f>-723.37</f>
        <v>-723.37</v>
      </c>
      <c r="I5" s="91"/>
      <c r="J5" s="91"/>
      <c r="K5" s="92"/>
      <c r="L5" s="90">
        <v>-17.02</v>
      </c>
      <c r="M5" s="91"/>
      <c r="N5" s="91"/>
      <c r="O5" s="92"/>
      <c r="P5" s="90">
        <v>13363.1</v>
      </c>
      <c r="Q5" s="91"/>
      <c r="R5" s="91"/>
      <c r="S5" s="92"/>
      <c r="T5" s="90">
        <v>-115.71</v>
      </c>
      <c r="U5" s="91"/>
      <c r="V5" s="91"/>
      <c r="W5" s="92"/>
      <c r="X5" s="90">
        <v>12178.72</v>
      </c>
      <c r="Y5" s="91"/>
      <c r="Z5" s="91"/>
      <c r="AA5" s="92"/>
      <c r="AB5" s="90">
        <v>23598.639999999999</v>
      </c>
      <c r="AC5" s="91"/>
      <c r="AD5" s="91"/>
      <c r="AE5" s="92"/>
      <c r="AF5" s="90">
        <v>36608.46</v>
      </c>
      <c r="AG5" s="91"/>
      <c r="AH5" s="91"/>
      <c r="AI5" s="92"/>
      <c r="AJ5" s="90">
        <v>27627.57</v>
      </c>
      <c r="AK5" s="91"/>
      <c r="AL5" s="91"/>
      <c r="AM5" s="92"/>
      <c r="AN5" s="90">
        <v>59997.38</v>
      </c>
      <c r="AO5" s="91"/>
      <c r="AP5" s="91"/>
      <c r="AQ5" s="92"/>
      <c r="AR5" s="90">
        <v>39831.56</v>
      </c>
      <c r="AS5" s="91"/>
      <c r="AT5" s="91"/>
      <c r="AU5" s="92"/>
      <c r="AV5" s="90">
        <v>-23475.13</v>
      </c>
      <c r="AW5" s="151"/>
      <c r="AX5" s="151"/>
      <c r="AY5" s="92"/>
      <c r="AZ5" s="93">
        <f t="shared" ref="AZ5:AZ7" si="0">SUMIF($D$3:$AY$3,AZ$2,$D5:$AY5)</f>
        <v>11516.06</v>
      </c>
      <c r="BA5" s="92"/>
      <c r="BB5" s="93">
        <f t="shared" ref="BB5:BB7" si="1">SUMIF($D$4:$AY$4,BB$2,$D5:$AY5)</f>
        <v>36942.17</v>
      </c>
      <c r="BC5" s="94"/>
      <c r="BD5" s="92"/>
      <c r="BE5" s="94">
        <f t="shared" ref="BE5:BE7" si="2">SUMIF($D$2:$AY$2,$BE$2,$D5:$AY5)</f>
        <v>201130.65</v>
      </c>
      <c r="BF5" s="94"/>
      <c r="BG5" s="94"/>
    </row>
    <row r="6" spans="1:59" ht="14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9262.5</v>
      </c>
      <c r="AO6" s="91" t="s">
        <v>310</v>
      </c>
      <c r="AP6" s="91"/>
      <c r="AQ6" s="92"/>
      <c r="AR6" s="90">
        <v>5362.5</v>
      </c>
      <c r="AS6" s="91" t="s">
        <v>310</v>
      </c>
      <c r="AT6" s="91"/>
      <c r="AU6" s="92"/>
      <c r="AV6" s="90">
        <v>3540</v>
      </c>
      <c r="AW6" s="91" t="s">
        <v>310</v>
      </c>
      <c r="AX6" s="91"/>
      <c r="AY6" s="92"/>
      <c r="AZ6" s="93">
        <f t="shared" si="0"/>
        <v>0</v>
      </c>
      <c r="BA6" s="92"/>
      <c r="BB6" s="93">
        <f t="shared" si="1"/>
        <v>0</v>
      </c>
      <c r="BC6" s="94"/>
      <c r="BD6" s="92"/>
      <c r="BE6" s="94">
        <f t="shared" si="2"/>
        <v>18165</v>
      </c>
      <c r="BF6" s="94"/>
      <c r="BG6" s="94"/>
    </row>
    <row r="7" spans="1:59" ht="13">
      <c r="A7" s="89" t="s">
        <v>143</v>
      </c>
      <c r="B7" s="99">
        <v>12500</v>
      </c>
      <c r="C7" s="61"/>
      <c r="D7" s="100">
        <f>'PS Model 2018'!ColinSalary</f>
        <v>12500</v>
      </c>
      <c r="E7" s="91"/>
      <c r="F7" s="91"/>
      <c r="G7" s="92"/>
      <c r="H7" s="100">
        <f>'PS Model 2018'!ColinSalary</f>
        <v>12500</v>
      </c>
      <c r="I7" s="91"/>
      <c r="J7" s="91"/>
      <c r="K7" s="92"/>
      <c r="L7" s="100">
        <f>'PS Model 2018'!ColinSalary</f>
        <v>12500</v>
      </c>
      <c r="M7" s="91"/>
      <c r="N7" s="91"/>
      <c r="O7" s="92"/>
      <c r="P7" s="100">
        <f>'PS Model 2018'!ColinSalary</f>
        <v>12500</v>
      </c>
      <c r="Q7" s="91"/>
      <c r="R7" s="91"/>
      <c r="S7" s="92"/>
      <c r="T7" s="100">
        <f>'PS Model 2018'!ColinSalary</f>
        <v>12500</v>
      </c>
      <c r="U7" s="91"/>
      <c r="V7" s="91"/>
      <c r="W7" s="92"/>
      <c r="X7" s="100">
        <f>'PS Model 2018'!ColinSalary</f>
        <v>12500</v>
      </c>
      <c r="Y7" s="91"/>
      <c r="Z7" s="91"/>
      <c r="AA7" s="92"/>
      <c r="AB7" s="100">
        <f>'PS Model 2018'!ColinSalary</f>
        <v>12500</v>
      </c>
      <c r="AC7" s="91"/>
      <c r="AD7" s="91"/>
      <c r="AE7" s="92"/>
      <c r="AF7" s="100">
        <f>'PS Model 2018'!ColinSalary</f>
        <v>12500</v>
      </c>
      <c r="AG7" s="91"/>
      <c r="AH7" s="91"/>
      <c r="AI7" s="92"/>
      <c r="AJ7" s="100">
        <f>'PS Model 2018'!ColinSalary</f>
        <v>12500</v>
      </c>
      <c r="AK7" s="91"/>
      <c r="AL7" s="91"/>
      <c r="AM7" s="92"/>
      <c r="AN7" s="100">
        <f>'PS Model 2018'!ColinSalary</f>
        <v>12500</v>
      </c>
      <c r="AO7" s="91"/>
      <c r="AP7" s="91"/>
      <c r="AQ7" s="92"/>
      <c r="AR7" s="100">
        <f>'PS Model 2018'!ColinSalary</f>
        <v>12500</v>
      </c>
      <c r="AS7" s="91"/>
      <c r="AT7" s="91"/>
      <c r="AU7" s="92"/>
      <c r="AV7" s="100">
        <f>'PS Model 2018'!ColinSalary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4"/>
      <c r="BD7" s="92"/>
      <c r="BE7" s="94">
        <f t="shared" si="2"/>
        <v>150000</v>
      </c>
      <c r="BF7" s="94"/>
      <c r="BG7" s="94"/>
    </row>
    <row r="8" spans="1:59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/>
      <c r="AC8" s="91"/>
      <c r="AD8" s="91"/>
      <c r="AE8" s="92"/>
      <c r="AF8" s="103"/>
      <c r="AG8" s="91"/>
      <c r="AH8" s="91"/>
      <c r="AI8" s="92"/>
      <c r="AJ8" s="103">
        <f>SUM(BB27:BB33)</f>
        <v>24740.22</v>
      </c>
      <c r="AK8" s="91"/>
      <c r="AL8" s="91"/>
      <c r="AM8" s="92"/>
      <c r="AO8" s="91"/>
      <c r="AP8" s="91"/>
      <c r="AQ8" s="92"/>
      <c r="AR8" s="103"/>
      <c r="AS8" s="91"/>
      <c r="AT8" s="91"/>
      <c r="AU8" s="92"/>
      <c r="AV8" s="103">
        <f>SUM(BE27:BE33)</f>
        <v>53475.26</v>
      </c>
      <c r="AW8" s="91"/>
      <c r="AX8" s="91"/>
      <c r="AY8" s="92"/>
      <c r="AZ8" s="93"/>
      <c r="BA8" s="92"/>
      <c r="BB8" s="93"/>
      <c r="BC8" s="94"/>
      <c r="BD8" s="92"/>
      <c r="BE8" s="94"/>
      <c r="BF8" s="94"/>
      <c r="BG8" s="94"/>
    </row>
    <row r="9" spans="1:59" ht="13">
      <c r="A9" s="89" t="s">
        <v>145</v>
      </c>
      <c r="B9" s="101"/>
      <c r="C9" s="102"/>
      <c r="D9" s="104">
        <f>SUM(F16:F23)</f>
        <v>600.67999999999995</v>
      </c>
      <c r="E9" s="91"/>
      <c r="F9" s="91"/>
      <c r="G9" s="92"/>
      <c r="H9" s="104">
        <f>SUM(J16:J23)</f>
        <v>5137.57</v>
      </c>
      <c r="I9" s="91"/>
      <c r="J9" s="91"/>
      <c r="K9" s="92"/>
      <c r="L9" s="104">
        <f>SUM(N16:N23)</f>
        <v>11972.51</v>
      </c>
      <c r="M9" s="91"/>
      <c r="N9" s="91"/>
      <c r="O9" s="92"/>
      <c r="P9" s="104">
        <f>SUM(R16:R23)</f>
        <v>2092</v>
      </c>
      <c r="Q9" s="91"/>
      <c r="R9" s="91"/>
      <c r="S9" s="92"/>
      <c r="T9" s="104">
        <f>SUM(V16:V23)</f>
        <v>6505.11</v>
      </c>
      <c r="U9" s="91"/>
      <c r="V9" s="91"/>
      <c r="W9" s="92"/>
      <c r="X9" s="104">
        <f>SUM(Z16:Z23)</f>
        <v>2058.87</v>
      </c>
      <c r="Y9" s="91"/>
      <c r="Z9" s="91"/>
      <c r="AA9" s="92"/>
      <c r="AB9" s="104">
        <f>SUM(AD16:AD23)</f>
        <v>7559.25</v>
      </c>
      <c r="AC9" s="91"/>
      <c r="AD9" s="91"/>
      <c r="AE9" s="92"/>
      <c r="AF9" s="104">
        <f>SUM(AH16:AH23)</f>
        <v>3073.38</v>
      </c>
      <c r="AG9" s="91"/>
      <c r="AH9" s="91"/>
      <c r="AI9" s="92"/>
      <c r="AJ9" s="104">
        <f>SUM(AL16:AL23)</f>
        <v>2052.7399999999998</v>
      </c>
      <c r="AK9" s="91"/>
      <c r="AL9" s="91"/>
      <c r="AM9" s="92"/>
      <c r="AN9" s="104">
        <f>SUM(AP16:AP23)</f>
        <v>4423.8999999999996</v>
      </c>
      <c r="AO9" s="91"/>
      <c r="AP9" s="91"/>
      <c r="AQ9" s="92"/>
      <c r="AR9" s="104">
        <f>SUM(AT16:AT23)</f>
        <v>1629.61</v>
      </c>
      <c r="AS9" s="91"/>
      <c r="AT9" s="91"/>
      <c r="AU9" s="92"/>
      <c r="AV9" s="104">
        <f>SUM(AX16:AX23)</f>
        <v>3323.22</v>
      </c>
      <c r="AW9" s="91"/>
      <c r="AX9" s="91"/>
      <c r="AY9" s="92"/>
      <c r="AZ9" s="93">
        <f t="shared" ref="AZ9:AZ13" si="3">SUMIF($D$3:$AY$3,AZ$2,$D9:$AY9)</f>
        <v>17710.760000000002</v>
      </c>
      <c r="BA9" s="92"/>
      <c r="BB9" s="93">
        <f t="shared" ref="BB9:BB13" si="4">SUMIF($D$4:$AY$4,BB$2,$D9:$AY9)</f>
        <v>28366.74</v>
      </c>
      <c r="BC9" s="94"/>
      <c r="BD9" s="92"/>
      <c r="BE9" s="94">
        <f t="shared" ref="BE9:BE13" si="5">SUMIF($D$2:$AY$2,$BE$2,$D9:$AY9)</f>
        <v>50428.840000000004</v>
      </c>
      <c r="BF9" s="94"/>
      <c r="BG9" s="94"/>
    </row>
    <row r="10" spans="1:59" ht="13">
      <c r="A10" s="89" t="s">
        <v>146</v>
      </c>
      <c r="C10" s="61"/>
      <c r="D10" s="104">
        <f>D5-D6-D7+D9+D8</f>
        <v>357.13000000000068</v>
      </c>
      <c r="E10" s="91"/>
      <c r="F10" s="91"/>
      <c r="G10" s="92"/>
      <c r="H10" s="104">
        <f>H5-H6-H7+H9+H8</f>
        <v>-8085.8000000000011</v>
      </c>
      <c r="I10" s="91"/>
      <c r="J10" s="91"/>
      <c r="K10" s="92"/>
      <c r="L10" s="104">
        <f>L5-L6-L7+L9+L8</f>
        <v>-544.51000000000022</v>
      </c>
      <c r="M10" s="91"/>
      <c r="N10" s="91"/>
      <c r="O10" s="92"/>
      <c r="P10" s="104">
        <f>P5-P6-P7+P9+P8</f>
        <v>2955.1000000000004</v>
      </c>
      <c r="Q10" s="91"/>
      <c r="R10" s="91"/>
      <c r="S10" s="92"/>
      <c r="T10" s="104">
        <f>T5-T6-T7+T9+T8</f>
        <v>-6110.5999999999995</v>
      </c>
      <c r="U10" s="91"/>
      <c r="V10" s="91"/>
      <c r="W10" s="92"/>
      <c r="X10" s="104">
        <f>X5-X6-X7+X9+X8</f>
        <v>1737.5899999999992</v>
      </c>
      <c r="Y10" s="91"/>
      <c r="Z10" s="91"/>
      <c r="AA10" s="92"/>
      <c r="AB10" s="104">
        <f>AB5-AB6-AB7+AB9+AB8</f>
        <v>18657.89</v>
      </c>
      <c r="AC10" s="91"/>
      <c r="AD10" s="91"/>
      <c r="AE10" s="92"/>
      <c r="AF10" s="104">
        <f>AF5-AF6-AF7+AF9+AF8</f>
        <v>27181.84</v>
      </c>
      <c r="AG10" s="91"/>
      <c r="AH10" s="91"/>
      <c r="AI10" s="92"/>
      <c r="AJ10" s="104">
        <f>AJ5-AJ6-AJ7+AJ9+AJ8</f>
        <v>41920.53</v>
      </c>
      <c r="AK10" s="91"/>
      <c r="AL10" s="91"/>
      <c r="AM10" s="92"/>
      <c r="AN10" s="104">
        <f>AN5-AN6-AN7+AN9+AN8</f>
        <v>42658.78</v>
      </c>
      <c r="AO10" s="91"/>
      <c r="AP10" s="91"/>
      <c r="AQ10" s="92"/>
      <c r="AR10" s="104">
        <f>AR5-AR6-AR7+AR9+AR8</f>
        <v>23598.67</v>
      </c>
      <c r="AS10" s="91"/>
      <c r="AT10" s="91"/>
      <c r="AU10" s="92"/>
      <c r="AV10" s="104">
        <f>AV5-AV6-AV7+AV9+AV8</f>
        <v>17283.349999999999</v>
      </c>
      <c r="AW10" s="91"/>
      <c r="AX10" s="91"/>
      <c r="AY10" s="92"/>
      <c r="AZ10" s="93">
        <f t="shared" si="3"/>
        <v>-8273.18</v>
      </c>
      <c r="BA10" s="92"/>
      <c r="BB10" s="93">
        <f t="shared" si="4"/>
        <v>-9691.09</v>
      </c>
      <c r="BC10" s="94"/>
      <c r="BD10" s="92"/>
      <c r="BE10" s="94">
        <f t="shared" si="5"/>
        <v>161609.97</v>
      </c>
      <c r="BF10" s="94"/>
      <c r="BG10" s="94"/>
    </row>
    <row r="11" spans="1:59" ht="14">
      <c r="A11" s="89" t="s">
        <v>147</v>
      </c>
      <c r="C11" s="61"/>
      <c r="D11" s="90">
        <v>12500</v>
      </c>
      <c r="E11" s="91"/>
      <c r="F11" s="91"/>
      <c r="G11" s="92"/>
      <c r="H11" s="90">
        <v>12500</v>
      </c>
      <c r="I11" s="91"/>
      <c r="J11" s="91"/>
      <c r="K11" s="92"/>
      <c r="L11" s="90">
        <v>25000</v>
      </c>
      <c r="M11" s="91" t="s">
        <v>148</v>
      </c>
      <c r="N11" s="91"/>
      <c r="O11" s="92"/>
      <c r="P11" s="90">
        <v>32500</v>
      </c>
      <c r="Q11" s="91"/>
      <c r="R11" s="91"/>
      <c r="S11" s="92"/>
      <c r="T11" s="90">
        <v>0</v>
      </c>
      <c r="U11" s="91"/>
      <c r="V11" s="91"/>
      <c r="W11" s="92"/>
      <c r="X11" s="90">
        <v>12500</v>
      </c>
      <c r="Y11" s="91"/>
      <c r="Z11" s="91"/>
      <c r="AA11" s="92"/>
      <c r="AB11" s="90">
        <v>25000</v>
      </c>
      <c r="AC11" s="91"/>
      <c r="AD11" s="91"/>
      <c r="AE11" s="92"/>
      <c r="AF11" s="90">
        <v>18737</v>
      </c>
      <c r="AG11" s="91"/>
      <c r="AH11" s="91"/>
      <c r="AI11" s="92"/>
      <c r="AJ11" s="90">
        <v>80</v>
      </c>
      <c r="AK11" s="91"/>
      <c r="AL11" s="91"/>
      <c r="AM11" s="92"/>
      <c r="AN11" s="90">
        <v>52600.5</v>
      </c>
      <c r="AO11" s="91"/>
      <c r="AP11" s="91"/>
      <c r="AQ11" s="92"/>
      <c r="AR11" s="90">
        <v>12500</v>
      </c>
      <c r="AS11" s="91"/>
      <c r="AT11" s="91"/>
      <c r="AU11" s="92"/>
      <c r="AV11" s="90">
        <v>25000</v>
      </c>
      <c r="AW11" s="91"/>
      <c r="AX11" s="91"/>
      <c r="AY11" s="92"/>
      <c r="AZ11" s="93">
        <f t="shared" si="3"/>
        <v>50000</v>
      </c>
      <c r="BA11" s="92"/>
      <c r="BB11" s="93">
        <f t="shared" si="4"/>
        <v>95000</v>
      </c>
      <c r="BC11" s="94"/>
      <c r="BD11" s="92"/>
      <c r="BE11" s="94">
        <f t="shared" si="5"/>
        <v>228917.5</v>
      </c>
      <c r="BF11" s="94"/>
      <c r="BG11" s="94"/>
    </row>
    <row r="12" spans="1:59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/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4"/>
      <c r="BD12" s="92"/>
      <c r="BE12" s="94">
        <f t="shared" si="5"/>
        <v>0</v>
      </c>
      <c r="BF12" s="94"/>
      <c r="BG12" s="94"/>
    </row>
    <row r="13" spans="1:59" ht="14">
      <c r="A13" s="5" t="s">
        <v>151</v>
      </c>
      <c r="C13" s="61"/>
      <c r="D13" s="100">
        <f>D11+D12-D7</f>
        <v>0</v>
      </c>
      <c r="E13" s="91"/>
      <c r="F13" s="91"/>
      <c r="G13" s="92"/>
      <c r="H13" s="100">
        <f>H11+H12-H7</f>
        <v>0</v>
      </c>
      <c r="I13" s="91"/>
      <c r="J13" s="91"/>
      <c r="K13" s="92"/>
      <c r="L13" s="100">
        <f>L11+L12-L7</f>
        <v>12500</v>
      </c>
      <c r="M13" s="91"/>
      <c r="N13" s="91"/>
      <c r="O13" s="92"/>
      <c r="P13" s="100">
        <f>P11+P12-P7</f>
        <v>20000</v>
      </c>
      <c r="Q13" s="91"/>
      <c r="R13" s="91"/>
      <c r="S13" s="92"/>
      <c r="T13" s="100">
        <f>T11+T12-T7</f>
        <v>-12500</v>
      </c>
      <c r="U13" s="91"/>
      <c r="V13" s="91"/>
      <c r="W13" s="92"/>
      <c r="X13" s="100">
        <f>X11+X12-X7</f>
        <v>0</v>
      </c>
      <c r="Y13" s="91"/>
      <c r="Z13" s="91"/>
      <c r="AA13" s="92"/>
      <c r="AB13" s="100">
        <f>AB11+AB12-AB7</f>
        <v>12500</v>
      </c>
      <c r="AC13" s="91"/>
      <c r="AD13" s="91"/>
      <c r="AE13" s="92"/>
      <c r="AF13" s="100">
        <f>AF11+AF12-AF7</f>
        <v>6237</v>
      </c>
      <c r="AG13" s="91"/>
      <c r="AH13" s="91"/>
      <c r="AI13" s="92"/>
      <c r="AJ13" s="100">
        <f>AJ11+AJ12-AJ7</f>
        <v>-12420</v>
      </c>
      <c r="AK13" s="91"/>
      <c r="AL13" s="91"/>
      <c r="AM13" s="92"/>
      <c r="AN13" s="100">
        <f>AN11+AN12-AN7</f>
        <v>40100.5</v>
      </c>
      <c r="AO13" s="91"/>
      <c r="AP13" s="91"/>
      <c r="AQ13" s="92"/>
      <c r="AR13" s="100">
        <f>AR11+AR12-AR7</f>
        <v>0</v>
      </c>
      <c r="AS13" s="91"/>
      <c r="AT13" s="91"/>
      <c r="AU13" s="92"/>
      <c r="AV13" s="100">
        <f>AV11+AV12-AV7</f>
        <v>12500</v>
      </c>
      <c r="AW13" s="91"/>
      <c r="AX13" s="91"/>
      <c r="AY13" s="92"/>
      <c r="AZ13" s="93">
        <f t="shared" si="3"/>
        <v>12500</v>
      </c>
      <c r="BA13" s="92"/>
      <c r="BB13" s="93">
        <f t="shared" si="4"/>
        <v>20000</v>
      </c>
      <c r="BC13" s="94"/>
      <c r="BD13" s="92"/>
      <c r="BE13" s="94">
        <f t="shared" si="5"/>
        <v>78917.5</v>
      </c>
      <c r="BF13" s="94"/>
      <c r="BG13" s="94"/>
    </row>
    <row r="14" spans="1:59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1"/>
      <c r="BD14" s="92"/>
      <c r="BE14" s="91"/>
      <c r="BF14" s="91"/>
      <c r="BG14" s="91"/>
    </row>
    <row r="15" spans="1:59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100"/>
      <c r="BA15" s="92"/>
      <c r="BB15" s="100"/>
      <c r="BC15" s="91"/>
      <c r="BD15" s="92"/>
      <c r="BE15" s="91"/>
      <c r="BF15" s="91"/>
      <c r="BG15" s="91"/>
    </row>
    <row r="16" spans="1:59" ht="13">
      <c r="A16" s="89" t="s">
        <v>83</v>
      </c>
      <c r="B16" s="265"/>
      <c r="C16" s="121">
        <f>'Mirek Revised PS Model 2017'!BE22</f>
        <v>-83304.605492957751</v>
      </c>
      <c r="D16" s="53">
        <v>300</v>
      </c>
      <c r="E16" s="123">
        <f t="shared" ref="E16:E23" si="6">D$10*D16/D$24</f>
        <v>251.50000000000048</v>
      </c>
      <c r="F16" s="124">
        <v>600.67999999999995</v>
      </c>
      <c r="G16" s="123">
        <f t="shared" ref="G16:G23" si="7">E16-F16</f>
        <v>-349.1799999999995</v>
      </c>
      <c r="H16" s="214">
        <v>300</v>
      </c>
      <c r="I16" s="123">
        <f t="shared" ref="I16:I23" si="8">H$10*H16/H$24</f>
        <v>-5694.2253521126768</v>
      </c>
      <c r="J16" s="124">
        <v>5137.57</v>
      </c>
      <c r="K16" s="123">
        <f t="shared" ref="K16:K23" si="9">I16-J16</f>
        <v>-10831.795352112676</v>
      </c>
      <c r="L16" s="214">
        <v>300</v>
      </c>
      <c r="M16" s="123">
        <f t="shared" ref="M16:M23" si="10">L$10*L16/L$24</f>
        <v>-383.45774647887339</v>
      </c>
      <c r="N16" s="124">
        <v>11972.51</v>
      </c>
      <c r="O16" s="123">
        <f t="shared" ref="O16:O23" si="11">M16-N16</f>
        <v>-12355.967746478873</v>
      </c>
      <c r="P16" s="214">
        <v>300</v>
      </c>
      <c r="Q16" s="123">
        <f t="shared" ref="Q16:Q23" si="12">P$10*P16/P$24</f>
        <v>2081.0563380281692</v>
      </c>
      <c r="R16" s="124">
        <v>2092</v>
      </c>
      <c r="S16" s="123">
        <f t="shared" ref="S16:S23" si="13">Q16-R16</f>
        <v>-10.943661971830807</v>
      </c>
      <c r="T16" s="214">
        <v>300</v>
      </c>
      <c r="U16" s="123">
        <f t="shared" ref="U16:U23" si="14">T$10*T16/T$24</f>
        <v>-4303.2394366197177</v>
      </c>
      <c r="V16" s="124">
        <v>6505.11</v>
      </c>
      <c r="W16" s="123">
        <f t="shared" ref="W16:W23" si="15">U16-V16</f>
        <v>-10808.349436619717</v>
      </c>
      <c r="X16" s="214">
        <v>300</v>
      </c>
      <c r="Y16" s="123">
        <f t="shared" ref="Y16:Y23" si="16">X$10*X16/X$24</f>
        <v>1223.6549295774641</v>
      </c>
      <c r="Z16" s="124">
        <v>2058.87</v>
      </c>
      <c r="AA16" s="123">
        <f t="shared" ref="AA16:AA23" si="17">Y16-Z16</f>
        <v>-835.21507042253575</v>
      </c>
      <c r="AB16" s="214">
        <v>300</v>
      </c>
      <c r="AC16" s="123">
        <f t="shared" ref="AC16:AC23" si="18">AB$10*AB16/AB$24</f>
        <v>12706.849035187288</v>
      </c>
      <c r="AD16" s="124">
        <v>7559.25</v>
      </c>
      <c r="AE16" s="123">
        <f t="shared" ref="AE16:AE23" si="19">AC16-AD16</f>
        <v>5147.5990351872879</v>
      </c>
      <c r="AF16" s="214">
        <v>300</v>
      </c>
      <c r="AG16" s="123">
        <f t="shared" ref="AG16:AG23" si="20">AF$10*AF16/AF$24</f>
        <v>18512.036322360953</v>
      </c>
      <c r="AH16" s="124">
        <v>3073.38</v>
      </c>
      <c r="AI16" s="123">
        <f t="shared" ref="AI16:AI23" si="21">AG16-AH16</f>
        <v>15438.656322360952</v>
      </c>
      <c r="AJ16" s="214">
        <v>300</v>
      </c>
      <c r="AK16" s="123">
        <f t="shared" ref="AK16:AK23" si="22">AJ$10*AJ16/AJ$24</f>
        <v>28549.736662883086</v>
      </c>
      <c r="AL16" s="124">
        <v>2052.7399999999998</v>
      </c>
      <c r="AM16" s="123">
        <f t="shared" ref="AM16:AM23" si="23">AK16-AL16</f>
        <v>26496.996662883088</v>
      </c>
      <c r="AN16" s="214">
        <v>300</v>
      </c>
      <c r="AO16" s="123">
        <f t="shared" ref="AO16:AO23" si="24">AN$10*AN16/AN$24</f>
        <v>29052.517593643588</v>
      </c>
      <c r="AP16" s="124">
        <v>4423.8999999999996</v>
      </c>
      <c r="AQ16" s="123">
        <f t="shared" ref="AQ16:AQ23" si="25">AO16-AP16</f>
        <v>24628.61759364359</v>
      </c>
      <c r="AR16" s="214">
        <v>300</v>
      </c>
      <c r="AS16" s="123">
        <f t="shared" ref="AS16:AS23" si="26">AR$10*AR16/AR$24</f>
        <v>16071.738933030645</v>
      </c>
      <c r="AT16" s="124">
        <v>1629.61</v>
      </c>
      <c r="AU16" s="123">
        <f t="shared" ref="AU16:AU23" si="27">AS16-AT16</f>
        <v>14442.128933030644</v>
      </c>
      <c r="AV16" s="214">
        <v>300</v>
      </c>
      <c r="AW16" s="123">
        <f t="shared" ref="AW16:AW23" si="28">AV$10*AV16/AV$24</f>
        <v>11770.726447219069</v>
      </c>
      <c r="AX16" s="124">
        <v>3323.22</v>
      </c>
      <c r="AY16" s="126">
        <f t="shared" ref="AY16:AY23" si="29">AW16-AX16</f>
        <v>8447.5064472190697</v>
      </c>
      <c r="AZ16" s="127">
        <f t="shared" ref="AZ16:AZ23" si="30">IF($AV$3="1Q",AY16,0)+IF($AR$3="1Q",AU16,0)+IF($AN$3="1Q",AQ16,0)+IF($AJ$3="1Q",AM16,0)+IF($AF$3="1Q",AI16,0)+IF($AB$3="1Q",AE16,0)+IF($X$3="1Q",AA16,0)+IF($T$3="1Q",W16,0)+IF($P$3="1Q",S16,0)+IF($L$3="1Q",O16,0)+IF($H$3="1Q",K16,0)+IF($D$3="1Q",G16,0)</f>
        <v>-23536.94309859155</v>
      </c>
      <c r="BA16" s="128">
        <f t="shared" ref="BA16:BA23" si="31">AZ16+$C16</f>
        <v>-106841.5485915493</v>
      </c>
      <c r="BB16" s="127">
        <f t="shared" ref="BB16:BB23" si="32">IF($AV$4="1H",AY16,0)+IF($AR$4="1H",AU16,0)+IF($AN$4="1H",AQ16,0)+IF($AJ$4="1H",AM16,0)+IF($AF$4="1H",AI16,0)+IF($AB$4="1H",AE16,0)+IF($X$4="1H",AA16,0)+IF($T$4="1H",W16,0)+IF($P$4="1H",S16,0)+IF($L$4="1H",O16,0)+IF($H$4="1H",K16,0)+IF($D$4="1H",G16,0)</f>
        <v>-35191.451267605633</v>
      </c>
      <c r="BC16" s="127"/>
      <c r="BD16" s="128">
        <f t="shared" ref="BD16:BD23" si="33">BB16+$C16</f>
        <v>-118496.05676056338</v>
      </c>
      <c r="BE16" s="127">
        <f t="shared" ref="BE16:BE23" si="34">AY16+AU16+AQ16+AM16+AI16+AE16+AA16+W16+S16+O16+K16+G16</f>
        <v>59410.053726719016</v>
      </c>
      <c r="BF16" s="127"/>
      <c r="BG16" s="91">
        <f t="shared" ref="BG16:BG23" si="35">BE16+C16</f>
        <v>-23894.551766238736</v>
      </c>
    </row>
    <row r="17" spans="1:59" ht="13">
      <c r="A17" s="89" t="s">
        <v>209</v>
      </c>
      <c r="B17" s="265"/>
      <c r="C17" s="121">
        <f>'Revised PS Model 2017'!BE23</f>
        <v>22111.836513421556</v>
      </c>
      <c r="D17" s="53">
        <v>100</v>
      </c>
      <c r="E17" s="123">
        <f t="shared" si="6"/>
        <v>83.833333333333485</v>
      </c>
      <c r="F17" s="124"/>
      <c r="G17" s="123">
        <f t="shared" si="7"/>
        <v>83.833333333333485</v>
      </c>
      <c r="H17" s="214">
        <v>100</v>
      </c>
      <c r="I17" s="123">
        <f t="shared" si="8"/>
        <v>-1898.0751173708923</v>
      </c>
      <c r="J17" s="124"/>
      <c r="K17" s="123">
        <f t="shared" si="9"/>
        <v>-1898.0751173708923</v>
      </c>
      <c r="L17" s="214">
        <v>100</v>
      </c>
      <c r="M17" s="123">
        <f t="shared" si="10"/>
        <v>-127.81924882629113</v>
      </c>
      <c r="N17" s="124"/>
      <c r="O17" s="123">
        <f t="shared" si="11"/>
        <v>-127.81924882629113</v>
      </c>
      <c r="P17" s="214">
        <v>100</v>
      </c>
      <c r="Q17" s="123">
        <f t="shared" si="12"/>
        <v>693.68544600938981</v>
      </c>
      <c r="R17" s="124"/>
      <c r="S17" s="123">
        <f t="shared" si="13"/>
        <v>693.68544600938981</v>
      </c>
      <c r="T17" s="214">
        <v>100</v>
      </c>
      <c r="U17" s="123">
        <f t="shared" si="14"/>
        <v>-1434.4131455399061</v>
      </c>
      <c r="V17" s="124"/>
      <c r="W17" s="123">
        <f t="shared" si="15"/>
        <v>-1434.4131455399061</v>
      </c>
      <c r="X17" s="214">
        <v>100</v>
      </c>
      <c r="Y17" s="123">
        <f t="shared" si="16"/>
        <v>407.8849765258214</v>
      </c>
      <c r="Z17" s="124"/>
      <c r="AA17" s="123">
        <f t="shared" si="17"/>
        <v>407.8849765258214</v>
      </c>
      <c r="AB17" s="214">
        <v>100</v>
      </c>
      <c r="AC17" s="123">
        <f t="shared" si="18"/>
        <v>4235.616345062429</v>
      </c>
      <c r="AD17" s="124"/>
      <c r="AE17" s="123">
        <f t="shared" si="19"/>
        <v>4235.616345062429</v>
      </c>
      <c r="AF17" s="214">
        <v>100</v>
      </c>
      <c r="AG17" s="123">
        <f t="shared" si="20"/>
        <v>6170.6787741203179</v>
      </c>
      <c r="AH17" s="124"/>
      <c r="AI17" s="123">
        <f t="shared" si="21"/>
        <v>6170.6787741203179</v>
      </c>
      <c r="AJ17" s="214">
        <v>100</v>
      </c>
      <c r="AK17" s="123">
        <f t="shared" si="22"/>
        <v>9516.5788876276965</v>
      </c>
      <c r="AL17" s="124"/>
      <c r="AM17" s="123">
        <f t="shared" si="23"/>
        <v>9516.5788876276965</v>
      </c>
      <c r="AN17" s="214">
        <v>100</v>
      </c>
      <c r="AO17" s="123">
        <f t="shared" si="24"/>
        <v>9684.1725312145281</v>
      </c>
      <c r="AP17" s="124"/>
      <c r="AQ17" s="123">
        <f t="shared" si="25"/>
        <v>9684.1725312145281</v>
      </c>
      <c r="AR17" s="214">
        <v>100</v>
      </c>
      <c r="AS17" s="123">
        <f t="shared" si="26"/>
        <v>5357.2463110102153</v>
      </c>
      <c r="AT17" s="124"/>
      <c r="AU17" s="123">
        <f t="shared" si="27"/>
        <v>5357.2463110102153</v>
      </c>
      <c r="AV17" s="214">
        <v>100</v>
      </c>
      <c r="AW17" s="123">
        <f t="shared" si="28"/>
        <v>3923.5754824063561</v>
      </c>
      <c r="AX17" s="124"/>
      <c r="AY17" s="126">
        <f t="shared" si="29"/>
        <v>3923.5754824063561</v>
      </c>
      <c r="AZ17" s="127">
        <f t="shared" si="30"/>
        <v>-1942.06103286385</v>
      </c>
      <c r="BA17" s="128">
        <f t="shared" si="31"/>
        <v>20169.775480557706</v>
      </c>
      <c r="BB17" s="127">
        <f t="shared" si="32"/>
        <v>-2274.9037558685445</v>
      </c>
      <c r="BC17" s="127"/>
      <c r="BD17" s="128">
        <f t="shared" si="33"/>
        <v>19836.932757553011</v>
      </c>
      <c r="BE17" s="127">
        <f t="shared" si="34"/>
        <v>36612.964575573002</v>
      </c>
      <c r="BF17" s="127"/>
      <c r="BG17" s="91">
        <f t="shared" si="35"/>
        <v>58724.801088994558</v>
      </c>
    </row>
    <row r="18" spans="1:59" ht="13">
      <c r="A18" s="89" t="s">
        <v>61</v>
      </c>
      <c r="B18" s="265"/>
      <c r="C18" s="121">
        <f>'Revised PS Model 2017'!BE24</f>
        <v>2729.6399964125849</v>
      </c>
      <c r="D18" s="53">
        <v>13</v>
      </c>
      <c r="E18" s="123">
        <f t="shared" si="6"/>
        <v>10.898333333333353</v>
      </c>
      <c r="F18" s="124"/>
      <c r="G18" s="126">
        <f t="shared" si="7"/>
        <v>10.898333333333353</v>
      </c>
      <c r="H18" s="53">
        <v>13</v>
      </c>
      <c r="I18" s="123">
        <f t="shared" si="8"/>
        <v>-246.74976525821597</v>
      </c>
      <c r="J18" s="124"/>
      <c r="K18" s="126">
        <f t="shared" si="9"/>
        <v>-246.74976525821597</v>
      </c>
      <c r="L18" s="53">
        <v>13</v>
      </c>
      <c r="M18" s="123">
        <f t="shared" si="10"/>
        <v>-16.616502347417846</v>
      </c>
      <c r="N18" s="124"/>
      <c r="O18" s="126">
        <f t="shared" si="11"/>
        <v>-16.616502347417846</v>
      </c>
      <c r="P18" s="53">
        <v>13</v>
      </c>
      <c r="Q18" s="123">
        <f t="shared" si="12"/>
        <v>90.179107981220668</v>
      </c>
      <c r="R18" s="124"/>
      <c r="S18" s="126">
        <f t="shared" si="13"/>
        <v>90.179107981220668</v>
      </c>
      <c r="T18" s="53">
        <v>13</v>
      </c>
      <c r="U18" s="123">
        <f t="shared" si="14"/>
        <v>-186.47370892018776</v>
      </c>
      <c r="V18" s="124"/>
      <c r="W18" s="126">
        <f t="shared" si="15"/>
        <v>-186.47370892018776</v>
      </c>
      <c r="X18" s="53">
        <v>13</v>
      </c>
      <c r="Y18" s="123">
        <f t="shared" si="16"/>
        <v>53.025046948356788</v>
      </c>
      <c r="Z18" s="124"/>
      <c r="AA18" s="126">
        <f t="shared" si="17"/>
        <v>53.025046948356788</v>
      </c>
      <c r="AB18" s="53">
        <v>16</v>
      </c>
      <c r="AC18" s="123">
        <f t="shared" si="18"/>
        <v>677.69861520998859</v>
      </c>
      <c r="AD18" s="124"/>
      <c r="AE18" s="126">
        <f t="shared" si="19"/>
        <v>677.69861520998859</v>
      </c>
      <c r="AF18" s="53">
        <v>16</v>
      </c>
      <c r="AG18" s="123">
        <f t="shared" si="20"/>
        <v>987.30860385925087</v>
      </c>
      <c r="AH18" s="124"/>
      <c r="AI18" s="126">
        <f t="shared" si="21"/>
        <v>987.30860385925087</v>
      </c>
      <c r="AJ18" s="53">
        <v>16</v>
      </c>
      <c r="AK18" s="123">
        <f t="shared" si="22"/>
        <v>1522.6526220204312</v>
      </c>
      <c r="AL18" s="124"/>
      <c r="AM18" s="126">
        <f t="shared" si="23"/>
        <v>1522.6526220204312</v>
      </c>
      <c r="AN18" s="53">
        <v>16</v>
      </c>
      <c r="AO18" s="123">
        <f t="shared" si="24"/>
        <v>1549.4676049943246</v>
      </c>
      <c r="AP18" s="124"/>
      <c r="AQ18" s="126">
        <f t="shared" si="25"/>
        <v>1549.4676049943246</v>
      </c>
      <c r="AR18" s="53">
        <v>16</v>
      </c>
      <c r="AS18" s="123">
        <f t="shared" si="26"/>
        <v>857.15940976163449</v>
      </c>
      <c r="AT18" s="124"/>
      <c r="AU18" s="126">
        <f t="shared" si="27"/>
        <v>857.15940976163449</v>
      </c>
      <c r="AV18" s="53">
        <v>16</v>
      </c>
      <c r="AW18" s="123">
        <f t="shared" si="28"/>
        <v>627.772077185017</v>
      </c>
      <c r="AX18" s="124"/>
      <c r="AY18" s="126">
        <f t="shared" si="29"/>
        <v>627.772077185017</v>
      </c>
      <c r="AZ18" s="127">
        <f t="shared" si="30"/>
        <v>-252.46793427230048</v>
      </c>
      <c r="BA18" s="128">
        <f t="shared" si="31"/>
        <v>2477.1720621402842</v>
      </c>
      <c r="BB18" s="127">
        <f t="shared" si="32"/>
        <v>-295.73748826291074</v>
      </c>
      <c r="BC18" s="127"/>
      <c r="BD18" s="128">
        <f t="shared" si="33"/>
        <v>2433.9025081496743</v>
      </c>
      <c r="BE18" s="127">
        <f t="shared" si="34"/>
        <v>5926.3214447677374</v>
      </c>
      <c r="BF18" s="127"/>
      <c r="BG18" s="91">
        <f t="shared" si="35"/>
        <v>8655.9614411803232</v>
      </c>
    </row>
    <row r="19" spans="1:59" ht="13">
      <c r="A19" s="89" t="s">
        <v>65</v>
      </c>
      <c r="B19" s="265"/>
      <c r="C19" s="121">
        <f>'Revised PS Model 2017'!BE25</f>
        <v>2729.6399964125849</v>
      </c>
      <c r="D19" s="53">
        <v>13</v>
      </c>
      <c r="E19" s="123">
        <f t="shared" si="6"/>
        <v>10.898333333333353</v>
      </c>
      <c r="F19" s="124"/>
      <c r="G19" s="126">
        <f t="shared" si="7"/>
        <v>10.898333333333353</v>
      </c>
      <c r="H19" s="53">
        <v>13</v>
      </c>
      <c r="I19" s="123">
        <f t="shared" si="8"/>
        <v>-246.74976525821597</v>
      </c>
      <c r="J19" s="124"/>
      <c r="K19" s="126">
        <f t="shared" si="9"/>
        <v>-246.74976525821597</v>
      </c>
      <c r="L19" s="53">
        <v>13</v>
      </c>
      <c r="M19" s="123">
        <f t="shared" si="10"/>
        <v>-16.616502347417846</v>
      </c>
      <c r="N19" s="124"/>
      <c r="O19" s="126">
        <f t="shared" si="11"/>
        <v>-16.616502347417846</v>
      </c>
      <c r="P19" s="53">
        <v>13</v>
      </c>
      <c r="Q19" s="123">
        <f t="shared" si="12"/>
        <v>90.179107981220668</v>
      </c>
      <c r="R19" s="124"/>
      <c r="S19" s="126">
        <f t="shared" si="13"/>
        <v>90.179107981220668</v>
      </c>
      <c r="T19" s="53">
        <v>13</v>
      </c>
      <c r="U19" s="123">
        <f t="shared" si="14"/>
        <v>-186.47370892018776</v>
      </c>
      <c r="V19" s="124"/>
      <c r="W19" s="126">
        <f t="shared" si="15"/>
        <v>-186.47370892018776</v>
      </c>
      <c r="X19" s="53">
        <v>13</v>
      </c>
      <c r="Y19" s="123">
        <f t="shared" si="16"/>
        <v>53.025046948356788</v>
      </c>
      <c r="Z19" s="124"/>
      <c r="AA19" s="126">
        <f t="shared" si="17"/>
        <v>53.025046948356788</v>
      </c>
      <c r="AB19" s="53">
        <v>16</v>
      </c>
      <c r="AC19" s="123">
        <f t="shared" si="18"/>
        <v>677.69861520998859</v>
      </c>
      <c r="AD19" s="124"/>
      <c r="AE19" s="126">
        <f t="shared" si="19"/>
        <v>677.69861520998859</v>
      </c>
      <c r="AF19" s="53">
        <v>16</v>
      </c>
      <c r="AG19" s="123">
        <f t="shared" si="20"/>
        <v>987.30860385925087</v>
      </c>
      <c r="AH19" s="124"/>
      <c r="AI19" s="126">
        <f t="shared" si="21"/>
        <v>987.30860385925087</v>
      </c>
      <c r="AJ19" s="53">
        <v>16</v>
      </c>
      <c r="AK19" s="123">
        <f t="shared" si="22"/>
        <v>1522.6526220204312</v>
      </c>
      <c r="AL19" s="124"/>
      <c r="AM19" s="126">
        <f t="shared" si="23"/>
        <v>1522.6526220204312</v>
      </c>
      <c r="AN19" s="53">
        <v>16</v>
      </c>
      <c r="AO19" s="123">
        <f t="shared" si="24"/>
        <v>1549.4676049943246</v>
      </c>
      <c r="AP19" s="124"/>
      <c r="AQ19" s="126">
        <f t="shared" si="25"/>
        <v>1549.4676049943246</v>
      </c>
      <c r="AR19" s="53">
        <v>16</v>
      </c>
      <c r="AS19" s="123">
        <f t="shared" si="26"/>
        <v>857.15940976163449</v>
      </c>
      <c r="AT19" s="124"/>
      <c r="AU19" s="126">
        <f t="shared" si="27"/>
        <v>857.15940976163449</v>
      </c>
      <c r="AV19" s="53">
        <v>16</v>
      </c>
      <c r="AW19" s="123">
        <f t="shared" si="28"/>
        <v>627.772077185017</v>
      </c>
      <c r="AX19" s="124"/>
      <c r="AY19" s="126">
        <f t="shared" si="29"/>
        <v>627.772077185017</v>
      </c>
      <c r="AZ19" s="127">
        <f t="shared" si="30"/>
        <v>-252.46793427230048</v>
      </c>
      <c r="BA19" s="128">
        <f t="shared" si="31"/>
        <v>2477.1720621402842</v>
      </c>
      <c r="BB19" s="127">
        <f t="shared" si="32"/>
        <v>-295.73748826291074</v>
      </c>
      <c r="BC19" s="127"/>
      <c r="BD19" s="128">
        <f t="shared" si="33"/>
        <v>2433.9025081496743</v>
      </c>
      <c r="BE19" s="127">
        <f t="shared" si="34"/>
        <v>5926.3214447677374</v>
      </c>
      <c r="BF19" s="127"/>
      <c r="BG19" s="91">
        <f t="shared" si="35"/>
        <v>8655.9614411803232</v>
      </c>
    </row>
    <row r="20" spans="1:59" ht="14">
      <c r="A20" s="89" t="s">
        <v>210</v>
      </c>
      <c r="B20" s="265"/>
      <c r="C20" s="121">
        <f>'Revised PS Model 2017'!BE26</f>
        <v>0</v>
      </c>
      <c r="D20" s="53"/>
      <c r="E20" s="123">
        <f t="shared" si="6"/>
        <v>0</v>
      </c>
      <c r="F20" s="124"/>
      <c r="G20" s="126">
        <f t="shared" si="7"/>
        <v>0</v>
      </c>
      <c r="H20" s="53"/>
      <c r="I20" s="123">
        <f t="shared" si="8"/>
        <v>0</v>
      </c>
      <c r="J20" s="124"/>
      <c r="K20" s="126">
        <f t="shared" si="9"/>
        <v>0</v>
      </c>
      <c r="L20" s="53"/>
      <c r="M20" s="123">
        <f t="shared" si="10"/>
        <v>0</v>
      </c>
      <c r="N20" s="124"/>
      <c r="O20" s="126">
        <f t="shared" si="11"/>
        <v>0</v>
      </c>
      <c r="P20" s="53"/>
      <c r="Q20" s="123">
        <f t="shared" si="12"/>
        <v>0</v>
      </c>
      <c r="R20" s="124"/>
      <c r="S20" s="126">
        <f t="shared" si="13"/>
        <v>0</v>
      </c>
      <c r="T20" s="53"/>
      <c r="U20" s="123">
        <f t="shared" si="14"/>
        <v>0</v>
      </c>
      <c r="V20" s="124"/>
      <c r="W20" s="126">
        <f t="shared" si="15"/>
        <v>0</v>
      </c>
      <c r="X20" s="53"/>
      <c r="Y20" s="123">
        <f t="shared" si="16"/>
        <v>0</v>
      </c>
      <c r="Z20" s="124"/>
      <c r="AA20" s="126">
        <f t="shared" si="17"/>
        <v>0</v>
      </c>
      <c r="AB20" s="53">
        <v>2.5</v>
      </c>
      <c r="AC20" s="123">
        <f t="shared" si="18"/>
        <v>105.89040862656073</v>
      </c>
      <c r="AD20" s="124"/>
      <c r="AE20" s="126">
        <f t="shared" si="19"/>
        <v>105.89040862656073</v>
      </c>
      <c r="AF20" s="53">
        <v>2.5</v>
      </c>
      <c r="AG20" s="123">
        <f t="shared" si="20"/>
        <v>154.26696935300797</v>
      </c>
      <c r="AH20" s="124"/>
      <c r="AI20" s="126">
        <f t="shared" si="21"/>
        <v>154.26696935300797</v>
      </c>
      <c r="AJ20" s="53">
        <v>2.5</v>
      </c>
      <c r="AK20" s="123">
        <f t="shared" si="22"/>
        <v>237.91447219069238</v>
      </c>
      <c r="AL20" s="124"/>
      <c r="AM20" s="126">
        <f t="shared" si="23"/>
        <v>237.91447219069238</v>
      </c>
      <c r="AN20" s="53">
        <v>2.5</v>
      </c>
      <c r="AO20" s="123">
        <f t="shared" si="24"/>
        <v>242.10431328036321</v>
      </c>
      <c r="AP20" s="124"/>
      <c r="AQ20" s="126">
        <f t="shared" si="25"/>
        <v>242.10431328036321</v>
      </c>
      <c r="AR20" s="53">
        <v>2.5</v>
      </c>
      <c r="AS20" s="123">
        <f t="shared" si="26"/>
        <v>133.93115777525537</v>
      </c>
      <c r="AT20" s="124"/>
      <c r="AU20" s="126">
        <f t="shared" si="27"/>
        <v>133.93115777525537</v>
      </c>
      <c r="AV20" s="53">
        <v>2.5</v>
      </c>
      <c r="AW20" s="123">
        <f t="shared" si="28"/>
        <v>98.089387060158913</v>
      </c>
      <c r="AX20" s="124"/>
      <c r="AY20" s="126">
        <f t="shared" si="29"/>
        <v>98.089387060158913</v>
      </c>
      <c r="AZ20" s="127">
        <f t="shared" si="30"/>
        <v>0</v>
      </c>
      <c r="BA20" s="128">
        <f t="shared" si="31"/>
        <v>0</v>
      </c>
      <c r="BB20" s="127">
        <f t="shared" si="32"/>
        <v>0</v>
      </c>
      <c r="BC20" s="127"/>
      <c r="BD20" s="128">
        <f t="shared" si="33"/>
        <v>0</v>
      </c>
      <c r="BE20" s="127">
        <f t="shared" si="34"/>
        <v>972.19670828603864</v>
      </c>
      <c r="BF20" s="127"/>
      <c r="BG20" s="91">
        <f t="shared" si="35"/>
        <v>972.19670828603864</v>
      </c>
    </row>
    <row r="21" spans="1:59" ht="14">
      <c r="A21" s="132" t="s">
        <v>254</v>
      </c>
      <c r="B21" s="267"/>
      <c r="C21" s="270">
        <f>'Revised PS Model 2017'!BE27</f>
        <v>0</v>
      </c>
      <c r="D21" s="178"/>
      <c r="E21" s="134">
        <f t="shared" si="6"/>
        <v>0</v>
      </c>
      <c r="F21" s="135"/>
      <c r="G21" s="136">
        <f t="shared" si="7"/>
        <v>0</v>
      </c>
      <c r="H21" s="178"/>
      <c r="I21" s="134">
        <f t="shared" si="8"/>
        <v>0</v>
      </c>
      <c r="J21" s="135"/>
      <c r="K21" s="136">
        <f t="shared" si="9"/>
        <v>0</v>
      </c>
      <c r="L21" s="178"/>
      <c r="M21" s="134">
        <f t="shared" si="10"/>
        <v>0</v>
      </c>
      <c r="N21" s="135"/>
      <c r="O21" s="136">
        <f t="shared" si="11"/>
        <v>0</v>
      </c>
      <c r="P21" s="178"/>
      <c r="Q21" s="134">
        <f t="shared" si="12"/>
        <v>0</v>
      </c>
      <c r="R21" s="135"/>
      <c r="S21" s="136">
        <f t="shared" si="13"/>
        <v>0</v>
      </c>
      <c r="T21" s="178"/>
      <c r="U21" s="134">
        <f t="shared" si="14"/>
        <v>0</v>
      </c>
      <c r="V21" s="135"/>
      <c r="W21" s="136">
        <f t="shared" si="15"/>
        <v>0</v>
      </c>
      <c r="X21" s="178"/>
      <c r="Y21" s="134">
        <f t="shared" si="16"/>
        <v>0</v>
      </c>
      <c r="Z21" s="135"/>
      <c r="AA21" s="136">
        <f t="shared" si="17"/>
        <v>0</v>
      </c>
      <c r="AB21" s="178">
        <v>2.5</v>
      </c>
      <c r="AC21" s="134">
        <f t="shared" si="18"/>
        <v>105.89040862656073</v>
      </c>
      <c r="AD21" s="135"/>
      <c r="AE21" s="136">
        <f t="shared" si="19"/>
        <v>105.89040862656073</v>
      </c>
      <c r="AF21" s="178">
        <v>2.5</v>
      </c>
      <c r="AG21" s="134">
        <f t="shared" si="20"/>
        <v>154.26696935300797</v>
      </c>
      <c r="AH21" s="135"/>
      <c r="AI21" s="136">
        <f t="shared" si="21"/>
        <v>154.26696935300797</v>
      </c>
      <c r="AJ21" s="178">
        <v>2.5</v>
      </c>
      <c r="AK21" s="134">
        <f t="shared" si="22"/>
        <v>237.91447219069238</v>
      </c>
      <c r="AL21" s="135"/>
      <c r="AM21" s="136">
        <f t="shared" si="23"/>
        <v>237.91447219069238</v>
      </c>
      <c r="AN21" s="178">
        <v>2.5</v>
      </c>
      <c r="AO21" s="134">
        <f t="shared" si="24"/>
        <v>242.10431328036321</v>
      </c>
      <c r="AP21" s="135"/>
      <c r="AQ21" s="136">
        <f t="shared" si="25"/>
        <v>242.10431328036321</v>
      </c>
      <c r="AR21" s="178">
        <v>2.5</v>
      </c>
      <c r="AS21" s="134">
        <f t="shared" si="26"/>
        <v>133.93115777525537</v>
      </c>
      <c r="AT21" s="135"/>
      <c r="AU21" s="136">
        <f t="shared" si="27"/>
        <v>133.93115777525537</v>
      </c>
      <c r="AV21" s="178">
        <v>2.5</v>
      </c>
      <c r="AW21" s="134">
        <f t="shared" si="28"/>
        <v>98.089387060158913</v>
      </c>
      <c r="AX21" s="135"/>
      <c r="AY21" s="136">
        <f t="shared" si="29"/>
        <v>98.089387060158913</v>
      </c>
      <c r="AZ21" s="138">
        <f t="shared" si="30"/>
        <v>0</v>
      </c>
      <c r="BA21" s="137">
        <f t="shared" si="31"/>
        <v>0</v>
      </c>
      <c r="BB21" s="138">
        <f t="shared" si="32"/>
        <v>0</v>
      </c>
      <c r="BC21" s="138"/>
      <c r="BD21" s="137">
        <f t="shared" si="33"/>
        <v>0</v>
      </c>
      <c r="BE21" s="138">
        <f t="shared" si="34"/>
        <v>972.19670828603864</v>
      </c>
      <c r="BF21" s="138"/>
      <c r="BG21" s="140">
        <f t="shared" si="35"/>
        <v>972.19670828603864</v>
      </c>
    </row>
    <row r="22" spans="1:59" ht="14">
      <c r="A22" s="132" t="s">
        <v>255</v>
      </c>
      <c r="B22" s="267"/>
      <c r="C22" s="270">
        <f>'Revised PS Model 2017'!BE28</f>
        <v>0</v>
      </c>
      <c r="D22" s="178"/>
      <c r="E22" s="134">
        <f t="shared" si="6"/>
        <v>0</v>
      </c>
      <c r="F22" s="135"/>
      <c r="G22" s="136">
        <f t="shared" si="7"/>
        <v>0</v>
      </c>
      <c r="H22" s="178"/>
      <c r="I22" s="134">
        <f t="shared" si="8"/>
        <v>0</v>
      </c>
      <c r="J22" s="135"/>
      <c r="K22" s="136">
        <f t="shared" si="9"/>
        <v>0</v>
      </c>
      <c r="L22" s="178"/>
      <c r="M22" s="134">
        <f t="shared" si="10"/>
        <v>0</v>
      </c>
      <c r="N22" s="135"/>
      <c r="O22" s="136">
        <f t="shared" si="11"/>
        <v>0</v>
      </c>
      <c r="P22" s="178"/>
      <c r="Q22" s="134">
        <f t="shared" si="12"/>
        <v>0</v>
      </c>
      <c r="R22" s="135"/>
      <c r="S22" s="136">
        <f t="shared" si="13"/>
        <v>0</v>
      </c>
      <c r="T22" s="178"/>
      <c r="U22" s="134">
        <f t="shared" si="14"/>
        <v>0</v>
      </c>
      <c r="V22" s="135"/>
      <c r="W22" s="136">
        <f t="shared" si="15"/>
        <v>0</v>
      </c>
      <c r="X22" s="178"/>
      <c r="Y22" s="134">
        <f t="shared" si="16"/>
        <v>0</v>
      </c>
      <c r="Z22" s="135"/>
      <c r="AA22" s="136">
        <f t="shared" si="17"/>
        <v>0</v>
      </c>
      <c r="AB22" s="178">
        <v>2.5</v>
      </c>
      <c r="AC22" s="134">
        <f t="shared" si="18"/>
        <v>105.89040862656073</v>
      </c>
      <c r="AD22" s="135"/>
      <c r="AE22" s="136">
        <f t="shared" si="19"/>
        <v>105.89040862656073</v>
      </c>
      <c r="AF22" s="178">
        <v>2.5</v>
      </c>
      <c r="AG22" s="134">
        <f t="shared" si="20"/>
        <v>154.26696935300797</v>
      </c>
      <c r="AH22" s="135"/>
      <c r="AI22" s="136">
        <f t="shared" si="21"/>
        <v>154.26696935300797</v>
      </c>
      <c r="AJ22" s="178">
        <v>2.5</v>
      </c>
      <c r="AK22" s="134">
        <f t="shared" si="22"/>
        <v>237.91447219069238</v>
      </c>
      <c r="AL22" s="135"/>
      <c r="AM22" s="136">
        <f t="shared" si="23"/>
        <v>237.91447219069238</v>
      </c>
      <c r="AN22" s="178">
        <v>2.5</v>
      </c>
      <c r="AO22" s="134">
        <f t="shared" si="24"/>
        <v>242.10431328036321</v>
      </c>
      <c r="AP22" s="135"/>
      <c r="AQ22" s="136">
        <f t="shared" si="25"/>
        <v>242.10431328036321</v>
      </c>
      <c r="AR22" s="178">
        <v>2.5</v>
      </c>
      <c r="AS22" s="134">
        <f t="shared" si="26"/>
        <v>133.93115777525537</v>
      </c>
      <c r="AT22" s="135"/>
      <c r="AU22" s="136">
        <f t="shared" si="27"/>
        <v>133.93115777525537</v>
      </c>
      <c r="AV22" s="178">
        <v>2.5</v>
      </c>
      <c r="AW22" s="134">
        <f t="shared" si="28"/>
        <v>98.089387060158913</v>
      </c>
      <c r="AX22" s="135"/>
      <c r="AY22" s="136">
        <f t="shared" si="29"/>
        <v>98.089387060158913</v>
      </c>
      <c r="AZ22" s="138">
        <f t="shared" si="30"/>
        <v>0</v>
      </c>
      <c r="BA22" s="137">
        <f t="shared" si="31"/>
        <v>0</v>
      </c>
      <c r="BB22" s="138">
        <f t="shared" si="32"/>
        <v>0</v>
      </c>
      <c r="BC22" s="138"/>
      <c r="BD22" s="137">
        <f t="shared" si="33"/>
        <v>0</v>
      </c>
      <c r="BE22" s="138">
        <f t="shared" si="34"/>
        <v>972.19670828603864</v>
      </c>
      <c r="BF22" s="138"/>
      <c r="BG22" s="140">
        <f t="shared" si="35"/>
        <v>972.19670828603864</v>
      </c>
    </row>
    <row r="23" spans="1:59" ht="14">
      <c r="A23" s="132" t="s">
        <v>211</v>
      </c>
      <c r="B23" s="267"/>
      <c r="C23" s="270">
        <f>'Revised PS Model 2017'!BE29</f>
        <v>0</v>
      </c>
      <c r="D23" s="178"/>
      <c r="E23" s="134">
        <f t="shared" si="6"/>
        <v>0</v>
      </c>
      <c r="F23" s="135"/>
      <c r="G23" s="136">
        <f t="shared" si="7"/>
        <v>0</v>
      </c>
      <c r="H23" s="178"/>
      <c r="I23" s="134">
        <f t="shared" si="8"/>
        <v>0</v>
      </c>
      <c r="J23" s="135"/>
      <c r="K23" s="136">
        <f t="shared" si="9"/>
        <v>0</v>
      </c>
      <c r="L23" s="178"/>
      <c r="M23" s="134">
        <f t="shared" si="10"/>
        <v>0</v>
      </c>
      <c r="N23" s="135"/>
      <c r="O23" s="136">
        <f t="shared" si="11"/>
        <v>0</v>
      </c>
      <c r="P23" s="178"/>
      <c r="Q23" s="134">
        <f t="shared" si="12"/>
        <v>0</v>
      </c>
      <c r="R23" s="135"/>
      <c r="S23" s="136">
        <f t="shared" si="13"/>
        <v>0</v>
      </c>
      <c r="T23" s="178"/>
      <c r="U23" s="134">
        <f t="shared" si="14"/>
        <v>0</v>
      </c>
      <c r="V23" s="135"/>
      <c r="W23" s="136">
        <f t="shared" si="15"/>
        <v>0</v>
      </c>
      <c r="X23" s="178"/>
      <c r="Y23" s="134">
        <f t="shared" si="16"/>
        <v>0</v>
      </c>
      <c r="Z23" s="135"/>
      <c r="AA23" s="136">
        <f t="shared" si="17"/>
        <v>0</v>
      </c>
      <c r="AB23" s="178">
        <v>1</v>
      </c>
      <c r="AC23" s="134">
        <f t="shared" si="18"/>
        <v>42.356163450624287</v>
      </c>
      <c r="AD23" s="135"/>
      <c r="AE23" s="136">
        <f t="shared" si="19"/>
        <v>42.356163450624287</v>
      </c>
      <c r="AF23" s="178">
        <v>1</v>
      </c>
      <c r="AG23" s="134">
        <f t="shared" si="20"/>
        <v>61.706787741203179</v>
      </c>
      <c r="AH23" s="135"/>
      <c r="AI23" s="136">
        <f t="shared" si="21"/>
        <v>61.706787741203179</v>
      </c>
      <c r="AJ23" s="178">
        <v>1</v>
      </c>
      <c r="AK23" s="134">
        <f t="shared" si="22"/>
        <v>95.165788876276949</v>
      </c>
      <c r="AL23" s="135"/>
      <c r="AM23" s="136">
        <f t="shared" si="23"/>
        <v>95.165788876276949</v>
      </c>
      <c r="AN23" s="178">
        <v>1</v>
      </c>
      <c r="AO23" s="134">
        <f t="shared" si="24"/>
        <v>96.841725312145286</v>
      </c>
      <c r="AP23" s="135"/>
      <c r="AQ23" s="136">
        <f t="shared" si="25"/>
        <v>96.841725312145286</v>
      </c>
      <c r="AR23" s="178">
        <v>1</v>
      </c>
      <c r="AS23" s="134">
        <f t="shared" si="26"/>
        <v>53.572463110102156</v>
      </c>
      <c r="AT23" s="135"/>
      <c r="AU23" s="136">
        <f t="shared" si="27"/>
        <v>53.572463110102156</v>
      </c>
      <c r="AV23" s="178">
        <v>1</v>
      </c>
      <c r="AW23" s="134">
        <f t="shared" si="28"/>
        <v>39.235754824063562</v>
      </c>
      <c r="AX23" s="135"/>
      <c r="AY23" s="136">
        <f t="shared" si="29"/>
        <v>39.235754824063562</v>
      </c>
      <c r="AZ23" s="138">
        <f t="shared" si="30"/>
        <v>0</v>
      </c>
      <c r="BA23" s="137">
        <f t="shared" si="31"/>
        <v>0</v>
      </c>
      <c r="BB23" s="138">
        <f t="shared" si="32"/>
        <v>0</v>
      </c>
      <c r="BC23" s="138"/>
      <c r="BD23" s="137">
        <f t="shared" si="33"/>
        <v>0</v>
      </c>
      <c r="BE23" s="138">
        <f t="shared" si="34"/>
        <v>388.87868331441547</v>
      </c>
      <c r="BF23" s="138"/>
      <c r="BG23" s="140">
        <f t="shared" si="35"/>
        <v>388.87868331441547</v>
      </c>
    </row>
    <row r="24" spans="1:59" ht="13">
      <c r="A24" s="89"/>
      <c r="C24" s="61"/>
      <c r="D24" s="148">
        <f t="shared" ref="D24:E24" si="36">SUM(D16:D23)</f>
        <v>426</v>
      </c>
      <c r="E24" s="149">
        <f t="shared" si="36"/>
        <v>357.13000000000068</v>
      </c>
      <c r="F24" s="91"/>
      <c r="G24" s="91"/>
      <c r="H24" s="148">
        <f t="shared" ref="H24:I24" si="37">SUM(H16:H23)</f>
        <v>426</v>
      </c>
      <c r="I24" s="149">
        <f t="shared" si="37"/>
        <v>-8085.8000000000011</v>
      </c>
      <c r="J24" s="91"/>
      <c r="K24" s="91"/>
      <c r="L24" s="148">
        <f t="shared" ref="L24:M24" si="38">SUM(L16:L23)</f>
        <v>426</v>
      </c>
      <c r="M24" s="149">
        <f t="shared" si="38"/>
        <v>-544.51000000000022</v>
      </c>
      <c r="N24" s="91"/>
      <c r="O24" s="91"/>
      <c r="P24" s="148">
        <f t="shared" ref="P24:Q24" si="39">SUM(P16:P23)</f>
        <v>426</v>
      </c>
      <c r="Q24" s="149">
        <f t="shared" si="39"/>
        <v>2955.1000000000004</v>
      </c>
      <c r="R24" s="91"/>
      <c r="S24" s="91"/>
      <c r="T24" s="148">
        <f t="shared" ref="T24:U24" si="40">SUM(T16:T23)</f>
        <v>426</v>
      </c>
      <c r="U24" s="149">
        <f t="shared" si="40"/>
        <v>-6110.6</v>
      </c>
      <c r="V24" s="91"/>
      <c r="W24" s="91"/>
      <c r="X24" s="148">
        <f t="shared" ref="X24:Y24" si="41">SUM(X16:X23)</f>
        <v>426</v>
      </c>
      <c r="Y24" s="149">
        <f t="shared" si="41"/>
        <v>1737.589999999999</v>
      </c>
      <c r="Z24" s="91"/>
      <c r="AA24" s="91"/>
      <c r="AB24" s="148">
        <f t="shared" ref="AB24:AC24" si="42">SUM(AB16:AB23)</f>
        <v>440.5</v>
      </c>
      <c r="AC24" s="149">
        <f t="shared" si="42"/>
        <v>18657.890000000003</v>
      </c>
      <c r="AD24" s="91"/>
      <c r="AE24" s="91"/>
      <c r="AF24" s="148">
        <f t="shared" ref="AF24:AG24" si="43">SUM(AF16:AF23)</f>
        <v>440.5</v>
      </c>
      <c r="AG24" s="149">
        <f t="shared" si="43"/>
        <v>27181.840000000004</v>
      </c>
      <c r="AH24" s="91"/>
      <c r="AI24" s="91"/>
      <c r="AJ24" s="148">
        <f t="shared" ref="AJ24:AK24" si="44">SUM(AJ16:AJ23)</f>
        <v>440.5</v>
      </c>
      <c r="AK24" s="149">
        <f t="shared" si="44"/>
        <v>41920.530000000006</v>
      </c>
      <c r="AL24" s="91"/>
      <c r="AM24" s="91"/>
      <c r="AN24" s="148">
        <f t="shared" ref="AN24:AO24" si="45">SUM(AN16:AN23)</f>
        <v>440.5</v>
      </c>
      <c r="AO24" s="149">
        <f t="shared" si="45"/>
        <v>42658.779999999984</v>
      </c>
      <c r="AP24" s="91"/>
      <c r="AQ24" s="91"/>
      <c r="AR24" s="148">
        <f t="shared" ref="AR24:AS24" si="46">SUM(AR16:AR23)</f>
        <v>440.5</v>
      </c>
      <c r="AS24" s="149">
        <f t="shared" si="46"/>
        <v>23598.670000000006</v>
      </c>
      <c r="AT24" s="91"/>
      <c r="AU24" s="91"/>
      <c r="AV24" s="148">
        <f t="shared" ref="AV24:AW24" si="47">SUM(AV16:AV23)</f>
        <v>440.5</v>
      </c>
      <c r="AW24" s="149">
        <f t="shared" si="47"/>
        <v>17283.349999999995</v>
      </c>
      <c r="AX24" s="124"/>
      <c r="AY24" s="92"/>
      <c r="AZ24" s="91"/>
      <c r="BA24" s="150"/>
      <c r="BB24" s="91"/>
      <c r="BC24" s="91"/>
      <c r="BD24" s="150"/>
    </row>
    <row r="25" spans="1:59" ht="14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X25" s="151"/>
      <c r="AY25" s="92"/>
      <c r="AZ25" s="216" t="str">
        <f>"Paid for "&amp;AZ2</f>
        <v>Paid for 1Q</v>
      </c>
      <c r="BA25" s="217" t="s">
        <v>256</v>
      </c>
      <c r="BB25" s="216" t="str">
        <f>"Paid for "&amp;BB2</f>
        <v>Paid for 1H</v>
      </c>
      <c r="BC25" s="216" t="s">
        <v>270</v>
      </c>
      <c r="BD25" s="217" t="s">
        <v>256</v>
      </c>
      <c r="BE25" s="216" t="str">
        <f>"Paid for "&amp;BE2</f>
        <v>Paid for 2018</v>
      </c>
      <c r="BF25" s="216" t="s">
        <v>270</v>
      </c>
      <c r="BG25" s="217" t="s">
        <v>256</v>
      </c>
    </row>
    <row r="26" spans="1:59" ht="13">
      <c r="A26" s="89"/>
      <c r="B26" s="5"/>
      <c r="C26" s="61"/>
      <c r="D26" s="10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W26" s="151"/>
      <c r="AY26" s="245" t="s">
        <v>83</v>
      </c>
      <c r="AZ26" s="200">
        <f>AZ13</f>
        <v>12500</v>
      </c>
      <c r="BA26" s="271">
        <f t="shared" ref="BA26:BA33" si="48">BA16-AZ26</f>
        <v>-119341.5485915493</v>
      </c>
      <c r="BB26" s="263">
        <f>BB13-AZ13</f>
        <v>7500</v>
      </c>
      <c r="BC26" s="263">
        <f t="shared" ref="BC26:BC33" si="49">AZ26+BB26</f>
        <v>20000</v>
      </c>
      <c r="BD26" s="272">
        <f t="shared" ref="BD26:BD33" si="50">BD16-BC26</f>
        <v>-138496.0567605634</v>
      </c>
      <c r="BE26" s="263">
        <f>BE13-BB13</f>
        <v>58917.5</v>
      </c>
      <c r="BF26" s="263">
        <f t="shared" ref="BF26:BF33" si="51">BC26+BE26</f>
        <v>78917.5</v>
      </c>
      <c r="BG26" s="272">
        <f t="shared" ref="BG26:BG33" si="52">BG16-BF26</f>
        <v>-102812.05176623873</v>
      </c>
    </row>
    <row r="27" spans="1:59" ht="13">
      <c r="A27" s="89"/>
      <c r="B27" s="5"/>
      <c r="C27" s="61"/>
      <c r="D27" s="100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W27" s="151"/>
      <c r="AY27" s="250" t="s">
        <v>209</v>
      </c>
      <c r="AZ27" s="90">
        <v>0</v>
      </c>
      <c r="BA27" s="273">
        <f t="shared" si="48"/>
        <v>20169.775480557706</v>
      </c>
      <c r="BB27" s="90">
        <v>19865.099999999999</v>
      </c>
      <c r="BC27" s="263">
        <f t="shared" si="49"/>
        <v>19865.099999999999</v>
      </c>
      <c r="BD27" s="272">
        <f t="shared" si="50"/>
        <v>-28.167242446987075</v>
      </c>
      <c r="BE27" s="90">
        <v>38057.769999999997</v>
      </c>
      <c r="BF27" s="263">
        <f t="shared" si="51"/>
        <v>57922.869999999995</v>
      </c>
      <c r="BG27" s="272">
        <f t="shared" si="52"/>
        <v>801.93108899456274</v>
      </c>
    </row>
    <row r="28" spans="1:59" ht="13">
      <c r="A28" s="89"/>
      <c r="B28" s="5"/>
      <c r="C28" s="61"/>
      <c r="D28" s="100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W28" s="151"/>
      <c r="AY28" s="250" t="s">
        <v>61</v>
      </c>
      <c r="AZ28" s="90">
        <v>0</v>
      </c>
      <c r="BA28" s="273">
        <f t="shared" si="48"/>
        <v>2477.1720621402842</v>
      </c>
      <c r="BB28" s="90">
        <v>2437.56</v>
      </c>
      <c r="BC28" s="263">
        <f t="shared" si="49"/>
        <v>2437.56</v>
      </c>
      <c r="BD28" s="272">
        <f t="shared" si="50"/>
        <v>-3.6574918503256413</v>
      </c>
      <c r="BE28" s="90">
        <v>6090.09</v>
      </c>
      <c r="BF28" s="263">
        <f t="shared" si="51"/>
        <v>8527.65</v>
      </c>
      <c r="BG28" s="272">
        <f t="shared" si="52"/>
        <v>128.31144118032353</v>
      </c>
    </row>
    <row r="29" spans="1:59" ht="13">
      <c r="A29" s="89"/>
      <c r="B29" s="5"/>
      <c r="C29" s="61"/>
      <c r="D29" s="100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W29" s="151"/>
      <c r="AY29" s="253" t="s">
        <v>65</v>
      </c>
      <c r="AZ29" s="90">
        <v>0</v>
      </c>
      <c r="BA29" s="140">
        <f t="shared" si="48"/>
        <v>2477.1720621402842</v>
      </c>
      <c r="BB29" s="90">
        <v>2437.56</v>
      </c>
      <c r="BC29" s="263">
        <f t="shared" si="49"/>
        <v>2437.56</v>
      </c>
      <c r="BD29" s="272">
        <f t="shared" si="50"/>
        <v>-3.6574918503256413</v>
      </c>
      <c r="BE29" s="90">
        <v>6090.09</v>
      </c>
      <c r="BF29" s="263">
        <f t="shared" si="51"/>
        <v>8527.65</v>
      </c>
      <c r="BG29" s="272">
        <f t="shared" si="52"/>
        <v>128.31144118032353</v>
      </c>
    </row>
    <row r="30" spans="1:59" ht="13">
      <c r="A30" s="89"/>
      <c r="B30" s="5"/>
      <c r="C30" s="61"/>
      <c r="D30" s="10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W30" s="151"/>
      <c r="AY30" s="250" t="s">
        <v>210</v>
      </c>
      <c r="AZ30" s="90">
        <v>0</v>
      </c>
      <c r="BA30" s="140">
        <f t="shared" si="48"/>
        <v>0</v>
      </c>
      <c r="BB30" s="90">
        <f t="shared" ref="BB30:BB33" si="53">0</f>
        <v>0</v>
      </c>
      <c r="BC30" s="263">
        <f t="shared" si="49"/>
        <v>0</v>
      </c>
      <c r="BD30" s="272">
        <f t="shared" si="50"/>
        <v>0</v>
      </c>
      <c r="BE30" s="90">
        <v>952.15</v>
      </c>
      <c r="BF30" s="263">
        <f t="shared" si="51"/>
        <v>952.15</v>
      </c>
      <c r="BG30" s="272">
        <f t="shared" si="52"/>
        <v>20.046708286038665</v>
      </c>
    </row>
    <row r="31" spans="1:59" ht="13">
      <c r="A31" s="89"/>
      <c r="B31" s="5"/>
      <c r="C31" s="61"/>
      <c r="D31" s="10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W31" s="151"/>
      <c r="AY31" s="250" t="s">
        <v>254</v>
      </c>
      <c r="AZ31" s="90">
        <v>0</v>
      </c>
      <c r="BA31" s="140">
        <f t="shared" si="48"/>
        <v>0</v>
      </c>
      <c r="BB31" s="90">
        <f t="shared" si="53"/>
        <v>0</v>
      </c>
      <c r="BC31" s="263">
        <f t="shared" si="49"/>
        <v>0</v>
      </c>
      <c r="BD31" s="272">
        <f t="shared" si="50"/>
        <v>0</v>
      </c>
      <c r="BE31" s="90">
        <v>952.15</v>
      </c>
      <c r="BF31" s="263">
        <f t="shared" si="51"/>
        <v>952.15</v>
      </c>
      <c r="BG31" s="272">
        <f t="shared" si="52"/>
        <v>20.046708286038665</v>
      </c>
    </row>
    <row r="32" spans="1:59" ht="13">
      <c r="A32" s="89"/>
      <c r="B32" s="5"/>
      <c r="C32" s="61"/>
      <c r="D32" s="10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W32" s="151"/>
      <c r="AY32" s="250" t="s">
        <v>255</v>
      </c>
      <c r="AZ32" s="90">
        <v>0</v>
      </c>
      <c r="BA32" s="140">
        <f t="shared" si="48"/>
        <v>0</v>
      </c>
      <c r="BB32" s="90">
        <f t="shared" si="53"/>
        <v>0</v>
      </c>
      <c r="BC32" s="263">
        <f t="shared" si="49"/>
        <v>0</v>
      </c>
      <c r="BD32" s="272">
        <f t="shared" si="50"/>
        <v>0</v>
      </c>
      <c r="BE32" s="90">
        <v>952.15</v>
      </c>
      <c r="BF32" s="263">
        <f t="shared" si="51"/>
        <v>952.15</v>
      </c>
      <c r="BG32" s="272">
        <f t="shared" si="52"/>
        <v>20.046708286038665</v>
      </c>
    </row>
    <row r="33" spans="1:59" ht="13">
      <c r="A33" s="89"/>
      <c r="B33" s="5"/>
      <c r="C33" s="61"/>
      <c r="D33" s="10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W33" s="151"/>
      <c r="AY33" s="255" t="s">
        <v>211</v>
      </c>
      <c r="AZ33" s="274">
        <v>0</v>
      </c>
      <c r="BA33" s="275">
        <f t="shared" si="48"/>
        <v>0</v>
      </c>
      <c r="BB33" s="274">
        <f t="shared" si="53"/>
        <v>0</v>
      </c>
      <c r="BC33" s="276">
        <f t="shared" si="49"/>
        <v>0</v>
      </c>
      <c r="BD33" s="277">
        <f t="shared" si="50"/>
        <v>0</v>
      </c>
      <c r="BE33" s="274">
        <v>380.86</v>
      </c>
      <c r="BF33" s="276">
        <f t="shared" si="51"/>
        <v>380.86</v>
      </c>
      <c r="BG33" s="277">
        <f t="shared" si="52"/>
        <v>8.0186833144154548</v>
      </c>
    </row>
    <row r="34" spans="1:59" ht="13">
      <c r="A34" s="89"/>
      <c r="C34" s="61"/>
      <c r="D34" s="62"/>
      <c r="BD34" s="91"/>
      <c r="BE34" s="91"/>
      <c r="BF34" s="91"/>
      <c r="BG34" s="91"/>
    </row>
    <row r="35" spans="1:59" ht="13">
      <c r="A35" s="89"/>
      <c r="C35" s="61"/>
      <c r="D35" s="62"/>
      <c r="AY35" s="1"/>
      <c r="BA35" s="230"/>
      <c r="BB35" s="230"/>
      <c r="BC35" s="230"/>
      <c r="BD35" s="91"/>
      <c r="BE35" s="91"/>
      <c r="BF35" s="91"/>
      <c r="BG35" s="91"/>
    </row>
    <row r="36" spans="1:59" ht="13">
      <c r="A36" s="89"/>
      <c r="C36" s="61"/>
      <c r="D36" s="62"/>
      <c r="AZ36" s="152"/>
      <c r="BA36" s="152"/>
      <c r="BB36" s="152"/>
      <c r="BC36" s="152"/>
      <c r="BD36" s="91"/>
      <c r="BE36" s="91"/>
      <c r="BF36" s="91"/>
      <c r="BG36" s="91"/>
    </row>
    <row r="37" spans="1:59" ht="14">
      <c r="A37" s="89" t="s">
        <v>201</v>
      </c>
      <c r="C37" s="61"/>
      <c r="D37" s="62"/>
      <c r="AN37" s="1" t="s">
        <v>148</v>
      </c>
      <c r="AZ37" s="152"/>
      <c r="BA37" s="152"/>
      <c r="BB37" s="152"/>
      <c r="BC37" s="152"/>
      <c r="BD37" s="91"/>
      <c r="BE37" s="91"/>
      <c r="BF37" s="91"/>
      <c r="BG37" s="91"/>
    </row>
    <row r="38" spans="1:59" ht="13">
      <c r="A38" s="89"/>
      <c r="C38" s="61"/>
      <c r="D38" s="62"/>
      <c r="BD38" s="91"/>
    </row>
    <row r="39" spans="1:59" ht="13">
      <c r="A39" s="89"/>
      <c r="C39" s="61"/>
      <c r="D39" s="62"/>
    </row>
    <row r="40" spans="1:59" ht="13">
      <c r="A40" s="89"/>
      <c r="C40" s="61"/>
      <c r="D40" s="62"/>
    </row>
    <row r="41" spans="1:59" ht="13">
      <c r="A41" s="89"/>
      <c r="C41" s="61"/>
      <c r="D41" s="62"/>
    </row>
    <row r="42" spans="1:59" ht="13">
      <c r="A42" s="89"/>
      <c r="C42" s="61"/>
      <c r="D42" s="62"/>
    </row>
    <row r="43" spans="1:59" ht="13">
      <c r="A43" s="89"/>
      <c r="C43" s="61"/>
      <c r="D43" s="62"/>
    </row>
    <row r="44" spans="1:59" ht="13">
      <c r="A44" s="89"/>
      <c r="C44" s="61"/>
      <c r="D44" s="62"/>
    </row>
    <row r="45" spans="1:59" ht="13">
      <c r="A45" s="89"/>
      <c r="C45" s="61"/>
      <c r="D45" s="62"/>
    </row>
    <row r="46" spans="1:59" ht="13">
      <c r="A46" s="89"/>
      <c r="C46" s="61"/>
      <c r="D46" s="62"/>
    </row>
    <row r="47" spans="1:59" ht="13">
      <c r="A47" s="89"/>
      <c r="C47" s="61"/>
      <c r="D47" s="62"/>
    </row>
    <row r="48" spans="1:59" ht="13">
      <c r="A48" s="89"/>
      <c r="C48" s="61"/>
      <c r="D48" s="62"/>
    </row>
    <row r="49" spans="1:4" ht="13">
      <c r="A49" s="89"/>
      <c r="C49" s="61"/>
      <c r="D49" s="62"/>
    </row>
    <row r="50" spans="1:4" ht="13">
      <c r="A50" s="89"/>
      <c r="C50" s="61"/>
      <c r="D50" s="6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E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6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7" width="15.1640625" customWidth="1"/>
  </cols>
  <sheetData>
    <row r="1" spans="1:57" ht="42.75" customHeight="1">
      <c r="A1" s="5" t="s">
        <v>148</v>
      </c>
      <c r="C1" s="61" t="s">
        <v>131</v>
      </c>
      <c r="D1" s="59">
        <v>42766</v>
      </c>
      <c r="E1" s="60"/>
      <c r="F1" s="60"/>
      <c r="G1" s="61"/>
      <c r="H1" s="59">
        <v>42794</v>
      </c>
      <c r="I1" s="60"/>
      <c r="J1" s="60"/>
      <c r="K1" s="61"/>
      <c r="L1" s="59">
        <v>42825</v>
      </c>
      <c r="M1" s="60"/>
      <c r="N1" s="60"/>
      <c r="O1" s="61"/>
      <c r="P1" s="59">
        <v>42855</v>
      </c>
      <c r="Q1" s="60"/>
      <c r="R1" s="60"/>
      <c r="S1" s="61"/>
      <c r="T1" s="59">
        <v>42886</v>
      </c>
      <c r="U1" s="60"/>
      <c r="V1" s="60"/>
      <c r="W1" s="61"/>
      <c r="X1" s="59">
        <v>42916</v>
      </c>
      <c r="Y1" s="60"/>
      <c r="Z1" s="60"/>
      <c r="AA1" s="61"/>
      <c r="AB1" s="59">
        <v>42947</v>
      </c>
      <c r="AC1" s="60"/>
      <c r="AD1" s="60"/>
      <c r="AE1" s="61"/>
      <c r="AF1" s="59">
        <v>42978</v>
      </c>
      <c r="AG1" s="60"/>
      <c r="AH1" s="60"/>
      <c r="AI1" s="61"/>
      <c r="AJ1" s="59">
        <v>43008</v>
      </c>
      <c r="AK1" s="60"/>
      <c r="AL1" s="60"/>
      <c r="AM1" s="61"/>
      <c r="AN1" s="59">
        <v>43039</v>
      </c>
      <c r="AO1" s="60"/>
      <c r="AP1" s="60"/>
      <c r="AQ1" s="61"/>
      <c r="AR1" s="59">
        <v>43069</v>
      </c>
      <c r="AS1" s="60"/>
      <c r="AT1" s="60"/>
      <c r="AU1" s="61"/>
      <c r="AV1" s="59">
        <v>43100</v>
      </c>
      <c r="AW1" s="60"/>
      <c r="AX1" s="60"/>
      <c r="BB1" s="62"/>
      <c r="BC1" s="61"/>
    </row>
    <row r="2" spans="1:57" ht="14">
      <c r="A2" s="5"/>
      <c r="C2" s="61"/>
      <c r="D2" s="62">
        <f>YEAR(D1)</f>
        <v>2017</v>
      </c>
      <c r="G2" s="61"/>
      <c r="H2" s="62">
        <f>YEAR(H1)</f>
        <v>2017</v>
      </c>
      <c r="K2" s="61"/>
      <c r="L2" s="62">
        <f>YEAR(L1)</f>
        <v>2017</v>
      </c>
      <c r="O2" s="61"/>
      <c r="P2" s="62">
        <f>YEAR(P1)</f>
        <v>2017</v>
      </c>
      <c r="S2" s="61"/>
      <c r="T2" s="62">
        <f>YEAR(T1)</f>
        <v>2017</v>
      </c>
      <c r="W2" s="61"/>
      <c r="X2" s="62">
        <f>YEAR(X1)</f>
        <v>2017</v>
      </c>
      <c r="AA2" s="61"/>
      <c r="AB2" s="62">
        <f>YEAR(AB1)</f>
        <v>2017</v>
      </c>
      <c r="AE2" s="61"/>
      <c r="AF2" s="62">
        <f>YEAR(AF1)</f>
        <v>2017</v>
      </c>
      <c r="AI2" s="61"/>
      <c r="AJ2" s="62">
        <f>YEAR(AJ1)</f>
        <v>2017</v>
      </c>
      <c r="AM2" s="61"/>
      <c r="AN2" s="62">
        <f>YEAR(AN1)</f>
        <v>2017</v>
      </c>
      <c r="AQ2" s="61"/>
      <c r="AR2" s="62">
        <f>YEAR(AR1)</f>
        <v>2017</v>
      </c>
      <c r="AU2" s="61"/>
      <c r="AV2" s="62">
        <f>YEAR(AV1)</f>
        <v>2017</v>
      </c>
      <c r="AY2" s="61"/>
      <c r="AZ2" s="65" t="s">
        <v>132</v>
      </c>
      <c r="BA2" s="65"/>
      <c r="BB2" s="209" t="s">
        <v>247</v>
      </c>
      <c r="BC2" s="61"/>
      <c r="BD2" s="67">
        <v>2017</v>
      </c>
      <c r="BE2" s="67"/>
    </row>
    <row r="3" spans="1:5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  <c r="BE3" s="72"/>
    </row>
    <row r="4" spans="1:57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  <c r="BE4" s="72"/>
    </row>
    <row r="5" spans="1:57" ht="13">
      <c r="A5" s="89" t="s">
        <v>136</v>
      </c>
      <c r="C5" s="61"/>
      <c r="D5" s="90">
        <v>97204.06</v>
      </c>
      <c r="E5" s="91"/>
      <c r="F5" s="91"/>
      <c r="G5" s="92"/>
      <c r="H5" s="90">
        <v>86761.19</v>
      </c>
      <c r="I5" s="91"/>
      <c r="J5" s="91"/>
      <c r="K5" s="92"/>
      <c r="L5" s="90">
        <v>78840.69</v>
      </c>
      <c r="M5" s="91"/>
      <c r="N5" s="91"/>
      <c r="O5" s="92"/>
      <c r="P5" s="90">
        <v>52452.69</v>
      </c>
      <c r="Q5" s="91"/>
      <c r="R5" s="91"/>
      <c r="S5" s="92"/>
      <c r="T5" s="90">
        <v>64000.9</v>
      </c>
      <c r="U5" s="91"/>
      <c r="V5" s="91"/>
      <c r="W5" s="92"/>
      <c r="X5" s="90">
        <v>83387.95</v>
      </c>
      <c r="Y5" s="91"/>
      <c r="Z5" s="91"/>
      <c r="AA5" s="92"/>
      <c r="AB5" s="90">
        <v>-4626.2700000000004</v>
      </c>
      <c r="AC5" s="91"/>
      <c r="AD5" s="91"/>
      <c r="AE5" s="92"/>
      <c r="AF5" s="90">
        <v>52453.1</v>
      </c>
      <c r="AG5" s="91"/>
      <c r="AH5" s="91"/>
      <c r="AI5" s="92"/>
      <c r="AJ5" s="90">
        <v>37287.39</v>
      </c>
      <c r="AK5" s="91"/>
      <c r="AL5" s="91"/>
      <c r="AM5" s="92"/>
      <c r="AN5" s="90">
        <v>57313.77</v>
      </c>
      <c r="AO5" s="91"/>
      <c r="AP5" s="91"/>
      <c r="AQ5" s="92"/>
      <c r="AR5" s="90">
        <v>55272.54</v>
      </c>
      <c r="AS5" s="91"/>
      <c r="AT5" s="91"/>
      <c r="AU5" s="92"/>
      <c r="AV5" s="90">
        <v>-61527.16</v>
      </c>
      <c r="AW5" s="151"/>
      <c r="AX5" s="151"/>
      <c r="AY5" s="92"/>
      <c r="AZ5" s="93">
        <f t="shared" ref="AZ5:AZ7" si="0">SUMIF($D$3:$AY$3,AZ$2,$D5:$AY5)</f>
        <v>262805.94</v>
      </c>
      <c r="BA5" s="92"/>
      <c r="BB5" s="93">
        <f t="shared" ref="BB5:BB7" si="1">SUMIF($D$4:$AY$4,BB$2,$D5:$AY5)</f>
        <v>462647.48000000004</v>
      </c>
      <c r="BC5" s="92"/>
      <c r="BD5" s="94">
        <f t="shared" ref="BD5:BD7" si="2">SUMIF($D$2:$AY$2,$BD$2,$D5:$AY5)</f>
        <v>598820.85</v>
      </c>
      <c r="BE5" s="94"/>
    </row>
    <row r="6" spans="1:57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2"/>
      <c r="BD6" s="94">
        <f t="shared" si="2"/>
        <v>0</v>
      </c>
      <c r="BE6" s="94"/>
    </row>
    <row r="7" spans="1:57" ht="13">
      <c r="A7" s="89" t="s">
        <v>143</v>
      </c>
      <c r="B7" s="99">
        <v>12500</v>
      </c>
      <c r="C7" s="61"/>
      <c r="D7" s="100">
        <f>'Mirek Revised PS Model 2017'!ColinSalary</f>
        <v>12500</v>
      </c>
      <c r="E7" s="91"/>
      <c r="F7" s="91"/>
      <c r="G7" s="92"/>
      <c r="H7" s="100">
        <f>'Mirek Revised PS Model 2017'!ColinSalary</f>
        <v>12500</v>
      </c>
      <c r="I7" s="91"/>
      <c r="J7" s="91"/>
      <c r="K7" s="92"/>
      <c r="L7" s="100">
        <f>'Mirek Revised PS Model 2017'!ColinSalary</f>
        <v>12500</v>
      </c>
      <c r="M7" s="91"/>
      <c r="N7" s="91"/>
      <c r="O7" s="92"/>
      <c r="P7" s="100">
        <f>'Mirek Revised PS Model 2017'!ColinSalary</f>
        <v>12500</v>
      </c>
      <c r="Q7" s="91"/>
      <c r="R7" s="91"/>
      <c r="S7" s="92"/>
      <c r="T7" s="100">
        <f>'Mirek Revised PS Model 2017'!ColinSalary</f>
        <v>12500</v>
      </c>
      <c r="U7" s="91"/>
      <c r="V7" s="91"/>
      <c r="W7" s="92"/>
      <c r="X7" s="100">
        <f>'Mirek Revised PS Model 2017'!ColinSalary</f>
        <v>12500</v>
      </c>
      <c r="Y7" s="91"/>
      <c r="Z7" s="91"/>
      <c r="AA7" s="92"/>
      <c r="AB7" s="100">
        <f>'Mirek Revised PS Model 2017'!ColinSalary</f>
        <v>12500</v>
      </c>
      <c r="AC7" s="91"/>
      <c r="AD7" s="91"/>
      <c r="AE7" s="92"/>
      <c r="AF7" s="100">
        <f>'Mirek Revised PS Model 2017'!ColinSalary</f>
        <v>12500</v>
      </c>
      <c r="AG7" s="91"/>
      <c r="AH7" s="91"/>
      <c r="AI7" s="92"/>
      <c r="AJ7" s="100">
        <f>'Mirek Revised PS Model 2017'!ColinSalary</f>
        <v>12500</v>
      </c>
      <c r="AK7" s="91"/>
      <c r="AL7" s="91"/>
      <c r="AM7" s="92"/>
      <c r="AN7" s="100">
        <f>'Mirek Revised PS Model 2017'!ColinSalary</f>
        <v>12500</v>
      </c>
      <c r="AO7" s="91"/>
      <c r="AP7" s="91"/>
      <c r="AQ7" s="92"/>
      <c r="AR7" s="100">
        <f>'Mirek Revised PS Model 2017'!ColinSalary</f>
        <v>12500</v>
      </c>
      <c r="AS7" s="91"/>
      <c r="AT7" s="91"/>
      <c r="AU7" s="92"/>
      <c r="AV7" s="100">
        <f>'Mirek Revised PS Model 2017'!ColinSalary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  <c r="BE7" s="94"/>
    </row>
    <row r="8" spans="1:57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SUM(AZ23:AZ25)</f>
        <v>70452.239999999991</v>
      </c>
      <c r="AC8" s="91"/>
      <c r="AD8" s="91"/>
      <c r="AE8" s="92"/>
      <c r="AF8" s="103"/>
      <c r="AG8" s="91"/>
      <c r="AH8" s="91"/>
      <c r="AI8" s="92"/>
      <c r="AJ8" s="103"/>
      <c r="AK8" s="91"/>
      <c r="AL8" s="91"/>
      <c r="AM8" s="92"/>
      <c r="AO8" s="91"/>
      <c r="AP8" s="91"/>
      <c r="AQ8" s="92"/>
      <c r="AR8" s="103"/>
      <c r="AS8" s="91"/>
      <c r="AT8" s="91"/>
      <c r="AU8" s="92"/>
      <c r="AV8" s="103">
        <f>SUM(BD23:BD25)-SUM(AZ23:AZ25)</f>
        <v>101351.60000000003</v>
      </c>
      <c r="AW8" s="91"/>
      <c r="AX8" s="91"/>
      <c r="AY8" s="92"/>
      <c r="AZ8" s="93"/>
      <c r="BA8" s="92"/>
      <c r="BB8" s="93"/>
      <c r="BC8" s="92"/>
      <c r="BD8" s="94"/>
      <c r="BE8" s="94"/>
    </row>
    <row r="9" spans="1:57" ht="13">
      <c r="A9" s="89" t="s">
        <v>145</v>
      </c>
      <c r="B9" s="101"/>
      <c r="C9" s="102"/>
      <c r="D9" s="104">
        <f>SUM(F16:F19)</f>
        <v>2298.06</v>
      </c>
      <c r="E9" s="91"/>
      <c r="F9" s="91"/>
      <c r="G9" s="92"/>
      <c r="H9" s="104">
        <f>SUM(J16:J19)</f>
        <v>5204.53</v>
      </c>
      <c r="I9" s="91"/>
      <c r="J9" s="91"/>
      <c r="K9" s="92"/>
      <c r="L9" s="104">
        <f>SUM(N16:N19)</f>
        <v>3245.8</v>
      </c>
      <c r="M9" s="91"/>
      <c r="N9" s="91"/>
      <c r="O9" s="92"/>
      <c r="P9" s="104">
        <f>SUM(R16:R19)</f>
        <v>11786.83</v>
      </c>
      <c r="Q9" s="91"/>
      <c r="R9" s="91"/>
      <c r="S9" s="92"/>
      <c r="T9" s="104">
        <f>SUM(V16:V19)</f>
        <v>5012.57</v>
      </c>
      <c r="U9" s="91"/>
      <c r="V9" s="91"/>
      <c r="W9" s="92"/>
      <c r="X9" s="104">
        <f>SUM(Z16:Z19)</f>
        <v>1039.02</v>
      </c>
      <c r="Y9" s="91"/>
      <c r="Z9" s="91"/>
      <c r="AA9" s="92"/>
      <c r="AB9" s="104">
        <f>SUM(AD16:AD19)</f>
        <v>4274</v>
      </c>
      <c r="AC9" s="91"/>
      <c r="AD9" s="91"/>
      <c r="AE9" s="92"/>
      <c r="AF9" s="104">
        <f>SUM(AH16:AH19)</f>
        <v>4699.83</v>
      </c>
      <c r="AG9" s="91"/>
      <c r="AH9" s="91"/>
      <c r="AI9" s="92"/>
      <c r="AJ9" s="104">
        <f>SUM(AL16:AL19)</f>
        <v>4313.68</v>
      </c>
      <c r="AK9" s="91"/>
      <c r="AL9" s="91"/>
      <c r="AM9" s="92"/>
      <c r="AN9" s="104">
        <f>SUM(AP16:AP19)</f>
        <v>849.68</v>
      </c>
      <c r="AO9" s="91"/>
      <c r="AP9" s="91"/>
      <c r="AQ9" s="92"/>
      <c r="AR9" s="104">
        <f>SUM(AT16:AT19)</f>
        <v>2595.11</v>
      </c>
      <c r="AS9" s="91"/>
      <c r="AT9" s="91"/>
      <c r="AU9" s="92"/>
      <c r="AV9" s="104">
        <f>SUM(AX16:AX19)</f>
        <v>5114.95</v>
      </c>
      <c r="AW9" s="91"/>
      <c r="AX9" s="91"/>
      <c r="AY9" s="92"/>
      <c r="AZ9" s="93">
        <f t="shared" ref="AZ9:AZ13" si="3">SUMIF($D$3:$AY$3,AZ$2,$D9:$AY9)</f>
        <v>10748.39</v>
      </c>
      <c r="BA9" s="92"/>
      <c r="BB9" s="93">
        <f t="shared" ref="BB9:BB13" si="4">SUMIF($D$4:$AY$4,BB$2,$D9:$AY9)</f>
        <v>28586.81</v>
      </c>
      <c r="BC9" s="92"/>
      <c r="BD9" s="94">
        <f t="shared" ref="BD9:BD13" si="5">SUMIF($D$2:$AY$2,$BD$2,$D9:$AY9)</f>
        <v>50434.06</v>
      </c>
      <c r="BE9" s="94"/>
    </row>
    <row r="10" spans="1:57" ht="13">
      <c r="A10" s="89" t="s">
        <v>146</v>
      </c>
      <c r="C10" s="61"/>
      <c r="D10" s="104">
        <f>D5-D6-D7+D9+D8</f>
        <v>87002.12</v>
      </c>
      <c r="E10" s="91"/>
      <c r="F10" s="91"/>
      <c r="G10" s="92"/>
      <c r="H10" s="104">
        <f>H5-H6-H7+H9+H8</f>
        <v>79465.72</v>
      </c>
      <c r="I10" s="91"/>
      <c r="J10" s="91"/>
      <c r="K10" s="92"/>
      <c r="L10" s="104">
        <f>L5-L6-L7+L9+L8</f>
        <v>69586.490000000005</v>
      </c>
      <c r="M10" s="91"/>
      <c r="N10" s="91"/>
      <c r="O10" s="92"/>
      <c r="P10" s="104">
        <f>P5-P6-P7+P9+P8</f>
        <v>51739.520000000004</v>
      </c>
      <c r="Q10" s="91"/>
      <c r="R10" s="91"/>
      <c r="S10" s="92"/>
      <c r="T10" s="104">
        <f>T5-T6-T7+T9+T8</f>
        <v>56513.47</v>
      </c>
      <c r="U10" s="91"/>
      <c r="V10" s="91"/>
      <c r="W10" s="92"/>
      <c r="X10" s="104">
        <f>X5-X6-X7+X9+X8</f>
        <v>71926.97</v>
      </c>
      <c r="Y10" s="91"/>
      <c r="Z10" s="91"/>
      <c r="AA10" s="92"/>
      <c r="AB10" s="104">
        <f>AB5-AB6-AB7+AB9+AB8</f>
        <v>57599.969999999987</v>
      </c>
      <c r="AC10" s="91"/>
      <c r="AD10" s="91"/>
      <c r="AE10" s="92"/>
      <c r="AF10" s="104">
        <f>AF5-AF6-AF7+AF9+AF8</f>
        <v>44652.93</v>
      </c>
      <c r="AG10" s="91"/>
      <c r="AH10" s="91"/>
      <c r="AI10" s="92"/>
      <c r="AJ10" s="104">
        <f>AJ5-AJ6-AJ7+AJ9+AJ8</f>
        <v>29101.07</v>
      </c>
      <c r="AK10" s="91"/>
      <c r="AL10" s="91"/>
      <c r="AM10" s="92"/>
      <c r="AN10" s="104">
        <f>AN5-AN6-AN7+AN9+AN8</f>
        <v>45663.45</v>
      </c>
      <c r="AO10" s="91"/>
      <c r="AP10" s="91"/>
      <c r="AQ10" s="92"/>
      <c r="AR10" s="104">
        <f>AR5-AR6-AR7+AR9+AR8</f>
        <v>45367.65</v>
      </c>
      <c r="AS10" s="91"/>
      <c r="AT10" s="91"/>
      <c r="AU10" s="92"/>
      <c r="AV10" s="104">
        <f>AV5-AV6-AV7+AV9+AV8</f>
        <v>32439.390000000029</v>
      </c>
      <c r="AW10" s="91"/>
      <c r="AX10" s="91"/>
      <c r="AY10" s="92"/>
      <c r="AZ10" s="93">
        <f t="shared" si="3"/>
        <v>236054.33000000002</v>
      </c>
      <c r="BA10" s="92"/>
      <c r="BB10" s="93">
        <f t="shared" si="4"/>
        <v>416234.29000000004</v>
      </c>
      <c r="BC10" s="92"/>
      <c r="BD10" s="94">
        <f t="shared" si="5"/>
        <v>671058.75</v>
      </c>
      <c r="BE10" s="94"/>
    </row>
    <row r="11" spans="1:57" ht="13">
      <c r="A11" s="89" t="s">
        <v>147</v>
      </c>
      <c r="C11" s="61"/>
      <c r="D11" s="90">
        <v>12500</v>
      </c>
      <c r="E11" s="91"/>
      <c r="F11" s="91"/>
      <c r="G11" s="92"/>
      <c r="H11" s="90">
        <v>50000</v>
      </c>
      <c r="I11" s="91"/>
      <c r="J11" s="91"/>
      <c r="K11" s="92"/>
      <c r="L11" s="90">
        <v>12500</v>
      </c>
      <c r="M11" s="91"/>
      <c r="N11" s="91"/>
      <c r="O11" s="92"/>
      <c r="P11" s="90">
        <v>57500</v>
      </c>
      <c r="Q11" s="91"/>
      <c r="R11" s="91"/>
      <c r="S11" s="92"/>
      <c r="T11" s="90">
        <v>12500</v>
      </c>
      <c r="U11" s="91"/>
      <c r="V11" s="91"/>
      <c r="W11" s="92"/>
      <c r="X11" s="90">
        <v>155000</v>
      </c>
      <c r="Y11" s="91"/>
      <c r="Z11" s="91"/>
      <c r="AA11" s="92"/>
      <c r="AB11" s="90">
        <v>19992</v>
      </c>
      <c r="AC11" s="91"/>
      <c r="AD11" s="91"/>
      <c r="AE11" s="92"/>
      <c r="AF11" s="90">
        <v>0</v>
      </c>
      <c r="AG11" s="91"/>
      <c r="AH11" s="91"/>
      <c r="AI11" s="92"/>
      <c r="AJ11" s="213">
        <v>115000</v>
      </c>
      <c r="AK11" s="177">
        <v>0</v>
      </c>
      <c r="AL11" s="91"/>
      <c r="AM11" s="92"/>
      <c r="AN11" s="213">
        <v>20500</v>
      </c>
      <c r="AO11" s="177">
        <v>0</v>
      </c>
      <c r="AP11" s="91"/>
      <c r="AQ11" s="92"/>
      <c r="AR11" s="213">
        <v>24955.13</v>
      </c>
      <c r="AS11" s="177">
        <v>0</v>
      </c>
      <c r="AT11" s="91"/>
      <c r="AU11" s="92"/>
      <c r="AV11" s="213">
        <v>25000</v>
      </c>
      <c r="AW11" s="177">
        <v>0</v>
      </c>
      <c r="AX11" s="91"/>
      <c r="AY11" s="92"/>
      <c r="AZ11" s="93">
        <f t="shared" si="3"/>
        <v>75000</v>
      </c>
      <c r="BA11" s="92"/>
      <c r="BB11" s="93">
        <f t="shared" si="4"/>
        <v>300000</v>
      </c>
      <c r="BC11" s="92"/>
      <c r="BD11" s="94">
        <f t="shared" si="5"/>
        <v>505447.13</v>
      </c>
      <c r="BE11" s="94"/>
    </row>
    <row r="12" spans="1:57" ht="14">
      <c r="A12" s="5" t="s">
        <v>149</v>
      </c>
      <c r="C12" s="61"/>
      <c r="D12" s="98"/>
      <c r="E12" s="91"/>
      <c r="F12" s="91"/>
      <c r="G12" s="92"/>
      <c r="H12" s="98"/>
      <c r="I12" s="91"/>
      <c r="J12" s="91"/>
      <c r="K12" s="92"/>
      <c r="L12" s="98"/>
      <c r="M12" s="91"/>
      <c r="N12" s="91"/>
      <c r="O12" s="92"/>
      <c r="P12" s="98"/>
      <c r="Q12" s="91"/>
      <c r="R12" s="91"/>
      <c r="S12" s="92"/>
      <c r="T12" s="98"/>
      <c r="U12" s="91"/>
      <c r="V12" s="91"/>
      <c r="W12" s="92"/>
      <c r="X12" s="98"/>
      <c r="Y12" s="91"/>
      <c r="Z12" s="91"/>
      <c r="AA12" s="92"/>
      <c r="AB12" s="98"/>
      <c r="AC12" s="91"/>
      <c r="AD12" s="91"/>
      <c r="AE12" s="92"/>
      <c r="AF12" s="98"/>
      <c r="AG12" s="91"/>
      <c r="AH12" s="91"/>
      <c r="AI12" s="92"/>
      <c r="AJ12" s="98"/>
      <c r="AK12" s="91"/>
      <c r="AL12" s="91"/>
      <c r="AM12" s="92"/>
      <c r="AN12" s="98"/>
      <c r="AO12" s="91"/>
      <c r="AP12" s="91"/>
      <c r="AQ12" s="92"/>
      <c r="AR12" s="98"/>
      <c r="AS12" s="91"/>
      <c r="AT12" s="91"/>
      <c r="AU12" s="92"/>
      <c r="AV12" s="98">
        <f>75000+75000</f>
        <v>150000</v>
      </c>
      <c r="AW12" s="91"/>
      <c r="AX12" s="91"/>
      <c r="AY12" s="92"/>
      <c r="AZ12" s="93">
        <f t="shared" si="3"/>
        <v>0</v>
      </c>
      <c r="BA12" s="92"/>
      <c r="BB12" s="93">
        <f t="shared" si="4"/>
        <v>0</v>
      </c>
      <c r="BC12" s="92"/>
      <c r="BD12" s="94">
        <f t="shared" si="5"/>
        <v>150000</v>
      </c>
      <c r="BE12" s="94"/>
    </row>
    <row r="13" spans="1:57" ht="14">
      <c r="A13" s="5" t="s">
        <v>151</v>
      </c>
      <c r="C13" s="61"/>
      <c r="D13" s="100">
        <f>D11+D12-D7</f>
        <v>0</v>
      </c>
      <c r="E13" s="91"/>
      <c r="F13" s="91"/>
      <c r="G13" s="92"/>
      <c r="H13" s="100">
        <f>H11+H12-H7</f>
        <v>37500</v>
      </c>
      <c r="I13" s="91"/>
      <c r="J13" s="91"/>
      <c r="K13" s="92"/>
      <c r="L13" s="100">
        <f>L11+L12-L7</f>
        <v>0</v>
      </c>
      <c r="M13" s="91"/>
      <c r="N13" s="91"/>
      <c r="O13" s="92"/>
      <c r="P13" s="100">
        <f>P11+P12-P7</f>
        <v>45000</v>
      </c>
      <c r="Q13" s="91"/>
      <c r="R13" s="91"/>
      <c r="S13" s="92"/>
      <c r="T13" s="100">
        <f>T11+T12-T7</f>
        <v>0</v>
      </c>
      <c r="U13" s="91"/>
      <c r="V13" s="91"/>
      <c r="W13" s="92"/>
      <c r="X13" s="100">
        <f>X11+X12-X7</f>
        <v>142500</v>
      </c>
      <c r="Y13" s="91"/>
      <c r="Z13" s="91"/>
      <c r="AA13" s="92"/>
      <c r="AB13" s="100">
        <f>AB11+AB12-AB7</f>
        <v>7492</v>
      </c>
      <c r="AC13" s="91"/>
      <c r="AD13" s="91"/>
      <c r="AE13" s="92"/>
      <c r="AF13" s="100">
        <f>AF11+AF12-AF7</f>
        <v>-12500</v>
      </c>
      <c r="AG13" s="91"/>
      <c r="AH13" s="91"/>
      <c r="AI13" s="92"/>
      <c r="AJ13" s="100">
        <f>AJ11+AJ12-AJ7</f>
        <v>102500</v>
      </c>
      <c r="AK13" s="91"/>
      <c r="AL13" s="91"/>
      <c r="AM13" s="92"/>
      <c r="AN13" s="100">
        <f>AN11+AN12-AN7</f>
        <v>8000</v>
      </c>
      <c r="AO13" s="91"/>
      <c r="AP13" s="91"/>
      <c r="AQ13" s="92"/>
      <c r="AR13" s="100">
        <f>AR11+AR12-AR7</f>
        <v>12455.130000000001</v>
      </c>
      <c r="AS13" s="91"/>
      <c r="AT13" s="91"/>
      <c r="AU13" s="92"/>
      <c r="AV13" s="100">
        <f>AV11+AV12-AV7</f>
        <v>162500</v>
      </c>
      <c r="AW13" s="91"/>
      <c r="AX13" s="91"/>
      <c r="AY13" s="92"/>
      <c r="AZ13" s="93">
        <f t="shared" si="3"/>
        <v>37500</v>
      </c>
      <c r="BA13" s="92"/>
      <c r="BB13" s="93">
        <f t="shared" si="4"/>
        <v>225000</v>
      </c>
      <c r="BC13" s="92"/>
      <c r="BD13" s="94">
        <f t="shared" si="5"/>
        <v>505447.13</v>
      </c>
      <c r="BE13" s="94"/>
    </row>
    <row r="14" spans="1:57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2"/>
      <c r="BD14" s="91"/>
      <c r="BE14" s="91"/>
    </row>
    <row r="15" spans="1:57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100"/>
      <c r="BA15" s="92"/>
      <c r="BB15" s="100"/>
      <c r="BC15" s="92"/>
      <c r="BD15" s="91"/>
      <c r="BE15" s="91"/>
    </row>
    <row r="16" spans="1:57" ht="13">
      <c r="A16" s="89" t="s">
        <v>83</v>
      </c>
      <c r="B16" s="121">
        <f>'Updated uncollectible PS Model '!BE22</f>
        <v>328648.95753322262</v>
      </c>
      <c r="C16" s="121">
        <v>0</v>
      </c>
      <c r="D16" s="53">
        <v>300</v>
      </c>
      <c r="E16" s="123">
        <f t="shared" ref="E16:E19" si="6">D$10*D16/D$20</f>
        <v>61269.098591549293</v>
      </c>
      <c r="F16" s="124">
        <v>2298.06</v>
      </c>
      <c r="G16" s="123">
        <f t="shared" ref="G16:G19" si="7">E16-F16</f>
        <v>58971.038591549295</v>
      </c>
      <c r="H16" s="214">
        <v>300</v>
      </c>
      <c r="I16" s="123">
        <f t="shared" ref="I16:I19" si="8">H$10*H16/H$20</f>
        <v>55961.774647887323</v>
      </c>
      <c r="J16" s="124">
        <v>5204.53</v>
      </c>
      <c r="K16" s="123">
        <f t="shared" ref="K16:K19" si="9">I16-J16</f>
        <v>50757.244647887324</v>
      </c>
      <c r="L16" s="214">
        <v>300</v>
      </c>
      <c r="M16" s="123">
        <f t="shared" ref="M16:M19" si="10">L$10*L16/L$20</f>
        <v>49004.570422535209</v>
      </c>
      <c r="N16" s="124">
        <v>3245.8</v>
      </c>
      <c r="O16" s="123">
        <f t="shared" ref="O16:O19" si="11">M16-N16</f>
        <v>45758.770422535206</v>
      </c>
      <c r="P16" s="214">
        <v>300</v>
      </c>
      <c r="Q16" s="123">
        <f t="shared" ref="Q16:Q19" si="12">P$10*P16/P$20</f>
        <v>36436.281690140851</v>
      </c>
      <c r="R16" s="124">
        <v>11786.83</v>
      </c>
      <c r="S16" s="123">
        <f t="shared" ref="S16:S19" si="13">Q16-R16</f>
        <v>24649.45169014085</v>
      </c>
      <c r="T16" s="214">
        <v>300</v>
      </c>
      <c r="U16" s="123">
        <f t="shared" ref="U16:U19" si="14">T$10*T16/T$20</f>
        <v>39798.218309859156</v>
      </c>
      <c r="V16" s="124">
        <v>5012.57</v>
      </c>
      <c r="W16" s="123">
        <f t="shared" ref="W16:W19" si="15">U16-V16</f>
        <v>34785.648309859156</v>
      </c>
      <c r="X16" s="214">
        <v>300</v>
      </c>
      <c r="Y16" s="123">
        <f t="shared" ref="Y16:Y19" si="16">X$10*X16/X$20</f>
        <v>50652.795774647886</v>
      </c>
      <c r="Z16" s="124">
        <v>1039.02</v>
      </c>
      <c r="AA16" s="123">
        <f t="shared" ref="AA16:AA19" si="17">Y16-Z16</f>
        <v>49613.775774647889</v>
      </c>
      <c r="AB16" s="214">
        <v>300</v>
      </c>
      <c r="AC16" s="123">
        <f t="shared" ref="AC16:AC19" si="18">AB$10*AB16/AB$20</f>
        <v>40563.359154929567</v>
      </c>
      <c r="AD16" s="124">
        <v>4274</v>
      </c>
      <c r="AE16" s="123">
        <f t="shared" ref="AE16:AE19" si="19">AC16-AD16</f>
        <v>36289.359154929567</v>
      </c>
      <c r="AF16" s="214">
        <v>300</v>
      </c>
      <c r="AG16" s="123">
        <f t="shared" ref="AG16:AG19" si="20">AF$10*AF16/AF$20</f>
        <v>31445.725352112677</v>
      </c>
      <c r="AH16" s="124">
        <v>4699.83</v>
      </c>
      <c r="AI16" s="123">
        <f t="shared" ref="AI16:AI19" si="21">AG16-AH16</f>
        <v>26745.895352112675</v>
      </c>
      <c r="AJ16" s="214">
        <v>300</v>
      </c>
      <c r="AK16" s="123">
        <f t="shared" ref="AK16:AK19" si="22">AJ$10*AJ16/AJ$20</f>
        <v>20493.711267605635</v>
      </c>
      <c r="AL16" s="124">
        <v>4313.68</v>
      </c>
      <c r="AM16" s="123">
        <f t="shared" ref="AM16:AM19" si="23">AK16-AL16</f>
        <v>16180.031267605635</v>
      </c>
      <c r="AN16" s="214">
        <v>300</v>
      </c>
      <c r="AO16" s="123">
        <f t="shared" ref="AO16:AO19" si="24">AN$10*AN16/AN$20</f>
        <v>32157.359154929578</v>
      </c>
      <c r="AP16" s="124">
        <v>849.68</v>
      </c>
      <c r="AQ16" s="123">
        <f t="shared" ref="AQ16:AQ19" si="25">AO16-AP16</f>
        <v>31307.679154929578</v>
      </c>
      <c r="AR16" s="214">
        <v>300</v>
      </c>
      <c r="AS16" s="123">
        <f t="shared" ref="AS16:AS19" si="26">AR$10*AR16/AR$20</f>
        <v>31949.049295774646</v>
      </c>
      <c r="AT16" s="124">
        <v>2595.11</v>
      </c>
      <c r="AU16" s="123">
        <f t="shared" ref="AU16:AU19" si="27">AS16-AT16</f>
        <v>29353.939295774646</v>
      </c>
      <c r="AV16" s="214">
        <v>300</v>
      </c>
      <c r="AW16" s="123">
        <f t="shared" ref="AW16:AW19" si="28">AV$10*AV16/AV$20</f>
        <v>22844.640845070444</v>
      </c>
      <c r="AX16" s="124">
        <v>5114.95</v>
      </c>
      <c r="AY16" s="126">
        <f t="shared" ref="AY16:AY19" si="29">AW16-AX16</f>
        <v>17729.690845070443</v>
      </c>
      <c r="AZ16" s="127">
        <f t="shared" ref="AZ16:AZ19" si="30">IF($AV$3="1Q",AY16,0)+IF($AR$3="1Q",AU16,0)+IF($AN$3="1Q",AQ16,0)+IF($AJ$3="1Q",AM16,0)+IF($AF$3="1Q",AI16,0)+IF($AB$3="1Q",AE16,0)+IF($X$3="1Q",AA16,0)+IF($T$3="1Q",W16,0)+IF($P$3="1Q",S16,0)+IF($L$3="1Q",O16,0)+IF($H$3="1Q",K16,0)+IF($D$3="1Q",G16,0)</f>
        <v>155487.05366197182</v>
      </c>
      <c r="BA16" s="128">
        <f t="shared" ref="BA16:BA19" si="31">AZ16+$C16</f>
        <v>155487.05366197182</v>
      </c>
      <c r="BB16" s="127">
        <f t="shared" ref="BB16:BB19" si="32">IF($AV$4="1H",AY16,0)+IF($AR$4="1H",AU16,0)+IF($AN$4="1H",AQ16,0)+IF($AJ$4="1H",AM16,0)+IF($AF$4="1H",AI16,0)+IF($AB$4="1H",AE16,0)+IF($X$4="1H",AA16,0)+IF($T$4="1H",W16,0)+IF($P$4="1H",S16,0)+IF($L$4="1H",O16,0)+IF($H$4="1H",K16,0)+IF($D$4="1H",G16,0)</f>
        <v>264535.92943661974</v>
      </c>
      <c r="BC16" s="128">
        <f t="shared" ref="BC16:BC19" si="33">BB16+$C16</f>
        <v>264535.92943661974</v>
      </c>
      <c r="BD16" s="127">
        <f t="shared" ref="BD16:BD19" si="34">AY16+AU16+AQ16+AM16+AI16+AE16+AA16+W16+S16+O16+K16+G16</f>
        <v>422142.52450704225</v>
      </c>
      <c r="BE16" s="91">
        <f t="shared" ref="BE16:BE19" si="35">BD16+C16</f>
        <v>422142.52450704225</v>
      </c>
    </row>
    <row r="17" spans="1:57" ht="13">
      <c r="A17" s="89" t="s">
        <v>209</v>
      </c>
      <c r="B17" s="265"/>
      <c r="C17" s="121">
        <f>'Updated uncollectible PS Model '!BE23</f>
        <v>743.98834440746577</v>
      </c>
      <c r="D17" s="53">
        <v>100</v>
      </c>
      <c r="E17" s="123">
        <f t="shared" si="6"/>
        <v>20423.032863849767</v>
      </c>
      <c r="F17" s="124"/>
      <c r="G17" s="123">
        <f t="shared" si="7"/>
        <v>20423.032863849767</v>
      </c>
      <c r="H17" s="214">
        <v>100</v>
      </c>
      <c r="I17" s="123">
        <f t="shared" si="8"/>
        <v>18653.924882629108</v>
      </c>
      <c r="J17" s="124"/>
      <c r="K17" s="123">
        <f t="shared" si="9"/>
        <v>18653.924882629108</v>
      </c>
      <c r="L17" s="214">
        <v>100</v>
      </c>
      <c r="M17" s="123">
        <f t="shared" si="10"/>
        <v>16334.85680751174</v>
      </c>
      <c r="N17" s="124"/>
      <c r="O17" s="123">
        <f t="shared" si="11"/>
        <v>16334.85680751174</v>
      </c>
      <c r="P17" s="214">
        <v>100</v>
      </c>
      <c r="Q17" s="123">
        <f t="shared" si="12"/>
        <v>12145.427230046949</v>
      </c>
      <c r="R17" s="124"/>
      <c r="S17" s="123">
        <f t="shared" si="13"/>
        <v>12145.427230046949</v>
      </c>
      <c r="T17" s="214">
        <v>100</v>
      </c>
      <c r="U17" s="123">
        <f t="shared" si="14"/>
        <v>13266.072769953051</v>
      </c>
      <c r="V17" s="124"/>
      <c r="W17" s="123">
        <f t="shared" si="15"/>
        <v>13266.072769953051</v>
      </c>
      <c r="X17" s="214">
        <v>100</v>
      </c>
      <c r="Y17" s="123">
        <f t="shared" si="16"/>
        <v>16884.265258215961</v>
      </c>
      <c r="Z17" s="124"/>
      <c r="AA17" s="123">
        <f t="shared" si="17"/>
        <v>16884.265258215961</v>
      </c>
      <c r="AB17" s="214">
        <v>100</v>
      </c>
      <c r="AC17" s="123">
        <f t="shared" si="18"/>
        <v>13521.119718309857</v>
      </c>
      <c r="AD17" s="124"/>
      <c r="AE17" s="123">
        <f t="shared" si="19"/>
        <v>13521.119718309857</v>
      </c>
      <c r="AF17" s="214">
        <v>100</v>
      </c>
      <c r="AG17" s="123">
        <f t="shared" si="20"/>
        <v>10481.908450704226</v>
      </c>
      <c r="AH17" s="124"/>
      <c r="AI17" s="123">
        <f t="shared" si="21"/>
        <v>10481.908450704226</v>
      </c>
      <c r="AJ17" s="214">
        <v>100</v>
      </c>
      <c r="AK17" s="123">
        <f t="shared" si="22"/>
        <v>6831.237089201878</v>
      </c>
      <c r="AL17" s="124"/>
      <c r="AM17" s="123">
        <f t="shared" si="23"/>
        <v>6831.237089201878</v>
      </c>
      <c r="AN17" s="214">
        <v>100</v>
      </c>
      <c r="AO17" s="123">
        <f t="shared" si="24"/>
        <v>10719.119718309859</v>
      </c>
      <c r="AP17" s="124"/>
      <c r="AQ17" s="123">
        <f t="shared" si="25"/>
        <v>10719.119718309859</v>
      </c>
      <c r="AR17" s="214">
        <v>100</v>
      </c>
      <c r="AS17" s="123">
        <f t="shared" si="26"/>
        <v>10649.683098591549</v>
      </c>
      <c r="AT17" s="124"/>
      <c r="AU17" s="123">
        <f t="shared" si="27"/>
        <v>10649.683098591549</v>
      </c>
      <c r="AV17" s="214">
        <v>100</v>
      </c>
      <c r="AW17" s="123">
        <f t="shared" si="28"/>
        <v>7614.8802816901471</v>
      </c>
      <c r="AX17" s="124"/>
      <c r="AY17" s="126">
        <f t="shared" si="29"/>
        <v>7614.8802816901471</v>
      </c>
      <c r="AZ17" s="127">
        <f t="shared" si="30"/>
        <v>55411.814553990618</v>
      </c>
      <c r="BA17" s="128">
        <f t="shared" si="31"/>
        <v>56155.802898398084</v>
      </c>
      <c r="BB17" s="127">
        <f t="shared" si="32"/>
        <v>97707.57981220659</v>
      </c>
      <c r="BC17" s="128">
        <f t="shared" si="33"/>
        <v>98451.568156614056</v>
      </c>
      <c r="BD17" s="127">
        <f t="shared" si="34"/>
        <v>157525.52816901408</v>
      </c>
      <c r="BE17" s="91">
        <f t="shared" si="35"/>
        <v>158269.51651342155</v>
      </c>
    </row>
    <row r="18" spans="1:57" ht="13">
      <c r="A18" s="89" t="s">
        <v>61</v>
      </c>
      <c r="B18" s="265"/>
      <c r="C18" s="121">
        <f>'Updated uncollectible PS Model '!BE25</f>
        <v>74.401334440753999</v>
      </c>
      <c r="D18" s="53">
        <v>13</v>
      </c>
      <c r="E18" s="123">
        <f t="shared" si="6"/>
        <v>2654.9942723004697</v>
      </c>
      <c r="F18" s="124"/>
      <c r="G18" s="123">
        <f t="shared" si="7"/>
        <v>2654.9942723004697</v>
      </c>
      <c r="H18" s="53">
        <v>13</v>
      </c>
      <c r="I18" s="123">
        <f t="shared" si="8"/>
        <v>2425.0102347417842</v>
      </c>
      <c r="J18" s="124"/>
      <c r="K18" s="123">
        <f t="shared" si="9"/>
        <v>2425.0102347417842</v>
      </c>
      <c r="L18" s="53">
        <v>13</v>
      </c>
      <c r="M18" s="123">
        <f t="shared" si="10"/>
        <v>2123.5313849765262</v>
      </c>
      <c r="N18" s="124"/>
      <c r="O18" s="123">
        <f t="shared" si="11"/>
        <v>2123.5313849765262</v>
      </c>
      <c r="P18" s="53">
        <v>13</v>
      </c>
      <c r="Q18" s="123">
        <f t="shared" si="12"/>
        <v>1578.9055399061033</v>
      </c>
      <c r="R18" s="124"/>
      <c r="S18" s="123">
        <f t="shared" si="13"/>
        <v>1578.9055399061033</v>
      </c>
      <c r="T18" s="53">
        <v>13</v>
      </c>
      <c r="U18" s="123">
        <f t="shared" si="14"/>
        <v>1724.5894600938966</v>
      </c>
      <c r="V18" s="124"/>
      <c r="W18" s="123">
        <f t="shared" si="15"/>
        <v>1724.5894600938966</v>
      </c>
      <c r="X18" s="53">
        <v>13</v>
      </c>
      <c r="Y18" s="123">
        <f t="shared" si="16"/>
        <v>2194.9544835680749</v>
      </c>
      <c r="Z18" s="124"/>
      <c r="AA18" s="123">
        <f t="shared" si="17"/>
        <v>2194.9544835680749</v>
      </c>
      <c r="AB18" s="53">
        <v>13</v>
      </c>
      <c r="AC18" s="123">
        <f t="shared" si="18"/>
        <v>1757.7455633802813</v>
      </c>
      <c r="AD18" s="124"/>
      <c r="AE18" s="123">
        <f t="shared" si="19"/>
        <v>1757.7455633802813</v>
      </c>
      <c r="AF18" s="53">
        <v>13</v>
      </c>
      <c r="AG18" s="123">
        <f t="shared" si="20"/>
        <v>1362.6480985915491</v>
      </c>
      <c r="AH18" s="124"/>
      <c r="AI18" s="123">
        <f t="shared" si="21"/>
        <v>1362.6480985915491</v>
      </c>
      <c r="AJ18" s="53">
        <v>13</v>
      </c>
      <c r="AK18" s="123">
        <f t="shared" si="22"/>
        <v>888.06082159624407</v>
      </c>
      <c r="AL18" s="124"/>
      <c r="AM18" s="123">
        <f t="shared" si="23"/>
        <v>888.06082159624407</v>
      </c>
      <c r="AN18" s="53">
        <v>13</v>
      </c>
      <c r="AO18" s="123">
        <f t="shared" si="24"/>
        <v>1393.4855633802817</v>
      </c>
      <c r="AP18" s="124"/>
      <c r="AQ18" s="123">
        <f t="shared" si="25"/>
        <v>1393.4855633802817</v>
      </c>
      <c r="AR18" s="53">
        <v>13</v>
      </c>
      <c r="AS18" s="123">
        <f t="shared" si="26"/>
        <v>1384.4588028169017</v>
      </c>
      <c r="AT18" s="124"/>
      <c r="AU18" s="123">
        <f t="shared" si="27"/>
        <v>1384.4588028169017</v>
      </c>
      <c r="AV18" s="53">
        <v>13</v>
      </c>
      <c r="AW18" s="123">
        <f t="shared" si="28"/>
        <v>989.93443661971912</v>
      </c>
      <c r="AX18" s="124"/>
      <c r="AY18" s="126">
        <f t="shared" si="29"/>
        <v>989.93443661971912</v>
      </c>
      <c r="AZ18" s="127">
        <f t="shared" si="30"/>
        <v>7203.53589201878</v>
      </c>
      <c r="BA18" s="128">
        <f t="shared" si="31"/>
        <v>7277.937226459534</v>
      </c>
      <c r="BB18" s="127">
        <f t="shared" si="32"/>
        <v>12701.985375586855</v>
      </c>
      <c r="BC18" s="128">
        <f t="shared" si="33"/>
        <v>12776.386710027609</v>
      </c>
      <c r="BD18" s="127">
        <f t="shared" si="34"/>
        <v>20478.318661971833</v>
      </c>
      <c r="BE18" s="91">
        <f t="shared" si="35"/>
        <v>20552.719996412587</v>
      </c>
    </row>
    <row r="19" spans="1:57" ht="13">
      <c r="A19" s="89" t="s">
        <v>65</v>
      </c>
      <c r="B19" s="265"/>
      <c r="C19" s="121">
        <f>'Updated uncollectible PS Model '!BE26</f>
        <v>74.401334440753999</v>
      </c>
      <c r="D19" s="53">
        <v>13</v>
      </c>
      <c r="E19" s="123">
        <f t="shared" si="6"/>
        <v>2654.9942723004697</v>
      </c>
      <c r="F19" s="124"/>
      <c r="G19" s="123">
        <f t="shared" si="7"/>
        <v>2654.9942723004697</v>
      </c>
      <c r="H19" s="53">
        <v>13</v>
      </c>
      <c r="I19" s="123">
        <f t="shared" si="8"/>
        <v>2425.0102347417842</v>
      </c>
      <c r="J19" s="124"/>
      <c r="K19" s="123">
        <f t="shared" si="9"/>
        <v>2425.0102347417842</v>
      </c>
      <c r="L19" s="53">
        <v>13</v>
      </c>
      <c r="M19" s="123">
        <f t="shared" si="10"/>
        <v>2123.5313849765262</v>
      </c>
      <c r="N19" s="124"/>
      <c r="O19" s="123">
        <f t="shared" si="11"/>
        <v>2123.5313849765262</v>
      </c>
      <c r="P19" s="53">
        <v>13</v>
      </c>
      <c r="Q19" s="123">
        <f t="shared" si="12"/>
        <v>1578.9055399061033</v>
      </c>
      <c r="R19" s="124"/>
      <c r="S19" s="123">
        <f t="shared" si="13"/>
        <v>1578.9055399061033</v>
      </c>
      <c r="T19" s="53">
        <v>13</v>
      </c>
      <c r="U19" s="123">
        <f t="shared" si="14"/>
        <v>1724.5894600938966</v>
      </c>
      <c r="V19" s="124"/>
      <c r="W19" s="123">
        <f t="shared" si="15"/>
        <v>1724.5894600938966</v>
      </c>
      <c r="X19" s="53">
        <v>13</v>
      </c>
      <c r="Y19" s="123">
        <f t="shared" si="16"/>
        <v>2194.9544835680749</v>
      </c>
      <c r="Z19" s="124"/>
      <c r="AA19" s="123">
        <f t="shared" si="17"/>
        <v>2194.9544835680749</v>
      </c>
      <c r="AB19" s="53">
        <v>13</v>
      </c>
      <c r="AC19" s="123">
        <f t="shared" si="18"/>
        <v>1757.7455633802813</v>
      </c>
      <c r="AD19" s="124"/>
      <c r="AE19" s="123">
        <f t="shared" si="19"/>
        <v>1757.7455633802813</v>
      </c>
      <c r="AF19" s="53">
        <v>13</v>
      </c>
      <c r="AG19" s="123">
        <f t="shared" si="20"/>
        <v>1362.6480985915491</v>
      </c>
      <c r="AH19" s="124"/>
      <c r="AI19" s="123">
        <f t="shared" si="21"/>
        <v>1362.6480985915491</v>
      </c>
      <c r="AJ19" s="53">
        <v>13</v>
      </c>
      <c r="AK19" s="123">
        <f t="shared" si="22"/>
        <v>888.06082159624407</v>
      </c>
      <c r="AL19" s="124"/>
      <c r="AM19" s="123">
        <f t="shared" si="23"/>
        <v>888.06082159624407</v>
      </c>
      <c r="AN19" s="53">
        <v>13</v>
      </c>
      <c r="AO19" s="123">
        <f t="shared" si="24"/>
        <v>1393.4855633802817</v>
      </c>
      <c r="AP19" s="124"/>
      <c r="AQ19" s="123">
        <f t="shared" si="25"/>
        <v>1393.4855633802817</v>
      </c>
      <c r="AR19" s="53">
        <v>13</v>
      </c>
      <c r="AS19" s="123">
        <f t="shared" si="26"/>
        <v>1384.4588028169017</v>
      </c>
      <c r="AT19" s="124"/>
      <c r="AU19" s="123">
        <f t="shared" si="27"/>
        <v>1384.4588028169017</v>
      </c>
      <c r="AV19" s="53">
        <v>13</v>
      </c>
      <c r="AW19" s="123">
        <f t="shared" si="28"/>
        <v>989.93443661971912</v>
      </c>
      <c r="AX19" s="124"/>
      <c r="AY19" s="126">
        <f t="shared" si="29"/>
        <v>989.93443661971912</v>
      </c>
      <c r="AZ19" s="127">
        <f t="shared" si="30"/>
        <v>7203.53589201878</v>
      </c>
      <c r="BA19" s="128">
        <f t="shared" si="31"/>
        <v>7277.937226459534</v>
      </c>
      <c r="BB19" s="127">
        <f t="shared" si="32"/>
        <v>12701.985375586855</v>
      </c>
      <c r="BC19" s="128">
        <f t="shared" si="33"/>
        <v>12776.386710027609</v>
      </c>
      <c r="BD19" s="127">
        <f t="shared" si="34"/>
        <v>20478.318661971833</v>
      </c>
      <c r="BE19" s="91">
        <f t="shared" si="35"/>
        <v>20552.719996412587</v>
      </c>
    </row>
    <row r="20" spans="1:57" ht="13">
      <c r="A20" s="89"/>
      <c r="C20" s="61"/>
      <c r="D20" s="148">
        <f t="shared" ref="D20:E20" si="36">SUM(D16:D19)</f>
        <v>426</v>
      </c>
      <c r="E20" s="149">
        <f t="shared" si="36"/>
        <v>87002.12</v>
      </c>
      <c r="F20" s="91"/>
      <c r="G20" s="91"/>
      <c r="H20" s="148">
        <f t="shared" ref="H20:I20" si="37">SUM(H16:H19)</f>
        <v>426</v>
      </c>
      <c r="I20" s="149">
        <f t="shared" si="37"/>
        <v>79465.72</v>
      </c>
      <c r="J20" s="91"/>
      <c r="K20" s="91"/>
      <c r="L20" s="148">
        <f t="shared" ref="L20:M20" si="38">SUM(L16:L19)</f>
        <v>426</v>
      </c>
      <c r="M20" s="149">
        <f t="shared" si="38"/>
        <v>69586.489999999991</v>
      </c>
      <c r="N20" s="91"/>
      <c r="O20" s="91"/>
      <c r="P20" s="148">
        <f t="shared" ref="P20:Q20" si="39">SUM(P16:P19)</f>
        <v>426</v>
      </c>
      <c r="Q20" s="149">
        <f t="shared" si="39"/>
        <v>51739.520000000004</v>
      </c>
      <c r="R20" s="91"/>
      <c r="S20" s="91"/>
      <c r="T20" s="148">
        <f t="shared" ref="T20:U20" si="40">SUM(T16:T19)</f>
        <v>426</v>
      </c>
      <c r="U20" s="149">
        <f t="shared" si="40"/>
        <v>56513.47</v>
      </c>
      <c r="V20" s="91"/>
      <c r="W20" s="91"/>
      <c r="X20" s="148">
        <f t="shared" ref="X20:Y20" si="41">SUM(X16:X19)</f>
        <v>426</v>
      </c>
      <c r="Y20" s="149">
        <f t="shared" si="41"/>
        <v>71926.969999999987</v>
      </c>
      <c r="Z20" s="91"/>
      <c r="AA20" s="91"/>
      <c r="AB20" s="148">
        <f t="shared" ref="AB20:AC20" si="42">SUM(AB16:AB19)</f>
        <v>426</v>
      </c>
      <c r="AC20" s="149">
        <f t="shared" si="42"/>
        <v>57599.969999999987</v>
      </c>
      <c r="AD20" s="91"/>
      <c r="AE20" s="91"/>
      <c r="AF20" s="148">
        <f t="shared" ref="AF20:AG20" si="43">SUM(AF16:AF19)</f>
        <v>426</v>
      </c>
      <c r="AG20" s="149">
        <f t="shared" si="43"/>
        <v>44652.93</v>
      </c>
      <c r="AH20" s="91"/>
      <c r="AI20" s="91"/>
      <c r="AJ20" s="148">
        <f t="shared" ref="AJ20:AK20" si="44">SUM(AJ16:AJ19)</f>
        <v>426</v>
      </c>
      <c r="AK20" s="149">
        <f t="shared" si="44"/>
        <v>29101.070000000003</v>
      </c>
      <c r="AL20" s="91"/>
      <c r="AM20" s="91"/>
      <c r="AN20" s="148">
        <f t="shared" ref="AN20:AO20" si="45">SUM(AN16:AN19)</f>
        <v>426</v>
      </c>
      <c r="AO20" s="149">
        <f t="shared" si="45"/>
        <v>45663.45</v>
      </c>
      <c r="AP20" s="91"/>
      <c r="AQ20" s="91"/>
      <c r="AR20" s="148">
        <f t="shared" ref="AR20:AS20" si="46">SUM(AR16:AR19)</f>
        <v>426</v>
      </c>
      <c r="AS20" s="149">
        <f t="shared" si="46"/>
        <v>45367.65</v>
      </c>
      <c r="AT20" s="91"/>
      <c r="AU20" s="91"/>
      <c r="AV20" s="148">
        <f t="shared" ref="AV20:AW20" si="47">SUM(AV16:AV19)</f>
        <v>426</v>
      </c>
      <c r="AW20" s="149">
        <f t="shared" si="47"/>
        <v>32439.390000000029</v>
      </c>
      <c r="AX20" s="124"/>
      <c r="AY20" s="92"/>
      <c r="AZ20" s="91"/>
      <c r="BA20" s="150"/>
      <c r="BB20" s="91"/>
      <c r="BC20" s="150"/>
    </row>
    <row r="21" spans="1:57" ht="14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X21" s="151"/>
      <c r="AY21" s="92"/>
      <c r="AZ21" s="216" t="str">
        <f>"Paid for "&amp;AZ2</f>
        <v>Paid for 1Q</v>
      </c>
      <c r="BA21" s="217" t="s">
        <v>256</v>
      </c>
      <c r="BB21" s="216" t="str">
        <f>"Paid for "&amp;BB2</f>
        <v>Paid for 1H</v>
      </c>
      <c r="BC21" s="217" t="s">
        <v>256</v>
      </c>
      <c r="BD21" s="216" t="str">
        <f>"Paid for "&amp;BD2</f>
        <v>Paid for 2017</v>
      </c>
      <c r="BE21" s="217" t="s">
        <v>256</v>
      </c>
    </row>
    <row r="22" spans="1:57" ht="13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45" t="s">
        <v>83</v>
      </c>
      <c r="AZ22" s="200">
        <f>AZ13</f>
        <v>37500</v>
      </c>
      <c r="BA22" s="271">
        <f t="shared" ref="BA22:BA25" si="48">BA16-AZ22</f>
        <v>117987.05366197182</v>
      </c>
      <c r="BB22" s="263">
        <f>BB13</f>
        <v>225000</v>
      </c>
      <c r="BC22" s="272">
        <f t="shared" ref="BC22:BC25" si="49">BC16-BB22</f>
        <v>39535.929436619743</v>
      </c>
      <c r="BD22" s="278">
        <f>BD13</f>
        <v>505447.13</v>
      </c>
      <c r="BE22" s="272">
        <f t="shared" ref="BE22:BE25" si="50">BE16-BD22</f>
        <v>-83304.605492957751</v>
      </c>
    </row>
    <row r="23" spans="1:57" ht="13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209</v>
      </c>
      <c r="AZ23" s="90">
        <v>55939.6</v>
      </c>
      <c r="BA23" s="273">
        <f t="shared" si="48"/>
        <v>216.20289839808538</v>
      </c>
      <c r="BB23" s="90">
        <f>AZ23+40109.04</f>
        <v>96048.639999999999</v>
      </c>
      <c r="BC23" s="272">
        <f t="shared" si="49"/>
        <v>2402.9281566140562</v>
      </c>
      <c r="BD23" s="90">
        <f>BB23+40109.04</f>
        <v>136157.68</v>
      </c>
      <c r="BE23" s="272">
        <f t="shared" si="50"/>
        <v>22111.836513421556</v>
      </c>
    </row>
    <row r="24" spans="1:57" ht="13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0" t="s">
        <v>61</v>
      </c>
      <c r="AZ24" s="90">
        <v>7256.32</v>
      </c>
      <c r="BA24" s="273">
        <f t="shared" si="48"/>
        <v>21.617226459534322</v>
      </c>
      <c r="BB24" s="90">
        <f t="shared" ref="BB24:BB25" si="51">AZ24+5283.38</f>
        <v>12539.7</v>
      </c>
      <c r="BC24" s="272">
        <f t="shared" si="49"/>
        <v>236.68671002760857</v>
      </c>
      <c r="BD24" s="90">
        <f t="shared" ref="BD24:BD25" si="52">BB24+5283.38</f>
        <v>17823.080000000002</v>
      </c>
      <c r="BE24" s="272">
        <f t="shared" si="50"/>
        <v>2729.6399964125849</v>
      </c>
    </row>
    <row r="25" spans="1:57" ht="13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Y25" s="255" t="s">
        <v>65</v>
      </c>
      <c r="AZ25" s="274">
        <v>7256.32</v>
      </c>
      <c r="BA25" s="279">
        <f t="shared" si="48"/>
        <v>21.617226459534322</v>
      </c>
      <c r="BB25" s="274">
        <f t="shared" si="51"/>
        <v>12539.7</v>
      </c>
      <c r="BC25" s="277">
        <f t="shared" si="49"/>
        <v>236.68671002760857</v>
      </c>
      <c r="BD25" s="274">
        <f t="shared" si="52"/>
        <v>17823.080000000002</v>
      </c>
      <c r="BE25" s="277">
        <f t="shared" si="50"/>
        <v>2729.6399964125849</v>
      </c>
    </row>
    <row r="26" spans="1:57" ht="13">
      <c r="A26" s="89"/>
      <c r="C26" s="61"/>
      <c r="D26" s="62"/>
      <c r="BC26" s="91"/>
      <c r="BD26" s="91"/>
      <c r="BE26" s="91"/>
    </row>
    <row r="27" spans="1:57" ht="13">
      <c r="A27" s="89"/>
      <c r="C27" s="61"/>
      <c r="D27" s="62"/>
      <c r="AY27" s="1"/>
      <c r="BA27" s="230"/>
      <c r="BB27" s="230"/>
      <c r="BC27" s="91"/>
      <c r="BD27" s="91"/>
      <c r="BE27" s="91"/>
    </row>
    <row r="28" spans="1:57" ht="13">
      <c r="A28" s="89"/>
      <c r="C28" s="61"/>
      <c r="D28" s="62"/>
      <c r="AZ28" s="152"/>
      <c r="BA28" s="152"/>
      <c r="BD28" s="91"/>
      <c r="BE28" s="91"/>
    </row>
    <row r="29" spans="1:57" ht="14">
      <c r="A29" s="89" t="s">
        <v>201</v>
      </c>
      <c r="C29" s="61"/>
      <c r="D29" s="62"/>
      <c r="AN29" s="1" t="s">
        <v>148</v>
      </c>
      <c r="AZ29" s="152"/>
      <c r="BA29" s="152"/>
      <c r="BB29" s="152"/>
      <c r="BC29" s="91"/>
      <c r="BD29" s="91"/>
      <c r="BE29" s="91"/>
    </row>
    <row r="30" spans="1:57" ht="13">
      <c r="A30" s="89"/>
      <c r="C30" s="61"/>
      <c r="D30" s="62"/>
      <c r="BC30" s="91"/>
    </row>
    <row r="31" spans="1:57" ht="13">
      <c r="A31" s="89"/>
      <c r="C31" s="61"/>
      <c r="D31" s="62"/>
    </row>
    <row r="32" spans="1:57" ht="14">
      <c r="A32" s="89"/>
      <c r="C32" s="61"/>
      <c r="D32" s="62"/>
      <c r="BC32" s="1" t="s">
        <v>316</v>
      </c>
      <c r="BD32" s="172">
        <f>BD10*D16/D20</f>
        <v>472576.58450704225</v>
      </c>
    </row>
    <row r="33" spans="1:56" ht="14">
      <c r="A33" s="89"/>
      <c r="C33" s="61"/>
      <c r="D33" s="62"/>
      <c r="BC33" s="1" t="s">
        <v>300</v>
      </c>
      <c r="BD33" s="172">
        <f>SUMIF($D$15:$AY$15,$AX$15,$D16:$AY16)</f>
        <v>50434.06</v>
      </c>
    </row>
    <row r="34" spans="1:56" ht="14">
      <c r="A34" s="89"/>
      <c r="C34" s="61"/>
      <c r="D34" s="62"/>
      <c r="BC34" s="268" t="s">
        <v>301</v>
      </c>
      <c r="BD34" s="172">
        <f>BD22-BD13</f>
        <v>0</v>
      </c>
    </row>
    <row r="35" spans="1:56" ht="28">
      <c r="A35" s="89"/>
      <c r="C35" s="61"/>
      <c r="D35" s="62"/>
      <c r="BC35" s="1" t="s">
        <v>313</v>
      </c>
      <c r="BD35" s="172">
        <f>C16+BD32-BD33-(BD11-BD7)-BD12</f>
        <v>-83304.605492957751</v>
      </c>
    </row>
    <row r="36" spans="1:56" ht="13">
      <c r="A36" s="89"/>
      <c r="C36" s="61"/>
      <c r="D36" s="62"/>
    </row>
    <row r="37" spans="1:56" ht="13">
      <c r="A37" s="89"/>
      <c r="C37" s="61"/>
      <c r="D37" s="62"/>
    </row>
    <row r="38" spans="1:56" ht="13">
      <c r="A38" s="89"/>
      <c r="C38" s="61"/>
      <c r="D38" s="62"/>
      <c r="BB38" s="280"/>
    </row>
    <row r="39" spans="1:56" ht="13">
      <c r="A39" s="89"/>
      <c r="C39" s="61"/>
      <c r="D39" s="62"/>
    </row>
    <row r="40" spans="1:56" ht="13">
      <c r="A40" s="89"/>
      <c r="C40" s="61"/>
      <c r="D40" s="62"/>
    </row>
    <row r="41" spans="1:56" ht="13">
      <c r="A41" s="89"/>
      <c r="C41" s="61"/>
      <c r="D41" s="62"/>
    </row>
    <row r="42" spans="1:56" ht="13">
      <c r="A42" s="89"/>
      <c r="C42" s="61"/>
      <c r="D42" s="62"/>
    </row>
  </sheetData>
  <conditionalFormatting sqref="BB41">
    <cfRule type="notContainsBlanks" dxfId="4" priority="4">
      <formula>LEN(TRIM(BB41))&gt;0</formula>
    </cfRule>
  </conditionalFormatting>
  <conditionalFormatting sqref="BD34">
    <cfRule type="cellIs" dxfId="3" priority="1" operator="equal">
      <formula>0</formula>
    </cfRule>
    <cfRule type="cellIs" dxfId="2" priority="2" operator="notEqual">
      <formula>0</formula>
    </cfRule>
  </conditionalFormatting>
  <conditionalFormatting sqref="BD35">
    <cfRule type="expression" dxfId="1" priority="3">
      <formula>BD35=BE22</formula>
    </cfRule>
    <cfRule type="expression" dxfId="0" priority="5">
      <formula>BD35&lt;&gt;BE22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BE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7" width="15.1640625" customWidth="1"/>
  </cols>
  <sheetData>
    <row r="1" spans="1:57" ht="42.75" customHeight="1">
      <c r="A1" s="5" t="s">
        <v>148</v>
      </c>
      <c r="C1" s="61" t="s">
        <v>131</v>
      </c>
      <c r="D1" s="59">
        <v>42766</v>
      </c>
      <c r="E1" s="60"/>
      <c r="F1" s="60"/>
      <c r="G1" s="61"/>
      <c r="H1" s="59">
        <v>42794</v>
      </c>
      <c r="I1" s="60"/>
      <c r="J1" s="60"/>
      <c r="K1" s="61"/>
      <c r="L1" s="59">
        <v>42825</v>
      </c>
      <c r="M1" s="60"/>
      <c r="N1" s="60"/>
      <c r="O1" s="61"/>
      <c r="P1" s="59">
        <v>42855</v>
      </c>
      <c r="Q1" s="60"/>
      <c r="R1" s="60"/>
      <c r="S1" s="61"/>
      <c r="T1" s="59">
        <v>42886</v>
      </c>
      <c r="U1" s="60"/>
      <c r="V1" s="60"/>
      <c r="W1" s="61"/>
      <c r="X1" s="59">
        <v>42916</v>
      </c>
      <c r="Y1" s="60"/>
      <c r="Z1" s="60"/>
      <c r="AA1" s="61"/>
      <c r="AB1" s="59">
        <v>42947</v>
      </c>
      <c r="AC1" s="60"/>
      <c r="AD1" s="60"/>
      <c r="AE1" s="61"/>
      <c r="AF1" s="59">
        <v>42978</v>
      </c>
      <c r="AG1" s="60"/>
      <c r="AH1" s="60"/>
      <c r="AI1" s="61"/>
      <c r="AJ1" s="59">
        <v>43008</v>
      </c>
      <c r="AK1" s="60"/>
      <c r="AL1" s="60"/>
      <c r="AM1" s="61"/>
      <c r="AN1" s="59">
        <v>43039</v>
      </c>
      <c r="AO1" s="60"/>
      <c r="AP1" s="60"/>
      <c r="AQ1" s="61"/>
      <c r="AR1" s="59">
        <v>43069</v>
      </c>
      <c r="AS1" s="60"/>
      <c r="AT1" s="60"/>
      <c r="AU1" s="61"/>
      <c r="AV1" s="59">
        <v>43100</v>
      </c>
      <c r="AW1" s="60"/>
      <c r="AX1" s="60"/>
      <c r="BB1" s="62"/>
      <c r="BC1" s="61"/>
    </row>
    <row r="2" spans="1:57" ht="14">
      <c r="A2" s="5"/>
      <c r="C2" s="61"/>
      <c r="D2" s="62">
        <f>YEAR(D1)</f>
        <v>2017</v>
      </c>
      <c r="G2" s="61"/>
      <c r="H2" s="62">
        <f>YEAR(H1)</f>
        <v>2017</v>
      </c>
      <c r="K2" s="61"/>
      <c r="L2" s="62">
        <f>YEAR(L1)</f>
        <v>2017</v>
      </c>
      <c r="O2" s="61"/>
      <c r="P2" s="62">
        <f>YEAR(P1)</f>
        <v>2017</v>
      </c>
      <c r="S2" s="61"/>
      <c r="T2" s="62">
        <f>YEAR(T1)</f>
        <v>2017</v>
      </c>
      <c r="W2" s="61"/>
      <c r="X2" s="62">
        <f>YEAR(X1)</f>
        <v>2017</v>
      </c>
      <c r="AA2" s="61"/>
      <c r="AB2" s="62">
        <f>YEAR(AB1)</f>
        <v>2017</v>
      </c>
      <c r="AE2" s="61"/>
      <c r="AF2" s="62">
        <f>YEAR(AF1)</f>
        <v>2017</v>
      </c>
      <c r="AI2" s="61"/>
      <c r="AJ2" s="62">
        <f>YEAR(AJ1)</f>
        <v>2017</v>
      </c>
      <c r="AM2" s="61"/>
      <c r="AN2" s="62">
        <f>YEAR(AN1)</f>
        <v>2017</v>
      </c>
      <c r="AQ2" s="61"/>
      <c r="AR2" s="62">
        <f>YEAR(AR1)</f>
        <v>2017</v>
      </c>
      <c r="AU2" s="61"/>
      <c r="AV2" s="62">
        <f>YEAR(AV1)</f>
        <v>2017</v>
      </c>
      <c r="AY2" s="61"/>
      <c r="AZ2" s="65" t="s">
        <v>132</v>
      </c>
      <c r="BA2" s="65"/>
      <c r="BB2" s="209" t="s">
        <v>247</v>
      </c>
      <c r="BC2" s="61"/>
      <c r="BD2" s="67">
        <v>2017</v>
      </c>
      <c r="BE2" s="67"/>
    </row>
    <row r="3" spans="1:5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  <c r="BE3" s="72"/>
    </row>
    <row r="4" spans="1:57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  <c r="BE4" s="72"/>
    </row>
    <row r="5" spans="1:57" ht="13">
      <c r="A5" s="89" t="s">
        <v>136</v>
      </c>
      <c r="C5" s="61"/>
      <c r="D5" s="90">
        <v>97204.06</v>
      </c>
      <c r="E5" s="91"/>
      <c r="F5" s="91"/>
      <c r="G5" s="92"/>
      <c r="H5" s="90">
        <v>86761.19</v>
      </c>
      <c r="I5" s="91"/>
      <c r="J5" s="91"/>
      <c r="K5" s="92"/>
      <c r="L5" s="90">
        <v>78840.69</v>
      </c>
      <c r="M5" s="91"/>
      <c r="N5" s="91"/>
      <c r="O5" s="92"/>
      <c r="P5" s="90">
        <v>52452.69</v>
      </c>
      <c r="Q5" s="91"/>
      <c r="R5" s="91"/>
      <c r="S5" s="92"/>
      <c r="T5" s="90">
        <v>64000.9</v>
      </c>
      <c r="U5" s="91"/>
      <c r="V5" s="91"/>
      <c r="W5" s="92"/>
      <c r="X5" s="90">
        <v>83387.95</v>
      </c>
      <c r="Y5" s="91"/>
      <c r="Z5" s="91"/>
      <c r="AA5" s="92"/>
      <c r="AB5" s="90">
        <v>-4626.2700000000004</v>
      </c>
      <c r="AC5" s="91"/>
      <c r="AD5" s="91"/>
      <c r="AE5" s="92"/>
      <c r="AF5" s="90">
        <v>52453.1</v>
      </c>
      <c r="AG5" s="91"/>
      <c r="AH5" s="91"/>
      <c r="AI5" s="92"/>
      <c r="AJ5" s="90">
        <v>37287.39</v>
      </c>
      <c r="AK5" s="91"/>
      <c r="AL5" s="91"/>
      <c r="AM5" s="92"/>
      <c r="AN5" s="90">
        <v>57313.77</v>
      </c>
      <c r="AO5" s="91"/>
      <c r="AP5" s="91"/>
      <c r="AQ5" s="92"/>
      <c r="AR5" s="90">
        <v>55272.54</v>
      </c>
      <c r="AS5" s="91"/>
      <c r="AT5" s="91"/>
      <c r="AU5" s="92"/>
      <c r="AV5" s="90">
        <v>-61527.16</v>
      </c>
      <c r="AW5" s="151"/>
      <c r="AX5" s="151"/>
      <c r="AY5" s="92"/>
      <c r="AZ5" s="93">
        <f t="shared" ref="AZ5:AZ7" si="0">SUMIF($D$3:$AY$3,AZ$2,$D5:$AY5)</f>
        <v>262805.94</v>
      </c>
      <c r="BA5" s="92"/>
      <c r="BB5" s="93">
        <f t="shared" ref="BB5:BB7" si="1">SUMIF($D$4:$AY$4,BB$2,$D5:$AY5)</f>
        <v>462647.48000000004</v>
      </c>
      <c r="BC5" s="92"/>
      <c r="BD5" s="94">
        <f t="shared" ref="BD5:BD7" si="2">SUMIF($D$2:$AY$2,$BD$2,$D5:$AY5)</f>
        <v>598820.85</v>
      </c>
      <c r="BE5" s="94"/>
    </row>
    <row r="6" spans="1:57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2"/>
      <c r="BD6" s="94">
        <f t="shared" si="2"/>
        <v>0</v>
      </c>
      <c r="BE6" s="94"/>
    </row>
    <row r="7" spans="1:57" ht="13">
      <c r="A7" s="89" t="s">
        <v>143</v>
      </c>
      <c r="B7" s="99">
        <v>12500</v>
      </c>
      <c r="C7" s="61"/>
      <c r="D7" s="100">
        <f>'Revised PS Model 2017'!ColinSalary</f>
        <v>12500</v>
      </c>
      <c r="E7" s="91"/>
      <c r="F7" s="91"/>
      <c r="G7" s="92"/>
      <c r="H7" s="100">
        <f>'Revised PS Model 2017'!ColinSalary</f>
        <v>12500</v>
      </c>
      <c r="I7" s="91"/>
      <c r="J7" s="91"/>
      <c r="K7" s="92"/>
      <c r="L7" s="100">
        <f>'Revised PS Model 2017'!ColinSalary</f>
        <v>12500</v>
      </c>
      <c r="M7" s="91"/>
      <c r="N7" s="91"/>
      <c r="O7" s="92"/>
      <c r="P7" s="100">
        <f>'Revised PS Model 2017'!ColinSalary</f>
        <v>12500</v>
      </c>
      <c r="Q7" s="91"/>
      <c r="R7" s="91"/>
      <c r="S7" s="92"/>
      <c r="T7" s="100">
        <f>'Revised PS Model 2017'!ColinSalary</f>
        <v>12500</v>
      </c>
      <c r="U7" s="91"/>
      <c r="V7" s="91"/>
      <c r="W7" s="92"/>
      <c r="X7" s="100">
        <f>'Revised PS Model 2017'!ColinSalary</f>
        <v>12500</v>
      </c>
      <c r="Y7" s="91"/>
      <c r="Z7" s="91"/>
      <c r="AA7" s="92"/>
      <c r="AB7" s="100">
        <f>'Revised PS Model 2017'!ColinSalary</f>
        <v>12500</v>
      </c>
      <c r="AC7" s="91"/>
      <c r="AD7" s="91"/>
      <c r="AE7" s="92"/>
      <c r="AF7" s="100">
        <f>'Revised PS Model 2017'!ColinSalary</f>
        <v>12500</v>
      </c>
      <c r="AG7" s="91"/>
      <c r="AH7" s="91"/>
      <c r="AI7" s="92"/>
      <c r="AJ7" s="100">
        <f>'Revised PS Model 2017'!ColinSalary</f>
        <v>12500</v>
      </c>
      <c r="AK7" s="91"/>
      <c r="AL7" s="91"/>
      <c r="AM7" s="92"/>
      <c r="AN7" s="100">
        <f>'Revised PS Model 2017'!ColinSalary</f>
        <v>12500</v>
      </c>
      <c r="AO7" s="91"/>
      <c r="AP7" s="91"/>
      <c r="AQ7" s="92"/>
      <c r="AR7" s="100">
        <f>'Revised PS Model 2017'!ColinSalary</f>
        <v>12500</v>
      </c>
      <c r="AS7" s="91"/>
      <c r="AT7" s="91"/>
      <c r="AU7" s="92"/>
      <c r="AV7" s="100">
        <f>'Revised PS Model 2017'!ColinSalary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  <c r="BE7" s="94"/>
    </row>
    <row r="8" spans="1:57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SUM(AZ23:AZ25)</f>
        <v>70452.239999999991</v>
      </c>
      <c r="AC8" s="91"/>
      <c r="AD8" s="91"/>
      <c r="AE8" s="92"/>
      <c r="AF8" s="103"/>
      <c r="AG8" s="91"/>
      <c r="AH8" s="91"/>
      <c r="AI8" s="92"/>
      <c r="AJ8" s="103"/>
      <c r="AK8" s="91"/>
      <c r="AL8" s="91"/>
      <c r="AM8" s="92"/>
      <c r="AO8" s="91"/>
      <c r="AP8" s="91"/>
      <c r="AQ8" s="92"/>
      <c r="AR8" s="103"/>
      <c r="AS8" s="91"/>
      <c r="AT8" s="91"/>
      <c r="AU8" s="92"/>
      <c r="AV8" s="103">
        <f>SUM(BD23:BD25)-SUM(AZ23:AZ25)</f>
        <v>101351.60000000003</v>
      </c>
      <c r="AW8" s="91"/>
      <c r="AX8" s="91"/>
      <c r="AY8" s="92"/>
      <c r="AZ8" s="93"/>
      <c r="BA8" s="92"/>
      <c r="BB8" s="93"/>
      <c r="BC8" s="92"/>
      <c r="BD8" s="94"/>
      <c r="BE8" s="94"/>
    </row>
    <row r="9" spans="1:57" ht="13">
      <c r="A9" s="89" t="s">
        <v>145</v>
      </c>
      <c r="B9" s="101"/>
      <c r="C9" s="102"/>
      <c r="D9" s="104">
        <f>SUM(F16:F19)</f>
        <v>2298.06</v>
      </c>
      <c r="E9" s="91"/>
      <c r="F9" s="91"/>
      <c r="G9" s="92"/>
      <c r="H9" s="104">
        <f>SUM(J16:J19)</f>
        <v>5204.53</v>
      </c>
      <c r="I9" s="91"/>
      <c r="J9" s="91"/>
      <c r="K9" s="92"/>
      <c r="L9" s="104">
        <f>SUM(N16:N19)</f>
        <v>3245.8</v>
      </c>
      <c r="M9" s="91"/>
      <c r="N9" s="91"/>
      <c r="O9" s="92"/>
      <c r="P9" s="104">
        <f>SUM(R16:R19)</f>
        <v>11786.83</v>
      </c>
      <c r="Q9" s="91"/>
      <c r="R9" s="91"/>
      <c r="S9" s="92"/>
      <c r="T9" s="104">
        <f>SUM(V16:V19)</f>
        <v>5012.57</v>
      </c>
      <c r="U9" s="91"/>
      <c r="V9" s="91"/>
      <c r="W9" s="92"/>
      <c r="X9" s="104">
        <f>SUM(Z16:Z19)</f>
        <v>1039.02</v>
      </c>
      <c r="Y9" s="91"/>
      <c r="Z9" s="91"/>
      <c r="AA9" s="92"/>
      <c r="AB9" s="104">
        <f>SUM(AD16:AD19)</f>
        <v>4274</v>
      </c>
      <c r="AC9" s="91"/>
      <c r="AD9" s="91"/>
      <c r="AE9" s="92"/>
      <c r="AF9" s="104">
        <f>SUM(AH16:AH19)</f>
        <v>4699.83</v>
      </c>
      <c r="AG9" s="91"/>
      <c r="AH9" s="91"/>
      <c r="AI9" s="92"/>
      <c r="AJ9" s="104">
        <f>SUM(AL16:AL19)</f>
        <v>4313.68</v>
      </c>
      <c r="AK9" s="91"/>
      <c r="AL9" s="91"/>
      <c r="AM9" s="92"/>
      <c r="AN9" s="104">
        <f>SUM(AP16:AP19)</f>
        <v>849.68</v>
      </c>
      <c r="AO9" s="91"/>
      <c r="AP9" s="91"/>
      <c r="AQ9" s="92"/>
      <c r="AR9" s="104">
        <f>SUM(AT16:AT19)</f>
        <v>2595.11</v>
      </c>
      <c r="AS9" s="91"/>
      <c r="AT9" s="91"/>
      <c r="AU9" s="92"/>
      <c r="AV9" s="104">
        <f>SUM(AX16:AX19)</f>
        <v>5114.95</v>
      </c>
      <c r="AW9" s="91"/>
      <c r="AX9" s="91"/>
      <c r="AY9" s="92"/>
      <c r="AZ9" s="93">
        <f t="shared" ref="AZ9:AZ13" si="3">SUMIF($D$3:$AY$3,AZ$2,$D9:$AY9)</f>
        <v>10748.39</v>
      </c>
      <c r="BA9" s="92"/>
      <c r="BB9" s="93">
        <f t="shared" ref="BB9:BB13" si="4">SUMIF($D$4:$AY$4,BB$2,$D9:$AY9)</f>
        <v>28586.81</v>
      </c>
      <c r="BC9" s="92"/>
      <c r="BD9" s="94">
        <f t="shared" ref="BD9:BD13" si="5">SUMIF($D$2:$AY$2,$BD$2,$D9:$AY9)</f>
        <v>50434.06</v>
      </c>
      <c r="BE9" s="94"/>
    </row>
    <row r="10" spans="1:57" ht="13">
      <c r="A10" s="89" t="s">
        <v>146</v>
      </c>
      <c r="C10" s="61"/>
      <c r="D10" s="104">
        <f>D5-D6-D7+D9+D8</f>
        <v>87002.12</v>
      </c>
      <c r="E10" s="91"/>
      <c r="F10" s="91"/>
      <c r="G10" s="92"/>
      <c r="H10" s="104">
        <f>H5-H6-H7+H9+H8</f>
        <v>79465.72</v>
      </c>
      <c r="I10" s="91"/>
      <c r="J10" s="91"/>
      <c r="K10" s="92"/>
      <c r="L10" s="104">
        <f>L5-L6-L7+L9+L8</f>
        <v>69586.490000000005</v>
      </c>
      <c r="M10" s="91"/>
      <c r="N10" s="91"/>
      <c r="O10" s="92"/>
      <c r="P10" s="104">
        <f>P5-P6-P7+P9+P8</f>
        <v>51739.520000000004</v>
      </c>
      <c r="Q10" s="91"/>
      <c r="R10" s="91"/>
      <c r="S10" s="92"/>
      <c r="T10" s="104">
        <f>T5-T6-T7+T9+T8</f>
        <v>56513.47</v>
      </c>
      <c r="U10" s="91"/>
      <c r="V10" s="91"/>
      <c r="W10" s="92"/>
      <c r="X10" s="104">
        <f>X5-X6-X7+X9+X8</f>
        <v>71926.97</v>
      </c>
      <c r="Y10" s="91"/>
      <c r="Z10" s="91"/>
      <c r="AA10" s="92"/>
      <c r="AB10" s="104">
        <f>AB5-AB6-AB7+AB9+AB8</f>
        <v>57599.969999999987</v>
      </c>
      <c r="AC10" s="91"/>
      <c r="AD10" s="91"/>
      <c r="AE10" s="92"/>
      <c r="AF10" s="104">
        <f>AF5-AF6-AF7+AF9+AF8</f>
        <v>44652.93</v>
      </c>
      <c r="AG10" s="91"/>
      <c r="AH10" s="91"/>
      <c r="AI10" s="92"/>
      <c r="AJ10" s="104">
        <f>AJ5-AJ6-AJ7+AJ9+AJ8</f>
        <v>29101.07</v>
      </c>
      <c r="AK10" s="91"/>
      <c r="AL10" s="91"/>
      <c r="AM10" s="92"/>
      <c r="AN10" s="104">
        <f>AN5-AN6-AN7+AN9+AN8</f>
        <v>45663.45</v>
      </c>
      <c r="AO10" s="91"/>
      <c r="AP10" s="91"/>
      <c r="AQ10" s="92"/>
      <c r="AR10" s="104">
        <f>AR5-AR6-AR7+AR9+AR8</f>
        <v>45367.65</v>
      </c>
      <c r="AS10" s="91"/>
      <c r="AT10" s="91"/>
      <c r="AU10" s="92"/>
      <c r="AV10" s="104">
        <f>AV5-AV6-AV7+AV9+AV8</f>
        <v>32439.390000000029</v>
      </c>
      <c r="AW10" s="91"/>
      <c r="AX10" s="91"/>
      <c r="AY10" s="92"/>
      <c r="AZ10" s="93">
        <f t="shared" si="3"/>
        <v>236054.33000000002</v>
      </c>
      <c r="BA10" s="92"/>
      <c r="BB10" s="93">
        <f t="shared" si="4"/>
        <v>416234.29000000004</v>
      </c>
      <c r="BC10" s="92"/>
      <c r="BD10" s="94">
        <f t="shared" si="5"/>
        <v>671058.75</v>
      </c>
      <c r="BE10" s="94"/>
    </row>
    <row r="11" spans="1:57" ht="13">
      <c r="A11" s="89" t="s">
        <v>147</v>
      </c>
      <c r="C11" s="61"/>
      <c r="D11" s="90">
        <v>12500</v>
      </c>
      <c r="E11" s="91"/>
      <c r="F11" s="91"/>
      <c r="G11" s="92"/>
      <c r="H11" s="90">
        <v>50000</v>
      </c>
      <c r="I11" s="91"/>
      <c r="J11" s="91"/>
      <c r="K11" s="92"/>
      <c r="L11" s="90">
        <v>12500</v>
      </c>
      <c r="M11" s="91"/>
      <c r="N11" s="91"/>
      <c r="O11" s="92"/>
      <c r="P11" s="90">
        <v>57500</v>
      </c>
      <c r="Q11" s="91"/>
      <c r="R11" s="91"/>
      <c r="S11" s="92"/>
      <c r="T11" s="90">
        <v>12500</v>
      </c>
      <c r="U11" s="91"/>
      <c r="V11" s="91"/>
      <c r="W11" s="92"/>
      <c r="X11" s="90">
        <v>155000</v>
      </c>
      <c r="Y11" s="91"/>
      <c r="Z11" s="91"/>
      <c r="AA11" s="92"/>
      <c r="AB11" s="90">
        <v>19992</v>
      </c>
      <c r="AC11" s="91"/>
      <c r="AD11" s="91"/>
      <c r="AE11" s="92"/>
      <c r="AF11" s="90">
        <v>0</v>
      </c>
      <c r="AG11" s="91"/>
      <c r="AH11" s="91"/>
      <c r="AI11" s="92"/>
      <c r="AJ11" s="90">
        <v>0</v>
      </c>
      <c r="AK11" s="91"/>
      <c r="AL11" s="91"/>
      <c r="AM11" s="92"/>
      <c r="AN11" s="90">
        <v>0</v>
      </c>
      <c r="AO11" s="91"/>
      <c r="AP11" s="91"/>
      <c r="AQ11" s="92"/>
      <c r="AR11" s="90">
        <v>0</v>
      </c>
      <c r="AS11" s="91"/>
      <c r="AT11" s="91"/>
      <c r="AU11" s="92"/>
      <c r="AV11" s="90">
        <v>0</v>
      </c>
      <c r="AW11" s="91"/>
      <c r="AX11" s="91"/>
      <c r="AY11" s="281">
        <f>SUM(D11:AX11)</f>
        <v>319992</v>
      </c>
      <c r="AZ11" s="93">
        <f t="shared" si="3"/>
        <v>75000</v>
      </c>
      <c r="BA11" s="92"/>
      <c r="BB11" s="93">
        <f t="shared" si="4"/>
        <v>300000</v>
      </c>
      <c r="BC11" s="92"/>
      <c r="BD11" s="94">
        <f t="shared" si="5"/>
        <v>319992</v>
      </c>
      <c r="BE11" s="94"/>
    </row>
    <row r="12" spans="1:57" ht="14">
      <c r="A12" s="282" t="s">
        <v>149</v>
      </c>
      <c r="B12" s="13"/>
      <c r="C12" s="107"/>
      <c r="D12" s="283"/>
      <c r="E12" s="109"/>
      <c r="F12" s="109"/>
      <c r="G12" s="110"/>
      <c r="H12" s="283"/>
      <c r="I12" s="109"/>
      <c r="J12" s="109"/>
      <c r="K12" s="110"/>
      <c r="L12" s="283"/>
      <c r="M12" s="109"/>
      <c r="N12" s="109"/>
      <c r="O12" s="110"/>
      <c r="P12" s="283"/>
      <c r="Q12" s="109"/>
      <c r="R12" s="109"/>
      <c r="S12" s="110"/>
      <c r="T12" s="283"/>
      <c r="U12" s="109"/>
      <c r="V12" s="109"/>
      <c r="W12" s="110"/>
      <c r="X12" s="283"/>
      <c r="Y12" s="109"/>
      <c r="Z12" s="109"/>
      <c r="AA12" s="110"/>
      <c r="AB12" s="283"/>
      <c r="AC12" s="109"/>
      <c r="AD12" s="109"/>
      <c r="AE12" s="110"/>
      <c r="AF12" s="283"/>
      <c r="AG12" s="109"/>
      <c r="AH12" s="109"/>
      <c r="AI12" s="110"/>
      <c r="AJ12" s="283"/>
      <c r="AK12" s="109"/>
      <c r="AL12" s="109"/>
      <c r="AM12" s="110"/>
      <c r="AN12" s="283"/>
      <c r="AO12" s="109"/>
      <c r="AP12" s="109"/>
      <c r="AQ12" s="110"/>
      <c r="AR12" s="283"/>
      <c r="AS12" s="109"/>
      <c r="AT12" s="109"/>
      <c r="AU12" s="110"/>
      <c r="AV12" s="283">
        <f>75000+75000</f>
        <v>150000</v>
      </c>
      <c r="AW12" s="109"/>
      <c r="AX12" s="109"/>
      <c r="AY12" s="110"/>
      <c r="AZ12" s="112">
        <f t="shared" si="3"/>
        <v>0</v>
      </c>
      <c r="BA12" s="110"/>
      <c r="BB12" s="112">
        <f t="shared" si="4"/>
        <v>0</v>
      </c>
      <c r="BC12" s="110"/>
      <c r="BD12" s="113">
        <f t="shared" si="5"/>
        <v>150000</v>
      </c>
      <c r="BE12" s="113"/>
    </row>
    <row r="13" spans="1:57" ht="14">
      <c r="A13" s="5" t="s">
        <v>151</v>
      </c>
      <c r="C13" s="61"/>
      <c r="D13" s="100">
        <f>D11+D12-D7</f>
        <v>0</v>
      </c>
      <c r="E13" s="91"/>
      <c r="F13" s="91"/>
      <c r="G13" s="92"/>
      <c r="H13" s="100">
        <f>H11+H12-H7</f>
        <v>37500</v>
      </c>
      <c r="I13" s="91"/>
      <c r="J13" s="91"/>
      <c r="K13" s="92"/>
      <c r="L13" s="100">
        <f>L11+L12-L7</f>
        <v>0</v>
      </c>
      <c r="M13" s="91"/>
      <c r="N13" s="91"/>
      <c r="O13" s="92"/>
      <c r="P13" s="100">
        <f>P11+P12-P7</f>
        <v>45000</v>
      </c>
      <c r="Q13" s="91"/>
      <c r="R13" s="91"/>
      <c r="S13" s="92"/>
      <c r="T13" s="100">
        <f>T11+T12-T7</f>
        <v>0</v>
      </c>
      <c r="U13" s="91"/>
      <c r="V13" s="91"/>
      <c r="W13" s="92"/>
      <c r="X13" s="100">
        <f>X11+X12-X7</f>
        <v>142500</v>
      </c>
      <c r="Y13" s="91"/>
      <c r="Z13" s="91"/>
      <c r="AA13" s="92"/>
      <c r="AB13" s="100">
        <f>AB11+AB12-AB7</f>
        <v>7492</v>
      </c>
      <c r="AC13" s="91"/>
      <c r="AD13" s="91"/>
      <c r="AE13" s="92"/>
      <c r="AF13" s="100">
        <f>AF11+AF12-AF7</f>
        <v>-12500</v>
      </c>
      <c r="AG13" s="91"/>
      <c r="AH13" s="91"/>
      <c r="AI13" s="92"/>
      <c r="AJ13" s="100">
        <f>AJ11+AJ12-AJ7</f>
        <v>-12500</v>
      </c>
      <c r="AK13" s="91"/>
      <c r="AL13" s="91"/>
      <c r="AM13" s="92"/>
      <c r="AN13" s="100">
        <f>AN11+AN12-AN7</f>
        <v>-12500</v>
      </c>
      <c r="AO13" s="91"/>
      <c r="AP13" s="91"/>
      <c r="AQ13" s="92"/>
      <c r="AR13" s="100">
        <f>AR11+AR12-AR7</f>
        <v>-12500</v>
      </c>
      <c r="AS13" s="91"/>
      <c r="AT13" s="91"/>
      <c r="AU13" s="92"/>
      <c r="AV13" s="100">
        <f>AV11+AV12-AV7</f>
        <v>137500</v>
      </c>
      <c r="AW13" s="91"/>
      <c r="AX13" s="91"/>
      <c r="AY13" s="92"/>
      <c r="AZ13" s="93">
        <f t="shared" si="3"/>
        <v>37500</v>
      </c>
      <c r="BA13" s="92"/>
      <c r="BB13" s="93">
        <f t="shared" si="4"/>
        <v>225000</v>
      </c>
      <c r="BC13" s="92"/>
      <c r="BD13" s="94">
        <f t="shared" si="5"/>
        <v>319992</v>
      </c>
      <c r="BE13" s="94"/>
    </row>
    <row r="14" spans="1:57" ht="13">
      <c r="A14" s="5"/>
      <c r="C14" s="61"/>
      <c r="D14" s="100"/>
      <c r="E14" s="91"/>
      <c r="F14" s="91"/>
      <c r="G14" s="92"/>
      <c r="H14" s="100"/>
      <c r="I14" s="91"/>
      <c r="J14" s="91"/>
      <c r="K14" s="92"/>
      <c r="L14" s="100"/>
      <c r="M14" s="91"/>
      <c r="N14" s="91"/>
      <c r="O14" s="92"/>
      <c r="P14" s="100"/>
      <c r="Q14" s="91"/>
      <c r="R14" s="91"/>
      <c r="S14" s="92"/>
      <c r="T14" s="100"/>
      <c r="U14" s="91"/>
      <c r="V14" s="91"/>
      <c r="W14" s="92"/>
      <c r="X14" s="100"/>
      <c r="Y14" s="91"/>
      <c r="Z14" s="91"/>
      <c r="AA14" s="92"/>
      <c r="AB14" s="100"/>
      <c r="AC14" s="91"/>
      <c r="AD14" s="91"/>
      <c r="AE14" s="92"/>
      <c r="AF14" s="100"/>
      <c r="AG14" s="91"/>
      <c r="AH14" s="91"/>
      <c r="AI14" s="92"/>
      <c r="AJ14" s="100"/>
      <c r="AK14" s="91"/>
      <c r="AL14" s="91"/>
      <c r="AM14" s="92"/>
      <c r="AN14" s="100"/>
      <c r="AO14" s="91"/>
      <c r="AP14" s="91"/>
      <c r="AQ14" s="92"/>
      <c r="AR14" s="100"/>
      <c r="AS14" s="91"/>
      <c r="AT14" s="91"/>
      <c r="AU14" s="92"/>
      <c r="AV14" s="100"/>
      <c r="AW14" s="91"/>
      <c r="AX14" s="91"/>
      <c r="AY14" s="92"/>
      <c r="AZ14" s="100"/>
      <c r="BA14" s="92"/>
      <c r="BB14" s="100"/>
      <c r="BC14" s="92"/>
      <c r="BD14" s="91"/>
      <c r="BE14" s="91"/>
    </row>
    <row r="15" spans="1:57" ht="14">
      <c r="A15" s="5"/>
      <c r="B15" s="5"/>
      <c r="C15" s="5"/>
      <c r="D15" s="117" t="s">
        <v>152</v>
      </c>
      <c r="E15" s="118" t="s">
        <v>153</v>
      </c>
      <c r="F15" s="118" t="s">
        <v>154</v>
      </c>
      <c r="G15" s="118" t="s">
        <v>155</v>
      </c>
      <c r="H15" s="117" t="s">
        <v>152</v>
      </c>
      <c r="I15" s="118" t="s">
        <v>153</v>
      </c>
      <c r="J15" s="118" t="s">
        <v>154</v>
      </c>
      <c r="K15" s="118" t="s">
        <v>155</v>
      </c>
      <c r="L15" s="117" t="s">
        <v>152</v>
      </c>
      <c r="M15" s="118" t="s">
        <v>153</v>
      </c>
      <c r="N15" s="118" t="s">
        <v>154</v>
      </c>
      <c r="O15" s="118" t="s">
        <v>155</v>
      </c>
      <c r="P15" s="117" t="s">
        <v>152</v>
      </c>
      <c r="Q15" s="118" t="s">
        <v>153</v>
      </c>
      <c r="R15" s="118" t="s">
        <v>154</v>
      </c>
      <c r="S15" s="118" t="s">
        <v>155</v>
      </c>
      <c r="T15" s="117" t="s">
        <v>152</v>
      </c>
      <c r="U15" s="118" t="s">
        <v>153</v>
      </c>
      <c r="V15" s="118" t="s">
        <v>154</v>
      </c>
      <c r="W15" s="118" t="s">
        <v>155</v>
      </c>
      <c r="X15" s="117" t="s">
        <v>152</v>
      </c>
      <c r="Y15" s="118" t="s">
        <v>153</v>
      </c>
      <c r="Z15" s="118" t="s">
        <v>154</v>
      </c>
      <c r="AA15" s="118" t="s">
        <v>155</v>
      </c>
      <c r="AB15" s="117" t="s">
        <v>152</v>
      </c>
      <c r="AC15" s="118" t="s">
        <v>153</v>
      </c>
      <c r="AD15" s="118" t="s">
        <v>154</v>
      </c>
      <c r="AE15" s="118" t="s">
        <v>155</v>
      </c>
      <c r="AF15" s="117" t="s">
        <v>152</v>
      </c>
      <c r="AG15" s="118" t="s">
        <v>153</v>
      </c>
      <c r="AH15" s="118" t="s">
        <v>154</v>
      </c>
      <c r="AI15" s="118" t="s">
        <v>155</v>
      </c>
      <c r="AJ15" s="117" t="s">
        <v>152</v>
      </c>
      <c r="AK15" s="118" t="s">
        <v>153</v>
      </c>
      <c r="AL15" s="118" t="s">
        <v>154</v>
      </c>
      <c r="AM15" s="118" t="s">
        <v>155</v>
      </c>
      <c r="AN15" s="117" t="s">
        <v>152</v>
      </c>
      <c r="AO15" s="118" t="s">
        <v>153</v>
      </c>
      <c r="AP15" s="118" t="s">
        <v>154</v>
      </c>
      <c r="AQ15" s="118" t="s">
        <v>155</v>
      </c>
      <c r="AR15" s="117" t="s">
        <v>152</v>
      </c>
      <c r="AS15" s="118" t="s">
        <v>153</v>
      </c>
      <c r="AT15" s="118" t="s">
        <v>154</v>
      </c>
      <c r="AU15" s="118" t="s">
        <v>155</v>
      </c>
      <c r="AV15" s="117" t="s">
        <v>152</v>
      </c>
      <c r="AW15" s="118" t="s">
        <v>153</v>
      </c>
      <c r="AX15" s="118" t="s">
        <v>154</v>
      </c>
      <c r="AY15" s="118" t="s">
        <v>155</v>
      </c>
      <c r="AZ15" s="100"/>
      <c r="BA15" s="92"/>
      <c r="BB15" s="100"/>
      <c r="BC15" s="92"/>
      <c r="BD15" s="91"/>
      <c r="BE15" s="91"/>
    </row>
    <row r="16" spans="1:57" ht="13">
      <c r="A16" s="89" t="s">
        <v>83</v>
      </c>
      <c r="B16" s="121">
        <f>'Updated uncollectible PS Model '!BE22</f>
        <v>328648.95753322262</v>
      </c>
      <c r="C16" s="121">
        <v>0</v>
      </c>
      <c r="D16" s="53">
        <v>300</v>
      </c>
      <c r="E16" s="123">
        <f t="shared" ref="E16:E19" si="6">D$10*D16/D$20</f>
        <v>61269.098591549293</v>
      </c>
      <c r="F16" s="124">
        <v>2298.06</v>
      </c>
      <c r="G16" s="123">
        <f t="shared" ref="G16:G19" si="7">E16-F16</f>
        <v>58971.038591549295</v>
      </c>
      <c r="H16" s="214">
        <v>300</v>
      </c>
      <c r="I16" s="123">
        <f t="shared" ref="I16:I19" si="8">H$10*H16/H$20</f>
        <v>55961.774647887323</v>
      </c>
      <c r="J16" s="124">
        <v>5204.53</v>
      </c>
      <c r="K16" s="123">
        <f t="shared" ref="K16:K19" si="9">I16-J16</f>
        <v>50757.244647887324</v>
      </c>
      <c r="L16" s="214">
        <v>300</v>
      </c>
      <c r="M16" s="123">
        <f t="shared" ref="M16:M19" si="10">L$10*L16/L$20</f>
        <v>49004.570422535209</v>
      </c>
      <c r="N16" s="124">
        <v>3245.8</v>
      </c>
      <c r="O16" s="123">
        <f t="shared" ref="O16:O19" si="11">M16-N16</f>
        <v>45758.770422535206</v>
      </c>
      <c r="P16" s="214">
        <v>300</v>
      </c>
      <c r="Q16" s="123">
        <f t="shared" ref="Q16:Q19" si="12">P$10*P16/P$20</f>
        <v>36436.281690140851</v>
      </c>
      <c r="R16" s="124">
        <v>11786.83</v>
      </c>
      <c r="S16" s="123">
        <f t="shared" ref="S16:S19" si="13">Q16-R16</f>
        <v>24649.45169014085</v>
      </c>
      <c r="T16" s="214">
        <v>300</v>
      </c>
      <c r="U16" s="123">
        <f t="shared" ref="U16:U19" si="14">T$10*T16/T$20</f>
        <v>39798.218309859156</v>
      </c>
      <c r="V16" s="124">
        <v>5012.57</v>
      </c>
      <c r="W16" s="123">
        <f t="shared" ref="W16:W19" si="15">U16-V16</f>
        <v>34785.648309859156</v>
      </c>
      <c r="X16" s="214">
        <v>300</v>
      </c>
      <c r="Y16" s="123">
        <f t="shared" ref="Y16:Y19" si="16">X$10*X16/X$20</f>
        <v>50652.795774647886</v>
      </c>
      <c r="Z16" s="124">
        <v>1039.02</v>
      </c>
      <c r="AA16" s="123">
        <f t="shared" ref="AA16:AA19" si="17">Y16-Z16</f>
        <v>49613.775774647889</v>
      </c>
      <c r="AB16" s="214">
        <v>300</v>
      </c>
      <c r="AC16" s="123">
        <f t="shared" ref="AC16:AC19" si="18">AB$10*AB16/AB$20</f>
        <v>40563.359154929567</v>
      </c>
      <c r="AD16" s="124">
        <v>4274</v>
      </c>
      <c r="AE16" s="123">
        <f t="shared" ref="AE16:AE19" si="19">AC16-AD16</f>
        <v>36289.359154929567</v>
      </c>
      <c r="AF16" s="214">
        <v>300</v>
      </c>
      <c r="AG16" s="123">
        <f t="shared" ref="AG16:AG19" si="20">AF$10*AF16/AF$20</f>
        <v>31445.725352112677</v>
      </c>
      <c r="AH16" s="124">
        <v>4699.83</v>
      </c>
      <c r="AI16" s="123">
        <f t="shared" ref="AI16:AI19" si="21">AG16-AH16</f>
        <v>26745.895352112675</v>
      </c>
      <c r="AJ16" s="214">
        <v>300</v>
      </c>
      <c r="AK16" s="123">
        <f t="shared" ref="AK16:AK19" si="22">AJ$10*AJ16/AJ$20</f>
        <v>20493.711267605635</v>
      </c>
      <c r="AL16" s="124">
        <v>4313.68</v>
      </c>
      <c r="AM16" s="123">
        <f t="shared" ref="AM16:AM19" si="23">AK16-AL16</f>
        <v>16180.031267605635</v>
      </c>
      <c r="AN16" s="214">
        <v>300</v>
      </c>
      <c r="AO16" s="123">
        <f t="shared" ref="AO16:AO19" si="24">AN$10*AN16/AN$20</f>
        <v>32157.359154929578</v>
      </c>
      <c r="AP16" s="124">
        <v>849.68</v>
      </c>
      <c r="AQ16" s="123">
        <f t="shared" ref="AQ16:AQ19" si="25">AO16-AP16</f>
        <v>31307.679154929578</v>
      </c>
      <c r="AR16" s="214">
        <v>300</v>
      </c>
      <c r="AS16" s="123">
        <f t="shared" ref="AS16:AS19" si="26">AR$10*AR16/AR$20</f>
        <v>31949.049295774646</v>
      </c>
      <c r="AT16" s="124">
        <v>2595.11</v>
      </c>
      <c r="AU16" s="123">
        <f t="shared" ref="AU16:AU19" si="27">AS16-AT16</f>
        <v>29353.939295774646</v>
      </c>
      <c r="AV16" s="214">
        <v>300</v>
      </c>
      <c r="AW16" s="123">
        <f t="shared" ref="AW16:AW19" si="28">AV$10*AV16/AV$20</f>
        <v>22844.640845070444</v>
      </c>
      <c r="AX16" s="124">
        <v>5114.95</v>
      </c>
      <c r="AY16" s="126">
        <f t="shared" ref="AY16:AY19" si="29">AW16-AX16</f>
        <v>17729.690845070443</v>
      </c>
      <c r="AZ16" s="127">
        <f t="shared" ref="AZ16:AZ19" si="30">IF($AV$3="1Q",AY16,0)+IF($AR$3="1Q",AU16,0)+IF($AN$3="1Q",AQ16,0)+IF($AJ$3="1Q",AM16,0)+IF($AF$3="1Q",AI16,0)+IF($AB$3="1Q",AE16,0)+IF($X$3="1Q",AA16,0)+IF($T$3="1Q",W16,0)+IF($P$3="1Q",S16,0)+IF($L$3="1Q",O16,0)+IF($H$3="1Q",K16,0)+IF($D$3="1Q",G16,0)</f>
        <v>155487.05366197182</v>
      </c>
      <c r="BA16" s="128">
        <f t="shared" ref="BA16:BA19" si="31">AZ16+$C16</f>
        <v>155487.05366197182</v>
      </c>
      <c r="BB16" s="127">
        <f t="shared" ref="BB16:BB19" si="32">IF($AV$4="1H",AY16,0)+IF($AR$4="1H",AU16,0)+IF($AN$4="1H",AQ16,0)+IF($AJ$4="1H",AM16,0)+IF($AF$4="1H",AI16,0)+IF($AB$4="1H",AE16,0)+IF($X$4="1H",AA16,0)+IF($T$4="1H",W16,0)+IF($P$4="1H",S16,0)+IF($L$4="1H",O16,0)+IF($H$4="1H",K16,0)+IF($D$4="1H",G16,0)</f>
        <v>264535.92943661974</v>
      </c>
      <c r="BC16" s="128">
        <f t="shared" ref="BC16:BC19" si="33">BB16+$C16</f>
        <v>264535.92943661974</v>
      </c>
      <c r="BD16" s="127">
        <f t="shared" ref="BD16:BD19" si="34">AY16+AU16+AQ16+AM16+AI16+AE16+AA16+W16+S16+O16+K16+G16</f>
        <v>422142.52450704225</v>
      </c>
      <c r="BE16" s="91">
        <f t="shared" ref="BE16:BE19" si="35">BD16+C16</f>
        <v>422142.52450704225</v>
      </c>
    </row>
    <row r="17" spans="1:57" ht="13">
      <c r="A17" s="89" t="s">
        <v>209</v>
      </c>
      <c r="B17" s="265"/>
      <c r="C17" s="121">
        <f>'Updated uncollectible PS Model '!BE23</f>
        <v>743.98834440746577</v>
      </c>
      <c r="D17" s="53">
        <v>100</v>
      </c>
      <c r="E17" s="123">
        <f t="shared" si="6"/>
        <v>20423.032863849767</v>
      </c>
      <c r="F17" s="124"/>
      <c r="G17" s="123">
        <f t="shared" si="7"/>
        <v>20423.032863849767</v>
      </c>
      <c r="H17" s="214">
        <v>100</v>
      </c>
      <c r="I17" s="123">
        <f t="shared" si="8"/>
        <v>18653.924882629108</v>
      </c>
      <c r="J17" s="124"/>
      <c r="K17" s="123">
        <f t="shared" si="9"/>
        <v>18653.924882629108</v>
      </c>
      <c r="L17" s="214">
        <v>100</v>
      </c>
      <c r="M17" s="123">
        <f t="shared" si="10"/>
        <v>16334.85680751174</v>
      </c>
      <c r="N17" s="124"/>
      <c r="O17" s="123">
        <f t="shared" si="11"/>
        <v>16334.85680751174</v>
      </c>
      <c r="P17" s="214">
        <v>100</v>
      </c>
      <c r="Q17" s="123">
        <f t="shared" si="12"/>
        <v>12145.427230046949</v>
      </c>
      <c r="R17" s="124"/>
      <c r="S17" s="123">
        <f t="shared" si="13"/>
        <v>12145.427230046949</v>
      </c>
      <c r="T17" s="214">
        <v>100</v>
      </c>
      <c r="U17" s="123">
        <f t="shared" si="14"/>
        <v>13266.072769953051</v>
      </c>
      <c r="V17" s="124"/>
      <c r="W17" s="123">
        <f t="shared" si="15"/>
        <v>13266.072769953051</v>
      </c>
      <c r="X17" s="214">
        <v>100</v>
      </c>
      <c r="Y17" s="123">
        <f t="shared" si="16"/>
        <v>16884.265258215961</v>
      </c>
      <c r="Z17" s="124"/>
      <c r="AA17" s="123">
        <f t="shared" si="17"/>
        <v>16884.265258215961</v>
      </c>
      <c r="AB17" s="214">
        <v>100</v>
      </c>
      <c r="AC17" s="123">
        <f t="shared" si="18"/>
        <v>13521.119718309857</v>
      </c>
      <c r="AD17" s="124"/>
      <c r="AE17" s="123">
        <f t="shared" si="19"/>
        <v>13521.119718309857</v>
      </c>
      <c r="AF17" s="214">
        <v>100</v>
      </c>
      <c r="AG17" s="123">
        <f t="shared" si="20"/>
        <v>10481.908450704226</v>
      </c>
      <c r="AH17" s="124"/>
      <c r="AI17" s="123">
        <f t="shared" si="21"/>
        <v>10481.908450704226</v>
      </c>
      <c r="AJ17" s="214">
        <v>100</v>
      </c>
      <c r="AK17" s="123">
        <f t="shared" si="22"/>
        <v>6831.237089201878</v>
      </c>
      <c r="AL17" s="124"/>
      <c r="AM17" s="123">
        <f t="shared" si="23"/>
        <v>6831.237089201878</v>
      </c>
      <c r="AN17" s="214">
        <v>100</v>
      </c>
      <c r="AO17" s="123">
        <f t="shared" si="24"/>
        <v>10719.119718309859</v>
      </c>
      <c r="AP17" s="124"/>
      <c r="AQ17" s="123">
        <f t="shared" si="25"/>
        <v>10719.119718309859</v>
      </c>
      <c r="AR17" s="214">
        <v>100</v>
      </c>
      <c r="AS17" s="123">
        <f t="shared" si="26"/>
        <v>10649.683098591549</v>
      </c>
      <c r="AT17" s="124"/>
      <c r="AU17" s="123">
        <f t="shared" si="27"/>
        <v>10649.683098591549</v>
      </c>
      <c r="AV17" s="214">
        <v>100</v>
      </c>
      <c r="AW17" s="123">
        <f t="shared" si="28"/>
        <v>7614.8802816901471</v>
      </c>
      <c r="AX17" s="124"/>
      <c r="AY17" s="126">
        <f t="shared" si="29"/>
        <v>7614.8802816901471</v>
      </c>
      <c r="AZ17" s="127">
        <f t="shared" si="30"/>
        <v>55411.814553990618</v>
      </c>
      <c r="BA17" s="128">
        <f t="shared" si="31"/>
        <v>56155.802898398084</v>
      </c>
      <c r="BB17" s="127">
        <f t="shared" si="32"/>
        <v>97707.57981220659</v>
      </c>
      <c r="BC17" s="128">
        <f t="shared" si="33"/>
        <v>98451.568156614056</v>
      </c>
      <c r="BD17" s="127">
        <f t="shared" si="34"/>
        <v>157525.52816901408</v>
      </c>
      <c r="BE17" s="91">
        <f t="shared" si="35"/>
        <v>158269.51651342155</v>
      </c>
    </row>
    <row r="18" spans="1:57" ht="13">
      <c r="A18" s="89" t="s">
        <v>61</v>
      </c>
      <c r="B18" s="265"/>
      <c r="C18" s="121">
        <f>'Updated uncollectible PS Model '!BE25</f>
        <v>74.401334440753999</v>
      </c>
      <c r="D18" s="53">
        <v>13</v>
      </c>
      <c r="E18" s="123">
        <f t="shared" si="6"/>
        <v>2654.9942723004697</v>
      </c>
      <c r="F18" s="124"/>
      <c r="G18" s="123">
        <f t="shared" si="7"/>
        <v>2654.9942723004697</v>
      </c>
      <c r="H18" s="53">
        <v>13</v>
      </c>
      <c r="I18" s="123">
        <f t="shared" si="8"/>
        <v>2425.0102347417842</v>
      </c>
      <c r="J18" s="124"/>
      <c r="K18" s="123">
        <f t="shared" si="9"/>
        <v>2425.0102347417842</v>
      </c>
      <c r="L18" s="53">
        <v>13</v>
      </c>
      <c r="M18" s="123">
        <f t="shared" si="10"/>
        <v>2123.5313849765262</v>
      </c>
      <c r="N18" s="124"/>
      <c r="O18" s="123">
        <f t="shared" si="11"/>
        <v>2123.5313849765262</v>
      </c>
      <c r="P18" s="53">
        <v>13</v>
      </c>
      <c r="Q18" s="123">
        <f t="shared" si="12"/>
        <v>1578.9055399061033</v>
      </c>
      <c r="R18" s="124"/>
      <c r="S18" s="123">
        <f t="shared" si="13"/>
        <v>1578.9055399061033</v>
      </c>
      <c r="T18" s="53">
        <v>13</v>
      </c>
      <c r="U18" s="123">
        <f t="shared" si="14"/>
        <v>1724.5894600938966</v>
      </c>
      <c r="V18" s="124"/>
      <c r="W18" s="123">
        <f t="shared" si="15"/>
        <v>1724.5894600938966</v>
      </c>
      <c r="X18" s="53">
        <v>13</v>
      </c>
      <c r="Y18" s="123">
        <f t="shared" si="16"/>
        <v>2194.9544835680749</v>
      </c>
      <c r="Z18" s="124"/>
      <c r="AA18" s="123">
        <f t="shared" si="17"/>
        <v>2194.9544835680749</v>
      </c>
      <c r="AB18" s="53">
        <v>13</v>
      </c>
      <c r="AC18" s="123">
        <f t="shared" si="18"/>
        <v>1757.7455633802813</v>
      </c>
      <c r="AD18" s="124"/>
      <c r="AE18" s="123">
        <f t="shared" si="19"/>
        <v>1757.7455633802813</v>
      </c>
      <c r="AF18" s="53">
        <v>13</v>
      </c>
      <c r="AG18" s="123">
        <f t="shared" si="20"/>
        <v>1362.6480985915491</v>
      </c>
      <c r="AH18" s="124"/>
      <c r="AI18" s="123">
        <f t="shared" si="21"/>
        <v>1362.6480985915491</v>
      </c>
      <c r="AJ18" s="53">
        <v>13</v>
      </c>
      <c r="AK18" s="123">
        <f t="shared" si="22"/>
        <v>888.06082159624407</v>
      </c>
      <c r="AL18" s="124"/>
      <c r="AM18" s="123">
        <f t="shared" si="23"/>
        <v>888.06082159624407</v>
      </c>
      <c r="AN18" s="53">
        <v>13</v>
      </c>
      <c r="AO18" s="123">
        <f t="shared" si="24"/>
        <v>1393.4855633802817</v>
      </c>
      <c r="AP18" s="124"/>
      <c r="AQ18" s="123">
        <f t="shared" si="25"/>
        <v>1393.4855633802817</v>
      </c>
      <c r="AR18" s="53">
        <v>13</v>
      </c>
      <c r="AS18" s="123">
        <f t="shared" si="26"/>
        <v>1384.4588028169017</v>
      </c>
      <c r="AT18" s="124"/>
      <c r="AU18" s="123">
        <f t="shared" si="27"/>
        <v>1384.4588028169017</v>
      </c>
      <c r="AV18" s="53">
        <v>13</v>
      </c>
      <c r="AW18" s="123">
        <f t="shared" si="28"/>
        <v>989.93443661971912</v>
      </c>
      <c r="AX18" s="124"/>
      <c r="AY18" s="126">
        <f t="shared" si="29"/>
        <v>989.93443661971912</v>
      </c>
      <c r="AZ18" s="127">
        <f t="shared" si="30"/>
        <v>7203.53589201878</v>
      </c>
      <c r="BA18" s="128">
        <f t="shared" si="31"/>
        <v>7277.937226459534</v>
      </c>
      <c r="BB18" s="127">
        <f t="shared" si="32"/>
        <v>12701.985375586855</v>
      </c>
      <c r="BC18" s="128">
        <f t="shared" si="33"/>
        <v>12776.386710027609</v>
      </c>
      <c r="BD18" s="127">
        <f t="shared" si="34"/>
        <v>20478.318661971833</v>
      </c>
      <c r="BE18" s="91">
        <f t="shared" si="35"/>
        <v>20552.719996412587</v>
      </c>
    </row>
    <row r="19" spans="1:57" ht="13">
      <c r="A19" s="89" t="s">
        <v>65</v>
      </c>
      <c r="B19" s="265"/>
      <c r="C19" s="121">
        <f>'Updated uncollectible PS Model '!BE26</f>
        <v>74.401334440753999</v>
      </c>
      <c r="D19" s="53">
        <v>13</v>
      </c>
      <c r="E19" s="123">
        <f t="shared" si="6"/>
        <v>2654.9942723004697</v>
      </c>
      <c r="F19" s="124"/>
      <c r="G19" s="123">
        <f t="shared" si="7"/>
        <v>2654.9942723004697</v>
      </c>
      <c r="H19" s="53">
        <v>13</v>
      </c>
      <c r="I19" s="123">
        <f t="shared" si="8"/>
        <v>2425.0102347417842</v>
      </c>
      <c r="J19" s="124"/>
      <c r="K19" s="123">
        <f t="shared" si="9"/>
        <v>2425.0102347417842</v>
      </c>
      <c r="L19" s="53">
        <v>13</v>
      </c>
      <c r="M19" s="123">
        <f t="shared" si="10"/>
        <v>2123.5313849765262</v>
      </c>
      <c r="N19" s="124"/>
      <c r="O19" s="123">
        <f t="shared" si="11"/>
        <v>2123.5313849765262</v>
      </c>
      <c r="P19" s="53">
        <v>13</v>
      </c>
      <c r="Q19" s="123">
        <f t="shared" si="12"/>
        <v>1578.9055399061033</v>
      </c>
      <c r="R19" s="124"/>
      <c r="S19" s="123">
        <f t="shared" si="13"/>
        <v>1578.9055399061033</v>
      </c>
      <c r="T19" s="53">
        <v>13</v>
      </c>
      <c r="U19" s="123">
        <f t="shared" si="14"/>
        <v>1724.5894600938966</v>
      </c>
      <c r="V19" s="124"/>
      <c r="W19" s="123">
        <f t="shared" si="15"/>
        <v>1724.5894600938966</v>
      </c>
      <c r="X19" s="53">
        <v>13</v>
      </c>
      <c r="Y19" s="123">
        <f t="shared" si="16"/>
        <v>2194.9544835680749</v>
      </c>
      <c r="Z19" s="124"/>
      <c r="AA19" s="123">
        <f t="shared" si="17"/>
        <v>2194.9544835680749</v>
      </c>
      <c r="AB19" s="53">
        <v>13</v>
      </c>
      <c r="AC19" s="123">
        <f t="shared" si="18"/>
        <v>1757.7455633802813</v>
      </c>
      <c r="AD19" s="124"/>
      <c r="AE19" s="123">
        <f t="shared" si="19"/>
        <v>1757.7455633802813</v>
      </c>
      <c r="AF19" s="53">
        <v>13</v>
      </c>
      <c r="AG19" s="123">
        <f t="shared" si="20"/>
        <v>1362.6480985915491</v>
      </c>
      <c r="AH19" s="124"/>
      <c r="AI19" s="123">
        <f t="shared" si="21"/>
        <v>1362.6480985915491</v>
      </c>
      <c r="AJ19" s="53">
        <v>13</v>
      </c>
      <c r="AK19" s="123">
        <f t="shared" si="22"/>
        <v>888.06082159624407</v>
      </c>
      <c r="AL19" s="124"/>
      <c r="AM19" s="123">
        <f t="shared" si="23"/>
        <v>888.06082159624407</v>
      </c>
      <c r="AN19" s="53">
        <v>13</v>
      </c>
      <c r="AO19" s="123">
        <f t="shared" si="24"/>
        <v>1393.4855633802817</v>
      </c>
      <c r="AP19" s="124"/>
      <c r="AQ19" s="123">
        <f t="shared" si="25"/>
        <v>1393.4855633802817</v>
      </c>
      <c r="AR19" s="53">
        <v>13</v>
      </c>
      <c r="AS19" s="123">
        <f t="shared" si="26"/>
        <v>1384.4588028169017</v>
      </c>
      <c r="AT19" s="124"/>
      <c r="AU19" s="123">
        <f t="shared" si="27"/>
        <v>1384.4588028169017</v>
      </c>
      <c r="AV19" s="53">
        <v>13</v>
      </c>
      <c r="AW19" s="123">
        <f t="shared" si="28"/>
        <v>989.93443661971912</v>
      </c>
      <c r="AX19" s="124"/>
      <c r="AY19" s="126">
        <f t="shared" si="29"/>
        <v>989.93443661971912</v>
      </c>
      <c r="AZ19" s="127">
        <f t="shared" si="30"/>
        <v>7203.53589201878</v>
      </c>
      <c r="BA19" s="128">
        <f t="shared" si="31"/>
        <v>7277.937226459534</v>
      </c>
      <c r="BB19" s="127">
        <f t="shared" si="32"/>
        <v>12701.985375586855</v>
      </c>
      <c r="BC19" s="128">
        <f t="shared" si="33"/>
        <v>12776.386710027609</v>
      </c>
      <c r="BD19" s="127">
        <f t="shared" si="34"/>
        <v>20478.318661971833</v>
      </c>
      <c r="BE19" s="91">
        <f t="shared" si="35"/>
        <v>20552.719996412587</v>
      </c>
    </row>
    <row r="20" spans="1:57" ht="13">
      <c r="A20" s="89"/>
      <c r="C20" s="61"/>
      <c r="D20" s="148">
        <f t="shared" ref="D20:E20" si="36">SUM(D16:D19)</f>
        <v>426</v>
      </c>
      <c r="E20" s="149">
        <f t="shared" si="36"/>
        <v>87002.12</v>
      </c>
      <c r="F20" s="91"/>
      <c r="G20" s="91"/>
      <c r="H20" s="148">
        <f t="shared" ref="H20:I20" si="37">SUM(H16:H19)</f>
        <v>426</v>
      </c>
      <c r="I20" s="149">
        <f t="shared" si="37"/>
        <v>79465.72</v>
      </c>
      <c r="J20" s="91"/>
      <c r="K20" s="91"/>
      <c r="L20" s="148">
        <f t="shared" ref="L20:M20" si="38">SUM(L16:L19)</f>
        <v>426</v>
      </c>
      <c r="M20" s="149">
        <f t="shared" si="38"/>
        <v>69586.489999999991</v>
      </c>
      <c r="N20" s="91"/>
      <c r="O20" s="91"/>
      <c r="P20" s="148">
        <f t="shared" ref="P20:Q20" si="39">SUM(P16:P19)</f>
        <v>426</v>
      </c>
      <c r="Q20" s="149">
        <f t="shared" si="39"/>
        <v>51739.520000000004</v>
      </c>
      <c r="R20" s="91"/>
      <c r="S20" s="91"/>
      <c r="T20" s="148">
        <f t="shared" ref="T20:U20" si="40">SUM(T16:T19)</f>
        <v>426</v>
      </c>
      <c r="U20" s="149">
        <f t="shared" si="40"/>
        <v>56513.47</v>
      </c>
      <c r="V20" s="91"/>
      <c r="W20" s="91"/>
      <c r="X20" s="148">
        <f t="shared" ref="X20:Y20" si="41">SUM(X16:X19)</f>
        <v>426</v>
      </c>
      <c r="Y20" s="149">
        <f t="shared" si="41"/>
        <v>71926.969999999987</v>
      </c>
      <c r="Z20" s="91"/>
      <c r="AA20" s="91"/>
      <c r="AB20" s="148">
        <f t="shared" ref="AB20:AC20" si="42">SUM(AB16:AB19)</f>
        <v>426</v>
      </c>
      <c r="AC20" s="149">
        <f t="shared" si="42"/>
        <v>57599.969999999987</v>
      </c>
      <c r="AD20" s="91"/>
      <c r="AE20" s="91"/>
      <c r="AF20" s="148">
        <f t="shared" ref="AF20:AG20" si="43">SUM(AF16:AF19)</f>
        <v>426</v>
      </c>
      <c r="AG20" s="149">
        <f t="shared" si="43"/>
        <v>44652.93</v>
      </c>
      <c r="AH20" s="91"/>
      <c r="AI20" s="91"/>
      <c r="AJ20" s="148">
        <f t="shared" ref="AJ20:AK20" si="44">SUM(AJ16:AJ19)</f>
        <v>426</v>
      </c>
      <c r="AK20" s="149">
        <f t="shared" si="44"/>
        <v>29101.070000000003</v>
      </c>
      <c r="AL20" s="91"/>
      <c r="AM20" s="91"/>
      <c r="AN20" s="148">
        <f t="shared" ref="AN20:AO20" si="45">SUM(AN16:AN19)</f>
        <v>426</v>
      </c>
      <c r="AO20" s="149">
        <f t="shared" si="45"/>
        <v>45663.45</v>
      </c>
      <c r="AP20" s="91"/>
      <c r="AQ20" s="91"/>
      <c r="AR20" s="148">
        <f t="shared" ref="AR20:AS20" si="46">SUM(AR16:AR19)</f>
        <v>426</v>
      </c>
      <c r="AS20" s="149">
        <f t="shared" si="46"/>
        <v>45367.65</v>
      </c>
      <c r="AT20" s="91"/>
      <c r="AU20" s="91"/>
      <c r="AV20" s="148">
        <f t="shared" ref="AV20:AW20" si="47">SUM(AV16:AV19)</f>
        <v>426</v>
      </c>
      <c r="AW20" s="149">
        <f t="shared" si="47"/>
        <v>32439.390000000029</v>
      </c>
      <c r="AX20" s="124"/>
      <c r="AY20" s="92"/>
      <c r="AZ20" s="91"/>
      <c r="BA20" s="150"/>
      <c r="BB20" s="91"/>
      <c r="BC20" s="150"/>
    </row>
    <row r="21" spans="1:57" ht="14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X21" s="151"/>
      <c r="AY21" s="92"/>
      <c r="AZ21" s="216" t="str">
        <f>"Paid for "&amp;AZ2</f>
        <v>Paid for 1Q</v>
      </c>
      <c r="BA21" s="217" t="s">
        <v>256</v>
      </c>
      <c r="BB21" s="216" t="str">
        <f>"Paid for "&amp;BB2</f>
        <v>Paid for 1H</v>
      </c>
      <c r="BC21" s="217" t="s">
        <v>256</v>
      </c>
      <c r="BD21" s="216" t="str">
        <f>"Paid for "&amp;BD2</f>
        <v>Paid for 2017</v>
      </c>
      <c r="BE21" s="217" t="s">
        <v>256</v>
      </c>
    </row>
    <row r="22" spans="1:57" ht="13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45" t="s">
        <v>83</v>
      </c>
      <c r="AZ22" s="200">
        <f>AZ13</f>
        <v>37500</v>
      </c>
      <c r="BA22" s="271">
        <f t="shared" ref="BA22:BA25" si="48">BA16-AZ22</f>
        <v>117987.05366197182</v>
      </c>
      <c r="BB22" s="263">
        <f>BB13</f>
        <v>225000</v>
      </c>
      <c r="BC22" s="272">
        <f t="shared" ref="BC22:BC25" si="49">BC16-BB22</f>
        <v>39535.929436619743</v>
      </c>
      <c r="BD22" s="278">
        <f>BD13</f>
        <v>319992</v>
      </c>
      <c r="BE22" s="272">
        <f t="shared" ref="BE22:BE25" si="50">BE16-BD22</f>
        <v>102150.52450704225</v>
      </c>
    </row>
    <row r="23" spans="1:57" ht="13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209</v>
      </c>
      <c r="AZ23" s="90">
        <v>55939.6</v>
      </c>
      <c r="BA23" s="273">
        <f t="shared" si="48"/>
        <v>216.20289839808538</v>
      </c>
      <c r="BB23" s="90">
        <f>AZ23+40109.04</f>
        <v>96048.639999999999</v>
      </c>
      <c r="BC23" s="272">
        <f t="shared" si="49"/>
        <v>2402.9281566140562</v>
      </c>
      <c r="BD23" s="90">
        <f>BB23+40109.04</f>
        <v>136157.68</v>
      </c>
      <c r="BE23" s="272">
        <f t="shared" si="50"/>
        <v>22111.836513421556</v>
      </c>
    </row>
    <row r="24" spans="1:57" ht="13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0" t="s">
        <v>61</v>
      </c>
      <c r="AZ24" s="90">
        <v>7256.32</v>
      </c>
      <c r="BA24" s="273">
        <f t="shared" si="48"/>
        <v>21.617226459534322</v>
      </c>
      <c r="BB24" s="90">
        <f t="shared" ref="BB24:BB25" si="51">AZ24+5283.38</f>
        <v>12539.7</v>
      </c>
      <c r="BC24" s="272">
        <f t="shared" si="49"/>
        <v>236.68671002760857</v>
      </c>
      <c r="BD24" s="90">
        <f t="shared" ref="BD24:BD25" si="52">BB24+5283.38</f>
        <v>17823.080000000002</v>
      </c>
      <c r="BE24" s="272">
        <f t="shared" si="50"/>
        <v>2729.6399964125849</v>
      </c>
    </row>
    <row r="25" spans="1:57" ht="13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Y25" s="255" t="s">
        <v>65</v>
      </c>
      <c r="AZ25" s="274">
        <v>7256.32</v>
      </c>
      <c r="BA25" s="279">
        <f t="shared" si="48"/>
        <v>21.617226459534322</v>
      </c>
      <c r="BB25" s="274">
        <f t="shared" si="51"/>
        <v>12539.7</v>
      </c>
      <c r="BC25" s="277">
        <f t="shared" si="49"/>
        <v>236.68671002760857</v>
      </c>
      <c r="BD25" s="274">
        <f t="shared" si="52"/>
        <v>17823.080000000002</v>
      </c>
      <c r="BE25" s="277">
        <f t="shared" si="50"/>
        <v>2729.6399964125849</v>
      </c>
    </row>
    <row r="26" spans="1:57" ht="13">
      <c r="A26" s="89"/>
      <c r="C26" s="61"/>
      <c r="D26" s="62"/>
      <c r="BC26" s="91"/>
      <c r="BD26" s="91"/>
      <c r="BE26" s="91"/>
    </row>
    <row r="27" spans="1:57" ht="13">
      <c r="A27" s="89"/>
      <c r="C27" s="61"/>
      <c r="D27" s="62"/>
      <c r="AY27" s="1"/>
      <c r="BA27" s="230"/>
      <c r="BB27" s="230"/>
      <c r="BC27" s="91"/>
      <c r="BD27" s="91"/>
      <c r="BE27" s="91"/>
    </row>
    <row r="28" spans="1:57" ht="13">
      <c r="A28" s="89"/>
      <c r="C28" s="61"/>
      <c r="D28" s="62"/>
      <c r="AZ28" s="152"/>
      <c r="BA28" s="152"/>
      <c r="BB28" s="152"/>
      <c r="BC28" s="91"/>
      <c r="BD28" s="91"/>
      <c r="BE28" s="91"/>
    </row>
    <row r="29" spans="1:57" ht="14">
      <c r="A29" s="89" t="s">
        <v>201</v>
      </c>
      <c r="C29" s="61"/>
      <c r="D29" s="62"/>
      <c r="AN29" s="1" t="s">
        <v>148</v>
      </c>
      <c r="AZ29" s="152"/>
      <c r="BA29" s="152"/>
      <c r="BB29" s="152"/>
      <c r="BC29" s="91"/>
      <c r="BD29" s="91"/>
      <c r="BE29" s="91"/>
    </row>
    <row r="30" spans="1:57" ht="13">
      <c r="A30" s="89"/>
      <c r="C30" s="61"/>
      <c r="D30" s="62"/>
      <c r="BC30" s="91"/>
    </row>
    <row r="31" spans="1:57" ht="13">
      <c r="A31" s="89"/>
      <c r="C31" s="61"/>
      <c r="D31" s="62"/>
    </row>
    <row r="32" spans="1:57" ht="13">
      <c r="A32" s="89"/>
      <c r="C32" s="61"/>
      <c r="D32" s="62"/>
    </row>
    <row r="33" spans="1:4" ht="13">
      <c r="A33" s="89"/>
      <c r="C33" s="61"/>
      <c r="D33" s="62"/>
    </row>
    <row r="34" spans="1:4" ht="13">
      <c r="A34" s="89"/>
      <c r="C34" s="61"/>
      <c r="D34" s="62"/>
    </row>
    <row r="35" spans="1:4" ht="13">
      <c r="A35" s="89"/>
      <c r="C35" s="61"/>
      <c r="D35" s="62"/>
    </row>
    <row r="36" spans="1:4" ht="13">
      <c r="A36" s="89"/>
      <c r="C36" s="61"/>
      <c r="D36" s="62"/>
    </row>
    <row r="37" spans="1:4" ht="13">
      <c r="A37" s="89"/>
      <c r="C37" s="61"/>
      <c r="D37" s="62"/>
    </row>
    <row r="38" spans="1:4" ht="13">
      <c r="A38" s="89"/>
      <c r="C38" s="61"/>
      <c r="D38" s="62"/>
    </row>
    <row r="39" spans="1:4" ht="13">
      <c r="A39" s="89"/>
      <c r="C39" s="61"/>
      <c r="D39" s="62"/>
    </row>
    <row r="40" spans="1:4" ht="13">
      <c r="A40" s="89"/>
      <c r="C40" s="61"/>
      <c r="D40" s="62"/>
    </row>
    <row r="41" spans="1:4" ht="13">
      <c r="A41" s="89"/>
      <c r="C41" s="61"/>
      <c r="D41" s="62"/>
    </row>
    <row r="42" spans="1:4" ht="13">
      <c r="A42" s="89"/>
      <c r="C42" s="61"/>
      <c r="D42" s="6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BE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7" width="15.1640625" customWidth="1"/>
  </cols>
  <sheetData>
    <row r="1" spans="1:57" ht="42.75" customHeight="1">
      <c r="A1" s="5" t="s">
        <v>148</v>
      </c>
      <c r="C1" s="61" t="s">
        <v>131</v>
      </c>
      <c r="D1" s="59">
        <v>42766</v>
      </c>
      <c r="E1" s="60"/>
      <c r="F1" s="60"/>
      <c r="G1" s="61"/>
      <c r="H1" s="59">
        <v>42794</v>
      </c>
      <c r="I1" s="60"/>
      <c r="J1" s="60"/>
      <c r="K1" s="61"/>
      <c r="L1" s="59">
        <v>42825</v>
      </c>
      <c r="M1" s="60"/>
      <c r="N1" s="60"/>
      <c r="O1" s="61"/>
      <c r="P1" s="59">
        <v>42855</v>
      </c>
      <c r="Q1" s="60"/>
      <c r="R1" s="60"/>
      <c r="S1" s="61"/>
      <c r="T1" s="59">
        <v>42886</v>
      </c>
      <c r="U1" s="60"/>
      <c r="V1" s="60"/>
      <c r="W1" s="61"/>
      <c r="X1" s="59">
        <v>42916</v>
      </c>
      <c r="Y1" s="60"/>
      <c r="Z1" s="60"/>
      <c r="AA1" s="61"/>
      <c r="AB1" s="59">
        <v>42947</v>
      </c>
      <c r="AC1" s="60"/>
      <c r="AD1" s="60"/>
      <c r="AE1" s="61"/>
      <c r="AF1" s="59">
        <v>42978</v>
      </c>
      <c r="AG1" s="60"/>
      <c r="AH1" s="60"/>
      <c r="AI1" s="61"/>
      <c r="AJ1" s="59">
        <v>43008</v>
      </c>
      <c r="AK1" s="60"/>
      <c r="AL1" s="60"/>
      <c r="AM1" s="61"/>
      <c r="AN1" s="59">
        <v>43039</v>
      </c>
      <c r="AO1" s="60"/>
      <c r="AP1" s="60"/>
      <c r="AQ1" s="61"/>
      <c r="AR1" s="59">
        <v>43069</v>
      </c>
      <c r="AS1" s="60"/>
      <c r="AT1" s="60"/>
      <c r="AU1" s="61"/>
      <c r="AV1" s="59">
        <v>43100</v>
      </c>
      <c r="AW1" s="60"/>
      <c r="AX1" s="60"/>
      <c r="BB1" s="62"/>
      <c r="BC1" s="61"/>
    </row>
    <row r="2" spans="1:57" ht="14">
      <c r="A2" s="5"/>
      <c r="C2" s="61"/>
      <c r="D2" s="62">
        <f>YEAR(D1)</f>
        <v>2017</v>
      </c>
      <c r="G2" s="61"/>
      <c r="H2" s="62">
        <f>YEAR(H1)</f>
        <v>2017</v>
      </c>
      <c r="K2" s="61"/>
      <c r="L2" s="62">
        <f>YEAR(L1)</f>
        <v>2017</v>
      </c>
      <c r="O2" s="61"/>
      <c r="P2" s="62">
        <f>YEAR(P1)</f>
        <v>2017</v>
      </c>
      <c r="S2" s="61"/>
      <c r="T2" s="62">
        <f>YEAR(T1)</f>
        <v>2017</v>
      </c>
      <c r="W2" s="61"/>
      <c r="X2" s="62">
        <f>YEAR(X1)</f>
        <v>2017</v>
      </c>
      <c r="AA2" s="61"/>
      <c r="AB2" s="62">
        <f>YEAR(AB1)</f>
        <v>2017</v>
      </c>
      <c r="AE2" s="61"/>
      <c r="AF2" s="62">
        <f>YEAR(AF1)</f>
        <v>2017</v>
      </c>
      <c r="AI2" s="61"/>
      <c r="AJ2" s="62">
        <f>YEAR(AJ1)</f>
        <v>2017</v>
      </c>
      <c r="AM2" s="61"/>
      <c r="AN2" s="62">
        <f>YEAR(AN1)</f>
        <v>2017</v>
      </c>
      <c r="AQ2" s="61"/>
      <c r="AR2" s="62">
        <f>YEAR(AR1)</f>
        <v>2017</v>
      </c>
      <c r="AU2" s="61"/>
      <c r="AV2" s="62">
        <f>YEAR(AV1)</f>
        <v>2017</v>
      </c>
      <c r="AY2" s="61"/>
      <c r="AZ2" s="65" t="s">
        <v>132</v>
      </c>
      <c r="BA2" s="65"/>
      <c r="BB2" s="209" t="s">
        <v>247</v>
      </c>
      <c r="BC2" s="61"/>
      <c r="BD2" s="67">
        <v>2017</v>
      </c>
      <c r="BE2" s="67"/>
    </row>
    <row r="3" spans="1:5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  <c r="BE3" s="72"/>
    </row>
    <row r="4" spans="1:57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  <c r="BE4" s="72"/>
    </row>
    <row r="5" spans="1:57" ht="13">
      <c r="A5" s="89" t="s">
        <v>136</v>
      </c>
      <c r="C5" s="61"/>
      <c r="D5" s="90">
        <v>97204.06</v>
      </c>
      <c r="E5" s="91"/>
      <c r="F5" s="91"/>
      <c r="G5" s="92"/>
      <c r="H5" s="90">
        <v>86761.19</v>
      </c>
      <c r="I5" s="91"/>
      <c r="J5" s="91"/>
      <c r="K5" s="92"/>
      <c r="L5" s="90">
        <v>78840.69</v>
      </c>
      <c r="M5" s="91"/>
      <c r="N5" s="91"/>
      <c r="O5" s="92"/>
      <c r="P5" s="90">
        <v>52452.69</v>
      </c>
      <c r="Q5" s="91"/>
      <c r="R5" s="91"/>
      <c r="S5" s="92"/>
      <c r="T5" s="90">
        <v>64000.9</v>
      </c>
      <c r="U5" s="91"/>
      <c r="V5" s="91"/>
      <c r="W5" s="92"/>
      <c r="X5" s="90">
        <v>83387.95</v>
      </c>
      <c r="Y5" s="91"/>
      <c r="Z5" s="91"/>
      <c r="AA5" s="92"/>
      <c r="AB5" s="90">
        <v>-4626.2700000000004</v>
      </c>
      <c r="AC5" s="91"/>
      <c r="AD5" s="91"/>
      <c r="AE5" s="92"/>
      <c r="AF5" s="90">
        <v>52453.1</v>
      </c>
      <c r="AG5" s="91"/>
      <c r="AH5" s="91"/>
      <c r="AI5" s="92"/>
      <c r="AJ5" s="90">
        <v>37287.39</v>
      </c>
      <c r="AK5" s="91"/>
      <c r="AL5" s="91"/>
      <c r="AM5" s="92"/>
      <c r="AN5" s="90">
        <v>57307.199999999997</v>
      </c>
      <c r="AO5" s="91"/>
      <c r="AP5" s="91"/>
      <c r="AQ5" s="92"/>
      <c r="AR5" s="90">
        <v>55595.19</v>
      </c>
      <c r="AS5" s="91"/>
      <c r="AT5" s="91"/>
      <c r="AU5" s="92"/>
      <c r="AV5" s="90">
        <v>-4162.8599999999997</v>
      </c>
      <c r="AW5" s="151"/>
      <c r="AX5" s="151"/>
      <c r="AY5" s="92"/>
      <c r="AZ5" s="93">
        <f t="shared" ref="AZ5:AZ7" si="0">SUMIF($D$3:$AY$3,AZ$2,$D5:$AY5)</f>
        <v>262805.94</v>
      </c>
      <c r="BA5" s="92"/>
      <c r="BB5" s="93">
        <f t="shared" ref="BB5:BB7" si="1">SUMIF($D$4:$AY$4,BB$2,$D5:$AY5)</f>
        <v>462647.48000000004</v>
      </c>
      <c r="BC5" s="92"/>
      <c r="BD5" s="94">
        <f t="shared" ref="BD5:BD7" si="2">SUMIF($D$2:$AY$2,$BD$2,$D5:$AY5)</f>
        <v>656501.22999999986</v>
      </c>
      <c r="BE5" s="94"/>
    </row>
    <row r="6" spans="1:57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2"/>
      <c r="BD6" s="94">
        <f t="shared" si="2"/>
        <v>0</v>
      </c>
      <c r="BE6" s="94"/>
    </row>
    <row r="7" spans="1:57" ht="13">
      <c r="A7" s="89" t="s">
        <v>143</v>
      </c>
      <c r="B7" s="99">
        <v>12500</v>
      </c>
      <c r="C7" s="61"/>
      <c r="D7" s="100">
        <f>'PS Model 2017'!ColinSalary</f>
        <v>12500</v>
      </c>
      <c r="E7" s="91"/>
      <c r="F7" s="91"/>
      <c r="G7" s="92"/>
      <c r="H7" s="100">
        <f>'PS Model 2017'!ColinSalary</f>
        <v>12500</v>
      </c>
      <c r="I7" s="91"/>
      <c r="J7" s="91"/>
      <c r="K7" s="92"/>
      <c r="L7" s="100">
        <f>'PS Model 2017'!ColinSalary</f>
        <v>12500</v>
      </c>
      <c r="M7" s="91"/>
      <c r="N7" s="91"/>
      <c r="O7" s="92"/>
      <c r="P7" s="100">
        <f>'PS Model 2017'!ColinSalary</f>
        <v>12500</v>
      </c>
      <c r="Q7" s="91"/>
      <c r="R7" s="91"/>
      <c r="S7" s="92"/>
      <c r="T7" s="100">
        <f>'PS Model 2017'!ColinSalary</f>
        <v>12500</v>
      </c>
      <c r="U7" s="91"/>
      <c r="V7" s="91"/>
      <c r="W7" s="92"/>
      <c r="X7" s="100">
        <f>'PS Model 2017'!ColinSalary</f>
        <v>12500</v>
      </c>
      <c r="Y7" s="91"/>
      <c r="Z7" s="91"/>
      <c r="AA7" s="92"/>
      <c r="AB7" s="100">
        <f>'PS Model 2017'!ColinSalary</f>
        <v>12500</v>
      </c>
      <c r="AC7" s="91"/>
      <c r="AD7" s="91"/>
      <c r="AE7" s="92"/>
      <c r="AF7" s="100">
        <f>'PS Model 2017'!ColinSalary</f>
        <v>12500</v>
      </c>
      <c r="AG7" s="91"/>
      <c r="AH7" s="91"/>
      <c r="AI7" s="92"/>
      <c r="AJ7" s="100">
        <f>'PS Model 2017'!ColinSalary</f>
        <v>12500</v>
      </c>
      <c r="AK7" s="91"/>
      <c r="AL7" s="91"/>
      <c r="AM7" s="92"/>
      <c r="AN7" s="100">
        <f>'PS Model 2017'!ColinSalary</f>
        <v>12500</v>
      </c>
      <c r="AO7" s="91"/>
      <c r="AP7" s="91"/>
      <c r="AQ7" s="92"/>
      <c r="AR7" s="100">
        <f>'PS Model 2017'!ColinSalary</f>
        <v>12500</v>
      </c>
      <c r="AS7" s="91"/>
      <c r="AT7" s="91"/>
      <c r="AU7" s="92"/>
      <c r="AV7" s="100">
        <f>'PS Model 2017'!ColinSalary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  <c r="BE7" s="94"/>
    </row>
    <row r="8" spans="1:57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SUM(AZ22:AZ24)</f>
        <v>70452.239999999991</v>
      </c>
      <c r="AC8" s="91"/>
      <c r="AD8" s="91"/>
      <c r="AE8" s="92"/>
      <c r="AF8" s="103"/>
      <c r="AG8" s="91"/>
      <c r="AH8" s="91"/>
      <c r="AI8" s="92"/>
      <c r="AJ8" s="103"/>
      <c r="AK8" s="91"/>
      <c r="AL8" s="91"/>
      <c r="AM8" s="92"/>
      <c r="AO8" s="91"/>
      <c r="AP8" s="91"/>
      <c r="AQ8" s="92"/>
      <c r="AR8" s="103"/>
      <c r="AS8" s="91"/>
      <c r="AT8" s="91"/>
      <c r="AU8" s="92"/>
      <c r="AV8" s="103">
        <f>SUM(BB22:BB24)-SUM(AZ22:AZ24)</f>
        <v>50675.8</v>
      </c>
      <c r="AW8" s="91"/>
      <c r="AX8" s="91"/>
      <c r="AY8" s="92"/>
      <c r="AZ8" s="93"/>
      <c r="BA8" s="92"/>
      <c r="BB8" s="93"/>
      <c r="BC8" s="92"/>
      <c r="BD8" s="94"/>
      <c r="BE8" s="94"/>
    </row>
    <row r="9" spans="1:57" ht="13">
      <c r="A9" s="89" t="s">
        <v>145</v>
      </c>
      <c r="B9" s="101"/>
      <c r="C9" s="102"/>
      <c r="D9" s="104">
        <f>SUM(F15:F18)</f>
        <v>2298.06</v>
      </c>
      <c r="E9" s="91"/>
      <c r="F9" s="91"/>
      <c r="G9" s="92"/>
      <c r="H9" s="104">
        <f>SUM(J15:J18)</f>
        <v>5204.53</v>
      </c>
      <c r="I9" s="91"/>
      <c r="J9" s="91"/>
      <c r="K9" s="92"/>
      <c r="L9" s="104">
        <f>SUM(N15:N18)</f>
        <v>3245.8</v>
      </c>
      <c r="M9" s="91"/>
      <c r="N9" s="91"/>
      <c r="O9" s="92"/>
      <c r="P9" s="104">
        <f>SUM(R15:R18)</f>
        <v>11786.83</v>
      </c>
      <c r="Q9" s="91"/>
      <c r="R9" s="91"/>
      <c r="S9" s="92"/>
      <c r="T9" s="104">
        <f>SUM(V15:V18)</f>
        <v>5012.57</v>
      </c>
      <c r="U9" s="91"/>
      <c r="V9" s="91"/>
      <c r="W9" s="92"/>
      <c r="X9" s="104">
        <f>SUM(Z15:Z18)</f>
        <v>1039.02</v>
      </c>
      <c r="Y9" s="91"/>
      <c r="Z9" s="91"/>
      <c r="AA9" s="92"/>
      <c r="AB9" s="104">
        <f>SUM(AD15:AD18)</f>
        <v>4274</v>
      </c>
      <c r="AC9" s="91"/>
      <c r="AD9" s="91"/>
      <c r="AE9" s="92"/>
      <c r="AF9" s="104">
        <f>SUM(AH15:AH18)</f>
        <v>4699.83</v>
      </c>
      <c r="AG9" s="91"/>
      <c r="AH9" s="91"/>
      <c r="AI9" s="92"/>
      <c r="AJ9" s="104">
        <f>SUM(AL15:AL18)</f>
        <v>4313.68</v>
      </c>
      <c r="AK9" s="91"/>
      <c r="AL9" s="91"/>
      <c r="AM9" s="92"/>
      <c r="AN9" s="104">
        <f>SUM(AP15:AP18)</f>
        <v>856.25</v>
      </c>
      <c r="AO9" s="91"/>
      <c r="AP9" s="91"/>
      <c r="AQ9" s="92"/>
      <c r="AR9" s="104">
        <f>SUM(AT15:AT18)</f>
        <v>2523.94</v>
      </c>
      <c r="AS9" s="91"/>
      <c r="AT9" s="91"/>
      <c r="AU9" s="92"/>
      <c r="AV9" s="104">
        <f>SUM(AX15:AX18)</f>
        <v>334.5</v>
      </c>
      <c r="AW9" s="91"/>
      <c r="AX9" s="91"/>
      <c r="AY9" s="92"/>
      <c r="AZ9" s="93">
        <f t="shared" ref="AZ9:AZ12" si="3">SUMIF($D$3:$AY$3,AZ$2,$D9:$AY9)</f>
        <v>10748.39</v>
      </c>
      <c r="BA9" s="92"/>
      <c r="BB9" s="93">
        <f t="shared" ref="BB9:BB12" si="4">SUMIF($D$4:$AY$4,BB$2,$D9:$AY9)</f>
        <v>28586.81</v>
      </c>
      <c r="BC9" s="92"/>
      <c r="BD9" s="94">
        <f t="shared" ref="BD9:BD12" si="5">SUMIF($D$2:$AY$2,$BD$2,$D9:$AY9)</f>
        <v>45589.01</v>
      </c>
      <c r="BE9" s="94"/>
    </row>
    <row r="10" spans="1:57" ht="13">
      <c r="A10" s="89" t="s">
        <v>146</v>
      </c>
      <c r="C10" s="61"/>
      <c r="D10" s="104">
        <f>D5-D6-D7+D9+D8</f>
        <v>87002.12</v>
      </c>
      <c r="E10" s="91"/>
      <c r="F10" s="91"/>
      <c r="G10" s="92"/>
      <c r="H10" s="104">
        <f>H5-H6-H7+H9+H8</f>
        <v>79465.72</v>
      </c>
      <c r="I10" s="91"/>
      <c r="J10" s="91"/>
      <c r="K10" s="92"/>
      <c r="L10" s="104">
        <f>L5-L6-L7+L9+L8</f>
        <v>69586.490000000005</v>
      </c>
      <c r="M10" s="91"/>
      <c r="N10" s="91"/>
      <c r="O10" s="92"/>
      <c r="P10" s="104">
        <f>P5-P6-P7+P9+P8</f>
        <v>51739.520000000004</v>
      </c>
      <c r="Q10" s="91"/>
      <c r="R10" s="91"/>
      <c r="S10" s="92"/>
      <c r="T10" s="104">
        <f>T5-T6-T7+T9+T8</f>
        <v>56513.47</v>
      </c>
      <c r="U10" s="91"/>
      <c r="V10" s="91"/>
      <c r="W10" s="92"/>
      <c r="X10" s="104">
        <f>X5-X6-X7+X9+X8</f>
        <v>71926.97</v>
      </c>
      <c r="Y10" s="91"/>
      <c r="Z10" s="91"/>
      <c r="AA10" s="92"/>
      <c r="AB10" s="104">
        <f>AB5-AB6-AB7+AB9+AB8</f>
        <v>57599.969999999987</v>
      </c>
      <c r="AC10" s="91"/>
      <c r="AD10" s="91"/>
      <c r="AE10" s="92"/>
      <c r="AF10" s="104">
        <f>AF5-AF6-AF7+AF9+AF8</f>
        <v>44652.93</v>
      </c>
      <c r="AG10" s="91"/>
      <c r="AH10" s="91"/>
      <c r="AI10" s="92"/>
      <c r="AJ10" s="104">
        <f>AJ5-AJ6-AJ7+AJ9+AJ8</f>
        <v>29101.07</v>
      </c>
      <c r="AK10" s="91"/>
      <c r="AL10" s="91"/>
      <c r="AM10" s="92"/>
      <c r="AN10" s="104">
        <f>AN5-AN6-AN7+AN9+AN8</f>
        <v>45663.45</v>
      </c>
      <c r="AO10" s="91"/>
      <c r="AP10" s="91"/>
      <c r="AQ10" s="92"/>
      <c r="AR10" s="104">
        <f>AR5-AR6-AR7+AR9+AR8</f>
        <v>45619.130000000005</v>
      </c>
      <c r="AS10" s="91"/>
      <c r="AT10" s="91"/>
      <c r="AU10" s="92"/>
      <c r="AV10" s="104">
        <f>AV5-AV6-AV7+AV9+AV8</f>
        <v>34347.440000000002</v>
      </c>
      <c r="AW10" s="91"/>
      <c r="AX10" s="91"/>
      <c r="AY10" s="92"/>
      <c r="AZ10" s="93">
        <f t="shared" si="3"/>
        <v>236054.33000000002</v>
      </c>
      <c r="BA10" s="92"/>
      <c r="BB10" s="93">
        <f t="shared" si="4"/>
        <v>416234.29000000004</v>
      </c>
      <c r="BC10" s="92"/>
      <c r="BD10" s="94">
        <f t="shared" si="5"/>
        <v>673218.28</v>
      </c>
      <c r="BE10" s="94"/>
    </row>
    <row r="11" spans="1:57" ht="13">
      <c r="A11" s="89" t="s">
        <v>147</v>
      </c>
      <c r="C11" s="61"/>
      <c r="D11" s="90">
        <v>12500</v>
      </c>
      <c r="E11" s="91"/>
      <c r="F11" s="91"/>
      <c r="G11" s="92"/>
      <c r="H11" s="90">
        <v>50000</v>
      </c>
      <c r="I11" s="91"/>
      <c r="J11" s="91"/>
      <c r="K11" s="92"/>
      <c r="L11" s="90">
        <v>12500</v>
      </c>
      <c r="M11" s="91"/>
      <c r="N11" s="91"/>
      <c r="O11" s="92"/>
      <c r="P11" s="90">
        <v>57500</v>
      </c>
      <c r="Q11" s="91"/>
      <c r="R11" s="91"/>
      <c r="S11" s="92"/>
      <c r="T11" s="90">
        <v>12500</v>
      </c>
      <c r="U11" s="91"/>
      <c r="V11" s="91"/>
      <c r="W11" s="92"/>
      <c r="X11" s="90">
        <v>155000</v>
      </c>
      <c r="Y11" s="91"/>
      <c r="Z11" s="91"/>
      <c r="AA11" s="92"/>
      <c r="AB11" s="90">
        <v>19992</v>
      </c>
      <c r="AC11" s="91"/>
      <c r="AD11" s="91"/>
      <c r="AE11" s="92"/>
      <c r="AF11" s="90">
        <v>0</v>
      </c>
      <c r="AG11" s="91"/>
      <c r="AH11" s="91"/>
      <c r="AI11" s="92"/>
      <c r="AJ11" s="90">
        <v>0</v>
      </c>
      <c r="AK11" s="91"/>
      <c r="AL11" s="91"/>
      <c r="AM11" s="92"/>
      <c r="AN11" s="90">
        <v>0</v>
      </c>
      <c r="AO11" s="91"/>
      <c r="AP11" s="91"/>
      <c r="AQ11" s="92"/>
      <c r="AR11" s="90">
        <v>0</v>
      </c>
      <c r="AS11" s="91"/>
      <c r="AT11" s="91"/>
      <c r="AU11" s="92"/>
      <c r="AV11" s="90">
        <v>0</v>
      </c>
      <c r="AW11" s="91"/>
      <c r="AX11" s="91"/>
      <c r="AY11" s="92"/>
      <c r="AZ11" s="93">
        <f t="shared" si="3"/>
        <v>75000</v>
      </c>
      <c r="BA11" s="92"/>
      <c r="BB11" s="93">
        <f t="shared" si="4"/>
        <v>300000</v>
      </c>
      <c r="BC11" s="92"/>
      <c r="BD11" s="94">
        <f t="shared" si="5"/>
        <v>319992</v>
      </c>
      <c r="BE11" s="94"/>
    </row>
    <row r="12" spans="1:57" ht="14">
      <c r="A12" s="5" t="s">
        <v>151</v>
      </c>
      <c r="C12" s="61"/>
      <c r="D12" s="100">
        <f>D11-D7</f>
        <v>0</v>
      </c>
      <c r="E12" s="91"/>
      <c r="F12" s="91"/>
      <c r="G12" s="92"/>
      <c r="H12" s="100">
        <f>H11-H7</f>
        <v>37500</v>
      </c>
      <c r="I12" s="91"/>
      <c r="J12" s="91"/>
      <c r="K12" s="92"/>
      <c r="L12" s="100">
        <f>L11-L7</f>
        <v>0</v>
      </c>
      <c r="M12" s="91"/>
      <c r="N12" s="91"/>
      <c r="O12" s="92"/>
      <c r="P12" s="100">
        <f>P11-P7</f>
        <v>45000</v>
      </c>
      <c r="Q12" s="91"/>
      <c r="R12" s="91"/>
      <c r="S12" s="92"/>
      <c r="T12" s="100">
        <f>T11-T7</f>
        <v>0</v>
      </c>
      <c r="U12" s="91"/>
      <c r="V12" s="91"/>
      <c r="W12" s="92"/>
      <c r="X12" s="100">
        <f>X11-X7</f>
        <v>142500</v>
      </c>
      <c r="Y12" s="91"/>
      <c r="Z12" s="91"/>
      <c r="AA12" s="92"/>
      <c r="AB12" s="100">
        <f>AB11-AB7</f>
        <v>7492</v>
      </c>
      <c r="AC12" s="91"/>
      <c r="AD12" s="91"/>
      <c r="AE12" s="92"/>
      <c r="AF12" s="100">
        <f>AF11-AF7</f>
        <v>-12500</v>
      </c>
      <c r="AG12" s="91"/>
      <c r="AH12" s="91"/>
      <c r="AI12" s="92"/>
      <c r="AJ12" s="100">
        <f>AJ11-AJ7</f>
        <v>-12500</v>
      </c>
      <c r="AK12" s="91"/>
      <c r="AL12" s="91"/>
      <c r="AM12" s="92"/>
      <c r="AN12" s="100">
        <f>AN11-AN7</f>
        <v>-12500</v>
      </c>
      <c r="AO12" s="91"/>
      <c r="AP12" s="91"/>
      <c r="AQ12" s="92"/>
      <c r="AR12" s="100">
        <f>AR11-AR7</f>
        <v>-12500</v>
      </c>
      <c r="AS12" s="91"/>
      <c r="AT12" s="91"/>
      <c r="AU12" s="92"/>
      <c r="AV12" s="100">
        <f>AV11-AV7</f>
        <v>-12500</v>
      </c>
      <c r="AW12" s="91"/>
      <c r="AX12" s="91"/>
      <c r="AY12" s="92"/>
      <c r="AZ12" s="93">
        <f t="shared" si="3"/>
        <v>37500</v>
      </c>
      <c r="BA12" s="92"/>
      <c r="BB12" s="93">
        <f t="shared" si="4"/>
        <v>225000</v>
      </c>
      <c r="BC12" s="92"/>
      <c r="BD12" s="94">
        <f t="shared" si="5"/>
        <v>169992</v>
      </c>
      <c r="BE12" s="94"/>
    </row>
    <row r="13" spans="1:57" ht="13">
      <c r="A13" s="5"/>
      <c r="C13" s="61"/>
      <c r="D13" s="100"/>
      <c r="E13" s="91"/>
      <c r="F13" s="91"/>
      <c r="G13" s="92"/>
      <c r="H13" s="100"/>
      <c r="I13" s="91"/>
      <c r="J13" s="91"/>
      <c r="K13" s="92"/>
      <c r="L13" s="100"/>
      <c r="M13" s="91"/>
      <c r="N13" s="91"/>
      <c r="O13" s="92"/>
      <c r="P13" s="100"/>
      <c r="Q13" s="91"/>
      <c r="R13" s="91"/>
      <c r="S13" s="92"/>
      <c r="T13" s="100"/>
      <c r="U13" s="91"/>
      <c r="V13" s="91"/>
      <c r="W13" s="92"/>
      <c r="X13" s="100"/>
      <c r="Y13" s="91"/>
      <c r="Z13" s="91"/>
      <c r="AA13" s="92"/>
      <c r="AB13" s="100"/>
      <c r="AC13" s="91"/>
      <c r="AD13" s="91"/>
      <c r="AE13" s="92"/>
      <c r="AF13" s="100"/>
      <c r="AG13" s="91"/>
      <c r="AH13" s="91"/>
      <c r="AI13" s="92"/>
      <c r="AJ13" s="100"/>
      <c r="AK13" s="91"/>
      <c r="AL13" s="91"/>
      <c r="AM13" s="92"/>
      <c r="AN13" s="100"/>
      <c r="AO13" s="91"/>
      <c r="AP13" s="91"/>
      <c r="AQ13" s="92"/>
      <c r="AR13" s="100"/>
      <c r="AS13" s="91"/>
      <c r="AT13" s="91"/>
      <c r="AU13" s="92"/>
      <c r="AV13" s="100"/>
      <c r="AW13" s="91"/>
      <c r="AX13" s="91"/>
      <c r="AY13" s="92"/>
      <c r="AZ13" s="100"/>
      <c r="BA13" s="92"/>
      <c r="BB13" s="100"/>
      <c r="BC13" s="92"/>
      <c r="BD13" s="91"/>
      <c r="BE13" s="91"/>
    </row>
    <row r="14" spans="1:57" ht="14">
      <c r="A14" s="5"/>
      <c r="B14" s="5"/>
      <c r="C14" s="5"/>
      <c r="D14" s="117" t="s">
        <v>152</v>
      </c>
      <c r="E14" s="118" t="s">
        <v>153</v>
      </c>
      <c r="F14" s="118" t="s">
        <v>154</v>
      </c>
      <c r="G14" s="118" t="s">
        <v>155</v>
      </c>
      <c r="H14" s="117" t="s">
        <v>152</v>
      </c>
      <c r="I14" s="118" t="s">
        <v>153</v>
      </c>
      <c r="J14" s="118" t="s">
        <v>154</v>
      </c>
      <c r="K14" s="118" t="s">
        <v>155</v>
      </c>
      <c r="L14" s="117" t="s">
        <v>152</v>
      </c>
      <c r="M14" s="118" t="s">
        <v>153</v>
      </c>
      <c r="N14" s="118" t="s">
        <v>154</v>
      </c>
      <c r="O14" s="118" t="s">
        <v>155</v>
      </c>
      <c r="P14" s="117" t="s">
        <v>152</v>
      </c>
      <c r="Q14" s="118" t="s">
        <v>153</v>
      </c>
      <c r="R14" s="118" t="s">
        <v>154</v>
      </c>
      <c r="S14" s="118" t="s">
        <v>155</v>
      </c>
      <c r="T14" s="117" t="s">
        <v>152</v>
      </c>
      <c r="U14" s="118" t="s">
        <v>153</v>
      </c>
      <c r="V14" s="118" t="s">
        <v>154</v>
      </c>
      <c r="W14" s="118" t="s">
        <v>155</v>
      </c>
      <c r="X14" s="117" t="s">
        <v>152</v>
      </c>
      <c r="Y14" s="118" t="s">
        <v>153</v>
      </c>
      <c r="Z14" s="118" t="s">
        <v>154</v>
      </c>
      <c r="AA14" s="118" t="s">
        <v>155</v>
      </c>
      <c r="AB14" s="117" t="s">
        <v>152</v>
      </c>
      <c r="AC14" s="118" t="s">
        <v>153</v>
      </c>
      <c r="AD14" s="118" t="s">
        <v>154</v>
      </c>
      <c r="AE14" s="118" t="s">
        <v>155</v>
      </c>
      <c r="AF14" s="117" t="s">
        <v>152</v>
      </c>
      <c r="AG14" s="118" t="s">
        <v>153</v>
      </c>
      <c r="AH14" s="118" t="s">
        <v>154</v>
      </c>
      <c r="AI14" s="118" t="s">
        <v>155</v>
      </c>
      <c r="AJ14" s="117" t="s">
        <v>152</v>
      </c>
      <c r="AK14" s="118" t="s">
        <v>153</v>
      </c>
      <c r="AL14" s="118" t="s">
        <v>154</v>
      </c>
      <c r="AM14" s="118" t="s">
        <v>155</v>
      </c>
      <c r="AN14" s="117" t="s">
        <v>152</v>
      </c>
      <c r="AO14" s="118" t="s">
        <v>153</v>
      </c>
      <c r="AP14" s="118" t="s">
        <v>154</v>
      </c>
      <c r="AQ14" s="118" t="s">
        <v>155</v>
      </c>
      <c r="AR14" s="117" t="s">
        <v>152</v>
      </c>
      <c r="AS14" s="118" t="s">
        <v>153</v>
      </c>
      <c r="AT14" s="118" t="s">
        <v>154</v>
      </c>
      <c r="AU14" s="118" t="s">
        <v>155</v>
      </c>
      <c r="AV14" s="117" t="s">
        <v>152</v>
      </c>
      <c r="AW14" s="118" t="s">
        <v>153</v>
      </c>
      <c r="AX14" s="118" t="s">
        <v>154</v>
      </c>
      <c r="AY14" s="118" t="s">
        <v>155</v>
      </c>
      <c r="AZ14" s="100"/>
      <c r="BA14" s="92"/>
      <c r="BB14" s="100"/>
      <c r="BC14" s="92"/>
      <c r="BD14" s="91"/>
      <c r="BE14" s="91"/>
    </row>
    <row r="15" spans="1:57" ht="13">
      <c r="A15" s="89" t="s">
        <v>83</v>
      </c>
      <c r="B15" s="265"/>
      <c r="C15" s="121">
        <f>'QB Cleanup PS Model 2016'!BE22</f>
        <v>471079.60753322247</v>
      </c>
      <c r="D15" s="53">
        <v>300</v>
      </c>
      <c r="E15" s="123">
        <f t="shared" ref="E15:E18" si="6">D$10*D15/D$19</f>
        <v>61269.098591549293</v>
      </c>
      <c r="F15" s="124">
        <v>2298.06</v>
      </c>
      <c r="G15" s="123">
        <f t="shared" ref="G15:G18" si="7">E15-F15</f>
        <v>58971.038591549295</v>
      </c>
      <c r="H15" s="214">
        <v>300</v>
      </c>
      <c r="I15" s="123">
        <f t="shared" ref="I15:I18" si="8">H$10*H15/H$19</f>
        <v>55961.774647887323</v>
      </c>
      <c r="J15" s="124">
        <v>5204.53</v>
      </c>
      <c r="K15" s="123">
        <f t="shared" ref="K15:K18" si="9">I15-J15</f>
        <v>50757.244647887324</v>
      </c>
      <c r="L15" s="214">
        <v>300</v>
      </c>
      <c r="M15" s="123">
        <f t="shared" ref="M15:M18" si="10">L$10*L15/L$19</f>
        <v>49004.570422535209</v>
      </c>
      <c r="N15" s="124">
        <v>3245.8</v>
      </c>
      <c r="O15" s="123">
        <f t="shared" ref="O15:O18" si="11">M15-N15</f>
        <v>45758.770422535206</v>
      </c>
      <c r="P15" s="214">
        <v>300</v>
      </c>
      <c r="Q15" s="123">
        <f t="shared" ref="Q15:Q18" si="12">P$10*P15/P$19</f>
        <v>36436.281690140851</v>
      </c>
      <c r="R15" s="124">
        <v>11786.83</v>
      </c>
      <c r="S15" s="123">
        <f t="shared" ref="S15:S18" si="13">Q15-R15</f>
        <v>24649.45169014085</v>
      </c>
      <c r="T15" s="214">
        <v>300</v>
      </c>
      <c r="U15" s="123">
        <f t="shared" ref="U15:U18" si="14">T$10*T15/T$19</f>
        <v>39798.218309859156</v>
      </c>
      <c r="V15" s="124">
        <v>5012.57</v>
      </c>
      <c r="W15" s="123">
        <f t="shared" ref="W15:W18" si="15">U15-V15</f>
        <v>34785.648309859156</v>
      </c>
      <c r="X15" s="214">
        <v>300</v>
      </c>
      <c r="Y15" s="123">
        <f t="shared" ref="Y15:Y18" si="16">X$10*X15/X$19</f>
        <v>50652.795774647886</v>
      </c>
      <c r="Z15" s="124">
        <v>1039.02</v>
      </c>
      <c r="AA15" s="123">
        <f t="shared" ref="AA15:AA18" si="17">Y15-Z15</f>
        <v>49613.775774647889</v>
      </c>
      <c r="AB15" s="214">
        <v>300</v>
      </c>
      <c r="AC15" s="123">
        <f t="shared" ref="AC15:AC18" si="18">AB$10*AB15/AB$19</f>
        <v>40563.359154929567</v>
      </c>
      <c r="AD15" s="124">
        <v>4274</v>
      </c>
      <c r="AE15" s="123">
        <f t="shared" ref="AE15:AE18" si="19">AC15-AD15</f>
        <v>36289.359154929567</v>
      </c>
      <c r="AF15" s="214">
        <v>300</v>
      </c>
      <c r="AG15" s="123">
        <f t="shared" ref="AG15:AG18" si="20">AF$10*AF15/AF$19</f>
        <v>31445.725352112677</v>
      </c>
      <c r="AH15" s="124">
        <v>4699.83</v>
      </c>
      <c r="AI15" s="123">
        <f t="shared" ref="AI15:AI18" si="21">AG15-AH15</f>
        <v>26745.895352112675</v>
      </c>
      <c r="AJ15" s="214">
        <v>300</v>
      </c>
      <c r="AK15" s="123">
        <f t="shared" ref="AK15:AK18" si="22">AJ$10*AJ15/AJ$19</f>
        <v>20493.711267605635</v>
      </c>
      <c r="AL15" s="124">
        <v>4313.68</v>
      </c>
      <c r="AM15" s="123">
        <f t="shared" ref="AM15:AM18" si="23">AK15-AL15</f>
        <v>16180.031267605635</v>
      </c>
      <c r="AN15" s="214">
        <v>300</v>
      </c>
      <c r="AO15" s="123">
        <f t="shared" ref="AO15:AO18" si="24">AN$10*AN15/AN$19</f>
        <v>32157.359154929578</v>
      </c>
      <c r="AP15" s="124">
        <v>856.25</v>
      </c>
      <c r="AQ15" s="123">
        <f t="shared" ref="AQ15:AQ18" si="25">AO15-AP15</f>
        <v>31301.109154929578</v>
      </c>
      <c r="AR15" s="214">
        <v>300</v>
      </c>
      <c r="AS15" s="123">
        <f t="shared" ref="AS15:AS18" si="26">AR$10*AR15/AR$19</f>
        <v>32126.147887323947</v>
      </c>
      <c r="AT15" s="124">
        <v>2523.94</v>
      </c>
      <c r="AU15" s="123">
        <f t="shared" ref="AU15:AU18" si="27">AS15-AT15</f>
        <v>29602.207887323948</v>
      </c>
      <c r="AV15" s="214">
        <v>300</v>
      </c>
      <c r="AW15" s="123">
        <f t="shared" ref="AW15:AW18" si="28">AV$10*AV15/AV$19</f>
        <v>24188.338028169015</v>
      </c>
      <c r="AX15" s="124">
        <v>334.5</v>
      </c>
      <c r="AY15" s="126">
        <f t="shared" ref="AY15:AY18" si="29">AW15-AX15</f>
        <v>23853.838028169015</v>
      </c>
      <c r="AZ15" s="127">
        <f t="shared" ref="AZ15:AZ18" si="30">IF($AV$3="1Q",AY15,0)+IF($AR$3="1Q",AU15,0)+IF($AN$3="1Q",AQ15,0)+IF($AJ$3="1Q",AM15,0)+IF($AF$3="1Q",AI15,0)+IF($AB$3="1Q",AE15,0)+IF($X$3="1Q",AA15,0)+IF($T$3="1Q",W15,0)+IF($P$3="1Q",S15,0)+IF($L$3="1Q",O15,0)+IF($H$3="1Q",K15,0)+IF($D$3="1Q",G15,0)</f>
        <v>155487.05366197182</v>
      </c>
      <c r="BA15" s="128">
        <f t="shared" ref="BA15:BA18" si="31">AZ15+$C15</f>
        <v>626566.66119519435</v>
      </c>
      <c r="BB15" s="127">
        <f t="shared" ref="BB15:BB18" si="32">IF($AV$4="1H",AY15,0)+IF($AR$4="1H",AU15,0)+IF($AN$4="1H",AQ15,0)+IF($AJ$4="1H",AM15,0)+IF($AF$4="1H",AI15,0)+IF($AB$4="1H",AE15,0)+IF($X$4="1H",AA15,0)+IF($T$4="1H",W15,0)+IF($P$4="1H",S15,0)+IF($L$4="1H",O15,0)+IF($H$4="1H",K15,0)+IF($D$4="1H",G15,0)</f>
        <v>264535.92943661974</v>
      </c>
      <c r="BC15" s="128">
        <f t="shared" ref="BC15:BC18" si="33">BB15+$C15</f>
        <v>735615.53696984216</v>
      </c>
      <c r="BD15" s="127">
        <f t="shared" ref="BD15:BD18" si="34">AY15+AU15+AQ15+AM15+AI15+AE15+AA15+W15+S15+O15+K15+G15</f>
        <v>428508.37028169015</v>
      </c>
      <c r="BE15" s="91">
        <f t="shared" ref="BE15:BE18" si="35">BD15+C15</f>
        <v>899587.97781491256</v>
      </c>
    </row>
    <row r="16" spans="1:57" ht="13">
      <c r="A16" s="89" t="s">
        <v>209</v>
      </c>
      <c r="B16" s="265"/>
      <c r="C16" s="121">
        <v>-1000</v>
      </c>
      <c r="D16" s="53">
        <v>100</v>
      </c>
      <c r="E16" s="123">
        <f t="shared" si="6"/>
        <v>20423.032863849767</v>
      </c>
      <c r="F16" s="124"/>
      <c r="G16" s="123">
        <f t="shared" si="7"/>
        <v>20423.032863849767</v>
      </c>
      <c r="H16" s="214">
        <v>100</v>
      </c>
      <c r="I16" s="123">
        <f t="shared" si="8"/>
        <v>18653.924882629108</v>
      </c>
      <c r="J16" s="124"/>
      <c r="K16" s="123">
        <f t="shared" si="9"/>
        <v>18653.924882629108</v>
      </c>
      <c r="L16" s="214">
        <v>100</v>
      </c>
      <c r="M16" s="123">
        <f t="shared" si="10"/>
        <v>16334.85680751174</v>
      </c>
      <c r="N16" s="124"/>
      <c r="O16" s="123">
        <f t="shared" si="11"/>
        <v>16334.85680751174</v>
      </c>
      <c r="P16" s="214">
        <v>100</v>
      </c>
      <c r="Q16" s="123">
        <f t="shared" si="12"/>
        <v>12145.427230046949</v>
      </c>
      <c r="R16" s="124"/>
      <c r="S16" s="123">
        <f t="shared" si="13"/>
        <v>12145.427230046949</v>
      </c>
      <c r="T16" s="214">
        <v>100</v>
      </c>
      <c r="U16" s="123">
        <f t="shared" si="14"/>
        <v>13266.072769953051</v>
      </c>
      <c r="V16" s="124"/>
      <c r="W16" s="123">
        <f t="shared" si="15"/>
        <v>13266.072769953051</v>
      </c>
      <c r="X16" s="214">
        <v>100</v>
      </c>
      <c r="Y16" s="123">
        <f t="shared" si="16"/>
        <v>16884.265258215961</v>
      </c>
      <c r="Z16" s="124"/>
      <c r="AA16" s="123">
        <f t="shared" si="17"/>
        <v>16884.265258215961</v>
      </c>
      <c r="AB16" s="214">
        <v>100</v>
      </c>
      <c r="AC16" s="123">
        <f t="shared" si="18"/>
        <v>13521.119718309857</v>
      </c>
      <c r="AD16" s="124"/>
      <c r="AE16" s="123">
        <f t="shared" si="19"/>
        <v>13521.119718309857</v>
      </c>
      <c r="AF16" s="214">
        <v>100</v>
      </c>
      <c r="AG16" s="123">
        <f t="shared" si="20"/>
        <v>10481.908450704226</v>
      </c>
      <c r="AH16" s="124"/>
      <c r="AI16" s="123">
        <f t="shared" si="21"/>
        <v>10481.908450704226</v>
      </c>
      <c r="AJ16" s="214">
        <v>100</v>
      </c>
      <c r="AK16" s="123">
        <f t="shared" si="22"/>
        <v>6831.237089201878</v>
      </c>
      <c r="AL16" s="124"/>
      <c r="AM16" s="123">
        <f t="shared" si="23"/>
        <v>6831.237089201878</v>
      </c>
      <c r="AN16" s="214">
        <v>100</v>
      </c>
      <c r="AO16" s="123">
        <f t="shared" si="24"/>
        <v>10719.119718309859</v>
      </c>
      <c r="AP16" s="124"/>
      <c r="AQ16" s="123">
        <f t="shared" si="25"/>
        <v>10719.119718309859</v>
      </c>
      <c r="AR16" s="214">
        <v>100</v>
      </c>
      <c r="AS16" s="123">
        <f t="shared" si="26"/>
        <v>10708.715962441314</v>
      </c>
      <c r="AT16" s="124"/>
      <c r="AU16" s="123">
        <f t="shared" si="27"/>
        <v>10708.715962441314</v>
      </c>
      <c r="AV16" s="214">
        <v>100</v>
      </c>
      <c r="AW16" s="123">
        <f t="shared" si="28"/>
        <v>8062.7793427230044</v>
      </c>
      <c r="AX16" s="124"/>
      <c r="AY16" s="126">
        <f t="shared" si="29"/>
        <v>8062.7793427230044</v>
      </c>
      <c r="AZ16" s="127">
        <f t="shared" si="30"/>
        <v>55411.814553990618</v>
      </c>
      <c r="BA16" s="128">
        <f t="shared" si="31"/>
        <v>54411.814553990618</v>
      </c>
      <c r="BB16" s="127">
        <f t="shared" si="32"/>
        <v>97707.57981220659</v>
      </c>
      <c r="BC16" s="128">
        <f t="shared" si="33"/>
        <v>96707.57981220659</v>
      </c>
      <c r="BD16" s="127">
        <f t="shared" si="34"/>
        <v>158032.46009389672</v>
      </c>
      <c r="BE16" s="91">
        <f t="shared" si="35"/>
        <v>157032.46009389672</v>
      </c>
    </row>
    <row r="17" spans="1:57" ht="13">
      <c r="A17" s="89" t="s">
        <v>61</v>
      </c>
      <c r="B17" s="265"/>
      <c r="C17" s="121">
        <f>'QB Cleanup PS Model 2016'!BE25</f>
        <v>-177.91033222591068</v>
      </c>
      <c r="D17" s="53">
        <v>13</v>
      </c>
      <c r="E17" s="123">
        <f t="shared" si="6"/>
        <v>2654.9942723004697</v>
      </c>
      <c r="F17" s="124"/>
      <c r="G17" s="123">
        <f t="shared" si="7"/>
        <v>2654.9942723004697</v>
      </c>
      <c r="H17" s="53">
        <v>13</v>
      </c>
      <c r="I17" s="123">
        <f t="shared" si="8"/>
        <v>2425.0102347417842</v>
      </c>
      <c r="J17" s="124"/>
      <c r="K17" s="123">
        <f t="shared" si="9"/>
        <v>2425.0102347417842</v>
      </c>
      <c r="L17" s="53">
        <v>13</v>
      </c>
      <c r="M17" s="123">
        <f t="shared" si="10"/>
        <v>2123.5313849765262</v>
      </c>
      <c r="N17" s="124"/>
      <c r="O17" s="123">
        <f t="shared" si="11"/>
        <v>2123.5313849765262</v>
      </c>
      <c r="P17" s="53">
        <v>13</v>
      </c>
      <c r="Q17" s="123">
        <f t="shared" si="12"/>
        <v>1578.9055399061033</v>
      </c>
      <c r="R17" s="124"/>
      <c r="S17" s="123">
        <f t="shared" si="13"/>
        <v>1578.9055399061033</v>
      </c>
      <c r="T17" s="53">
        <v>13</v>
      </c>
      <c r="U17" s="123">
        <f t="shared" si="14"/>
        <v>1724.5894600938966</v>
      </c>
      <c r="V17" s="124"/>
      <c r="W17" s="123">
        <f t="shared" si="15"/>
        <v>1724.5894600938966</v>
      </c>
      <c r="X17" s="53">
        <v>13</v>
      </c>
      <c r="Y17" s="123">
        <f t="shared" si="16"/>
        <v>2194.9544835680749</v>
      </c>
      <c r="Z17" s="124"/>
      <c r="AA17" s="123">
        <f t="shared" si="17"/>
        <v>2194.9544835680749</v>
      </c>
      <c r="AB17" s="53">
        <v>13</v>
      </c>
      <c r="AC17" s="123">
        <f t="shared" si="18"/>
        <v>1757.7455633802813</v>
      </c>
      <c r="AD17" s="124"/>
      <c r="AE17" s="123">
        <f t="shared" si="19"/>
        <v>1757.7455633802813</v>
      </c>
      <c r="AF17" s="53">
        <v>13</v>
      </c>
      <c r="AG17" s="123">
        <f t="shared" si="20"/>
        <v>1362.6480985915491</v>
      </c>
      <c r="AH17" s="124"/>
      <c r="AI17" s="123">
        <f t="shared" si="21"/>
        <v>1362.6480985915491</v>
      </c>
      <c r="AJ17" s="53">
        <v>13</v>
      </c>
      <c r="AK17" s="123">
        <f t="shared" si="22"/>
        <v>888.06082159624407</v>
      </c>
      <c r="AL17" s="124"/>
      <c r="AM17" s="123">
        <f t="shared" si="23"/>
        <v>888.06082159624407</v>
      </c>
      <c r="AN17" s="53">
        <v>13</v>
      </c>
      <c r="AO17" s="123">
        <f t="shared" si="24"/>
        <v>1393.4855633802817</v>
      </c>
      <c r="AP17" s="124"/>
      <c r="AQ17" s="123">
        <f t="shared" si="25"/>
        <v>1393.4855633802817</v>
      </c>
      <c r="AR17" s="53">
        <v>13</v>
      </c>
      <c r="AS17" s="123">
        <f t="shared" si="26"/>
        <v>1392.1330751173709</v>
      </c>
      <c r="AT17" s="124"/>
      <c r="AU17" s="123">
        <f t="shared" si="27"/>
        <v>1392.1330751173709</v>
      </c>
      <c r="AV17" s="53">
        <v>13</v>
      </c>
      <c r="AW17" s="123">
        <f t="shared" si="28"/>
        <v>1048.1613145539907</v>
      </c>
      <c r="AX17" s="124"/>
      <c r="AY17" s="126">
        <f t="shared" si="29"/>
        <v>1048.1613145539907</v>
      </c>
      <c r="AZ17" s="127">
        <f t="shared" si="30"/>
        <v>7203.53589201878</v>
      </c>
      <c r="BA17" s="128">
        <f t="shared" si="31"/>
        <v>7025.6255597928694</v>
      </c>
      <c r="BB17" s="127">
        <f t="shared" si="32"/>
        <v>12701.985375586855</v>
      </c>
      <c r="BC17" s="128">
        <f t="shared" si="33"/>
        <v>12524.075043360945</v>
      </c>
      <c r="BD17" s="127">
        <f t="shared" si="34"/>
        <v>20544.219812206575</v>
      </c>
      <c r="BE17" s="91">
        <f t="shared" si="35"/>
        <v>20366.309479980664</v>
      </c>
    </row>
    <row r="18" spans="1:57" ht="13">
      <c r="A18" s="89" t="s">
        <v>65</v>
      </c>
      <c r="B18" s="265"/>
      <c r="C18" s="121">
        <f>'QB Cleanup PS Model 2016'!BE26</f>
        <v>-177.91033222591068</v>
      </c>
      <c r="D18" s="53">
        <v>13</v>
      </c>
      <c r="E18" s="123">
        <f t="shared" si="6"/>
        <v>2654.9942723004697</v>
      </c>
      <c r="F18" s="124"/>
      <c r="G18" s="123">
        <f t="shared" si="7"/>
        <v>2654.9942723004697</v>
      </c>
      <c r="H18" s="53">
        <v>13</v>
      </c>
      <c r="I18" s="123">
        <f t="shared" si="8"/>
        <v>2425.0102347417842</v>
      </c>
      <c r="J18" s="124"/>
      <c r="K18" s="123">
        <f t="shared" si="9"/>
        <v>2425.0102347417842</v>
      </c>
      <c r="L18" s="53">
        <v>13</v>
      </c>
      <c r="M18" s="123">
        <f t="shared" si="10"/>
        <v>2123.5313849765262</v>
      </c>
      <c r="N18" s="124"/>
      <c r="O18" s="123">
        <f t="shared" si="11"/>
        <v>2123.5313849765262</v>
      </c>
      <c r="P18" s="53">
        <v>13</v>
      </c>
      <c r="Q18" s="123">
        <f t="shared" si="12"/>
        <v>1578.9055399061033</v>
      </c>
      <c r="R18" s="124"/>
      <c r="S18" s="123">
        <f t="shared" si="13"/>
        <v>1578.9055399061033</v>
      </c>
      <c r="T18" s="53">
        <v>13</v>
      </c>
      <c r="U18" s="123">
        <f t="shared" si="14"/>
        <v>1724.5894600938966</v>
      </c>
      <c r="V18" s="124"/>
      <c r="W18" s="123">
        <f t="shared" si="15"/>
        <v>1724.5894600938966</v>
      </c>
      <c r="X18" s="53">
        <v>13</v>
      </c>
      <c r="Y18" s="123">
        <f t="shared" si="16"/>
        <v>2194.9544835680749</v>
      </c>
      <c r="Z18" s="124"/>
      <c r="AA18" s="123">
        <f t="shared" si="17"/>
        <v>2194.9544835680749</v>
      </c>
      <c r="AB18" s="53">
        <v>13</v>
      </c>
      <c r="AC18" s="123">
        <f t="shared" si="18"/>
        <v>1757.7455633802813</v>
      </c>
      <c r="AD18" s="124"/>
      <c r="AE18" s="123">
        <f t="shared" si="19"/>
        <v>1757.7455633802813</v>
      </c>
      <c r="AF18" s="53">
        <v>13</v>
      </c>
      <c r="AG18" s="123">
        <f t="shared" si="20"/>
        <v>1362.6480985915491</v>
      </c>
      <c r="AH18" s="124"/>
      <c r="AI18" s="123">
        <f t="shared" si="21"/>
        <v>1362.6480985915491</v>
      </c>
      <c r="AJ18" s="53">
        <v>13</v>
      </c>
      <c r="AK18" s="123">
        <f t="shared" si="22"/>
        <v>888.06082159624407</v>
      </c>
      <c r="AL18" s="124"/>
      <c r="AM18" s="123">
        <f t="shared" si="23"/>
        <v>888.06082159624407</v>
      </c>
      <c r="AN18" s="53">
        <v>13</v>
      </c>
      <c r="AO18" s="123">
        <f t="shared" si="24"/>
        <v>1393.4855633802817</v>
      </c>
      <c r="AP18" s="124"/>
      <c r="AQ18" s="123">
        <f t="shared" si="25"/>
        <v>1393.4855633802817</v>
      </c>
      <c r="AR18" s="53">
        <v>13</v>
      </c>
      <c r="AS18" s="123">
        <f t="shared" si="26"/>
        <v>1392.1330751173709</v>
      </c>
      <c r="AT18" s="124"/>
      <c r="AU18" s="123">
        <f t="shared" si="27"/>
        <v>1392.1330751173709</v>
      </c>
      <c r="AV18" s="53">
        <v>13</v>
      </c>
      <c r="AW18" s="123">
        <f t="shared" si="28"/>
        <v>1048.1613145539907</v>
      </c>
      <c r="AX18" s="124"/>
      <c r="AY18" s="126">
        <f t="shared" si="29"/>
        <v>1048.1613145539907</v>
      </c>
      <c r="AZ18" s="127">
        <f t="shared" si="30"/>
        <v>7203.53589201878</v>
      </c>
      <c r="BA18" s="128">
        <f t="shared" si="31"/>
        <v>7025.6255597928694</v>
      </c>
      <c r="BB18" s="127">
        <f t="shared" si="32"/>
        <v>12701.985375586855</v>
      </c>
      <c r="BC18" s="128">
        <f t="shared" si="33"/>
        <v>12524.075043360945</v>
      </c>
      <c r="BD18" s="127">
        <f t="shared" si="34"/>
        <v>20544.219812206575</v>
      </c>
      <c r="BE18" s="91">
        <f t="shared" si="35"/>
        <v>20366.309479980664</v>
      </c>
    </row>
    <row r="19" spans="1:57" ht="13">
      <c r="A19" s="89"/>
      <c r="C19" s="61"/>
      <c r="D19" s="148">
        <f t="shared" ref="D19:E19" si="36">SUM(D15:D18)</f>
        <v>426</v>
      </c>
      <c r="E19" s="149">
        <f t="shared" si="36"/>
        <v>87002.12</v>
      </c>
      <c r="F19" s="91"/>
      <c r="G19" s="91"/>
      <c r="H19" s="148">
        <f t="shared" ref="H19:I19" si="37">SUM(H15:H18)</f>
        <v>426</v>
      </c>
      <c r="I19" s="149">
        <f t="shared" si="37"/>
        <v>79465.72</v>
      </c>
      <c r="J19" s="91"/>
      <c r="K19" s="91"/>
      <c r="L19" s="148">
        <f t="shared" ref="L19:M19" si="38">SUM(L15:L18)</f>
        <v>426</v>
      </c>
      <c r="M19" s="149">
        <f t="shared" si="38"/>
        <v>69586.489999999991</v>
      </c>
      <c r="N19" s="91"/>
      <c r="O19" s="91"/>
      <c r="P19" s="148">
        <f t="shared" ref="P19:Q19" si="39">SUM(P15:P18)</f>
        <v>426</v>
      </c>
      <c r="Q19" s="149">
        <f t="shared" si="39"/>
        <v>51739.520000000004</v>
      </c>
      <c r="R19" s="91"/>
      <c r="S19" s="91"/>
      <c r="T19" s="148">
        <f t="shared" ref="T19:U19" si="40">SUM(T15:T18)</f>
        <v>426</v>
      </c>
      <c r="U19" s="149">
        <f t="shared" si="40"/>
        <v>56513.47</v>
      </c>
      <c r="V19" s="91"/>
      <c r="W19" s="91"/>
      <c r="X19" s="148">
        <f t="shared" ref="X19:Y19" si="41">SUM(X15:X18)</f>
        <v>426</v>
      </c>
      <c r="Y19" s="149">
        <f t="shared" si="41"/>
        <v>71926.969999999987</v>
      </c>
      <c r="Z19" s="91"/>
      <c r="AA19" s="91"/>
      <c r="AB19" s="148">
        <f t="shared" ref="AB19:AC19" si="42">SUM(AB15:AB18)</f>
        <v>426</v>
      </c>
      <c r="AC19" s="149">
        <f t="shared" si="42"/>
        <v>57599.969999999987</v>
      </c>
      <c r="AD19" s="91"/>
      <c r="AE19" s="91"/>
      <c r="AF19" s="148">
        <f t="shared" ref="AF19:AG19" si="43">SUM(AF15:AF18)</f>
        <v>426</v>
      </c>
      <c r="AG19" s="149">
        <f t="shared" si="43"/>
        <v>44652.93</v>
      </c>
      <c r="AH19" s="91"/>
      <c r="AI19" s="91"/>
      <c r="AJ19" s="148">
        <f t="shared" ref="AJ19:AK19" si="44">SUM(AJ15:AJ18)</f>
        <v>426</v>
      </c>
      <c r="AK19" s="149">
        <f t="shared" si="44"/>
        <v>29101.070000000003</v>
      </c>
      <c r="AL19" s="91"/>
      <c r="AM19" s="91"/>
      <c r="AN19" s="148">
        <f t="shared" ref="AN19:AO19" si="45">SUM(AN15:AN18)</f>
        <v>426</v>
      </c>
      <c r="AO19" s="149">
        <f t="shared" si="45"/>
        <v>45663.45</v>
      </c>
      <c r="AP19" s="91"/>
      <c r="AQ19" s="91"/>
      <c r="AR19" s="148">
        <f t="shared" ref="AR19:AS19" si="46">SUM(AR15:AR18)</f>
        <v>426</v>
      </c>
      <c r="AS19" s="149">
        <f t="shared" si="46"/>
        <v>45619.130000000005</v>
      </c>
      <c r="AT19" s="91"/>
      <c r="AU19" s="91"/>
      <c r="AV19" s="148">
        <f t="shared" ref="AV19:AW19" si="47">SUM(AV15:AV18)</f>
        <v>426</v>
      </c>
      <c r="AW19" s="149">
        <f t="shared" si="47"/>
        <v>34347.439999999995</v>
      </c>
      <c r="AX19" s="124"/>
      <c r="AY19" s="92"/>
      <c r="AZ19" s="91"/>
      <c r="BA19" s="150"/>
      <c r="BB19" s="91"/>
      <c r="BC19" s="150"/>
    </row>
    <row r="20" spans="1:57" ht="14">
      <c r="A20" s="89"/>
      <c r="B20" s="5"/>
      <c r="C20" s="61"/>
      <c r="D20" s="10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W20" s="151"/>
      <c r="AX20" s="151"/>
      <c r="AY20" s="92"/>
      <c r="AZ20" s="216" t="str">
        <f>"Paid for "&amp;AZ2</f>
        <v>Paid for 1Q</v>
      </c>
      <c r="BA20" s="217" t="s">
        <v>256</v>
      </c>
      <c r="BB20" s="216" t="str">
        <f>"Paid for "&amp;BB2</f>
        <v>Paid for 1H</v>
      </c>
      <c r="BC20" s="217" t="s">
        <v>256</v>
      </c>
      <c r="BD20" s="216" t="str">
        <f>"Paid for "&amp;BD2</f>
        <v>Paid for 2017</v>
      </c>
      <c r="BE20" s="217" t="s">
        <v>256</v>
      </c>
    </row>
    <row r="21" spans="1:57" ht="13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Y21" s="245" t="s">
        <v>83</v>
      </c>
      <c r="AZ21" s="200">
        <f>AZ12</f>
        <v>37500</v>
      </c>
      <c r="BA21" s="271">
        <f t="shared" ref="BA21:BA24" si="48">BA15-AZ21</f>
        <v>589066.66119519435</v>
      </c>
      <c r="BB21" s="263">
        <f>BB12</f>
        <v>225000</v>
      </c>
      <c r="BC21" s="272">
        <f t="shared" ref="BC21:BC24" si="49">BC15-BB21</f>
        <v>510615.53696984216</v>
      </c>
      <c r="BD21" s="263">
        <f>BD12</f>
        <v>169992</v>
      </c>
      <c r="BE21" s="272">
        <f t="shared" ref="BE21:BE24" si="50">BE15-BD21</f>
        <v>729595.97781491256</v>
      </c>
    </row>
    <row r="22" spans="1:57" ht="13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50" t="s">
        <v>209</v>
      </c>
      <c r="AZ22" s="90">
        <v>55939.6</v>
      </c>
      <c r="BA22" s="273">
        <f t="shared" si="48"/>
        <v>-1527.7854460093804</v>
      </c>
      <c r="BB22" s="90">
        <f>AZ22+40109.04</f>
        <v>96048.639999999999</v>
      </c>
      <c r="BC22" s="272">
        <f t="shared" si="49"/>
        <v>658.93981220659043</v>
      </c>
      <c r="BD22" s="90">
        <f t="shared" ref="BD22:BD24" si="51">BB22+0</f>
        <v>96048.639999999999</v>
      </c>
      <c r="BE22" s="272">
        <f t="shared" si="50"/>
        <v>60983.82009389672</v>
      </c>
    </row>
    <row r="23" spans="1:57" ht="13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61</v>
      </c>
      <c r="AZ23" s="90">
        <v>7256.32</v>
      </c>
      <c r="BA23" s="273">
        <f t="shared" si="48"/>
        <v>-230.69444020713036</v>
      </c>
      <c r="BB23" s="90">
        <f t="shared" ref="BB23:BB24" si="52">AZ23+5283.38</f>
        <v>12539.7</v>
      </c>
      <c r="BC23" s="272">
        <f t="shared" si="49"/>
        <v>-15.624956639056109</v>
      </c>
      <c r="BD23" s="90">
        <f t="shared" si="51"/>
        <v>12539.7</v>
      </c>
      <c r="BE23" s="272">
        <f t="shared" si="50"/>
        <v>7826.6094799806633</v>
      </c>
    </row>
    <row r="24" spans="1:57" ht="13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5" t="s">
        <v>65</v>
      </c>
      <c r="AZ24" s="274">
        <v>7256.32</v>
      </c>
      <c r="BA24" s="279">
        <f t="shared" si="48"/>
        <v>-230.69444020713036</v>
      </c>
      <c r="BB24" s="274">
        <f t="shared" si="52"/>
        <v>12539.7</v>
      </c>
      <c r="BC24" s="277">
        <f t="shared" si="49"/>
        <v>-15.624956639056109</v>
      </c>
      <c r="BD24" s="274">
        <f t="shared" si="51"/>
        <v>12539.7</v>
      </c>
      <c r="BE24" s="277">
        <f t="shared" si="50"/>
        <v>7826.6094799806633</v>
      </c>
    </row>
    <row r="25" spans="1:57" ht="13">
      <c r="A25" s="89"/>
      <c r="C25" s="61"/>
      <c r="D25" s="62"/>
      <c r="BC25" s="91"/>
      <c r="BD25" s="91"/>
      <c r="BE25" s="91"/>
    </row>
    <row r="26" spans="1:57" ht="13">
      <c r="A26" s="89"/>
      <c r="C26" s="61"/>
      <c r="D26" s="62"/>
      <c r="AY26" s="1"/>
      <c r="BA26" s="230"/>
      <c r="BB26" s="230"/>
      <c r="BC26" s="91"/>
      <c r="BD26" s="91"/>
      <c r="BE26" s="91"/>
    </row>
    <row r="27" spans="1:57" ht="13">
      <c r="A27" s="89"/>
      <c r="C27" s="61"/>
      <c r="D27" s="62"/>
      <c r="AZ27" s="152"/>
      <c r="BA27" s="152"/>
      <c r="BB27" s="152"/>
      <c r="BC27" s="91"/>
      <c r="BD27" s="91"/>
      <c r="BE27" s="91"/>
    </row>
    <row r="28" spans="1:57" ht="14">
      <c r="A28" s="89" t="s">
        <v>201</v>
      </c>
      <c r="C28" s="61"/>
      <c r="D28" s="62"/>
      <c r="AN28" s="1" t="s">
        <v>148</v>
      </c>
      <c r="AZ28" s="152"/>
      <c r="BA28" s="152"/>
      <c r="BB28" s="152"/>
      <c r="BC28" s="91"/>
      <c r="BD28" s="91"/>
      <c r="BE28" s="91"/>
    </row>
    <row r="29" spans="1:57" ht="13">
      <c r="A29" s="89"/>
      <c r="C29" s="61"/>
      <c r="D29" s="62"/>
      <c r="BC29" s="91"/>
    </row>
    <row r="30" spans="1:57" ht="13">
      <c r="A30" s="89"/>
      <c r="C30" s="61"/>
      <c r="D30" s="62"/>
    </row>
    <row r="31" spans="1:57" ht="13">
      <c r="A31" s="89"/>
      <c r="C31" s="61"/>
      <c r="D31" s="62"/>
    </row>
    <row r="32" spans="1:57" ht="13">
      <c r="A32" s="89"/>
      <c r="C32" s="61"/>
      <c r="D32" s="62"/>
    </row>
    <row r="33" spans="1:4" ht="13">
      <c r="A33" s="89"/>
      <c r="C33" s="61"/>
      <c r="D33" s="62"/>
    </row>
    <row r="34" spans="1:4" ht="13">
      <c r="A34" s="89"/>
      <c r="C34" s="61"/>
      <c r="D34" s="62"/>
    </row>
    <row r="35" spans="1:4" ht="13">
      <c r="A35" s="89"/>
      <c r="C35" s="61"/>
      <c r="D35" s="62"/>
    </row>
    <row r="36" spans="1:4" ht="13">
      <c r="A36" s="89"/>
      <c r="C36" s="61"/>
      <c r="D36" s="62"/>
    </row>
    <row r="37" spans="1:4" ht="13">
      <c r="A37" s="89"/>
      <c r="C37" s="61"/>
      <c r="D37" s="62"/>
    </row>
    <row r="38" spans="1:4" ht="13">
      <c r="A38" s="89"/>
      <c r="C38" s="61"/>
      <c r="D38" s="62"/>
    </row>
    <row r="39" spans="1:4" ht="13">
      <c r="A39" s="89"/>
      <c r="C39" s="61"/>
      <c r="D39" s="62"/>
    </row>
    <row r="40" spans="1:4" ht="13">
      <c r="A40" s="89"/>
      <c r="C40" s="61"/>
      <c r="D40" s="62"/>
    </row>
    <row r="41" spans="1:4" ht="13">
      <c r="A41" s="89"/>
      <c r="C41" s="61"/>
      <c r="D41" s="6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E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33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7" width="15.1640625" customWidth="1"/>
  </cols>
  <sheetData>
    <row r="1" spans="1:57" ht="42.75" customHeight="1">
      <c r="A1" s="5" t="s">
        <v>148</v>
      </c>
      <c r="C1" s="61" t="s">
        <v>131</v>
      </c>
      <c r="D1" s="59">
        <v>42766</v>
      </c>
      <c r="E1" s="60"/>
      <c r="F1" s="60"/>
      <c r="G1" s="61"/>
      <c r="H1" s="59">
        <v>42794</v>
      </c>
      <c r="I1" s="60"/>
      <c r="J1" s="60"/>
      <c r="K1" s="61"/>
      <c r="L1" s="59">
        <v>42825</v>
      </c>
      <c r="M1" s="60"/>
      <c r="N1" s="60"/>
      <c r="O1" s="61"/>
      <c r="P1" s="59">
        <v>42855</v>
      </c>
      <c r="Q1" s="60"/>
      <c r="R1" s="60"/>
      <c r="S1" s="61"/>
      <c r="T1" s="59">
        <v>42886</v>
      </c>
      <c r="U1" s="60"/>
      <c r="V1" s="60"/>
      <c r="W1" s="61"/>
      <c r="X1" s="59">
        <v>42916</v>
      </c>
      <c r="Y1" s="60"/>
      <c r="Z1" s="60"/>
      <c r="AA1" s="61"/>
      <c r="AB1" s="59">
        <v>42947</v>
      </c>
      <c r="AC1" s="60"/>
      <c r="AD1" s="60"/>
      <c r="AE1" s="61"/>
      <c r="AF1" s="59">
        <v>42978</v>
      </c>
      <c r="AG1" s="60"/>
      <c r="AH1" s="60"/>
      <c r="AI1" s="61"/>
      <c r="AJ1" s="59">
        <v>43008</v>
      </c>
      <c r="AK1" s="60"/>
      <c r="AL1" s="60"/>
      <c r="AM1" s="61"/>
      <c r="AN1" s="59">
        <v>43039</v>
      </c>
      <c r="AO1" s="60"/>
      <c r="AP1" s="60"/>
      <c r="AQ1" s="61"/>
      <c r="AR1" s="59">
        <v>43069</v>
      </c>
      <c r="AS1" s="60"/>
      <c r="AT1" s="60"/>
      <c r="AU1" s="61"/>
      <c r="AV1" s="59">
        <v>43100</v>
      </c>
      <c r="AW1" s="60"/>
      <c r="AX1" s="60"/>
      <c r="BB1" s="62"/>
      <c r="BC1" s="61"/>
    </row>
    <row r="2" spans="1:57" ht="14">
      <c r="A2" s="5"/>
      <c r="C2" s="61"/>
      <c r="D2" s="62">
        <f>YEAR(D1)</f>
        <v>2017</v>
      </c>
      <c r="G2" s="61"/>
      <c r="H2" s="62">
        <f>YEAR(H1)</f>
        <v>2017</v>
      </c>
      <c r="K2" s="61"/>
      <c r="L2" s="62">
        <f>YEAR(L1)</f>
        <v>2017</v>
      </c>
      <c r="O2" s="61"/>
      <c r="P2" s="62">
        <f>YEAR(P1)</f>
        <v>2017</v>
      </c>
      <c r="S2" s="61"/>
      <c r="T2" s="62">
        <f>YEAR(T1)</f>
        <v>2017</v>
      </c>
      <c r="W2" s="61"/>
      <c r="X2" s="62">
        <f>YEAR(X1)</f>
        <v>2017</v>
      </c>
      <c r="AA2" s="61"/>
      <c r="AB2" s="62">
        <f>YEAR(AB1)</f>
        <v>2017</v>
      </c>
      <c r="AE2" s="61"/>
      <c r="AF2" s="62">
        <f>YEAR(AF1)</f>
        <v>2017</v>
      </c>
      <c r="AI2" s="61"/>
      <c r="AJ2" s="62">
        <f>YEAR(AJ1)</f>
        <v>2017</v>
      </c>
      <c r="AM2" s="61"/>
      <c r="AN2" s="62">
        <f>YEAR(AN1)</f>
        <v>2017</v>
      </c>
      <c r="AQ2" s="61"/>
      <c r="AR2" s="62">
        <f>YEAR(AR1)</f>
        <v>2017</v>
      </c>
      <c r="AU2" s="61"/>
      <c r="AV2" s="62">
        <f>YEAR(AV1)</f>
        <v>2017</v>
      </c>
      <c r="AY2" s="61"/>
      <c r="AZ2" s="65" t="s">
        <v>132</v>
      </c>
      <c r="BA2" s="65"/>
      <c r="BB2" s="209" t="s">
        <v>247</v>
      </c>
      <c r="BC2" s="61"/>
      <c r="BD2" s="67">
        <v>2017</v>
      </c>
      <c r="BE2" s="67"/>
    </row>
    <row r="3" spans="1:5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  <c r="BE3" s="72"/>
    </row>
    <row r="4" spans="1:57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  <c r="BE4" s="72"/>
    </row>
    <row r="5" spans="1:57" ht="13">
      <c r="A5" s="89" t="s">
        <v>136</v>
      </c>
      <c r="C5" s="61"/>
      <c r="D5" s="90">
        <v>97204.06</v>
      </c>
      <c r="E5" s="91"/>
      <c r="F5" s="91"/>
      <c r="G5" s="92"/>
      <c r="H5" s="90">
        <v>86761.19</v>
      </c>
      <c r="I5" s="91"/>
      <c r="J5" s="91"/>
      <c r="K5" s="92"/>
      <c r="L5" s="90">
        <v>78840.69</v>
      </c>
      <c r="M5" s="91"/>
      <c r="N5" s="91"/>
      <c r="O5" s="92"/>
      <c r="P5" s="90">
        <v>52452.69</v>
      </c>
      <c r="Q5" s="91"/>
      <c r="R5" s="91"/>
      <c r="S5" s="92"/>
      <c r="T5" s="90">
        <v>64512.9</v>
      </c>
      <c r="U5" s="91"/>
      <c r="V5" s="91"/>
      <c r="W5" s="92"/>
      <c r="X5" s="90">
        <v>83387.95</v>
      </c>
      <c r="Y5" s="91"/>
      <c r="Z5" s="91"/>
      <c r="AA5" s="92"/>
      <c r="AB5" s="90">
        <v>-4626.2700000000004</v>
      </c>
      <c r="AC5" s="91"/>
      <c r="AD5" s="91"/>
      <c r="AE5" s="92"/>
      <c r="AF5" s="90">
        <v>52453.1</v>
      </c>
      <c r="AG5" s="91"/>
      <c r="AH5" s="91"/>
      <c r="AI5" s="92"/>
      <c r="AJ5" s="90">
        <v>37287.39</v>
      </c>
      <c r="AK5" s="91"/>
      <c r="AL5" s="91"/>
      <c r="AM5" s="92"/>
      <c r="AN5" s="90">
        <v>57307.199999999997</v>
      </c>
      <c r="AO5" s="91"/>
      <c r="AP5" s="91"/>
      <c r="AQ5" s="92"/>
      <c r="AR5" s="90">
        <v>0</v>
      </c>
      <c r="AS5" s="91"/>
      <c r="AT5" s="91"/>
      <c r="AU5" s="92"/>
      <c r="AV5" s="90">
        <v>0</v>
      </c>
      <c r="AW5" s="151"/>
      <c r="AX5" s="151"/>
      <c r="AY5" s="92"/>
      <c r="AZ5" s="93">
        <f t="shared" ref="AZ5:AZ7" si="0">SUMIF($D$3:$AY$3,AZ$2,$D5:$AY5)</f>
        <v>262805.94</v>
      </c>
      <c r="BA5" s="92"/>
      <c r="BB5" s="93">
        <f t="shared" ref="BB5:BB7" si="1">SUMIF($D$4:$AY$4,BB$2,$D5:$AY5)</f>
        <v>463159.48000000004</v>
      </c>
      <c r="BC5" s="92"/>
      <c r="BD5" s="94">
        <f t="shared" ref="BD5:BD7" si="2">SUMIF($D$2:$AY$2,$BD$2,$D5:$AY5)</f>
        <v>605580.89999999991</v>
      </c>
      <c r="BE5" s="94"/>
    </row>
    <row r="6" spans="1:57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2"/>
      <c r="BD6" s="94">
        <f t="shared" si="2"/>
        <v>0</v>
      </c>
      <c r="BE6" s="94"/>
    </row>
    <row r="7" spans="1:57" ht="13">
      <c r="A7" s="89" t="s">
        <v>143</v>
      </c>
      <c r="B7" s="99">
        <v>12500</v>
      </c>
      <c r="C7" s="61"/>
      <c r="D7" s="100">
        <f>'PS Model 2017 Q2'!ColinSalary</f>
        <v>12500</v>
      </c>
      <c r="E7" s="91"/>
      <c r="F7" s="91"/>
      <c r="G7" s="92"/>
      <c r="H7" s="100">
        <f>'PS Model 2017 Q2'!ColinSalary</f>
        <v>12500</v>
      </c>
      <c r="I7" s="91"/>
      <c r="J7" s="91"/>
      <c r="K7" s="92"/>
      <c r="L7" s="100">
        <f>'PS Model 2017 Q2'!ColinSalary</f>
        <v>12500</v>
      </c>
      <c r="M7" s="91"/>
      <c r="N7" s="91"/>
      <c r="O7" s="92"/>
      <c r="P7" s="100">
        <f>'PS Model 2017 Q2'!ColinSalary</f>
        <v>12500</v>
      </c>
      <c r="Q7" s="91"/>
      <c r="R7" s="91"/>
      <c r="S7" s="92"/>
      <c r="T7" s="100">
        <f>'PS Model 2017 Q2'!ColinSalary</f>
        <v>12500</v>
      </c>
      <c r="U7" s="91"/>
      <c r="V7" s="91"/>
      <c r="W7" s="92"/>
      <c r="X7" s="100">
        <f>'PS Model 2017 Q2'!ColinSalary</f>
        <v>12500</v>
      </c>
      <c r="Y7" s="91"/>
      <c r="Z7" s="91"/>
      <c r="AA7" s="92"/>
      <c r="AB7" s="100">
        <f>'PS Model 2017 Q2'!ColinSalary</f>
        <v>12500</v>
      </c>
      <c r="AC7" s="91"/>
      <c r="AD7" s="91"/>
      <c r="AE7" s="92"/>
      <c r="AF7" s="100">
        <f>'PS Model 2017 Q2'!ColinSalary</f>
        <v>12500</v>
      </c>
      <c r="AG7" s="91"/>
      <c r="AH7" s="91"/>
      <c r="AI7" s="92"/>
      <c r="AJ7" s="100">
        <f>'PS Model 2017 Q2'!ColinSalary</f>
        <v>12500</v>
      </c>
      <c r="AK7" s="91"/>
      <c r="AL7" s="91"/>
      <c r="AM7" s="92"/>
      <c r="AN7" s="100">
        <f>'PS Model 2017 Q2'!ColinSalary</f>
        <v>12500</v>
      </c>
      <c r="AO7" s="91"/>
      <c r="AP7" s="91"/>
      <c r="AQ7" s="92"/>
      <c r="AR7" s="100">
        <f>'PS Model 2017 Q2'!ColinSalary</f>
        <v>12500</v>
      </c>
      <c r="AS7" s="91"/>
      <c r="AT7" s="91"/>
      <c r="AU7" s="92"/>
      <c r="AV7" s="100">
        <f>'PS Model 2017 Q2'!ColinSalary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  <c r="BE7" s="94"/>
    </row>
    <row r="8" spans="1:57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SUM(AZ22:AZ24)</f>
        <v>70452.239999999991</v>
      </c>
      <c r="AC8" s="91"/>
      <c r="AD8" s="91"/>
      <c r="AE8" s="92"/>
      <c r="AF8" s="103"/>
      <c r="AG8" s="91"/>
      <c r="AH8" s="91"/>
      <c r="AI8" s="92"/>
      <c r="AJ8" s="103"/>
      <c r="AK8" s="91"/>
      <c r="AL8" s="91"/>
      <c r="AM8" s="92"/>
      <c r="AN8" s="103">
        <f>SUM(BB22:BB24)-SUM(AZ22:AZ24)</f>
        <v>0</v>
      </c>
      <c r="AO8" s="91"/>
      <c r="AP8" s="91"/>
      <c r="AQ8" s="92"/>
      <c r="AR8" s="103"/>
      <c r="AS8" s="91"/>
      <c r="AT8" s="91"/>
      <c r="AU8" s="92"/>
      <c r="AV8" s="103"/>
      <c r="AW8" s="91"/>
      <c r="AX8" s="91"/>
      <c r="AY8" s="92"/>
      <c r="AZ8" s="93"/>
      <c r="BA8" s="92"/>
      <c r="BB8" s="93"/>
      <c r="BC8" s="92"/>
      <c r="BD8" s="94"/>
      <c r="BE8" s="94"/>
    </row>
    <row r="9" spans="1:57" ht="13">
      <c r="A9" s="89" t="s">
        <v>145</v>
      </c>
      <c r="B9" s="101"/>
      <c r="C9" s="102"/>
      <c r="D9" s="104">
        <f>SUM(F15:F18)</f>
        <v>2298.06</v>
      </c>
      <c r="E9" s="91"/>
      <c r="F9" s="91"/>
      <c r="G9" s="92"/>
      <c r="H9" s="104">
        <f>SUM(J15:J18)</f>
        <v>5204.53</v>
      </c>
      <c r="I9" s="91"/>
      <c r="J9" s="91"/>
      <c r="K9" s="92"/>
      <c r="L9" s="104">
        <f>SUM(N15:N18)</f>
        <v>3245.8</v>
      </c>
      <c r="M9" s="91"/>
      <c r="N9" s="91"/>
      <c r="O9" s="92"/>
      <c r="P9" s="104">
        <f>SUM(R15:R18)</f>
        <v>11786.83</v>
      </c>
      <c r="Q9" s="91"/>
      <c r="R9" s="91"/>
      <c r="S9" s="92"/>
      <c r="T9" s="104">
        <f>SUM(V15:V18)</f>
        <v>5012.57</v>
      </c>
      <c r="U9" s="91"/>
      <c r="V9" s="91"/>
      <c r="W9" s="92"/>
      <c r="X9" s="104">
        <f>SUM(Z15:Z18)</f>
        <v>1039.02</v>
      </c>
      <c r="Y9" s="91"/>
      <c r="Z9" s="91"/>
      <c r="AA9" s="92"/>
      <c r="AB9" s="104">
        <f>SUM(AD15:AD18)</f>
        <v>4274</v>
      </c>
      <c r="AC9" s="91"/>
      <c r="AD9" s="91"/>
      <c r="AE9" s="92"/>
      <c r="AF9" s="104">
        <f>SUM(AH15:AH18)</f>
        <v>4699.83</v>
      </c>
      <c r="AG9" s="91"/>
      <c r="AH9" s="91"/>
      <c r="AI9" s="92"/>
      <c r="AJ9" s="104">
        <f>SUM(AL15:AL18)</f>
        <v>4313.68</v>
      </c>
      <c r="AK9" s="91"/>
      <c r="AL9" s="91"/>
      <c r="AM9" s="92"/>
      <c r="AN9" s="104">
        <f>SUM(AP15:AP18)</f>
        <v>856.25</v>
      </c>
      <c r="AO9" s="91"/>
      <c r="AP9" s="91"/>
      <c r="AQ9" s="92"/>
      <c r="AR9" s="104">
        <f>SUM(AT15:AT18)</f>
        <v>0</v>
      </c>
      <c r="AS9" s="91"/>
      <c r="AT9" s="91"/>
      <c r="AU9" s="92"/>
      <c r="AV9" s="104">
        <f>SUM(AX15:AX18)</f>
        <v>0</v>
      </c>
      <c r="AW9" s="91"/>
      <c r="AX9" s="91"/>
      <c r="AY9" s="92"/>
      <c r="AZ9" s="93">
        <f t="shared" ref="AZ9:AZ12" si="3">SUMIF($D$3:$AY$3,AZ$2,$D9:$AY9)</f>
        <v>10748.39</v>
      </c>
      <c r="BA9" s="92"/>
      <c r="BB9" s="93">
        <f t="shared" ref="BB9:BB12" si="4">SUMIF($D$4:$AY$4,BB$2,$D9:$AY9)</f>
        <v>28586.81</v>
      </c>
      <c r="BC9" s="92"/>
      <c r="BD9" s="94">
        <f t="shared" ref="BD9:BD12" si="5">SUMIF($D$2:$AY$2,$BD$2,$D9:$AY9)</f>
        <v>42730.57</v>
      </c>
      <c r="BE9" s="94"/>
    </row>
    <row r="10" spans="1:57" ht="13">
      <c r="A10" s="89" t="s">
        <v>146</v>
      </c>
      <c r="C10" s="61"/>
      <c r="D10" s="104">
        <f>D5-D6-D7+D9+D8</f>
        <v>87002.12</v>
      </c>
      <c r="E10" s="91"/>
      <c r="F10" s="91"/>
      <c r="G10" s="92"/>
      <c r="H10" s="104">
        <f>H5-H6-H7+H9+H8</f>
        <v>79465.72</v>
      </c>
      <c r="I10" s="91"/>
      <c r="J10" s="91"/>
      <c r="K10" s="92"/>
      <c r="L10" s="104">
        <f>L5-L6-L7+L9+L8</f>
        <v>69586.490000000005</v>
      </c>
      <c r="M10" s="91"/>
      <c r="N10" s="91"/>
      <c r="O10" s="92"/>
      <c r="P10" s="104">
        <f>P5-P6-P7+P9+P8</f>
        <v>51739.520000000004</v>
      </c>
      <c r="Q10" s="91"/>
      <c r="R10" s="91"/>
      <c r="S10" s="92"/>
      <c r="T10" s="104">
        <f>T5-T6-T7+T9+T8</f>
        <v>57025.47</v>
      </c>
      <c r="U10" s="91"/>
      <c r="V10" s="91"/>
      <c r="W10" s="92"/>
      <c r="X10" s="104">
        <f>X5-X6-X7+X9+X8</f>
        <v>71926.97</v>
      </c>
      <c r="Y10" s="91"/>
      <c r="Z10" s="91"/>
      <c r="AA10" s="92"/>
      <c r="AB10" s="104">
        <f>AB5-AB6-AB7+AB9+AB8</f>
        <v>57599.969999999987</v>
      </c>
      <c r="AC10" s="91"/>
      <c r="AD10" s="91"/>
      <c r="AE10" s="92"/>
      <c r="AF10" s="104">
        <f>AF5-AF6-AF7+AF9+AF8</f>
        <v>44652.93</v>
      </c>
      <c r="AG10" s="91"/>
      <c r="AH10" s="91"/>
      <c r="AI10" s="92"/>
      <c r="AJ10" s="104">
        <f>AJ5-AJ6-AJ7+AJ9+AJ8</f>
        <v>29101.07</v>
      </c>
      <c r="AK10" s="91"/>
      <c r="AL10" s="91"/>
      <c r="AM10" s="92"/>
      <c r="AN10" s="104">
        <f>AN5-AN6-AN7+AN9+AN8</f>
        <v>45663.45</v>
      </c>
      <c r="AO10" s="91"/>
      <c r="AP10" s="91"/>
      <c r="AQ10" s="92"/>
      <c r="AR10" s="104">
        <f>AR5-AR6-AR7+AR9+AR8</f>
        <v>-12500</v>
      </c>
      <c r="AS10" s="91"/>
      <c r="AT10" s="91"/>
      <c r="AU10" s="92"/>
      <c r="AV10" s="104">
        <f>AV5-AV6-AV7+AV9+AV8</f>
        <v>-12500</v>
      </c>
      <c r="AW10" s="91"/>
      <c r="AX10" s="91"/>
      <c r="AY10" s="92"/>
      <c r="AZ10" s="93">
        <f t="shared" si="3"/>
        <v>236054.33000000002</v>
      </c>
      <c r="BA10" s="92"/>
      <c r="BB10" s="93">
        <f t="shared" si="4"/>
        <v>416746.29000000004</v>
      </c>
      <c r="BC10" s="92"/>
      <c r="BD10" s="94">
        <f t="shared" si="5"/>
        <v>568763.71</v>
      </c>
      <c r="BE10" s="94"/>
    </row>
    <row r="11" spans="1:57" ht="13">
      <c r="A11" s="89" t="s">
        <v>147</v>
      </c>
      <c r="C11" s="61"/>
      <c r="D11" s="90">
        <v>12500</v>
      </c>
      <c r="E11" s="91"/>
      <c r="F11" s="91"/>
      <c r="G11" s="92"/>
      <c r="H11" s="90">
        <v>50000</v>
      </c>
      <c r="I11" s="91"/>
      <c r="J11" s="91"/>
      <c r="K11" s="92"/>
      <c r="L11" s="90">
        <v>12500</v>
      </c>
      <c r="M11" s="91"/>
      <c r="N11" s="91"/>
      <c r="O11" s="92"/>
      <c r="P11" s="90">
        <v>57500</v>
      </c>
      <c r="Q11" s="91"/>
      <c r="R11" s="91"/>
      <c r="S11" s="92"/>
      <c r="T11" s="90">
        <v>12500</v>
      </c>
      <c r="U11" s="91"/>
      <c r="V11" s="91"/>
      <c r="W11" s="92"/>
      <c r="X11" s="90">
        <v>155000</v>
      </c>
      <c r="Y11" s="91"/>
      <c r="Z11" s="91"/>
      <c r="AA11" s="92"/>
      <c r="AB11" s="90">
        <v>19992</v>
      </c>
      <c r="AC11" s="91"/>
      <c r="AD11" s="91"/>
      <c r="AE11" s="92"/>
      <c r="AF11" s="90">
        <v>0</v>
      </c>
      <c r="AG11" s="91"/>
      <c r="AH11" s="91"/>
      <c r="AI11" s="92"/>
      <c r="AJ11" s="90">
        <v>0</v>
      </c>
      <c r="AK11" s="91"/>
      <c r="AL11" s="91"/>
      <c r="AM11" s="92"/>
      <c r="AN11" s="90">
        <v>0</v>
      </c>
      <c r="AO11" s="91"/>
      <c r="AP11" s="91"/>
      <c r="AQ11" s="92"/>
      <c r="AR11" s="90">
        <v>0</v>
      </c>
      <c r="AS11" s="91"/>
      <c r="AT11" s="91"/>
      <c r="AU11" s="92"/>
      <c r="AV11" s="90">
        <v>0</v>
      </c>
      <c r="AW11" s="91"/>
      <c r="AX11" s="91"/>
      <c r="AY11" s="92"/>
      <c r="AZ11" s="93">
        <f t="shared" si="3"/>
        <v>75000</v>
      </c>
      <c r="BA11" s="92"/>
      <c r="BB11" s="93">
        <f t="shared" si="4"/>
        <v>300000</v>
      </c>
      <c r="BC11" s="92"/>
      <c r="BD11" s="94">
        <f t="shared" si="5"/>
        <v>319992</v>
      </c>
      <c r="BE11" s="94"/>
    </row>
    <row r="12" spans="1:57" ht="14">
      <c r="A12" s="5" t="s">
        <v>151</v>
      </c>
      <c r="C12" s="61"/>
      <c r="D12" s="100">
        <f>D11-D7</f>
        <v>0</v>
      </c>
      <c r="E12" s="91"/>
      <c r="F12" s="91"/>
      <c r="G12" s="92"/>
      <c r="H12" s="100">
        <f>H11-H7</f>
        <v>37500</v>
      </c>
      <c r="I12" s="91"/>
      <c r="J12" s="91"/>
      <c r="K12" s="92"/>
      <c r="L12" s="100">
        <f>L11-L7</f>
        <v>0</v>
      </c>
      <c r="M12" s="91"/>
      <c r="N12" s="91"/>
      <c r="O12" s="92"/>
      <c r="P12" s="100">
        <f>P11-P7</f>
        <v>45000</v>
      </c>
      <c r="Q12" s="91"/>
      <c r="R12" s="91"/>
      <c r="S12" s="92"/>
      <c r="T12" s="100">
        <f>T11-T7</f>
        <v>0</v>
      </c>
      <c r="U12" s="91"/>
      <c r="V12" s="91"/>
      <c r="W12" s="92"/>
      <c r="X12" s="100">
        <f>X11-X7</f>
        <v>142500</v>
      </c>
      <c r="Y12" s="91"/>
      <c r="Z12" s="91"/>
      <c r="AA12" s="92"/>
      <c r="AB12" s="100">
        <f>AB11-AB7</f>
        <v>7492</v>
      </c>
      <c r="AC12" s="91"/>
      <c r="AD12" s="91"/>
      <c r="AE12" s="92"/>
      <c r="AF12" s="100">
        <f>AF11-AF7</f>
        <v>-12500</v>
      </c>
      <c r="AG12" s="91"/>
      <c r="AH12" s="91"/>
      <c r="AI12" s="92"/>
      <c r="AJ12" s="100">
        <f>AJ11-AJ7</f>
        <v>-12500</v>
      </c>
      <c r="AK12" s="91"/>
      <c r="AL12" s="91"/>
      <c r="AM12" s="92"/>
      <c r="AN12" s="100">
        <f>AN11-AN7</f>
        <v>-12500</v>
      </c>
      <c r="AO12" s="91"/>
      <c r="AP12" s="91"/>
      <c r="AQ12" s="92"/>
      <c r="AR12" s="100">
        <f>AR11-AR7</f>
        <v>-12500</v>
      </c>
      <c r="AS12" s="91"/>
      <c r="AT12" s="91"/>
      <c r="AU12" s="92"/>
      <c r="AV12" s="100">
        <f>AV11-AV7</f>
        <v>-12500</v>
      </c>
      <c r="AW12" s="91"/>
      <c r="AX12" s="91"/>
      <c r="AY12" s="92"/>
      <c r="AZ12" s="93">
        <f t="shared" si="3"/>
        <v>37500</v>
      </c>
      <c r="BA12" s="92"/>
      <c r="BB12" s="93">
        <f t="shared" si="4"/>
        <v>225000</v>
      </c>
      <c r="BC12" s="92"/>
      <c r="BD12" s="94">
        <f t="shared" si="5"/>
        <v>169992</v>
      </c>
      <c r="BE12" s="94"/>
    </row>
    <row r="13" spans="1:57" ht="13">
      <c r="A13" s="5"/>
      <c r="C13" s="61"/>
      <c r="D13" s="100"/>
      <c r="E13" s="91"/>
      <c r="F13" s="91"/>
      <c r="G13" s="92"/>
      <c r="H13" s="100"/>
      <c r="I13" s="91"/>
      <c r="J13" s="91"/>
      <c r="K13" s="92"/>
      <c r="L13" s="100"/>
      <c r="M13" s="91"/>
      <c r="N13" s="91"/>
      <c r="O13" s="92"/>
      <c r="P13" s="100"/>
      <c r="Q13" s="91"/>
      <c r="R13" s="91"/>
      <c r="S13" s="92"/>
      <c r="T13" s="100"/>
      <c r="U13" s="91"/>
      <c r="V13" s="91"/>
      <c r="W13" s="92"/>
      <c r="X13" s="100"/>
      <c r="Y13" s="91"/>
      <c r="Z13" s="91"/>
      <c r="AA13" s="92"/>
      <c r="AB13" s="100"/>
      <c r="AC13" s="91"/>
      <c r="AD13" s="91"/>
      <c r="AE13" s="92"/>
      <c r="AF13" s="100"/>
      <c r="AG13" s="91"/>
      <c r="AH13" s="91"/>
      <c r="AI13" s="92"/>
      <c r="AJ13" s="100"/>
      <c r="AK13" s="91"/>
      <c r="AL13" s="91"/>
      <c r="AM13" s="92"/>
      <c r="AN13" s="100"/>
      <c r="AO13" s="91"/>
      <c r="AP13" s="91"/>
      <c r="AQ13" s="92"/>
      <c r="AR13" s="100"/>
      <c r="AS13" s="91"/>
      <c r="AT13" s="91"/>
      <c r="AU13" s="92"/>
      <c r="AV13" s="100"/>
      <c r="AW13" s="91"/>
      <c r="AX13" s="91"/>
      <c r="AY13" s="92"/>
      <c r="AZ13" s="100"/>
      <c r="BA13" s="92"/>
      <c r="BB13" s="100"/>
      <c r="BC13" s="92"/>
      <c r="BD13" s="91"/>
      <c r="BE13" s="91"/>
    </row>
    <row r="14" spans="1:57" ht="14">
      <c r="A14" s="5"/>
      <c r="B14" s="5"/>
      <c r="C14" s="5"/>
      <c r="D14" s="117" t="s">
        <v>152</v>
      </c>
      <c r="E14" s="118" t="s">
        <v>153</v>
      </c>
      <c r="F14" s="118" t="s">
        <v>154</v>
      </c>
      <c r="G14" s="118" t="s">
        <v>155</v>
      </c>
      <c r="H14" s="117" t="s">
        <v>152</v>
      </c>
      <c r="I14" s="118" t="s">
        <v>153</v>
      </c>
      <c r="J14" s="118" t="s">
        <v>154</v>
      </c>
      <c r="K14" s="118" t="s">
        <v>155</v>
      </c>
      <c r="L14" s="117" t="s">
        <v>152</v>
      </c>
      <c r="M14" s="118" t="s">
        <v>153</v>
      </c>
      <c r="N14" s="118" t="s">
        <v>154</v>
      </c>
      <c r="O14" s="118" t="s">
        <v>155</v>
      </c>
      <c r="P14" s="117" t="s">
        <v>152</v>
      </c>
      <c r="Q14" s="118" t="s">
        <v>153</v>
      </c>
      <c r="R14" s="118" t="s">
        <v>154</v>
      </c>
      <c r="S14" s="118" t="s">
        <v>155</v>
      </c>
      <c r="T14" s="117" t="s">
        <v>152</v>
      </c>
      <c r="U14" s="118" t="s">
        <v>153</v>
      </c>
      <c r="V14" s="118" t="s">
        <v>154</v>
      </c>
      <c r="W14" s="118" t="s">
        <v>155</v>
      </c>
      <c r="X14" s="117" t="s">
        <v>152</v>
      </c>
      <c r="Y14" s="118" t="s">
        <v>153</v>
      </c>
      <c r="Z14" s="118" t="s">
        <v>154</v>
      </c>
      <c r="AA14" s="118" t="s">
        <v>155</v>
      </c>
      <c r="AB14" s="117" t="s">
        <v>152</v>
      </c>
      <c r="AC14" s="118" t="s">
        <v>153</v>
      </c>
      <c r="AD14" s="118" t="s">
        <v>154</v>
      </c>
      <c r="AE14" s="118" t="s">
        <v>155</v>
      </c>
      <c r="AF14" s="117" t="s">
        <v>152</v>
      </c>
      <c r="AG14" s="118" t="s">
        <v>153</v>
      </c>
      <c r="AH14" s="118" t="s">
        <v>154</v>
      </c>
      <c r="AI14" s="118" t="s">
        <v>155</v>
      </c>
      <c r="AJ14" s="117" t="s">
        <v>152</v>
      </c>
      <c r="AK14" s="118" t="s">
        <v>153</v>
      </c>
      <c r="AL14" s="118" t="s">
        <v>154</v>
      </c>
      <c r="AM14" s="118" t="s">
        <v>155</v>
      </c>
      <c r="AN14" s="117" t="s">
        <v>152</v>
      </c>
      <c r="AO14" s="118" t="s">
        <v>153</v>
      </c>
      <c r="AP14" s="118" t="s">
        <v>154</v>
      </c>
      <c r="AQ14" s="118" t="s">
        <v>155</v>
      </c>
      <c r="AR14" s="117" t="s">
        <v>152</v>
      </c>
      <c r="AS14" s="118" t="s">
        <v>153</v>
      </c>
      <c r="AT14" s="118" t="s">
        <v>154</v>
      </c>
      <c r="AU14" s="118" t="s">
        <v>155</v>
      </c>
      <c r="AV14" s="117" t="s">
        <v>152</v>
      </c>
      <c r="AW14" s="118" t="s">
        <v>153</v>
      </c>
      <c r="AX14" s="118" t="s">
        <v>154</v>
      </c>
      <c r="AY14" s="118" t="s">
        <v>155</v>
      </c>
      <c r="AZ14" s="100"/>
      <c r="BA14" s="92"/>
      <c r="BB14" s="100"/>
      <c r="BC14" s="92"/>
      <c r="BD14" s="91"/>
      <c r="BE14" s="91"/>
    </row>
    <row r="15" spans="1:57" ht="13">
      <c r="A15" s="89" t="s">
        <v>83</v>
      </c>
      <c r="B15" s="265"/>
      <c r="C15" s="121">
        <f>'QB Cleanup PS Model 2016'!BE22</f>
        <v>471079.60753322247</v>
      </c>
      <c r="D15" s="53">
        <v>300</v>
      </c>
      <c r="E15" s="123">
        <f t="shared" ref="E15:E18" si="6">D$10*D15/D$19</f>
        <v>61269.098591549293</v>
      </c>
      <c r="F15" s="124">
        <v>2298.06</v>
      </c>
      <c r="G15" s="123">
        <f t="shared" ref="G15:G18" si="7">E15-F15</f>
        <v>58971.038591549295</v>
      </c>
      <c r="H15" s="214">
        <v>300</v>
      </c>
      <c r="I15" s="123">
        <f t="shared" ref="I15:I18" si="8">H$10*H15/H$19</f>
        <v>55961.774647887323</v>
      </c>
      <c r="J15" s="124">
        <v>5204.53</v>
      </c>
      <c r="K15" s="123">
        <f t="shared" ref="K15:K18" si="9">I15-J15</f>
        <v>50757.244647887324</v>
      </c>
      <c r="L15" s="214">
        <v>300</v>
      </c>
      <c r="M15" s="123">
        <f t="shared" ref="M15:M18" si="10">L$10*L15/L$19</f>
        <v>49004.570422535209</v>
      </c>
      <c r="N15" s="124">
        <v>3245.8</v>
      </c>
      <c r="O15" s="123">
        <f t="shared" ref="O15:O18" si="11">M15-N15</f>
        <v>45758.770422535206</v>
      </c>
      <c r="P15" s="214">
        <v>300</v>
      </c>
      <c r="Q15" s="123">
        <f t="shared" ref="Q15:Q18" si="12">P$10*P15/P$19</f>
        <v>36436.281690140851</v>
      </c>
      <c r="R15" s="124">
        <v>11786.83</v>
      </c>
      <c r="S15" s="123">
        <f t="shared" ref="S15:S18" si="13">Q15-R15</f>
        <v>24649.45169014085</v>
      </c>
      <c r="T15" s="214">
        <v>300</v>
      </c>
      <c r="U15" s="123">
        <f t="shared" ref="U15:U18" si="14">T$10*T15/T$19</f>
        <v>40158.781690140844</v>
      </c>
      <c r="V15" s="124">
        <v>5012.57</v>
      </c>
      <c r="W15" s="123">
        <f t="shared" ref="W15:W18" si="15">U15-V15</f>
        <v>35146.211690140844</v>
      </c>
      <c r="X15" s="214">
        <v>300</v>
      </c>
      <c r="Y15" s="123">
        <f t="shared" ref="Y15:Y18" si="16">X$10*X15/X$19</f>
        <v>50652.795774647886</v>
      </c>
      <c r="Z15" s="124">
        <v>1039.02</v>
      </c>
      <c r="AA15" s="123">
        <f t="shared" ref="AA15:AA18" si="17">Y15-Z15</f>
        <v>49613.775774647889</v>
      </c>
      <c r="AB15" s="214">
        <v>300</v>
      </c>
      <c r="AC15" s="123">
        <f t="shared" ref="AC15:AC18" si="18">AB$10*AB15/AB$19</f>
        <v>40563.359154929567</v>
      </c>
      <c r="AD15" s="124">
        <v>4274</v>
      </c>
      <c r="AE15" s="123">
        <f t="shared" ref="AE15:AE18" si="19">AC15-AD15</f>
        <v>36289.359154929567</v>
      </c>
      <c r="AF15" s="214">
        <v>300</v>
      </c>
      <c r="AG15" s="123">
        <f t="shared" ref="AG15:AG18" si="20">AF$10*AF15/AF$19</f>
        <v>31445.725352112677</v>
      </c>
      <c r="AH15" s="124">
        <v>4699.83</v>
      </c>
      <c r="AI15" s="123">
        <f t="shared" ref="AI15:AI18" si="21">AG15-AH15</f>
        <v>26745.895352112675</v>
      </c>
      <c r="AJ15" s="214">
        <v>300</v>
      </c>
      <c r="AK15" s="123">
        <f t="shared" ref="AK15:AK18" si="22">AJ$10*AJ15/AJ$19</f>
        <v>20493.711267605635</v>
      </c>
      <c r="AL15" s="124">
        <v>4313.68</v>
      </c>
      <c r="AM15" s="123">
        <f t="shared" ref="AM15:AM18" si="23">AK15-AL15</f>
        <v>16180.031267605635</v>
      </c>
      <c r="AN15" s="214">
        <v>300</v>
      </c>
      <c r="AO15" s="123">
        <f t="shared" ref="AO15:AO18" si="24">AN$10*AN15/AN$19</f>
        <v>32157.359154929578</v>
      </c>
      <c r="AP15" s="124">
        <v>856.25</v>
      </c>
      <c r="AQ15" s="123">
        <f t="shared" ref="AQ15:AQ18" si="25">AO15-AP15</f>
        <v>31301.109154929578</v>
      </c>
      <c r="AR15" s="214">
        <v>300</v>
      </c>
      <c r="AS15" s="123">
        <f t="shared" ref="AS15:AS18" si="26">AR$10*AR15/AR$19</f>
        <v>-8802.8169014084506</v>
      </c>
      <c r="AT15" s="124"/>
      <c r="AU15" s="123">
        <f t="shared" ref="AU15:AU18" si="27">AS15-AT15</f>
        <v>-8802.8169014084506</v>
      </c>
      <c r="AV15" s="214">
        <v>300</v>
      </c>
      <c r="AW15" s="123">
        <f t="shared" ref="AW15:AW18" si="28">AV$10*AV15/AV$19</f>
        <v>-8802.8169014084506</v>
      </c>
      <c r="AX15" s="124"/>
      <c r="AY15" s="126">
        <f t="shared" ref="AY15:AY18" si="29">AW15-AX15</f>
        <v>-8802.8169014084506</v>
      </c>
      <c r="AZ15" s="127">
        <f t="shared" ref="AZ15:AZ18" si="30">IF($AV$3="1Q",AY15,0)+IF($AR$3="1Q",AU15,0)+IF($AN$3="1Q",AQ15,0)+IF($AJ$3="1Q",AM15,0)+IF($AF$3="1Q",AI15,0)+IF($AB$3="1Q",AE15,0)+IF($X$3="1Q",AA15,0)+IF($T$3="1Q",W15,0)+IF($P$3="1Q",S15,0)+IF($L$3="1Q",O15,0)+IF($H$3="1Q",K15,0)+IF($D$3="1Q",G15,0)</f>
        <v>155487.05366197182</v>
      </c>
      <c r="BA15" s="128">
        <f t="shared" ref="BA15:BA18" si="31">AZ15+$C15</f>
        <v>626566.66119519435</v>
      </c>
      <c r="BB15" s="127">
        <f t="shared" ref="BB15:BB18" si="32">IF($AV$4="1H",AY15,0)+IF($AR$4="1H",AU15,0)+IF($AN$4="1H",AQ15,0)+IF($AJ$4="1H",AM15,0)+IF($AF$4="1H",AI15,0)+IF($AB$4="1H",AE15,0)+IF($X$4="1H",AA15,0)+IF($T$4="1H",W15,0)+IF($P$4="1H",S15,0)+IF($L$4="1H",O15,0)+IF($H$4="1H",K15,0)+IF($D$4="1H",G15,0)</f>
        <v>264896.49281690142</v>
      </c>
      <c r="BC15" s="128">
        <f t="shared" ref="BC15:BC18" si="33">BB15+$C15</f>
        <v>735976.10035012383</v>
      </c>
      <c r="BD15" s="127">
        <f t="shared" ref="BD15:BD18" si="34">AY15+AU15+AQ15+AM15+AI15+AE15+AA15+W15+S15+O15+K15+G15</f>
        <v>357807.25394366193</v>
      </c>
      <c r="BE15" s="91">
        <f t="shared" ref="BE15:BE18" si="35">BD15+C15</f>
        <v>828886.86147688446</v>
      </c>
    </row>
    <row r="16" spans="1:57" ht="13">
      <c r="A16" s="89" t="s">
        <v>209</v>
      </c>
      <c r="B16" s="265"/>
      <c r="C16" s="121">
        <f>'QB Cleanup PS Model 2016'!BE23</f>
        <v>-1779.1283222592028</v>
      </c>
      <c r="D16" s="53">
        <v>100</v>
      </c>
      <c r="E16" s="123">
        <f t="shared" si="6"/>
        <v>20423.032863849767</v>
      </c>
      <c r="F16" s="124"/>
      <c r="G16" s="123">
        <f t="shared" si="7"/>
        <v>20423.032863849767</v>
      </c>
      <c r="H16" s="214">
        <v>100</v>
      </c>
      <c r="I16" s="123">
        <f t="shared" si="8"/>
        <v>18653.924882629108</v>
      </c>
      <c r="J16" s="124"/>
      <c r="K16" s="123">
        <f t="shared" si="9"/>
        <v>18653.924882629108</v>
      </c>
      <c r="L16" s="214">
        <v>100</v>
      </c>
      <c r="M16" s="123">
        <f t="shared" si="10"/>
        <v>16334.85680751174</v>
      </c>
      <c r="N16" s="124"/>
      <c r="O16" s="123">
        <f t="shared" si="11"/>
        <v>16334.85680751174</v>
      </c>
      <c r="P16" s="214">
        <v>100</v>
      </c>
      <c r="Q16" s="123">
        <f t="shared" si="12"/>
        <v>12145.427230046949</v>
      </c>
      <c r="R16" s="124"/>
      <c r="S16" s="123">
        <f t="shared" si="13"/>
        <v>12145.427230046949</v>
      </c>
      <c r="T16" s="214">
        <v>100</v>
      </c>
      <c r="U16" s="123">
        <f t="shared" si="14"/>
        <v>13386.260563380281</v>
      </c>
      <c r="V16" s="124"/>
      <c r="W16" s="123">
        <f t="shared" si="15"/>
        <v>13386.260563380281</v>
      </c>
      <c r="X16" s="214">
        <v>100</v>
      </c>
      <c r="Y16" s="123">
        <f t="shared" si="16"/>
        <v>16884.265258215961</v>
      </c>
      <c r="Z16" s="124"/>
      <c r="AA16" s="123">
        <f t="shared" si="17"/>
        <v>16884.265258215961</v>
      </c>
      <c r="AB16" s="214">
        <v>100</v>
      </c>
      <c r="AC16" s="123">
        <f t="shared" si="18"/>
        <v>13521.119718309857</v>
      </c>
      <c r="AD16" s="124"/>
      <c r="AE16" s="123">
        <f t="shared" si="19"/>
        <v>13521.119718309857</v>
      </c>
      <c r="AF16" s="214">
        <v>100</v>
      </c>
      <c r="AG16" s="123">
        <f t="shared" si="20"/>
        <v>10481.908450704226</v>
      </c>
      <c r="AH16" s="124"/>
      <c r="AI16" s="123">
        <f t="shared" si="21"/>
        <v>10481.908450704226</v>
      </c>
      <c r="AJ16" s="214">
        <v>100</v>
      </c>
      <c r="AK16" s="123">
        <f t="shared" si="22"/>
        <v>6831.237089201878</v>
      </c>
      <c r="AL16" s="124"/>
      <c r="AM16" s="123">
        <f t="shared" si="23"/>
        <v>6831.237089201878</v>
      </c>
      <c r="AN16" s="214">
        <v>100</v>
      </c>
      <c r="AO16" s="123">
        <f t="shared" si="24"/>
        <v>10719.119718309859</v>
      </c>
      <c r="AP16" s="124"/>
      <c r="AQ16" s="123">
        <f t="shared" si="25"/>
        <v>10719.119718309859</v>
      </c>
      <c r="AR16" s="214">
        <v>100</v>
      </c>
      <c r="AS16" s="123">
        <f t="shared" si="26"/>
        <v>-2934.2723004694835</v>
      </c>
      <c r="AT16" s="124"/>
      <c r="AU16" s="123">
        <f t="shared" si="27"/>
        <v>-2934.2723004694835</v>
      </c>
      <c r="AV16" s="214">
        <v>100</v>
      </c>
      <c r="AW16" s="123">
        <f t="shared" si="28"/>
        <v>-2934.2723004694835</v>
      </c>
      <c r="AX16" s="124"/>
      <c r="AY16" s="126">
        <f t="shared" si="29"/>
        <v>-2934.2723004694835</v>
      </c>
      <c r="AZ16" s="127">
        <f t="shared" si="30"/>
        <v>55411.814553990618</v>
      </c>
      <c r="BA16" s="128">
        <f t="shared" si="31"/>
        <v>53632.686231731415</v>
      </c>
      <c r="BB16" s="127">
        <f t="shared" si="32"/>
        <v>97827.767605633824</v>
      </c>
      <c r="BC16" s="128">
        <f t="shared" si="33"/>
        <v>96048.639283374621</v>
      </c>
      <c r="BD16" s="127">
        <f t="shared" si="34"/>
        <v>133512.60798122064</v>
      </c>
      <c r="BE16" s="91">
        <f t="shared" si="35"/>
        <v>131733.47965896144</v>
      </c>
    </row>
    <row r="17" spans="1:57" ht="13">
      <c r="A17" s="89" t="s">
        <v>61</v>
      </c>
      <c r="B17" s="265"/>
      <c r="C17" s="121">
        <f>'QB Cleanup PS Model 2016'!BE25</f>
        <v>-177.91033222591068</v>
      </c>
      <c r="D17" s="53">
        <v>13</v>
      </c>
      <c r="E17" s="123">
        <f t="shared" si="6"/>
        <v>2654.9942723004697</v>
      </c>
      <c r="F17" s="124"/>
      <c r="G17" s="123">
        <f t="shared" si="7"/>
        <v>2654.9942723004697</v>
      </c>
      <c r="H17" s="53">
        <v>13</v>
      </c>
      <c r="I17" s="123">
        <f t="shared" si="8"/>
        <v>2425.0102347417842</v>
      </c>
      <c r="J17" s="124"/>
      <c r="K17" s="123">
        <f t="shared" si="9"/>
        <v>2425.0102347417842</v>
      </c>
      <c r="L17" s="53">
        <v>13</v>
      </c>
      <c r="M17" s="123">
        <f t="shared" si="10"/>
        <v>2123.5313849765262</v>
      </c>
      <c r="N17" s="124"/>
      <c r="O17" s="123">
        <f t="shared" si="11"/>
        <v>2123.5313849765262</v>
      </c>
      <c r="P17" s="53">
        <v>13</v>
      </c>
      <c r="Q17" s="123">
        <f t="shared" si="12"/>
        <v>1578.9055399061033</v>
      </c>
      <c r="R17" s="124"/>
      <c r="S17" s="123">
        <f t="shared" si="13"/>
        <v>1578.9055399061033</v>
      </c>
      <c r="T17" s="53">
        <v>13</v>
      </c>
      <c r="U17" s="123">
        <f t="shared" si="14"/>
        <v>1740.2138732394367</v>
      </c>
      <c r="V17" s="124"/>
      <c r="W17" s="123">
        <f t="shared" si="15"/>
        <v>1740.2138732394367</v>
      </c>
      <c r="X17" s="53">
        <v>13</v>
      </c>
      <c r="Y17" s="123">
        <f t="shared" si="16"/>
        <v>2194.9544835680749</v>
      </c>
      <c r="Z17" s="124"/>
      <c r="AA17" s="123">
        <f t="shared" si="17"/>
        <v>2194.9544835680749</v>
      </c>
      <c r="AB17" s="53">
        <v>13</v>
      </c>
      <c r="AC17" s="123">
        <f t="shared" si="18"/>
        <v>1757.7455633802813</v>
      </c>
      <c r="AD17" s="124"/>
      <c r="AE17" s="123">
        <f t="shared" si="19"/>
        <v>1757.7455633802813</v>
      </c>
      <c r="AF17" s="53">
        <v>13</v>
      </c>
      <c r="AG17" s="123">
        <f t="shared" si="20"/>
        <v>1362.6480985915491</v>
      </c>
      <c r="AH17" s="124"/>
      <c r="AI17" s="123">
        <f t="shared" si="21"/>
        <v>1362.6480985915491</v>
      </c>
      <c r="AJ17" s="53">
        <v>13</v>
      </c>
      <c r="AK17" s="123">
        <f t="shared" si="22"/>
        <v>888.06082159624407</v>
      </c>
      <c r="AL17" s="124"/>
      <c r="AM17" s="123">
        <f t="shared" si="23"/>
        <v>888.06082159624407</v>
      </c>
      <c r="AN17" s="53">
        <v>13</v>
      </c>
      <c r="AO17" s="123">
        <f t="shared" si="24"/>
        <v>1393.4855633802817</v>
      </c>
      <c r="AP17" s="124"/>
      <c r="AQ17" s="123">
        <f t="shared" si="25"/>
        <v>1393.4855633802817</v>
      </c>
      <c r="AR17" s="53">
        <v>13</v>
      </c>
      <c r="AS17" s="123">
        <f t="shared" si="26"/>
        <v>-381.45539906103284</v>
      </c>
      <c r="AT17" s="124"/>
      <c r="AU17" s="123">
        <f t="shared" si="27"/>
        <v>-381.45539906103284</v>
      </c>
      <c r="AV17" s="53">
        <v>13</v>
      </c>
      <c r="AW17" s="123">
        <f t="shared" si="28"/>
        <v>-381.45539906103284</v>
      </c>
      <c r="AX17" s="124"/>
      <c r="AY17" s="126">
        <f t="shared" si="29"/>
        <v>-381.45539906103284</v>
      </c>
      <c r="AZ17" s="127">
        <f t="shared" si="30"/>
        <v>7203.53589201878</v>
      </c>
      <c r="BA17" s="128">
        <f t="shared" si="31"/>
        <v>7025.6255597928694</v>
      </c>
      <c r="BB17" s="127">
        <f t="shared" si="32"/>
        <v>12717.609788732394</v>
      </c>
      <c r="BC17" s="128">
        <f t="shared" si="33"/>
        <v>12539.699456506483</v>
      </c>
      <c r="BD17" s="127">
        <f t="shared" si="34"/>
        <v>17356.639037558685</v>
      </c>
      <c r="BE17" s="91">
        <f t="shared" si="35"/>
        <v>17178.728705332775</v>
      </c>
    </row>
    <row r="18" spans="1:57" ht="13">
      <c r="A18" s="89" t="s">
        <v>65</v>
      </c>
      <c r="B18" s="265"/>
      <c r="C18" s="121">
        <f>'QB Cleanup PS Model 2016'!BE26</f>
        <v>-177.91033222591068</v>
      </c>
      <c r="D18" s="53">
        <v>13</v>
      </c>
      <c r="E18" s="123">
        <f t="shared" si="6"/>
        <v>2654.9942723004697</v>
      </c>
      <c r="F18" s="124"/>
      <c r="G18" s="123">
        <f t="shared" si="7"/>
        <v>2654.9942723004697</v>
      </c>
      <c r="H18" s="53">
        <v>13</v>
      </c>
      <c r="I18" s="123">
        <f t="shared" si="8"/>
        <v>2425.0102347417842</v>
      </c>
      <c r="J18" s="124"/>
      <c r="K18" s="123">
        <f t="shared" si="9"/>
        <v>2425.0102347417842</v>
      </c>
      <c r="L18" s="53">
        <v>13</v>
      </c>
      <c r="M18" s="123">
        <f t="shared" si="10"/>
        <v>2123.5313849765262</v>
      </c>
      <c r="N18" s="124"/>
      <c r="O18" s="123">
        <f t="shared" si="11"/>
        <v>2123.5313849765262</v>
      </c>
      <c r="P18" s="53">
        <v>13</v>
      </c>
      <c r="Q18" s="123">
        <f t="shared" si="12"/>
        <v>1578.9055399061033</v>
      </c>
      <c r="R18" s="124"/>
      <c r="S18" s="123">
        <f t="shared" si="13"/>
        <v>1578.9055399061033</v>
      </c>
      <c r="T18" s="53">
        <v>13</v>
      </c>
      <c r="U18" s="123">
        <f t="shared" si="14"/>
        <v>1740.2138732394367</v>
      </c>
      <c r="V18" s="124"/>
      <c r="W18" s="123">
        <f t="shared" si="15"/>
        <v>1740.2138732394367</v>
      </c>
      <c r="X18" s="53">
        <v>13</v>
      </c>
      <c r="Y18" s="123">
        <f t="shared" si="16"/>
        <v>2194.9544835680749</v>
      </c>
      <c r="Z18" s="124"/>
      <c r="AA18" s="123">
        <f t="shared" si="17"/>
        <v>2194.9544835680749</v>
      </c>
      <c r="AB18" s="53">
        <v>13</v>
      </c>
      <c r="AC18" s="123">
        <f t="shared" si="18"/>
        <v>1757.7455633802813</v>
      </c>
      <c r="AD18" s="124"/>
      <c r="AE18" s="123">
        <f t="shared" si="19"/>
        <v>1757.7455633802813</v>
      </c>
      <c r="AF18" s="53">
        <v>13</v>
      </c>
      <c r="AG18" s="123">
        <f t="shared" si="20"/>
        <v>1362.6480985915491</v>
      </c>
      <c r="AH18" s="124"/>
      <c r="AI18" s="123">
        <f t="shared" si="21"/>
        <v>1362.6480985915491</v>
      </c>
      <c r="AJ18" s="53">
        <v>13</v>
      </c>
      <c r="AK18" s="123">
        <f t="shared" si="22"/>
        <v>888.06082159624407</v>
      </c>
      <c r="AL18" s="124"/>
      <c r="AM18" s="123">
        <f t="shared" si="23"/>
        <v>888.06082159624407</v>
      </c>
      <c r="AN18" s="53">
        <v>13</v>
      </c>
      <c r="AO18" s="123">
        <f t="shared" si="24"/>
        <v>1393.4855633802817</v>
      </c>
      <c r="AP18" s="124"/>
      <c r="AQ18" s="123">
        <f t="shared" si="25"/>
        <v>1393.4855633802817</v>
      </c>
      <c r="AR18" s="53">
        <v>13</v>
      </c>
      <c r="AS18" s="123">
        <f t="shared" si="26"/>
        <v>-381.45539906103284</v>
      </c>
      <c r="AT18" s="124"/>
      <c r="AU18" s="123">
        <f t="shared" si="27"/>
        <v>-381.45539906103284</v>
      </c>
      <c r="AV18" s="53">
        <v>13</v>
      </c>
      <c r="AW18" s="123">
        <f t="shared" si="28"/>
        <v>-381.45539906103284</v>
      </c>
      <c r="AX18" s="124"/>
      <c r="AY18" s="126">
        <f t="shared" si="29"/>
        <v>-381.45539906103284</v>
      </c>
      <c r="AZ18" s="127">
        <f t="shared" si="30"/>
        <v>7203.53589201878</v>
      </c>
      <c r="BA18" s="128">
        <f t="shared" si="31"/>
        <v>7025.6255597928694</v>
      </c>
      <c r="BB18" s="127">
        <f t="shared" si="32"/>
        <v>12717.609788732394</v>
      </c>
      <c r="BC18" s="128">
        <f t="shared" si="33"/>
        <v>12539.699456506483</v>
      </c>
      <c r="BD18" s="127">
        <f t="shared" si="34"/>
        <v>17356.639037558685</v>
      </c>
      <c r="BE18" s="91">
        <f t="shared" si="35"/>
        <v>17178.728705332775</v>
      </c>
    </row>
    <row r="19" spans="1:57" ht="13">
      <c r="A19" s="89"/>
      <c r="C19" s="61"/>
      <c r="D19" s="148">
        <f t="shared" ref="D19:E19" si="36">SUM(D15:D18)</f>
        <v>426</v>
      </c>
      <c r="E19" s="149">
        <f t="shared" si="36"/>
        <v>87002.12</v>
      </c>
      <c r="F19" s="91"/>
      <c r="G19" s="91"/>
      <c r="H19" s="148">
        <f t="shared" ref="H19:I19" si="37">SUM(H15:H18)</f>
        <v>426</v>
      </c>
      <c r="I19" s="149">
        <f t="shared" si="37"/>
        <v>79465.72</v>
      </c>
      <c r="J19" s="91"/>
      <c r="K19" s="91"/>
      <c r="L19" s="148">
        <f t="shared" ref="L19:M19" si="38">SUM(L15:L18)</f>
        <v>426</v>
      </c>
      <c r="M19" s="149">
        <f t="shared" si="38"/>
        <v>69586.489999999991</v>
      </c>
      <c r="N19" s="91"/>
      <c r="O19" s="91"/>
      <c r="P19" s="148">
        <f t="shared" ref="P19:Q19" si="39">SUM(P15:P18)</f>
        <v>426</v>
      </c>
      <c r="Q19" s="149">
        <f t="shared" si="39"/>
        <v>51739.520000000004</v>
      </c>
      <c r="R19" s="91"/>
      <c r="S19" s="91"/>
      <c r="T19" s="148">
        <f t="shared" ref="T19:U19" si="40">SUM(T15:T18)</f>
        <v>426</v>
      </c>
      <c r="U19" s="149">
        <f t="shared" si="40"/>
        <v>57025.47</v>
      </c>
      <c r="V19" s="91"/>
      <c r="W19" s="91"/>
      <c r="X19" s="148">
        <f t="shared" ref="X19:Y19" si="41">SUM(X15:X18)</f>
        <v>426</v>
      </c>
      <c r="Y19" s="149">
        <f t="shared" si="41"/>
        <v>71926.969999999987</v>
      </c>
      <c r="Z19" s="91"/>
      <c r="AA19" s="91"/>
      <c r="AB19" s="148">
        <f t="shared" ref="AB19:AC19" si="42">SUM(AB15:AB18)</f>
        <v>426</v>
      </c>
      <c r="AC19" s="149">
        <f t="shared" si="42"/>
        <v>57599.969999999987</v>
      </c>
      <c r="AD19" s="91"/>
      <c r="AE19" s="91"/>
      <c r="AF19" s="148">
        <f t="shared" ref="AF19:AG19" si="43">SUM(AF15:AF18)</f>
        <v>426</v>
      </c>
      <c r="AG19" s="149">
        <f t="shared" si="43"/>
        <v>44652.93</v>
      </c>
      <c r="AH19" s="91"/>
      <c r="AI19" s="91"/>
      <c r="AJ19" s="148">
        <f t="shared" ref="AJ19:AK19" si="44">SUM(AJ15:AJ18)</f>
        <v>426</v>
      </c>
      <c r="AK19" s="149">
        <f t="shared" si="44"/>
        <v>29101.070000000003</v>
      </c>
      <c r="AL19" s="91"/>
      <c r="AM19" s="91"/>
      <c r="AN19" s="148">
        <f t="shared" ref="AN19:AO19" si="45">SUM(AN15:AN18)</f>
        <v>426</v>
      </c>
      <c r="AO19" s="149">
        <f t="shared" si="45"/>
        <v>45663.45</v>
      </c>
      <c r="AP19" s="91"/>
      <c r="AQ19" s="91"/>
      <c r="AR19" s="148">
        <f t="shared" ref="AR19:AS19" si="46">SUM(AR15:AR18)</f>
        <v>426</v>
      </c>
      <c r="AS19" s="149">
        <f t="shared" si="46"/>
        <v>-12500</v>
      </c>
      <c r="AT19" s="91"/>
      <c r="AU19" s="91"/>
      <c r="AV19" s="148">
        <f t="shared" ref="AV19:AW19" si="47">SUM(AV15:AV18)</f>
        <v>426</v>
      </c>
      <c r="AW19" s="149">
        <f t="shared" si="47"/>
        <v>-12500</v>
      </c>
      <c r="AX19" s="124"/>
      <c r="AY19" s="92"/>
      <c r="AZ19" s="91"/>
      <c r="BA19" s="150"/>
      <c r="BB19" s="91"/>
      <c r="BC19" s="150"/>
    </row>
    <row r="20" spans="1:57" ht="14">
      <c r="A20" s="89"/>
      <c r="B20" s="5"/>
      <c r="C20" s="61"/>
      <c r="D20" s="10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W20" s="151"/>
      <c r="AX20" s="151"/>
      <c r="AY20" s="92"/>
      <c r="AZ20" s="216" t="str">
        <f>"Paid for "&amp;AZ2</f>
        <v>Paid for 1Q</v>
      </c>
      <c r="BA20" s="217" t="s">
        <v>256</v>
      </c>
      <c r="BB20" s="216" t="str">
        <f>"Paid for "&amp;BB2</f>
        <v>Paid for 1H</v>
      </c>
      <c r="BC20" s="217" t="s">
        <v>256</v>
      </c>
      <c r="BD20" s="216" t="str">
        <f>"Paid for "&amp;BD2</f>
        <v>Paid for 2017</v>
      </c>
      <c r="BE20" s="217" t="s">
        <v>256</v>
      </c>
    </row>
    <row r="21" spans="1:57" ht="13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Y21" s="245" t="s">
        <v>83</v>
      </c>
      <c r="AZ21" s="200">
        <f>AZ12</f>
        <v>37500</v>
      </c>
      <c r="BA21" s="271">
        <f t="shared" ref="BA21:BA24" si="48">BA15-AZ21</f>
        <v>589066.66119519435</v>
      </c>
      <c r="BB21" s="263">
        <f>BB12</f>
        <v>225000</v>
      </c>
      <c r="BC21" s="272">
        <f t="shared" ref="BC21:BC24" si="49">BC15-BB21</f>
        <v>510976.10035012383</v>
      </c>
      <c r="BD21" s="263">
        <f>BD12</f>
        <v>169992</v>
      </c>
      <c r="BE21" s="272">
        <f t="shared" ref="BE21:BE24" si="50">BE15-BD21</f>
        <v>658894.86147688446</v>
      </c>
    </row>
    <row r="22" spans="1:57" ht="13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50" t="s">
        <v>209</v>
      </c>
      <c r="AZ22" s="90">
        <v>55939.6</v>
      </c>
      <c r="BA22" s="273">
        <f t="shared" si="48"/>
        <v>-2306.9137682685832</v>
      </c>
      <c r="BB22" s="90">
        <f t="shared" ref="BB22:BB24" si="51">AZ22+0</f>
        <v>55939.6</v>
      </c>
      <c r="BC22" s="272">
        <f t="shared" si="49"/>
        <v>40109.039283374623</v>
      </c>
      <c r="BD22" s="90">
        <f t="shared" ref="BD22:BD24" si="52">BB22+0</f>
        <v>55939.6</v>
      </c>
      <c r="BE22" s="272">
        <f t="shared" si="50"/>
        <v>75793.879658961436</v>
      </c>
    </row>
    <row r="23" spans="1:57" ht="13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61</v>
      </c>
      <c r="AZ23" s="90">
        <v>7256.32</v>
      </c>
      <c r="BA23" s="273">
        <f t="shared" si="48"/>
        <v>-230.69444020713036</v>
      </c>
      <c r="BB23" s="90">
        <f t="shared" si="51"/>
        <v>7256.32</v>
      </c>
      <c r="BC23" s="272">
        <f t="shared" si="49"/>
        <v>5283.3794565064836</v>
      </c>
      <c r="BD23" s="90">
        <f t="shared" si="52"/>
        <v>7256.32</v>
      </c>
      <c r="BE23" s="272">
        <f t="shared" si="50"/>
        <v>9922.4087053327748</v>
      </c>
    </row>
    <row r="24" spans="1:57" ht="13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5" t="s">
        <v>65</v>
      </c>
      <c r="AZ24" s="274">
        <v>7256.32</v>
      </c>
      <c r="BA24" s="279">
        <f t="shared" si="48"/>
        <v>-230.69444020713036</v>
      </c>
      <c r="BB24" s="274">
        <f t="shared" si="51"/>
        <v>7256.32</v>
      </c>
      <c r="BC24" s="277">
        <f t="shared" si="49"/>
        <v>5283.3794565064836</v>
      </c>
      <c r="BD24" s="274">
        <f t="shared" si="52"/>
        <v>7256.32</v>
      </c>
      <c r="BE24" s="277">
        <f t="shared" si="50"/>
        <v>9922.4087053327748</v>
      </c>
    </row>
    <row r="25" spans="1:57" ht="13">
      <c r="A25" s="89"/>
      <c r="C25" s="61"/>
      <c r="D25" s="62"/>
      <c r="BC25" s="91"/>
      <c r="BD25" s="91"/>
      <c r="BE25" s="91"/>
    </row>
    <row r="26" spans="1:57" ht="13">
      <c r="A26" s="89"/>
      <c r="C26" s="61"/>
      <c r="D26" s="62"/>
      <c r="AY26" s="1"/>
      <c r="BA26" s="230"/>
      <c r="BB26" s="230"/>
      <c r="BC26" s="91"/>
      <c r="BD26" s="91"/>
      <c r="BE26" s="91"/>
    </row>
    <row r="27" spans="1:57" ht="13">
      <c r="A27" s="89"/>
      <c r="C27" s="61"/>
      <c r="D27" s="62"/>
      <c r="AZ27" s="152"/>
      <c r="BA27" s="152"/>
      <c r="BB27" s="152"/>
      <c r="BC27" s="91"/>
      <c r="BD27" s="91"/>
      <c r="BE27" s="91"/>
    </row>
    <row r="28" spans="1:57" ht="14">
      <c r="A28" s="89" t="s">
        <v>201</v>
      </c>
      <c r="C28" s="61"/>
      <c r="D28" s="62"/>
      <c r="AN28" s="1" t="s">
        <v>148</v>
      </c>
      <c r="AZ28" s="152"/>
      <c r="BA28" s="152"/>
      <c r="BB28" s="152"/>
      <c r="BC28" s="91"/>
      <c r="BD28" s="91"/>
      <c r="BE28" s="91"/>
    </row>
    <row r="29" spans="1:57" ht="13">
      <c r="A29" s="89"/>
      <c r="C29" s="61"/>
      <c r="D29" s="62"/>
      <c r="BC29" s="91"/>
    </row>
    <row r="30" spans="1:57" ht="13">
      <c r="A30" s="89"/>
      <c r="C30" s="61"/>
      <c r="D30" s="62"/>
    </row>
    <row r="31" spans="1:57" ht="13">
      <c r="A31" s="89"/>
      <c r="C31" s="61"/>
      <c r="D31" s="62"/>
    </row>
    <row r="32" spans="1:57" ht="13">
      <c r="A32" s="89"/>
      <c r="C32" s="61"/>
      <c r="D32" s="62"/>
    </row>
    <row r="33" spans="1:4" ht="13">
      <c r="A33" s="89"/>
      <c r="C33" s="61"/>
      <c r="D33" s="62"/>
    </row>
    <row r="34" spans="1:4" ht="13">
      <c r="A34" s="89"/>
      <c r="C34" s="61"/>
      <c r="D34" s="62"/>
    </row>
    <row r="35" spans="1:4" ht="13">
      <c r="A35" s="89"/>
      <c r="C35" s="61"/>
      <c r="D35" s="62"/>
    </row>
    <row r="36" spans="1:4" ht="13">
      <c r="A36" s="89"/>
      <c r="C36" s="61"/>
      <c r="D36" s="62"/>
    </row>
    <row r="37" spans="1:4" ht="13">
      <c r="A37" s="89"/>
      <c r="C37" s="61"/>
      <c r="D37" s="62"/>
    </row>
    <row r="38" spans="1:4" ht="13">
      <c r="A38" s="89"/>
      <c r="C38" s="61"/>
      <c r="D38" s="62"/>
    </row>
    <row r="39" spans="1:4" ht="13">
      <c r="A39" s="89"/>
      <c r="C39" s="61"/>
      <c r="D39" s="62"/>
    </row>
    <row r="40" spans="1:4" ht="13">
      <c r="A40" s="89"/>
      <c r="C40" s="61"/>
      <c r="D40" s="62"/>
    </row>
    <row r="41" spans="1:4" ht="13">
      <c r="A41" s="89"/>
      <c r="C41" s="61"/>
      <c r="D41" s="6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BE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7" width="15.1640625" customWidth="1"/>
  </cols>
  <sheetData>
    <row r="1" spans="1:57" ht="42.75" customHeight="1">
      <c r="A1" s="5" t="s">
        <v>148</v>
      </c>
      <c r="C1" s="61" t="s">
        <v>131</v>
      </c>
      <c r="D1" s="59">
        <v>42766</v>
      </c>
      <c r="E1" s="60"/>
      <c r="F1" s="60"/>
      <c r="G1" s="61"/>
      <c r="H1" s="59">
        <v>42794</v>
      </c>
      <c r="I1" s="60"/>
      <c r="J1" s="60"/>
      <c r="K1" s="61"/>
      <c r="L1" s="59">
        <v>42825</v>
      </c>
      <c r="M1" s="60"/>
      <c r="N1" s="60"/>
      <c r="O1" s="61"/>
      <c r="P1" s="59">
        <v>42855</v>
      </c>
      <c r="Q1" s="60"/>
      <c r="R1" s="60"/>
      <c r="S1" s="61"/>
      <c r="T1" s="59">
        <v>42886</v>
      </c>
      <c r="U1" s="60"/>
      <c r="V1" s="60"/>
      <c r="W1" s="61"/>
      <c r="X1" s="59">
        <v>42916</v>
      </c>
      <c r="Y1" s="60"/>
      <c r="Z1" s="60"/>
      <c r="AA1" s="61"/>
      <c r="AB1" s="59">
        <v>42947</v>
      </c>
      <c r="AC1" s="60"/>
      <c r="AD1" s="60"/>
      <c r="AE1" s="61"/>
      <c r="AF1" s="59">
        <v>42978</v>
      </c>
      <c r="AG1" s="60"/>
      <c r="AH1" s="60"/>
      <c r="AI1" s="61"/>
      <c r="AJ1" s="59">
        <v>43008</v>
      </c>
      <c r="AK1" s="60"/>
      <c r="AL1" s="60"/>
      <c r="AM1" s="61"/>
      <c r="AN1" s="59">
        <v>43039</v>
      </c>
      <c r="AO1" s="60"/>
      <c r="AP1" s="60"/>
      <c r="AQ1" s="61"/>
      <c r="AR1" s="59">
        <v>43069</v>
      </c>
      <c r="AS1" s="60"/>
      <c r="AT1" s="60"/>
      <c r="AU1" s="61"/>
      <c r="AV1" s="59">
        <v>43100</v>
      </c>
      <c r="AW1" s="60"/>
      <c r="AX1" s="60"/>
      <c r="BB1" s="62"/>
      <c r="BC1" s="61"/>
    </row>
    <row r="2" spans="1:57" ht="14">
      <c r="A2" s="5"/>
      <c r="C2" s="61"/>
      <c r="D2" s="62">
        <f>YEAR(D1)</f>
        <v>2017</v>
      </c>
      <c r="G2" s="61"/>
      <c r="H2" s="62">
        <f>YEAR(H1)</f>
        <v>2017</v>
      </c>
      <c r="K2" s="61"/>
      <c r="L2" s="62">
        <f>YEAR(L1)</f>
        <v>2017</v>
      </c>
      <c r="O2" s="61"/>
      <c r="P2" s="62">
        <f>YEAR(P1)</f>
        <v>2017</v>
      </c>
      <c r="S2" s="61"/>
      <c r="T2" s="62">
        <f>YEAR(T1)</f>
        <v>2017</v>
      </c>
      <c r="W2" s="61"/>
      <c r="X2" s="62">
        <f>YEAR(X1)</f>
        <v>2017</v>
      </c>
      <c r="AA2" s="61"/>
      <c r="AB2" s="62">
        <f>YEAR(AB1)</f>
        <v>2017</v>
      </c>
      <c r="AE2" s="61"/>
      <c r="AF2" s="62">
        <f>YEAR(AF1)</f>
        <v>2017</v>
      </c>
      <c r="AI2" s="61"/>
      <c r="AJ2" s="62">
        <f>YEAR(AJ1)</f>
        <v>2017</v>
      </c>
      <c r="AM2" s="61"/>
      <c r="AN2" s="62">
        <f>YEAR(AN1)</f>
        <v>2017</v>
      </c>
      <c r="AQ2" s="61"/>
      <c r="AR2" s="62">
        <f>YEAR(AR1)</f>
        <v>2017</v>
      </c>
      <c r="AU2" s="61"/>
      <c r="AV2" s="62">
        <f>YEAR(AV1)</f>
        <v>2017</v>
      </c>
      <c r="AY2" s="61"/>
      <c r="AZ2" s="65" t="s">
        <v>132</v>
      </c>
      <c r="BA2" s="65"/>
      <c r="BB2" s="209" t="s">
        <v>247</v>
      </c>
      <c r="BC2" s="61"/>
      <c r="BD2" s="67">
        <v>2017</v>
      </c>
      <c r="BE2" s="67"/>
    </row>
    <row r="3" spans="1:5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  <c r="BE3" s="72"/>
    </row>
    <row r="4" spans="1:57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  <c r="BE4" s="72"/>
    </row>
    <row r="5" spans="1:57" ht="13">
      <c r="A5" s="89" t="s">
        <v>136</v>
      </c>
      <c r="C5" s="61"/>
      <c r="D5" s="90">
        <v>97204.26</v>
      </c>
      <c r="E5" s="91"/>
      <c r="F5" s="91"/>
      <c r="G5" s="92"/>
      <c r="H5" s="90">
        <v>86761.19</v>
      </c>
      <c r="I5" s="91"/>
      <c r="J5" s="91"/>
      <c r="K5" s="92"/>
      <c r="L5" s="90">
        <v>79022.69</v>
      </c>
      <c r="M5" s="91"/>
      <c r="N5" s="91"/>
      <c r="O5" s="92"/>
      <c r="P5" s="90">
        <v>0</v>
      </c>
      <c r="Q5" s="91"/>
      <c r="R5" s="91"/>
      <c r="S5" s="92"/>
      <c r="T5" s="90">
        <v>0</v>
      </c>
      <c r="U5" s="91"/>
      <c r="V5" s="91"/>
      <c r="W5" s="92"/>
      <c r="X5" s="90">
        <v>0</v>
      </c>
      <c r="Y5" s="91"/>
      <c r="Z5" s="91"/>
      <c r="AA5" s="92"/>
      <c r="AB5" s="90">
        <v>0</v>
      </c>
      <c r="AC5" s="91"/>
      <c r="AD5" s="91"/>
      <c r="AE5" s="92"/>
      <c r="AF5" s="90">
        <v>0</v>
      </c>
      <c r="AG5" s="91"/>
      <c r="AH5" s="91"/>
      <c r="AI5" s="92"/>
      <c r="AJ5" s="90">
        <v>0</v>
      </c>
      <c r="AK5" s="91"/>
      <c r="AL5" s="91"/>
      <c r="AM5" s="92"/>
      <c r="AN5" s="90">
        <v>0</v>
      </c>
      <c r="AO5" s="91"/>
      <c r="AP5" s="91"/>
      <c r="AQ5" s="92"/>
      <c r="AR5" s="90">
        <v>0</v>
      </c>
      <c r="AS5" s="91"/>
      <c r="AT5" s="91"/>
      <c r="AU5" s="92"/>
      <c r="AV5" s="90">
        <v>0</v>
      </c>
      <c r="AW5" s="151"/>
      <c r="AX5" s="151"/>
      <c r="AY5" s="92"/>
      <c r="AZ5" s="93">
        <f t="shared" ref="AZ5:AZ7" si="0">SUMIF($D$3:$AY$3,AZ$2,$D5:$AY5)</f>
        <v>262988.14</v>
      </c>
      <c r="BA5" s="92"/>
      <c r="BB5" s="93">
        <f t="shared" ref="BB5:BB7" si="1">SUMIF($D$4:$AY$4,BB$2,$D5:$AY5)</f>
        <v>262988.14</v>
      </c>
      <c r="BC5" s="92"/>
      <c r="BD5" s="94">
        <f t="shared" ref="BD5:BD7" si="2">SUMIF($D$2:$AY$2,$BD$2,$D5:$AY5)</f>
        <v>262988.14</v>
      </c>
      <c r="BE5" s="94"/>
    </row>
    <row r="6" spans="1:57" ht="13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2"/>
      <c r="BD6" s="94">
        <f t="shared" si="2"/>
        <v>0</v>
      </c>
      <c r="BE6" s="94"/>
    </row>
    <row r="7" spans="1:57" ht="13">
      <c r="A7" s="89" t="s">
        <v>143</v>
      </c>
      <c r="B7" s="99">
        <v>12500</v>
      </c>
      <c r="C7" s="61"/>
      <c r="D7" s="100">
        <f>'PS Model 2017 Q1'!ColinSalary</f>
        <v>12500</v>
      </c>
      <c r="E7" s="91"/>
      <c r="F7" s="91"/>
      <c r="G7" s="92"/>
      <c r="H7" s="100">
        <f>'PS Model 2017 Q1'!ColinSalary</f>
        <v>12500</v>
      </c>
      <c r="I7" s="91"/>
      <c r="J7" s="91"/>
      <c r="K7" s="92"/>
      <c r="L7" s="100">
        <f>'PS Model 2017 Q1'!ColinSalary</f>
        <v>12500</v>
      </c>
      <c r="M7" s="91"/>
      <c r="N7" s="91"/>
      <c r="O7" s="92"/>
      <c r="P7" s="100">
        <f>'PS Model 2017 Q1'!ColinSalary</f>
        <v>12500</v>
      </c>
      <c r="Q7" s="91"/>
      <c r="R7" s="91"/>
      <c r="S7" s="92"/>
      <c r="T7" s="100">
        <f>'PS Model 2017 Q1'!ColinSalary</f>
        <v>12500</v>
      </c>
      <c r="U7" s="91"/>
      <c r="V7" s="91"/>
      <c r="W7" s="92"/>
      <c r="X7" s="100">
        <f>'PS Model 2017 Q1'!ColinSalary</f>
        <v>12500</v>
      </c>
      <c r="Y7" s="91"/>
      <c r="Z7" s="91"/>
      <c r="AA7" s="92"/>
      <c r="AB7" s="100">
        <f>'PS Model 2017 Q1'!ColinSalary</f>
        <v>12500</v>
      </c>
      <c r="AC7" s="91"/>
      <c r="AD7" s="91"/>
      <c r="AE7" s="92"/>
      <c r="AF7" s="100">
        <f>'PS Model 2017 Q1'!ColinSalary</f>
        <v>12500</v>
      </c>
      <c r="AG7" s="91"/>
      <c r="AH7" s="91"/>
      <c r="AI7" s="92"/>
      <c r="AJ7" s="100">
        <f>'PS Model 2017 Q1'!ColinSalary</f>
        <v>12500</v>
      </c>
      <c r="AK7" s="91"/>
      <c r="AL7" s="91"/>
      <c r="AM7" s="92"/>
      <c r="AN7" s="100">
        <f>'PS Model 2017 Q1'!ColinSalary</f>
        <v>12500</v>
      </c>
      <c r="AO7" s="91"/>
      <c r="AP7" s="91"/>
      <c r="AQ7" s="92"/>
      <c r="AR7" s="100">
        <f>'PS Model 2017 Q1'!ColinSalary</f>
        <v>12500</v>
      </c>
      <c r="AS7" s="91"/>
      <c r="AT7" s="91"/>
      <c r="AU7" s="92"/>
      <c r="AV7" s="100">
        <f>'PS Model 2017 Q1'!ColinSalary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  <c r="BE7" s="94"/>
    </row>
    <row r="8" spans="1:57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SUM(AZ22:AZ24)</f>
        <v>0</v>
      </c>
      <c r="AC8" s="91"/>
      <c r="AD8" s="91"/>
      <c r="AE8" s="92"/>
      <c r="AF8" s="103"/>
      <c r="AG8" s="91"/>
      <c r="AH8" s="91"/>
      <c r="AI8" s="92"/>
      <c r="AJ8" s="103"/>
      <c r="AK8" s="91"/>
      <c r="AL8" s="91"/>
      <c r="AM8" s="92"/>
      <c r="AN8" s="103">
        <f>SUM(BB22:BB24)-SUM(AZ22:AZ24)</f>
        <v>0</v>
      </c>
      <c r="AO8" s="91"/>
      <c r="AP8" s="91"/>
      <c r="AQ8" s="92"/>
      <c r="AR8" s="103"/>
      <c r="AS8" s="91"/>
      <c r="AT8" s="91"/>
      <c r="AU8" s="92"/>
      <c r="AV8" s="103"/>
      <c r="AW8" s="91"/>
      <c r="AX8" s="91"/>
      <c r="AY8" s="92"/>
      <c r="AZ8" s="93"/>
      <c r="BA8" s="92"/>
      <c r="BB8" s="93"/>
      <c r="BC8" s="92"/>
      <c r="BD8" s="94"/>
      <c r="BE8" s="94"/>
    </row>
    <row r="9" spans="1:57" ht="13">
      <c r="A9" s="89" t="s">
        <v>145</v>
      </c>
      <c r="B9" s="101"/>
      <c r="C9" s="102"/>
      <c r="D9" s="104">
        <f>SUM(F15:F18)</f>
        <v>2298.06</v>
      </c>
      <c r="E9" s="91"/>
      <c r="F9" s="91"/>
      <c r="G9" s="92"/>
      <c r="H9" s="104">
        <f>SUM(J15:J18)</f>
        <v>5204.53</v>
      </c>
      <c r="I9" s="91"/>
      <c r="J9" s="91"/>
      <c r="K9" s="92"/>
      <c r="L9" s="104">
        <f>SUM(N15:N18)</f>
        <v>3063.8</v>
      </c>
      <c r="M9" s="91"/>
      <c r="N9" s="91"/>
      <c r="O9" s="92"/>
      <c r="P9" s="104">
        <f>SUM(R15:R18)</f>
        <v>0</v>
      </c>
      <c r="Q9" s="91"/>
      <c r="R9" s="91"/>
      <c r="S9" s="92"/>
      <c r="T9" s="104">
        <f>SUM(V15:V18)</f>
        <v>0</v>
      </c>
      <c r="U9" s="91"/>
      <c r="V9" s="91"/>
      <c r="W9" s="92"/>
      <c r="X9" s="104">
        <f>SUM(Z15:Z18)</f>
        <v>0</v>
      </c>
      <c r="Y9" s="91"/>
      <c r="Z9" s="91"/>
      <c r="AA9" s="92"/>
      <c r="AB9" s="104">
        <f>SUM(AD15:AD18)</f>
        <v>0</v>
      </c>
      <c r="AC9" s="91"/>
      <c r="AD9" s="91"/>
      <c r="AE9" s="92"/>
      <c r="AF9" s="104">
        <f>SUM(AH15:AH18)</f>
        <v>0</v>
      </c>
      <c r="AG9" s="91"/>
      <c r="AH9" s="91"/>
      <c r="AI9" s="92"/>
      <c r="AJ9" s="104">
        <f>SUM(AL15:AL18)</f>
        <v>0</v>
      </c>
      <c r="AK9" s="91"/>
      <c r="AL9" s="91"/>
      <c r="AM9" s="92"/>
      <c r="AN9" s="104">
        <f>SUM(AP15:AP18)</f>
        <v>0</v>
      </c>
      <c r="AO9" s="91"/>
      <c r="AP9" s="91"/>
      <c r="AQ9" s="92"/>
      <c r="AR9" s="104">
        <f>SUM(AT15:AT18)</f>
        <v>0</v>
      </c>
      <c r="AS9" s="91"/>
      <c r="AT9" s="91"/>
      <c r="AU9" s="92"/>
      <c r="AV9" s="104">
        <f>SUM(AX15:AX18)</f>
        <v>0</v>
      </c>
      <c r="AW9" s="91"/>
      <c r="AX9" s="91"/>
      <c r="AY9" s="92"/>
      <c r="AZ9" s="93">
        <f t="shared" ref="AZ9:AZ12" si="3">SUMIF($D$3:$AY$3,AZ$2,$D9:$AY9)</f>
        <v>10566.39</v>
      </c>
      <c r="BA9" s="92"/>
      <c r="BB9" s="93">
        <f t="shared" ref="BB9:BB12" si="4">SUMIF($D$4:$AY$4,BB$2,$D9:$AY9)</f>
        <v>10566.39</v>
      </c>
      <c r="BC9" s="92"/>
      <c r="BD9" s="94">
        <f t="shared" ref="BD9:BD12" si="5">SUMIF($D$2:$AY$2,$BD$2,$D9:$AY9)</f>
        <v>10566.39</v>
      </c>
      <c r="BE9" s="94"/>
    </row>
    <row r="10" spans="1:57" ht="13">
      <c r="A10" s="89" t="s">
        <v>146</v>
      </c>
      <c r="C10" s="61"/>
      <c r="D10" s="104">
        <f>D5-D6-D7+D9+D8</f>
        <v>87002.319999999992</v>
      </c>
      <c r="E10" s="91"/>
      <c r="F10" s="91"/>
      <c r="G10" s="92"/>
      <c r="H10" s="104">
        <f>H5-H6-H7+H9+H8</f>
        <v>79465.72</v>
      </c>
      <c r="I10" s="91"/>
      <c r="J10" s="91"/>
      <c r="K10" s="92"/>
      <c r="L10" s="104">
        <f>L5-L6-L7+L9+L8</f>
        <v>69586.490000000005</v>
      </c>
      <c r="M10" s="91"/>
      <c r="N10" s="91"/>
      <c r="O10" s="92"/>
      <c r="P10" s="104">
        <f>P5-P6-P7+P9+P8</f>
        <v>-12500</v>
      </c>
      <c r="Q10" s="91"/>
      <c r="R10" s="91"/>
      <c r="S10" s="92"/>
      <c r="T10" s="104">
        <f>T5-T6-T7+T9+T8</f>
        <v>-12500</v>
      </c>
      <c r="U10" s="91"/>
      <c r="V10" s="91"/>
      <c r="W10" s="92"/>
      <c r="X10" s="104">
        <f>X5-X6-X7+X9+X8</f>
        <v>-12500</v>
      </c>
      <c r="Y10" s="91"/>
      <c r="Z10" s="91"/>
      <c r="AA10" s="92"/>
      <c r="AB10" s="104">
        <f>AB5-AB6-AB7+AB9+AB8</f>
        <v>-12500</v>
      </c>
      <c r="AC10" s="91"/>
      <c r="AD10" s="91"/>
      <c r="AE10" s="92"/>
      <c r="AF10" s="104">
        <f>AF5-AF6-AF7+AF9+AF8</f>
        <v>-12500</v>
      </c>
      <c r="AG10" s="91"/>
      <c r="AH10" s="91"/>
      <c r="AI10" s="92"/>
      <c r="AJ10" s="104">
        <f>AJ5-AJ6-AJ7+AJ9+AJ8</f>
        <v>-12500</v>
      </c>
      <c r="AK10" s="91"/>
      <c r="AL10" s="91"/>
      <c r="AM10" s="92"/>
      <c r="AN10" s="104">
        <f>AN5-AN6-AN7+AN9+AN8</f>
        <v>-12500</v>
      </c>
      <c r="AO10" s="91"/>
      <c r="AP10" s="91"/>
      <c r="AQ10" s="92"/>
      <c r="AR10" s="104">
        <f>AR5-AR6-AR7+AR9+AR8</f>
        <v>-12500</v>
      </c>
      <c r="AS10" s="91"/>
      <c r="AT10" s="91"/>
      <c r="AU10" s="92"/>
      <c r="AV10" s="104">
        <f>AV5-AV6-AV7+AV9+AV8</f>
        <v>-12500</v>
      </c>
      <c r="AW10" s="91"/>
      <c r="AX10" s="91"/>
      <c r="AY10" s="92"/>
      <c r="AZ10" s="93">
        <f t="shared" si="3"/>
        <v>236054.52999999997</v>
      </c>
      <c r="BA10" s="92"/>
      <c r="BB10" s="93">
        <f t="shared" si="4"/>
        <v>198554.52999999997</v>
      </c>
      <c r="BC10" s="92"/>
      <c r="BD10" s="94">
        <f t="shared" si="5"/>
        <v>123554.52999999997</v>
      </c>
      <c r="BE10" s="94"/>
    </row>
    <row r="11" spans="1:57" ht="13">
      <c r="A11" s="89" t="s">
        <v>147</v>
      </c>
      <c r="C11" s="61"/>
      <c r="D11" s="90">
        <v>12500</v>
      </c>
      <c r="E11" s="91"/>
      <c r="F11" s="91"/>
      <c r="G11" s="92"/>
      <c r="H11" s="90">
        <v>50000</v>
      </c>
      <c r="I11" s="91"/>
      <c r="J11" s="91"/>
      <c r="K11" s="92"/>
      <c r="L11" s="90">
        <v>12500</v>
      </c>
      <c r="M11" s="91"/>
      <c r="N11" s="91"/>
      <c r="O11" s="92"/>
      <c r="P11" s="90">
        <v>57500</v>
      </c>
      <c r="Q11" s="91"/>
      <c r="R11" s="91"/>
      <c r="S11" s="92"/>
      <c r="T11" s="90">
        <v>0</v>
      </c>
      <c r="U11" s="91"/>
      <c r="V11" s="91"/>
      <c r="W11" s="92"/>
      <c r="X11" s="90">
        <v>0</v>
      </c>
      <c r="Y11" s="91"/>
      <c r="Z11" s="91"/>
      <c r="AA11" s="92"/>
      <c r="AB11" s="90">
        <v>0</v>
      </c>
      <c r="AC11" s="91"/>
      <c r="AD11" s="91"/>
      <c r="AE11" s="92"/>
      <c r="AF11" s="90">
        <v>0</v>
      </c>
      <c r="AG11" s="91"/>
      <c r="AH11" s="91"/>
      <c r="AI11" s="92"/>
      <c r="AJ11" s="90">
        <v>0</v>
      </c>
      <c r="AK11" s="91"/>
      <c r="AL11" s="91"/>
      <c r="AM11" s="92"/>
      <c r="AN11" s="90">
        <v>0</v>
      </c>
      <c r="AO11" s="91"/>
      <c r="AP11" s="91"/>
      <c r="AQ11" s="92"/>
      <c r="AR11" s="90">
        <v>0</v>
      </c>
      <c r="AS11" s="91"/>
      <c r="AT11" s="91"/>
      <c r="AU11" s="92"/>
      <c r="AV11" s="90">
        <v>0</v>
      </c>
      <c r="AW11" s="91"/>
      <c r="AX11" s="91"/>
      <c r="AY11" s="92"/>
      <c r="AZ11" s="93">
        <f t="shared" si="3"/>
        <v>75000</v>
      </c>
      <c r="BA11" s="92"/>
      <c r="BB11" s="93">
        <f t="shared" si="4"/>
        <v>132500</v>
      </c>
      <c r="BC11" s="92"/>
      <c r="BD11" s="94">
        <f t="shared" si="5"/>
        <v>132500</v>
      </c>
      <c r="BE11" s="94"/>
    </row>
    <row r="12" spans="1:57" ht="28">
      <c r="A12" s="5" t="s">
        <v>151</v>
      </c>
      <c r="C12" s="61"/>
      <c r="D12" s="100">
        <f>D11-D7</f>
        <v>0</v>
      </c>
      <c r="E12" s="91"/>
      <c r="F12" s="91"/>
      <c r="G12" s="92"/>
      <c r="H12" s="100">
        <f>H11-H7</f>
        <v>37500</v>
      </c>
      <c r="I12" s="91"/>
      <c r="J12" s="91"/>
      <c r="K12" s="92"/>
      <c r="L12" s="100">
        <f>L11-L7</f>
        <v>0</v>
      </c>
      <c r="M12" s="91"/>
      <c r="N12" s="91"/>
      <c r="O12" s="92"/>
      <c r="P12" s="100">
        <f>P11-P7</f>
        <v>45000</v>
      </c>
      <c r="Q12" s="91"/>
      <c r="R12" s="91"/>
      <c r="S12" s="92"/>
      <c r="T12" s="100">
        <f>T11-T7</f>
        <v>-12500</v>
      </c>
      <c r="U12" s="91"/>
      <c r="V12" s="91"/>
      <c r="W12" s="92"/>
      <c r="X12" s="100">
        <f>X11-X7</f>
        <v>-12500</v>
      </c>
      <c r="Y12" s="91"/>
      <c r="Z12" s="91"/>
      <c r="AA12" s="92"/>
      <c r="AB12" s="100">
        <f>AB11-AB7</f>
        <v>-12500</v>
      </c>
      <c r="AC12" s="91"/>
      <c r="AD12" s="91"/>
      <c r="AE12" s="92"/>
      <c r="AF12" s="100">
        <f>AF11-AF7</f>
        <v>-12500</v>
      </c>
      <c r="AG12" s="91"/>
      <c r="AH12" s="91"/>
      <c r="AI12" s="92"/>
      <c r="AJ12" s="100">
        <f>AJ11-AJ7</f>
        <v>-12500</v>
      </c>
      <c r="AK12" s="91"/>
      <c r="AL12" s="91"/>
      <c r="AM12" s="92"/>
      <c r="AN12" s="100">
        <f>AN11-AN7</f>
        <v>-12500</v>
      </c>
      <c r="AO12" s="91"/>
      <c r="AP12" s="91"/>
      <c r="AQ12" s="92"/>
      <c r="AR12" s="100">
        <f>AR11-AR7</f>
        <v>-12500</v>
      </c>
      <c r="AS12" s="91"/>
      <c r="AT12" s="91"/>
      <c r="AU12" s="92"/>
      <c r="AV12" s="100">
        <f>AV11-AV7</f>
        <v>-12500</v>
      </c>
      <c r="AW12" s="91"/>
      <c r="AX12" s="91"/>
      <c r="AY12" s="92"/>
      <c r="AZ12" s="93">
        <f t="shared" si="3"/>
        <v>37500</v>
      </c>
      <c r="BA12" s="92"/>
      <c r="BB12" s="93">
        <f t="shared" si="4"/>
        <v>57500</v>
      </c>
      <c r="BC12" s="92"/>
      <c r="BD12" s="94">
        <f t="shared" si="5"/>
        <v>-17500</v>
      </c>
      <c r="BE12" s="94"/>
    </row>
    <row r="13" spans="1:57" ht="13">
      <c r="A13" s="5"/>
      <c r="C13" s="61"/>
      <c r="D13" s="100"/>
      <c r="E13" s="91"/>
      <c r="F13" s="91"/>
      <c r="G13" s="92"/>
      <c r="H13" s="100"/>
      <c r="I13" s="91"/>
      <c r="J13" s="91"/>
      <c r="K13" s="92"/>
      <c r="L13" s="100"/>
      <c r="M13" s="91"/>
      <c r="N13" s="91"/>
      <c r="O13" s="92"/>
      <c r="P13" s="100"/>
      <c r="Q13" s="91"/>
      <c r="R13" s="91"/>
      <c r="S13" s="92"/>
      <c r="T13" s="100"/>
      <c r="U13" s="91"/>
      <c r="V13" s="91"/>
      <c r="W13" s="92"/>
      <c r="X13" s="100"/>
      <c r="Y13" s="91"/>
      <c r="Z13" s="91"/>
      <c r="AA13" s="92"/>
      <c r="AB13" s="100"/>
      <c r="AC13" s="91"/>
      <c r="AD13" s="91"/>
      <c r="AE13" s="92"/>
      <c r="AF13" s="100"/>
      <c r="AG13" s="91"/>
      <c r="AH13" s="91"/>
      <c r="AI13" s="92"/>
      <c r="AJ13" s="100"/>
      <c r="AK13" s="91"/>
      <c r="AL13" s="91"/>
      <c r="AM13" s="92"/>
      <c r="AN13" s="100"/>
      <c r="AO13" s="91"/>
      <c r="AP13" s="91"/>
      <c r="AQ13" s="92"/>
      <c r="AR13" s="100"/>
      <c r="AS13" s="91"/>
      <c r="AT13" s="91"/>
      <c r="AU13" s="92"/>
      <c r="AV13" s="100"/>
      <c r="AW13" s="91"/>
      <c r="AX13" s="91"/>
      <c r="AY13" s="92"/>
      <c r="AZ13" s="100"/>
      <c r="BA13" s="92"/>
      <c r="BB13" s="100"/>
      <c r="BC13" s="92"/>
      <c r="BD13" s="91"/>
      <c r="BE13" s="91"/>
    </row>
    <row r="14" spans="1:57" ht="14">
      <c r="A14" s="5"/>
      <c r="B14" s="5"/>
      <c r="C14" s="5"/>
      <c r="D14" s="117" t="s">
        <v>152</v>
      </c>
      <c r="E14" s="118" t="s">
        <v>153</v>
      </c>
      <c r="F14" s="118" t="s">
        <v>154</v>
      </c>
      <c r="G14" s="118" t="s">
        <v>155</v>
      </c>
      <c r="H14" s="117" t="s">
        <v>152</v>
      </c>
      <c r="I14" s="118" t="s">
        <v>153</v>
      </c>
      <c r="J14" s="118" t="s">
        <v>154</v>
      </c>
      <c r="K14" s="118" t="s">
        <v>155</v>
      </c>
      <c r="L14" s="117" t="s">
        <v>152</v>
      </c>
      <c r="M14" s="118" t="s">
        <v>153</v>
      </c>
      <c r="N14" s="118" t="s">
        <v>154</v>
      </c>
      <c r="O14" s="118" t="s">
        <v>155</v>
      </c>
      <c r="P14" s="117" t="s">
        <v>152</v>
      </c>
      <c r="Q14" s="118" t="s">
        <v>153</v>
      </c>
      <c r="R14" s="118" t="s">
        <v>154</v>
      </c>
      <c r="S14" s="118" t="s">
        <v>155</v>
      </c>
      <c r="T14" s="117" t="s">
        <v>152</v>
      </c>
      <c r="U14" s="118" t="s">
        <v>153</v>
      </c>
      <c r="V14" s="118" t="s">
        <v>154</v>
      </c>
      <c r="W14" s="118" t="s">
        <v>155</v>
      </c>
      <c r="X14" s="117" t="s">
        <v>152</v>
      </c>
      <c r="Y14" s="118" t="s">
        <v>153</v>
      </c>
      <c r="Z14" s="118" t="s">
        <v>154</v>
      </c>
      <c r="AA14" s="118" t="s">
        <v>155</v>
      </c>
      <c r="AB14" s="117" t="s">
        <v>152</v>
      </c>
      <c r="AC14" s="118" t="s">
        <v>153</v>
      </c>
      <c r="AD14" s="118" t="s">
        <v>154</v>
      </c>
      <c r="AE14" s="118" t="s">
        <v>155</v>
      </c>
      <c r="AF14" s="117" t="s">
        <v>152</v>
      </c>
      <c r="AG14" s="118" t="s">
        <v>153</v>
      </c>
      <c r="AH14" s="118" t="s">
        <v>154</v>
      </c>
      <c r="AI14" s="118" t="s">
        <v>155</v>
      </c>
      <c r="AJ14" s="117" t="s">
        <v>152</v>
      </c>
      <c r="AK14" s="118" t="s">
        <v>153</v>
      </c>
      <c r="AL14" s="118" t="s">
        <v>154</v>
      </c>
      <c r="AM14" s="118" t="s">
        <v>155</v>
      </c>
      <c r="AN14" s="117" t="s">
        <v>152</v>
      </c>
      <c r="AO14" s="118" t="s">
        <v>153</v>
      </c>
      <c r="AP14" s="118" t="s">
        <v>154</v>
      </c>
      <c r="AQ14" s="118" t="s">
        <v>155</v>
      </c>
      <c r="AR14" s="117" t="s">
        <v>152</v>
      </c>
      <c r="AS14" s="118" t="s">
        <v>153</v>
      </c>
      <c r="AT14" s="118" t="s">
        <v>154</v>
      </c>
      <c r="AU14" s="118" t="s">
        <v>155</v>
      </c>
      <c r="AV14" s="117" t="s">
        <v>152</v>
      </c>
      <c r="AW14" s="118" t="s">
        <v>153</v>
      </c>
      <c r="AX14" s="118" t="s">
        <v>154</v>
      </c>
      <c r="AY14" s="118" t="s">
        <v>155</v>
      </c>
      <c r="AZ14" s="100"/>
      <c r="BA14" s="92"/>
      <c r="BB14" s="100"/>
      <c r="BC14" s="92"/>
      <c r="BD14" s="91"/>
      <c r="BE14" s="91"/>
    </row>
    <row r="15" spans="1:57" ht="13">
      <c r="A15" s="89" t="s">
        <v>83</v>
      </c>
      <c r="B15" s="265"/>
      <c r="C15" s="121">
        <f>'Revised PS Model 2016'!BE22</f>
        <v>255097.23427740857</v>
      </c>
      <c r="D15" s="53">
        <v>300</v>
      </c>
      <c r="E15" s="123">
        <f t="shared" ref="E15:E18" si="6">D$10*D15/D$19</f>
        <v>61269.239436619711</v>
      </c>
      <c r="F15" s="124">
        <v>2298.06</v>
      </c>
      <c r="G15" s="123">
        <f t="shared" ref="G15:G18" si="7">E15-F15</f>
        <v>58971.179436619714</v>
      </c>
      <c r="H15" s="214">
        <v>300</v>
      </c>
      <c r="I15" s="123">
        <f t="shared" ref="I15:I18" si="8">H$10*H15/H$19</f>
        <v>55961.774647887323</v>
      </c>
      <c r="J15" s="124">
        <v>5204.53</v>
      </c>
      <c r="K15" s="123">
        <f t="shared" ref="K15:K18" si="9">I15-J15</f>
        <v>50757.244647887324</v>
      </c>
      <c r="L15" s="214">
        <v>300</v>
      </c>
      <c r="M15" s="123">
        <f t="shared" ref="M15:M18" si="10">L$10*L15/L$19</f>
        <v>49004.570422535209</v>
      </c>
      <c r="N15" s="124">
        <v>3063.8</v>
      </c>
      <c r="O15" s="123">
        <f t="shared" ref="O15:O18" si="11">M15-N15</f>
        <v>45940.770422535206</v>
      </c>
      <c r="P15" s="214">
        <v>300</v>
      </c>
      <c r="Q15" s="123">
        <f t="shared" ref="Q15:Q18" si="12">P$10*P15/P$19</f>
        <v>-8802.8169014084506</v>
      </c>
      <c r="R15" s="124"/>
      <c r="S15" s="123">
        <f t="shared" ref="S15:S18" si="13">Q15-R15</f>
        <v>-8802.8169014084506</v>
      </c>
      <c r="T15" s="214">
        <v>300</v>
      </c>
      <c r="U15" s="123">
        <f t="shared" ref="U15:U18" si="14">T$10*T15/T$19</f>
        <v>-8802.8169014084506</v>
      </c>
      <c r="V15" s="124"/>
      <c r="W15" s="123">
        <f t="shared" ref="W15:W18" si="15">U15-V15</f>
        <v>-8802.8169014084506</v>
      </c>
      <c r="X15" s="214">
        <v>300</v>
      </c>
      <c r="Y15" s="123">
        <f t="shared" ref="Y15:Y18" si="16">X$10*X15/X$19</f>
        <v>-8802.8169014084506</v>
      </c>
      <c r="Z15" s="124"/>
      <c r="AA15" s="123">
        <f t="shared" ref="AA15:AA18" si="17">Y15-Z15</f>
        <v>-8802.8169014084506</v>
      </c>
      <c r="AB15" s="214">
        <v>300</v>
      </c>
      <c r="AC15" s="123">
        <f t="shared" ref="AC15:AC18" si="18">AB$10*AB15/AB$19</f>
        <v>-8802.8169014084506</v>
      </c>
      <c r="AD15" s="124"/>
      <c r="AE15" s="123">
        <f t="shared" ref="AE15:AE18" si="19">AC15-AD15</f>
        <v>-8802.8169014084506</v>
      </c>
      <c r="AF15" s="214">
        <v>300</v>
      </c>
      <c r="AG15" s="123">
        <f t="shared" ref="AG15:AG18" si="20">AF$10*AF15/AF$19</f>
        <v>-8802.8169014084506</v>
      </c>
      <c r="AH15" s="124"/>
      <c r="AI15" s="123">
        <f t="shared" ref="AI15:AI18" si="21">AG15-AH15</f>
        <v>-8802.8169014084506</v>
      </c>
      <c r="AJ15" s="214">
        <v>300</v>
      </c>
      <c r="AK15" s="123">
        <f t="shared" ref="AK15:AK18" si="22">AJ$10*AJ15/AJ$19</f>
        <v>-8802.8169014084506</v>
      </c>
      <c r="AL15" s="124"/>
      <c r="AM15" s="123">
        <f t="shared" ref="AM15:AM18" si="23">AK15-AL15</f>
        <v>-8802.8169014084506</v>
      </c>
      <c r="AN15" s="214">
        <v>300</v>
      </c>
      <c r="AO15" s="123">
        <f t="shared" ref="AO15:AO18" si="24">AN$10*AN15/AN$19</f>
        <v>-8802.8169014084506</v>
      </c>
      <c r="AP15" s="124"/>
      <c r="AQ15" s="123">
        <f t="shared" ref="AQ15:AQ18" si="25">AO15-AP15</f>
        <v>-8802.8169014084506</v>
      </c>
      <c r="AR15" s="214">
        <v>300</v>
      </c>
      <c r="AS15" s="123">
        <f t="shared" ref="AS15:AS18" si="26">AR$10*AR15/AR$19</f>
        <v>-8802.8169014084506</v>
      </c>
      <c r="AT15" s="124"/>
      <c r="AU15" s="123">
        <f t="shared" ref="AU15:AU18" si="27">AS15-AT15</f>
        <v>-8802.8169014084506</v>
      </c>
      <c r="AV15" s="214">
        <v>300</v>
      </c>
      <c r="AW15" s="123">
        <f t="shared" ref="AW15:AW18" si="28">AV$10*AV15/AV$19</f>
        <v>-8802.8169014084506</v>
      </c>
      <c r="AX15" s="124"/>
      <c r="AY15" s="126">
        <f t="shared" ref="AY15:AY18" si="29">AW15-AX15</f>
        <v>-8802.8169014084506</v>
      </c>
      <c r="AZ15" s="127">
        <f t="shared" ref="AZ15:AZ18" si="30">IF($AV$3="1Q",AY15,0)+IF($AR$3="1Q",AU15,0)+IF($AN$3="1Q",AQ15,0)+IF($AJ$3="1Q",AM15,0)+IF($AF$3="1Q",AI15,0)+IF($AB$3="1Q",AE15,0)+IF($X$3="1Q",AA15,0)+IF($T$3="1Q",W15,0)+IF($P$3="1Q",S15,0)+IF($L$3="1Q",O15,0)+IF($H$3="1Q",K15,0)+IF($D$3="1Q",G15,0)</f>
        <v>155669.19450704224</v>
      </c>
      <c r="BA15" s="128">
        <f t="shared" ref="BA15:BA18" si="31">AZ15+$C15</f>
        <v>410766.42878445081</v>
      </c>
      <c r="BB15" s="127">
        <f t="shared" ref="BB15:BB18" si="32">IF($AV$4="1H",AY15,0)+IF($AR$4="1H",AU15,0)+IF($AN$4="1H",AQ15,0)+IF($AJ$4="1H",AM15,0)+IF($AF$4="1H",AI15,0)+IF($AB$4="1H",AE15,0)+IF($X$4="1H",AA15,0)+IF($T$4="1H",W15,0)+IF($P$4="1H",S15,0)+IF($L$4="1H",O15,0)+IF($H$4="1H",K15,0)+IF($D$4="1H",G15,0)</f>
        <v>129260.7438028169</v>
      </c>
      <c r="BC15" s="128">
        <f t="shared" ref="BC15:BC18" si="33">BB15+$C15</f>
        <v>384357.97808022547</v>
      </c>
      <c r="BD15" s="127">
        <f t="shared" ref="BD15:BD18" si="34">AY15+AU15+AQ15+AM15+AI15+AE15+AA15+W15+S15+O15+K15+G15</f>
        <v>76443.842394366191</v>
      </c>
      <c r="BE15" s="91">
        <f t="shared" ref="BE15:BE18" si="35">BD15+C15</f>
        <v>331541.07667177473</v>
      </c>
    </row>
    <row r="16" spans="1:57" ht="13">
      <c r="A16" s="89" t="s">
        <v>209</v>
      </c>
      <c r="B16" s="265"/>
      <c r="C16" s="121">
        <f>'Revised PS Model 2016'!BE23</f>
        <v>527.73059246948105</v>
      </c>
      <c r="D16" s="53">
        <v>100</v>
      </c>
      <c r="E16" s="123">
        <f t="shared" si="6"/>
        <v>20423.079812206572</v>
      </c>
      <c r="F16" s="124"/>
      <c r="G16" s="123">
        <f t="shared" si="7"/>
        <v>20423.079812206572</v>
      </c>
      <c r="H16" s="214">
        <v>100</v>
      </c>
      <c r="I16" s="123">
        <f t="shared" si="8"/>
        <v>18653.924882629108</v>
      </c>
      <c r="J16" s="124"/>
      <c r="K16" s="123">
        <f t="shared" si="9"/>
        <v>18653.924882629108</v>
      </c>
      <c r="L16" s="214">
        <v>100</v>
      </c>
      <c r="M16" s="123">
        <f t="shared" si="10"/>
        <v>16334.85680751174</v>
      </c>
      <c r="N16" s="124"/>
      <c r="O16" s="123">
        <f t="shared" si="11"/>
        <v>16334.85680751174</v>
      </c>
      <c r="P16" s="214">
        <v>100</v>
      </c>
      <c r="Q16" s="123">
        <f t="shared" si="12"/>
        <v>-2934.2723004694835</v>
      </c>
      <c r="R16" s="124"/>
      <c r="S16" s="123">
        <f t="shared" si="13"/>
        <v>-2934.2723004694835</v>
      </c>
      <c r="T16" s="214">
        <v>100</v>
      </c>
      <c r="U16" s="123">
        <f t="shared" si="14"/>
        <v>-2934.2723004694835</v>
      </c>
      <c r="V16" s="124"/>
      <c r="W16" s="123">
        <f t="shared" si="15"/>
        <v>-2934.2723004694835</v>
      </c>
      <c r="X16" s="214">
        <v>100</v>
      </c>
      <c r="Y16" s="123">
        <f t="shared" si="16"/>
        <v>-2934.2723004694835</v>
      </c>
      <c r="Z16" s="124"/>
      <c r="AA16" s="123">
        <f t="shared" si="17"/>
        <v>-2934.2723004694835</v>
      </c>
      <c r="AB16" s="214">
        <v>100</v>
      </c>
      <c r="AC16" s="123">
        <f t="shared" si="18"/>
        <v>-2934.2723004694835</v>
      </c>
      <c r="AD16" s="124"/>
      <c r="AE16" s="123">
        <f t="shared" si="19"/>
        <v>-2934.2723004694835</v>
      </c>
      <c r="AF16" s="214">
        <v>100</v>
      </c>
      <c r="AG16" s="123">
        <f t="shared" si="20"/>
        <v>-2934.2723004694835</v>
      </c>
      <c r="AH16" s="124"/>
      <c r="AI16" s="123">
        <f t="shared" si="21"/>
        <v>-2934.2723004694835</v>
      </c>
      <c r="AJ16" s="214">
        <v>100</v>
      </c>
      <c r="AK16" s="123">
        <f t="shared" si="22"/>
        <v>-2934.2723004694835</v>
      </c>
      <c r="AL16" s="124"/>
      <c r="AM16" s="123">
        <f t="shared" si="23"/>
        <v>-2934.2723004694835</v>
      </c>
      <c r="AN16" s="214">
        <v>100</v>
      </c>
      <c r="AO16" s="123">
        <f t="shared" si="24"/>
        <v>-2934.2723004694835</v>
      </c>
      <c r="AP16" s="124"/>
      <c r="AQ16" s="123">
        <f t="shared" si="25"/>
        <v>-2934.2723004694835</v>
      </c>
      <c r="AR16" s="214">
        <v>100</v>
      </c>
      <c r="AS16" s="123">
        <f t="shared" si="26"/>
        <v>-2934.2723004694835</v>
      </c>
      <c r="AT16" s="124"/>
      <c r="AU16" s="123">
        <f t="shared" si="27"/>
        <v>-2934.2723004694835</v>
      </c>
      <c r="AV16" s="214">
        <v>100</v>
      </c>
      <c r="AW16" s="123">
        <f t="shared" si="28"/>
        <v>-2934.2723004694835</v>
      </c>
      <c r="AX16" s="124"/>
      <c r="AY16" s="126">
        <f t="shared" si="29"/>
        <v>-2934.2723004694835</v>
      </c>
      <c r="AZ16" s="127">
        <f t="shared" si="30"/>
        <v>55411.861502347427</v>
      </c>
      <c r="BA16" s="128">
        <f t="shared" si="31"/>
        <v>55939.592094816908</v>
      </c>
      <c r="BB16" s="127">
        <f t="shared" si="32"/>
        <v>46609.044600938971</v>
      </c>
      <c r="BC16" s="128">
        <f t="shared" si="33"/>
        <v>47136.775193408452</v>
      </c>
      <c r="BD16" s="127">
        <f t="shared" si="34"/>
        <v>29003.410798122066</v>
      </c>
      <c r="BE16" s="91">
        <f t="shared" si="35"/>
        <v>29531.141390591547</v>
      </c>
    </row>
    <row r="17" spans="1:57" ht="13">
      <c r="A17" s="89" t="s">
        <v>61</v>
      </c>
      <c r="B17" s="265"/>
      <c r="C17" s="121">
        <f>'Revised PS Model 2016'!BE25</f>
        <v>52.775559246958437</v>
      </c>
      <c r="D17" s="53">
        <v>13</v>
      </c>
      <c r="E17" s="123">
        <f t="shared" si="6"/>
        <v>2655.0003755868543</v>
      </c>
      <c r="F17" s="124"/>
      <c r="G17" s="123">
        <f t="shared" si="7"/>
        <v>2655.0003755868543</v>
      </c>
      <c r="H17" s="53">
        <v>13</v>
      </c>
      <c r="I17" s="123">
        <f t="shared" si="8"/>
        <v>2425.0102347417842</v>
      </c>
      <c r="J17" s="124"/>
      <c r="K17" s="123">
        <f t="shared" si="9"/>
        <v>2425.0102347417842</v>
      </c>
      <c r="L17" s="53">
        <v>13</v>
      </c>
      <c r="M17" s="123">
        <f t="shared" si="10"/>
        <v>2123.5313849765262</v>
      </c>
      <c r="N17" s="124"/>
      <c r="O17" s="123">
        <f t="shared" si="11"/>
        <v>2123.5313849765262</v>
      </c>
      <c r="P17" s="53">
        <v>13</v>
      </c>
      <c r="Q17" s="123">
        <f t="shared" si="12"/>
        <v>-381.45539906103284</v>
      </c>
      <c r="R17" s="124"/>
      <c r="S17" s="123">
        <f t="shared" si="13"/>
        <v>-381.45539906103284</v>
      </c>
      <c r="T17" s="53">
        <v>13</v>
      </c>
      <c r="U17" s="123">
        <f t="shared" si="14"/>
        <v>-381.45539906103284</v>
      </c>
      <c r="V17" s="124"/>
      <c r="W17" s="123">
        <f t="shared" si="15"/>
        <v>-381.45539906103284</v>
      </c>
      <c r="X17" s="53">
        <v>13</v>
      </c>
      <c r="Y17" s="123">
        <f t="shared" si="16"/>
        <v>-381.45539906103284</v>
      </c>
      <c r="Z17" s="124"/>
      <c r="AA17" s="123">
        <f t="shared" si="17"/>
        <v>-381.45539906103284</v>
      </c>
      <c r="AB17" s="53">
        <v>13</v>
      </c>
      <c r="AC17" s="123">
        <f t="shared" si="18"/>
        <v>-381.45539906103284</v>
      </c>
      <c r="AD17" s="124"/>
      <c r="AE17" s="123">
        <f t="shared" si="19"/>
        <v>-381.45539906103284</v>
      </c>
      <c r="AF17" s="53">
        <v>13</v>
      </c>
      <c r="AG17" s="123">
        <f t="shared" si="20"/>
        <v>-381.45539906103284</v>
      </c>
      <c r="AH17" s="124"/>
      <c r="AI17" s="123">
        <f t="shared" si="21"/>
        <v>-381.45539906103284</v>
      </c>
      <c r="AJ17" s="53">
        <v>13</v>
      </c>
      <c r="AK17" s="123">
        <f t="shared" si="22"/>
        <v>-381.45539906103284</v>
      </c>
      <c r="AL17" s="124"/>
      <c r="AM17" s="123">
        <f t="shared" si="23"/>
        <v>-381.45539906103284</v>
      </c>
      <c r="AN17" s="53">
        <v>13</v>
      </c>
      <c r="AO17" s="123">
        <f t="shared" si="24"/>
        <v>-381.45539906103284</v>
      </c>
      <c r="AP17" s="124"/>
      <c r="AQ17" s="123">
        <f t="shared" si="25"/>
        <v>-381.45539906103284</v>
      </c>
      <c r="AR17" s="53">
        <v>13</v>
      </c>
      <c r="AS17" s="123">
        <f t="shared" si="26"/>
        <v>-381.45539906103284</v>
      </c>
      <c r="AT17" s="124"/>
      <c r="AU17" s="123">
        <f t="shared" si="27"/>
        <v>-381.45539906103284</v>
      </c>
      <c r="AV17" s="53">
        <v>13</v>
      </c>
      <c r="AW17" s="123">
        <f t="shared" si="28"/>
        <v>-381.45539906103284</v>
      </c>
      <c r="AX17" s="124"/>
      <c r="AY17" s="126">
        <f t="shared" si="29"/>
        <v>-381.45539906103284</v>
      </c>
      <c r="AZ17" s="127">
        <f t="shared" si="30"/>
        <v>7203.5419953051642</v>
      </c>
      <c r="BA17" s="128">
        <f t="shared" si="31"/>
        <v>7256.3175545521226</v>
      </c>
      <c r="BB17" s="127">
        <f t="shared" si="32"/>
        <v>6059.1757981220662</v>
      </c>
      <c r="BC17" s="128">
        <f t="shared" si="33"/>
        <v>6111.9513573690247</v>
      </c>
      <c r="BD17" s="127">
        <f t="shared" si="34"/>
        <v>3770.4434037558685</v>
      </c>
      <c r="BE17" s="91">
        <f t="shared" si="35"/>
        <v>3823.218963002827</v>
      </c>
    </row>
    <row r="18" spans="1:57" ht="13">
      <c r="A18" s="89" t="s">
        <v>65</v>
      </c>
      <c r="B18" s="265"/>
      <c r="C18" s="121">
        <f>'Revised PS Model 2016'!BE26</f>
        <v>52.775559246958437</v>
      </c>
      <c r="D18" s="53">
        <v>13</v>
      </c>
      <c r="E18" s="123">
        <f t="shared" si="6"/>
        <v>2655.0003755868543</v>
      </c>
      <c r="F18" s="124"/>
      <c r="G18" s="123">
        <f t="shared" si="7"/>
        <v>2655.0003755868543</v>
      </c>
      <c r="H18" s="53">
        <v>13</v>
      </c>
      <c r="I18" s="123">
        <f t="shared" si="8"/>
        <v>2425.0102347417842</v>
      </c>
      <c r="J18" s="124"/>
      <c r="K18" s="123">
        <f t="shared" si="9"/>
        <v>2425.0102347417842</v>
      </c>
      <c r="L18" s="53">
        <v>13</v>
      </c>
      <c r="M18" s="123">
        <f t="shared" si="10"/>
        <v>2123.5313849765262</v>
      </c>
      <c r="N18" s="124"/>
      <c r="O18" s="123">
        <f t="shared" si="11"/>
        <v>2123.5313849765262</v>
      </c>
      <c r="P18" s="53">
        <v>13</v>
      </c>
      <c r="Q18" s="123">
        <f t="shared" si="12"/>
        <v>-381.45539906103284</v>
      </c>
      <c r="R18" s="124"/>
      <c r="S18" s="123">
        <f t="shared" si="13"/>
        <v>-381.45539906103284</v>
      </c>
      <c r="T18" s="53">
        <v>13</v>
      </c>
      <c r="U18" s="123">
        <f t="shared" si="14"/>
        <v>-381.45539906103284</v>
      </c>
      <c r="V18" s="124"/>
      <c r="W18" s="123">
        <f t="shared" si="15"/>
        <v>-381.45539906103284</v>
      </c>
      <c r="X18" s="53">
        <v>13</v>
      </c>
      <c r="Y18" s="123">
        <f t="shared" si="16"/>
        <v>-381.45539906103284</v>
      </c>
      <c r="Z18" s="124"/>
      <c r="AA18" s="123">
        <f t="shared" si="17"/>
        <v>-381.45539906103284</v>
      </c>
      <c r="AB18" s="53">
        <v>13</v>
      </c>
      <c r="AC18" s="123">
        <f t="shared" si="18"/>
        <v>-381.45539906103284</v>
      </c>
      <c r="AD18" s="124"/>
      <c r="AE18" s="123">
        <f t="shared" si="19"/>
        <v>-381.45539906103284</v>
      </c>
      <c r="AF18" s="53">
        <v>13</v>
      </c>
      <c r="AG18" s="123">
        <f t="shared" si="20"/>
        <v>-381.45539906103284</v>
      </c>
      <c r="AH18" s="124"/>
      <c r="AI18" s="123">
        <f t="shared" si="21"/>
        <v>-381.45539906103284</v>
      </c>
      <c r="AJ18" s="53">
        <v>13</v>
      </c>
      <c r="AK18" s="123">
        <f t="shared" si="22"/>
        <v>-381.45539906103284</v>
      </c>
      <c r="AL18" s="124"/>
      <c r="AM18" s="123">
        <f t="shared" si="23"/>
        <v>-381.45539906103284</v>
      </c>
      <c r="AN18" s="53">
        <v>13</v>
      </c>
      <c r="AO18" s="123">
        <f t="shared" si="24"/>
        <v>-381.45539906103284</v>
      </c>
      <c r="AP18" s="124"/>
      <c r="AQ18" s="123">
        <f t="shared" si="25"/>
        <v>-381.45539906103284</v>
      </c>
      <c r="AR18" s="53">
        <v>13</v>
      </c>
      <c r="AS18" s="123">
        <f t="shared" si="26"/>
        <v>-381.45539906103284</v>
      </c>
      <c r="AT18" s="124"/>
      <c r="AU18" s="123">
        <f t="shared" si="27"/>
        <v>-381.45539906103284</v>
      </c>
      <c r="AV18" s="53">
        <v>13</v>
      </c>
      <c r="AW18" s="123">
        <f t="shared" si="28"/>
        <v>-381.45539906103284</v>
      </c>
      <c r="AX18" s="124"/>
      <c r="AY18" s="126">
        <f t="shared" si="29"/>
        <v>-381.45539906103284</v>
      </c>
      <c r="AZ18" s="127">
        <f t="shared" si="30"/>
        <v>7203.5419953051642</v>
      </c>
      <c r="BA18" s="128">
        <f t="shared" si="31"/>
        <v>7256.3175545521226</v>
      </c>
      <c r="BB18" s="127">
        <f t="shared" si="32"/>
        <v>6059.1757981220662</v>
      </c>
      <c r="BC18" s="128">
        <f t="shared" si="33"/>
        <v>6111.9513573690247</v>
      </c>
      <c r="BD18" s="127">
        <f t="shared" si="34"/>
        <v>3770.4434037558685</v>
      </c>
      <c r="BE18" s="91">
        <f t="shared" si="35"/>
        <v>3823.218963002827</v>
      </c>
    </row>
    <row r="19" spans="1:57" ht="13">
      <c r="A19" s="89"/>
      <c r="C19" s="61"/>
      <c r="D19" s="148">
        <f t="shared" ref="D19:E19" si="36">SUM(D15:D18)</f>
        <v>426</v>
      </c>
      <c r="E19" s="149">
        <f t="shared" si="36"/>
        <v>87002.319999999992</v>
      </c>
      <c r="F19" s="91"/>
      <c r="G19" s="91"/>
      <c r="H19" s="148">
        <f t="shared" ref="H19:I19" si="37">SUM(H15:H18)</f>
        <v>426</v>
      </c>
      <c r="I19" s="149">
        <f t="shared" si="37"/>
        <v>79465.72</v>
      </c>
      <c r="J19" s="91"/>
      <c r="K19" s="91"/>
      <c r="L19" s="148">
        <f t="shared" ref="L19:M19" si="38">SUM(L15:L18)</f>
        <v>426</v>
      </c>
      <c r="M19" s="149">
        <f t="shared" si="38"/>
        <v>69586.489999999991</v>
      </c>
      <c r="N19" s="91"/>
      <c r="O19" s="91"/>
      <c r="P19" s="148">
        <f t="shared" ref="P19:Q19" si="39">SUM(P15:P18)</f>
        <v>426</v>
      </c>
      <c r="Q19" s="149">
        <f t="shared" si="39"/>
        <v>-12500</v>
      </c>
      <c r="R19" s="91"/>
      <c r="S19" s="91"/>
      <c r="T19" s="148">
        <f t="shared" ref="T19:U19" si="40">SUM(T15:T18)</f>
        <v>426</v>
      </c>
      <c r="U19" s="149">
        <f t="shared" si="40"/>
        <v>-12500</v>
      </c>
      <c r="V19" s="91"/>
      <c r="W19" s="91"/>
      <c r="X19" s="148">
        <f t="shared" ref="X19:Y19" si="41">SUM(X15:X18)</f>
        <v>426</v>
      </c>
      <c r="Y19" s="149">
        <f t="shared" si="41"/>
        <v>-12500</v>
      </c>
      <c r="Z19" s="91"/>
      <c r="AA19" s="91"/>
      <c r="AB19" s="148">
        <f t="shared" ref="AB19:AC19" si="42">SUM(AB15:AB18)</f>
        <v>426</v>
      </c>
      <c r="AC19" s="149">
        <f t="shared" si="42"/>
        <v>-12500</v>
      </c>
      <c r="AD19" s="91"/>
      <c r="AE19" s="91"/>
      <c r="AF19" s="148">
        <f t="shared" ref="AF19:AG19" si="43">SUM(AF15:AF18)</f>
        <v>426</v>
      </c>
      <c r="AG19" s="149">
        <f t="shared" si="43"/>
        <v>-12500</v>
      </c>
      <c r="AH19" s="91"/>
      <c r="AI19" s="91"/>
      <c r="AJ19" s="148">
        <f t="shared" ref="AJ19:AK19" si="44">SUM(AJ15:AJ18)</f>
        <v>426</v>
      </c>
      <c r="AK19" s="149">
        <f t="shared" si="44"/>
        <v>-12500</v>
      </c>
      <c r="AL19" s="91"/>
      <c r="AM19" s="91"/>
      <c r="AN19" s="148">
        <f t="shared" ref="AN19:AO19" si="45">SUM(AN15:AN18)</f>
        <v>426</v>
      </c>
      <c r="AO19" s="149">
        <f t="shared" si="45"/>
        <v>-12500</v>
      </c>
      <c r="AP19" s="91"/>
      <c r="AQ19" s="91"/>
      <c r="AR19" s="148">
        <f t="shared" ref="AR19:AS19" si="46">SUM(AR15:AR18)</f>
        <v>426</v>
      </c>
      <c r="AS19" s="149">
        <f t="shared" si="46"/>
        <v>-12500</v>
      </c>
      <c r="AT19" s="91"/>
      <c r="AU19" s="91"/>
      <c r="AV19" s="148">
        <f t="shared" ref="AV19:AW19" si="47">SUM(AV15:AV18)</f>
        <v>426</v>
      </c>
      <c r="AW19" s="149">
        <f t="shared" si="47"/>
        <v>-12500</v>
      </c>
      <c r="AX19" s="124"/>
      <c r="AY19" s="92"/>
      <c r="AZ19" s="91"/>
      <c r="BA19" s="150"/>
      <c r="BB19" s="91"/>
      <c r="BC19" s="150"/>
    </row>
    <row r="20" spans="1:57" ht="14">
      <c r="A20" s="89"/>
      <c r="B20" s="5"/>
      <c r="C20" s="61"/>
      <c r="D20" s="10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W20" s="151"/>
      <c r="AX20" s="151"/>
      <c r="AY20" s="92"/>
      <c r="AZ20" s="216" t="str">
        <f>"Paid for "&amp;AZ2</f>
        <v>Paid for 1Q</v>
      </c>
      <c r="BA20" s="217" t="s">
        <v>256</v>
      </c>
      <c r="BB20" s="216" t="str">
        <f>"Paid for "&amp;BB2</f>
        <v>Paid for 1H</v>
      </c>
      <c r="BC20" s="217" t="s">
        <v>256</v>
      </c>
      <c r="BD20" s="216" t="str">
        <f>"Paid for "&amp;BD2</f>
        <v>Paid for 2017</v>
      </c>
      <c r="BE20" s="217" t="s">
        <v>256</v>
      </c>
    </row>
    <row r="21" spans="1:57" ht="13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Y21" s="245" t="s">
        <v>83</v>
      </c>
      <c r="AZ21" s="200">
        <f>AZ12</f>
        <v>37500</v>
      </c>
      <c r="BA21" s="271">
        <f t="shared" ref="BA21:BA24" si="48">BA15-AZ21</f>
        <v>373266.42878445081</v>
      </c>
      <c r="BB21" s="263">
        <f>BB12</f>
        <v>57500</v>
      </c>
      <c r="BC21" s="272">
        <f t="shared" ref="BC21:BC24" si="49">BC15-BB21</f>
        <v>326857.97808022547</v>
      </c>
      <c r="BD21" s="263">
        <f>BD12</f>
        <v>-17500</v>
      </c>
      <c r="BE21" s="272">
        <f t="shared" ref="BE21:BE24" si="50">BE15-BD21</f>
        <v>349041.07667177473</v>
      </c>
    </row>
    <row r="22" spans="1:57" ht="13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50" t="s">
        <v>209</v>
      </c>
      <c r="AZ22" s="90">
        <v>0</v>
      </c>
      <c r="BA22" s="273">
        <f t="shared" si="48"/>
        <v>55939.592094816908</v>
      </c>
      <c r="BB22" s="90">
        <f t="shared" ref="BB22:BB24" si="51">AZ22+0</f>
        <v>0</v>
      </c>
      <c r="BC22" s="272">
        <f t="shared" si="49"/>
        <v>47136.775193408452</v>
      </c>
      <c r="BD22" s="90">
        <f t="shared" ref="BD22:BD24" si="52">BB22+0</f>
        <v>0</v>
      </c>
      <c r="BE22" s="272">
        <f t="shared" si="50"/>
        <v>29531.141390591547</v>
      </c>
    </row>
    <row r="23" spans="1:57" ht="13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61</v>
      </c>
      <c r="AZ23" s="90">
        <v>0</v>
      </c>
      <c r="BA23" s="273">
        <f t="shared" si="48"/>
        <v>7256.3175545521226</v>
      </c>
      <c r="BB23" s="90">
        <f t="shared" si="51"/>
        <v>0</v>
      </c>
      <c r="BC23" s="272">
        <f t="shared" si="49"/>
        <v>6111.9513573690247</v>
      </c>
      <c r="BD23" s="90">
        <f t="shared" si="52"/>
        <v>0</v>
      </c>
      <c r="BE23" s="272">
        <f t="shared" si="50"/>
        <v>3823.218963002827</v>
      </c>
    </row>
    <row r="24" spans="1:57" ht="13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5" t="s">
        <v>65</v>
      </c>
      <c r="AZ24" s="274">
        <v>0</v>
      </c>
      <c r="BA24" s="279">
        <f t="shared" si="48"/>
        <v>7256.3175545521226</v>
      </c>
      <c r="BB24" s="274">
        <f t="shared" si="51"/>
        <v>0</v>
      </c>
      <c r="BC24" s="277">
        <f t="shared" si="49"/>
        <v>6111.9513573690247</v>
      </c>
      <c r="BD24" s="274">
        <f t="shared" si="52"/>
        <v>0</v>
      </c>
      <c r="BE24" s="277">
        <f t="shared" si="50"/>
        <v>3823.218963002827</v>
      </c>
    </row>
    <row r="25" spans="1:57" ht="13">
      <c r="A25" s="89"/>
      <c r="C25" s="61"/>
      <c r="D25" s="62"/>
      <c r="BC25" s="91"/>
      <c r="BD25" s="91"/>
      <c r="BE25" s="91"/>
    </row>
    <row r="26" spans="1:57" ht="13">
      <c r="A26" s="89"/>
      <c r="C26" s="61"/>
      <c r="D26" s="62"/>
      <c r="AY26" s="1"/>
      <c r="BA26" s="230"/>
      <c r="BB26" s="230"/>
      <c r="BC26" s="91"/>
      <c r="BD26" s="91"/>
      <c r="BE26" s="91"/>
    </row>
    <row r="27" spans="1:57" ht="13">
      <c r="A27" s="89"/>
      <c r="C27" s="61"/>
      <c r="D27" s="62"/>
      <c r="AZ27" s="152"/>
      <c r="BA27" s="152"/>
      <c r="BB27" s="152"/>
      <c r="BC27" s="91"/>
      <c r="BD27" s="91"/>
      <c r="BE27" s="91"/>
    </row>
    <row r="28" spans="1:57" ht="14">
      <c r="A28" s="89" t="s">
        <v>201</v>
      </c>
      <c r="C28" s="61"/>
      <c r="D28" s="62"/>
      <c r="AN28" s="1" t="s">
        <v>148</v>
      </c>
      <c r="AZ28" s="152"/>
      <c r="BA28" s="152"/>
      <c r="BB28" s="152"/>
      <c r="BC28" s="91"/>
      <c r="BD28" s="91"/>
      <c r="BE28" s="91"/>
    </row>
    <row r="29" spans="1:57" ht="13">
      <c r="A29" s="89"/>
      <c r="C29" s="61"/>
      <c r="D29" s="62"/>
      <c r="BC29" s="91"/>
    </row>
    <row r="30" spans="1:57" ht="13">
      <c r="A30" s="89"/>
      <c r="C30" s="61"/>
      <c r="D30" s="62"/>
    </row>
    <row r="31" spans="1:57" ht="13">
      <c r="A31" s="89"/>
      <c r="C31" s="61"/>
      <c r="D31" s="62"/>
    </row>
    <row r="32" spans="1:57" ht="13">
      <c r="A32" s="89"/>
      <c r="C32" s="61"/>
      <c r="D32" s="62"/>
    </row>
    <row r="33" spans="1:4" ht="13">
      <c r="A33" s="89"/>
      <c r="C33" s="61"/>
      <c r="D33" s="62"/>
    </row>
    <row r="34" spans="1:4" ht="13">
      <c r="A34" s="89"/>
      <c r="C34" s="61"/>
      <c r="D34" s="62"/>
    </row>
    <row r="35" spans="1:4" ht="13">
      <c r="A35" s="89"/>
      <c r="C35" s="61"/>
      <c r="D35" s="62"/>
    </row>
    <row r="36" spans="1:4" ht="13">
      <c r="A36" s="89"/>
      <c r="C36" s="61"/>
      <c r="D36" s="62"/>
    </row>
    <row r="37" spans="1:4" ht="13">
      <c r="A37" s="89"/>
      <c r="C37" s="61"/>
      <c r="D37" s="62"/>
    </row>
    <row r="38" spans="1:4" ht="13">
      <c r="A38" s="89"/>
      <c r="C38" s="61"/>
      <c r="D38" s="62"/>
    </row>
    <row r="39" spans="1:4" ht="13">
      <c r="A39" s="89"/>
      <c r="C39" s="61"/>
      <c r="D39" s="62"/>
    </row>
    <row r="40" spans="1:4" ht="13">
      <c r="A40" s="89"/>
      <c r="C40" s="61"/>
      <c r="D40" s="62"/>
    </row>
    <row r="41" spans="1:4" ht="13">
      <c r="A41" s="89"/>
      <c r="C41" s="61"/>
      <c r="D41" s="6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BE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7" width="15.1640625" customWidth="1"/>
  </cols>
  <sheetData>
    <row r="1" spans="1:57" ht="42.75" customHeight="1">
      <c r="A1" s="5" t="s">
        <v>148</v>
      </c>
      <c r="C1" s="61" t="s">
        <v>131</v>
      </c>
      <c r="D1" s="59">
        <v>42400</v>
      </c>
      <c r="E1" s="60"/>
      <c r="F1" s="60"/>
      <c r="G1" s="61"/>
      <c r="H1" s="59">
        <v>42428</v>
      </c>
      <c r="I1" s="60"/>
      <c r="J1" s="60"/>
      <c r="K1" s="61"/>
      <c r="L1" s="59">
        <v>42460</v>
      </c>
      <c r="M1" s="60"/>
      <c r="N1" s="60"/>
      <c r="O1" s="61"/>
      <c r="P1" s="59">
        <v>42490</v>
      </c>
      <c r="Q1" s="60"/>
      <c r="R1" s="60"/>
      <c r="S1" s="61"/>
      <c r="T1" s="59">
        <v>42521</v>
      </c>
      <c r="U1" s="60"/>
      <c r="V1" s="60"/>
      <c r="W1" s="61"/>
      <c r="X1" s="59">
        <v>42551</v>
      </c>
      <c r="Y1" s="60"/>
      <c r="Z1" s="60"/>
      <c r="AA1" s="61"/>
      <c r="AB1" s="59">
        <v>42582</v>
      </c>
      <c r="AC1" s="60"/>
      <c r="AD1" s="60"/>
      <c r="AE1" s="61"/>
      <c r="AF1" s="59">
        <v>42613</v>
      </c>
      <c r="AG1" s="60"/>
      <c r="AH1" s="60"/>
      <c r="AI1" s="61"/>
      <c r="AJ1" s="59">
        <v>42643</v>
      </c>
      <c r="AK1" s="60"/>
      <c r="AL1" s="60"/>
      <c r="AM1" s="61"/>
      <c r="AN1" s="59">
        <v>42674</v>
      </c>
      <c r="AO1" s="60"/>
      <c r="AP1" s="60"/>
      <c r="AQ1" s="61"/>
      <c r="AR1" s="59">
        <v>42704</v>
      </c>
      <c r="AS1" s="60"/>
      <c r="AT1" s="60"/>
      <c r="AU1" s="61"/>
      <c r="AV1" s="59">
        <v>42735</v>
      </c>
      <c r="AW1" s="60"/>
      <c r="AX1" s="60"/>
      <c r="BB1" s="62"/>
      <c r="BC1" s="61"/>
    </row>
    <row r="2" spans="1:57" ht="14">
      <c r="A2" s="5"/>
      <c r="C2" s="61"/>
      <c r="D2" s="62">
        <f>YEAR(D1)</f>
        <v>2016</v>
      </c>
      <c r="G2" s="61"/>
      <c r="H2" s="62">
        <f>YEAR(H1)</f>
        <v>2016</v>
      </c>
      <c r="K2" s="61"/>
      <c r="L2" s="62">
        <f>YEAR(L1)</f>
        <v>2016</v>
      </c>
      <c r="O2" s="61"/>
      <c r="P2" s="62">
        <f>YEAR(P1)</f>
        <v>2016</v>
      </c>
      <c r="S2" s="61"/>
      <c r="T2" s="62">
        <f>YEAR(T1)</f>
        <v>2016</v>
      </c>
      <c r="W2" s="61"/>
      <c r="X2" s="62">
        <f>YEAR(X1)</f>
        <v>2016</v>
      </c>
      <c r="AA2" s="61"/>
      <c r="AB2" s="62">
        <f>YEAR(AB1)</f>
        <v>2016</v>
      </c>
      <c r="AE2" s="61"/>
      <c r="AF2" s="62">
        <f>YEAR(AF1)</f>
        <v>2016</v>
      </c>
      <c r="AI2" s="61"/>
      <c r="AJ2" s="62">
        <f>YEAR(AJ1)</f>
        <v>2016</v>
      </c>
      <c r="AM2" s="61"/>
      <c r="AN2" s="62">
        <f>YEAR(AN1)</f>
        <v>2016</v>
      </c>
      <c r="AQ2" s="61"/>
      <c r="AR2" s="62">
        <f>YEAR(AR1)</f>
        <v>2016</v>
      </c>
      <c r="AU2" s="61"/>
      <c r="AV2" s="62">
        <f>YEAR(AV1)</f>
        <v>2016</v>
      </c>
      <c r="AY2" s="61"/>
      <c r="AZ2" s="65" t="s">
        <v>132</v>
      </c>
      <c r="BA2" s="65"/>
      <c r="BB2" s="209" t="s">
        <v>247</v>
      </c>
      <c r="BC2" s="61"/>
      <c r="BD2" s="67">
        <v>2016</v>
      </c>
      <c r="BE2" s="67"/>
    </row>
    <row r="3" spans="1:5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  <c r="BE3" s="72"/>
    </row>
    <row r="4" spans="1:57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  <c r="BE4" s="72"/>
    </row>
    <row r="5" spans="1:57" ht="13">
      <c r="A5" s="89" t="s">
        <v>136</v>
      </c>
      <c r="C5" s="61"/>
      <c r="D5" s="90">
        <f>113398.48-39294.91</f>
        <v>74103.569999999992</v>
      </c>
      <c r="E5" s="91"/>
      <c r="F5" s="91"/>
      <c r="G5" s="92"/>
      <c r="H5" s="90">
        <v>78165.91</v>
      </c>
      <c r="I5" s="91"/>
      <c r="J5" s="91"/>
      <c r="K5" s="92"/>
      <c r="L5" s="90">
        <v>101041.64</v>
      </c>
      <c r="M5" s="91"/>
      <c r="N5" s="91"/>
      <c r="O5" s="92"/>
      <c r="P5" s="90">
        <v>91549.95</v>
      </c>
      <c r="Q5" s="91"/>
      <c r="R5" s="91"/>
      <c r="S5" s="92"/>
      <c r="T5" s="90">
        <v>77897.45</v>
      </c>
      <c r="U5" s="91"/>
      <c r="V5" s="91"/>
      <c r="W5" s="92"/>
      <c r="X5" s="90">
        <v>88297.37</v>
      </c>
      <c r="Y5" s="91"/>
      <c r="Z5" s="91"/>
      <c r="AA5" s="92"/>
      <c r="AB5" s="90">
        <v>29842.76</v>
      </c>
      <c r="AC5" s="91"/>
      <c r="AD5" s="91"/>
      <c r="AE5" s="92"/>
      <c r="AF5" s="90">
        <v>85153.84</v>
      </c>
      <c r="AG5" s="91"/>
      <c r="AH5" s="91"/>
      <c r="AI5" s="92"/>
      <c r="AJ5" s="90">
        <v>68026.64</v>
      </c>
      <c r="AK5" s="91"/>
      <c r="AL5" s="91"/>
      <c r="AM5" s="92"/>
      <c r="AN5" s="90">
        <v>4657.07</v>
      </c>
      <c r="AO5" s="91"/>
      <c r="AP5" s="91"/>
      <c r="AQ5" s="92"/>
      <c r="AR5" s="90">
        <v>63978.33</v>
      </c>
      <c r="AS5" s="91"/>
      <c r="AT5" s="91"/>
      <c r="AU5" s="92"/>
      <c r="AV5" s="90">
        <v>-42975.63</v>
      </c>
      <c r="AW5" s="151"/>
      <c r="AX5" s="151"/>
      <c r="AY5" s="92"/>
      <c r="AZ5" s="93">
        <f t="shared" ref="AZ5:AZ7" si="0">SUMIF($D$3:$AY$3,AZ$2,$D5:$AY5)</f>
        <v>253311.12</v>
      </c>
      <c r="BA5" s="92"/>
      <c r="BB5" s="93">
        <f t="shared" ref="BB5:BB7" si="1">SUMIF($D$4:$AY$4,BB$2,$D5:$AY5)</f>
        <v>511055.89</v>
      </c>
      <c r="BC5" s="92"/>
      <c r="BD5" s="94">
        <f t="shared" ref="BD5:BD7" si="2">SUMIF($D$2:$AY$2,$BD$2,$D5:$AY5)</f>
        <v>719738.89999999991</v>
      </c>
      <c r="BE5" s="94"/>
    </row>
    <row r="6" spans="1:57" ht="14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302.47000000000003</v>
      </c>
      <c r="AG6" s="91" t="s">
        <v>317</v>
      </c>
      <c r="AH6" s="91"/>
      <c r="AI6" s="92"/>
      <c r="AJ6" s="90">
        <v>0</v>
      </c>
      <c r="AK6" s="91"/>
      <c r="AL6" s="91"/>
      <c r="AM6" s="92"/>
      <c r="AN6" s="90">
        <v>123.21</v>
      </c>
      <c r="AO6" s="91" t="s">
        <v>317</v>
      </c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2"/>
      <c r="BD6" s="94">
        <f t="shared" si="2"/>
        <v>425.68</v>
      </c>
      <c r="BE6" s="94"/>
    </row>
    <row r="7" spans="1:57" ht="13">
      <c r="A7" s="89" t="s">
        <v>143</v>
      </c>
      <c r="B7" s="99">
        <v>12500</v>
      </c>
      <c r="C7" s="61"/>
      <c r="D7" s="100">
        <f>'Updated uncollectible PS Model '!ColinSalary</f>
        <v>12500</v>
      </c>
      <c r="E7" s="91"/>
      <c r="F7" s="91"/>
      <c r="G7" s="92"/>
      <c r="H7" s="100">
        <f>'Updated uncollectible PS Model '!ColinSalary</f>
        <v>12500</v>
      </c>
      <c r="I7" s="91"/>
      <c r="J7" s="91"/>
      <c r="K7" s="92"/>
      <c r="L7" s="100">
        <f>'Updated uncollectible PS Model '!ColinSalary</f>
        <v>12500</v>
      </c>
      <c r="M7" s="91"/>
      <c r="N7" s="91"/>
      <c r="O7" s="92"/>
      <c r="P7" s="100">
        <f>'Updated uncollectible PS Model '!ColinSalary</f>
        <v>12500</v>
      </c>
      <c r="Q7" s="91"/>
      <c r="R7" s="91"/>
      <c r="S7" s="92"/>
      <c r="T7" s="100">
        <f>'Updated uncollectible PS Model '!ColinSalary</f>
        <v>12500</v>
      </c>
      <c r="U7" s="91"/>
      <c r="V7" s="91"/>
      <c r="W7" s="92"/>
      <c r="X7" s="100">
        <f>'Updated uncollectible PS Model '!ColinSalary</f>
        <v>12500</v>
      </c>
      <c r="Y7" s="91"/>
      <c r="Z7" s="91"/>
      <c r="AA7" s="92"/>
      <c r="AB7" s="100">
        <f>'Updated uncollectible PS Model '!ColinSalary</f>
        <v>12500</v>
      </c>
      <c r="AC7" s="91"/>
      <c r="AD7" s="91"/>
      <c r="AE7" s="92"/>
      <c r="AF7" s="100">
        <f>'Updated uncollectible PS Model '!ColinSalary</f>
        <v>12500</v>
      </c>
      <c r="AG7" s="91"/>
      <c r="AH7" s="91"/>
      <c r="AI7" s="92"/>
      <c r="AJ7" s="100">
        <f>'Updated uncollectible PS Model '!ColinSalary</f>
        <v>12500</v>
      </c>
      <c r="AK7" s="91"/>
      <c r="AL7" s="91"/>
      <c r="AM7" s="92"/>
      <c r="AN7" s="100">
        <f>'Updated uncollectible PS Model '!ColinSalary</f>
        <v>12500</v>
      </c>
      <c r="AO7" s="91"/>
      <c r="AP7" s="91"/>
      <c r="AQ7" s="92"/>
      <c r="AR7" s="100">
        <f>'Updated uncollectible PS Model '!ColinSalary</f>
        <v>12500</v>
      </c>
      <c r="AS7" s="91"/>
      <c r="AT7" s="91"/>
      <c r="AU7" s="92"/>
      <c r="AV7" s="100">
        <f>'Updated uncollectible PS Model 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  <c r="BE7" s="94"/>
    </row>
    <row r="8" spans="1:57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SUM(AZ23:AZ26)</f>
        <v>57895.65</v>
      </c>
      <c r="AC8" s="91"/>
      <c r="AD8" s="91"/>
      <c r="AE8" s="92"/>
      <c r="AF8" s="103"/>
      <c r="AG8" s="91"/>
      <c r="AH8" s="91"/>
      <c r="AI8" s="92"/>
      <c r="AJ8" s="103"/>
      <c r="AK8" s="91"/>
      <c r="AL8" s="91"/>
      <c r="AM8" s="92"/>
      <c r="AN8" s="103">
        <f>SUM(BB23:BB26)-SUM(AZ23:AZ26)</f>
        <v>73614.460000000021</v>
      </c>
      <c r="AO8" s="91"/>
      <c r="AP8" s="91"/>
      <c r="AQ8" s="92"/>
      <c r="AR8" s="103"/>
      <c r="AS8" s="91"/>
      <c r="AT8" s="91"/>
      <c r="AU8" s="92"/>
      <c r="AV8" s="103">
        <f>9450.84*2+94223.66</f>
        <v>113125.34</v>
      </c>
      <c r="AW8" s="91"/>
      <c r="AX8" s="91"/>
      <c r="AY8" s="92"/>
      <c r="AZ8" s="93"/>
      <c r="BA8" s="92"/>
      <c r="BB8" s="93"/>
      <c r="BC8" s="92"/>
      <c r="BD8" s="94"/>
      <c r="BE8" s="94"/>
    </row>
    <row r="9" spans="1:57" ht="13">
      <c r="A9" s="89" t="s">
        <v>145</v>
      </c>
      <c r="B9" s="101"/>
      <c r="C9" s="102"/>
      <c r="D9" s="104">
        <f>SUM(F15:F19)</f>
        <v>3436.08</v>
      </c>
      <c r="E9" s="91"/>
      <c r="F9" s="91"/>
      <c r="G9" s="92"/>
      <c r="H9" s="104">
        <f>SUM(J15:J19)</f>
        <v>2196.2800000000002</v>
      </c>
      <c r="I9" s="91"/>
      <c r="J9" s="91"/>
      <c r="K9" s="92"/>
      <c r="L9" s="104">
        <f>SUM(N15:N19)</f>
        <v>1187.95</v>
      </c>
      <c r="M9" s="91"/>
      <c r="N9" s="91"/>
      <c r="O9" s="92"/>
      <c r="P9" s="104">
        <f>SUM(R15:R19)</f>
        <v>4451.3599999999997</v>
      </c>
      <c r="Q9" s="91"/>
      <c r="R9" s="91"/>
      <c r="S9" s="92"/>
      <c r="T9" s="104">
        <f>SUM(V15:V19)</f>
        <v>2020.72</v>
      </c>
      <c r="U9" s="91"/>
      <c r="V9" s="91"/>
      <c r="W9" s="92"/>
      <c r="X9" s="104">
        <f>SUM(Z15:Z19)</f>
        <v>6312.39</v>
      </c>
      <c r="Y9" s="91"/>
      <c r="Z9" s="91"/>
      <c r="AA9" s="92"/>
      <c r="AB9" s="104">
        <f>SUM(AD15:AD19)</f>
        <v>3855.77</v>
      </c>
      <c r="AC9" s="91"/>
      <c r="AD9" s="91"/>
      <c r="AE9" s="92"/>
      <c r="AF9" s="104">
        <f>SUM(AH15:AH19)</f>
        <v>5140</v>
      </c>
      <c r="AG9" s="91"/>
      <c r="AH9" s="91"/>
      <c r="AI9" s="92"/>
      <c r="AJ9" s="104">
        <f>SUM(AL15:AL19)</f>
        <v>2844.7599999999998</v>
      </c>
      <c r="AK9" s="91"/>
      <c r="AL9" s="91"/>
      <c r="AM9" s="92"/>
      <c r="AN9" s="104">
        <f>SUM(AP15:AP19)</f>
        <v>1215.05</v>
      </c>
      <c r="AO9" s="91"/>
      <c r="AP9" s="91"/>
      <c r="AQ9" s="92"/>
      <c r="AR9" s="104">
        <f>SUM(AT15:AT19)</f>
        <v>5410.74</v>
      </c>
      <c r="AS9" s="91"/>
      <c r="AT9" s="91"/>
      <c r="AU9" s="92"/>
      <c r="AV9" s="104">
        <f>SUM(AX15:AX19)</f>
        <v>1306.33</v>
      </c>
      <c r="AW9" s="91"/>
      <c r="AX9" s="91"/>
      <c r="AY9" s="92"/>
      <c r="AZ9" s="93">
        <f t="shared" ref="AZ9:AZ12" si="3">SUMIF($D$3:$AY$3,AZ$2,$D9:$AY9)</f>
        <v>6820.31</v>
      </c>
      <c r="BA9" s="92"/>
      <c r="BB9" s="93">
        <f t="shared" ref="BB9:BB12" si="4">SUMIF($D$4:$AY$4,BB$2,$D9:$AY9)</f>
        <v>19604.78</v>
      </c>
      <c r="BC9" s="92"/>
      <c r="BD9" s="94">
        <f t="shared" ref="BD9:BD12" si="5">SUMIF($D$2:$AY$2,$BD$2,$D9:$AY9)</f>
        <v>39377.43</v>
      </c>
      <c r="BE9" s="94"/>
    </row>
    <row r="10" spans="1:57" ht="28">
      <c r="A10" s="89" t="s">
        <v>146</v>
      </c>
      <c r="C10" s="61"/>
      <c r="D10" s="104">
        <f>D5-D6-D7+D9+D8</f>
        <v>65039.649999999994</v>
      </c>
      <c r="E10" s="91"/>
      <c r="F10" s="91"/>
      <c r="G10" s="92"/>
      <c r="H10" s="104">
        <f>H5-H6-H7+H9+H8</f>
        <v>67862.19</v>
      </c>
      <c r="I10" s="91"/>
      <c r="J10" s="91"/>
      <c r="K10" s="92"/>
      <c r="L10" s="104">
        <f>L5-L6-L7+L9+L8</f>
        <v>89729.59</v>
      </c>
      <c r="M10" s="91"/>
      <c r="N10" s="91"/>
      <c r="O10" s="92"/>
      <c r="P10" s="104">
        <f>P5-P6-P7+P9+P8+800</f>
        <v>84301.31</v>
      </c>
      <c r="Q10" s="91" t="s">
        <v>318</v>
      </c>
      <c r="R10" s="91"/>
      <c r="S10" s="92"/>
      <c r="T10" s="104">
        <f>T5-T6-T7+T9+T8</f>
        <v>67418.17</v>
      </c>
      <c r="U10" s="91"/>
      <c r="V10" s="91"/>
      <c r="W10" s="92"/>
      <c r="X10" s="104">
        <f>X5-X6-X7+X9+X8</f>
        <v>82109.759999999995</v>
      </c>
      <c r="Y10" s="91"/>
      <c r="Z10" s="91"/>
      <c r="AA10" s="92"/>
      <c r="AB10" s="104">
        <f>AB5-AB6-AB7+AB9+AB8</f>
        <v>79094.179999999993</v>
      </c>
      <c r="AC10" s="91"/>
      <c r="AD10" s="91"/>
      <c r="AE10" s="92"/>
      <c r="AF10" s="104">
        <f>AF5-AF6-AF7+AF9+AF8</f>
        <v>77491.37</v>
      </c>
      <c r="AG10" s="91"/>
      <c r="AH10" s="91"/>
      <c r="AI10" s="92"/>
      <c r="AJ10" s="104">
        <f>AJ5-AJ6-AJ7+AJ9+AJ8</f>
        <v>58371.4</v>
      </c>
      <c r="AK10" s="91"/>
      <c r="AL10" s="91"/>
      <c r="AM10" s="92"/>
      <c r="AN10" s="104">
        <f>AN5-AN6-AN7+AN9+AN8</f>
        <v>66863.370000000024</v>
      </c>
      <c r="AO10" s="91"/>
      <c r="AP10" s="91"/>
      <c r="AQ10" s="92"/>
      <c r="AR10" s="104">
        <f>AR5-AR6-AR7+AR9+AR8</f>
        <v>56889.07</v>
      </c>
      <c r="AS10" s="91"/>
      <c r="AT10" s="91"/>
      <c r="AU10" s="92"/>
      <c r="AV10" s="104">
        <f>AV5-AV6-AV7+AV9+AV8</f>
        <v>58956.04</v>
      </c>
      <c r="AW10" s="91"/>
      <c r="AX10" s="91"/>
      <c r="AY10" s="92"/>
      <c r="AZ10" s="93">
        <f t="shared" si="3"/>
        <v>222631.43</v>
      </c>
      <c r="BA10" s="92"/>
      <c r="BB10" s="93">
        <f t="shared" si="4"/>
        <v>456460.67</v>
      </c>
      <c r="BC10" s="92"/>
      <c r="BD10" s="94">
        <f t="shared" si="5"/>
        <v>854126.1</v>
      </c>
      <c r="BE10" s="94"/>
    </row>
    <row r="11" spans="1:57" ht="13">
      <c r="A11" s="89" t="s">
        <v>147</v>
      </c>
      <c r="C11" s="61"/>
      <c r="D11" s="90">
        <f>32500+15000+7000+402.95</f>
        <v>54902.95</v>
      </c>
      <c r="E11" s="91"/>
      <c r="F11" s="91"/>
      <c r="G11" s="92"/>
      <c r="H11" s="90">
        <v>50000</v>
      </c>
      <c r="I11" s="91"/>
      <c r="J11" s="91"/>
      <c r="K11" s="92"/>
      <c r="L11" s="90">
        <v>0</v>
      </c>
      <c r="M11" s="91"/>
      <c r="N11" s="91"/>
      <c r="O11" s="92"/>
      <c r="P11" s="90">
        <f>12500+25000+15000+10000</f>
        <v>62500</v>
      </c>
      <c r="Q11" s="91"/>
      <c r="R11" s="91"/>
      <c r="S11" s="92"/>
      <c r="T11" s="90">
        <v>12500</v>
      </c>
      <c r="U11" s="91"/>
      <c r="V11" s="91"/>
      <c r="W11" s="92"/>
      <c r="X11" s="90">
        <v>118000</v>
      </c>
      <c r="Y11" s="91"/>
      <c r="Z11" s="91"/>
      <c r="AA11" s="92"/>
      <c r="AB11" s="90">
        <v>32500</v>
      </c>
      <c r="AC11" s="91"/>
      <c r="AD11" s="91"/>
      <c r="AE11" s="92"/>
      <c r="AF11" s="90">
        <v>12500</v>
      </c>
      <c r="AG11" s="91"/>
      <c r="AH11" s="91"/>
      <c r="AI11" s="92"/>
      <c r="AJ11" s="90">
        <f>80000+75000+75000</f>
        <v>230000</v>
      </c>
      <c r="AK11" s="91"/>
      <c r="AL11" s="91"/>
      <c r="AM11" s="92"/>
      <c r="AN11" s="90">
        <v>12500</v>
      </c>
      <c r="AO11" s="91"/>
      <c r="AP11" s="91"/>
      <c r="AQ11" s="92"/>
      <c r="AR11" s="90">
        <v>75000</v>
      </c>
      <c r="AS11" s="91"/>
      <c r="AT11" s="91"/>
      <c r="AU11" s="92"/>
      <c r="AV11" s="90">
        <f>12500+100000+30000+12500</f>
        <v>155000</v>
      </c>
      <c r="AW11" s="91"/>
      <c r="AX11" s="91"/>
      <c r="AY11" s="92"/>
      <c r="AZ11" s="93">
        <f t="shared" si="3"/>
        <v>104902.95</v>
      </c>
      <c r="BA11" s="92"/>
      <c r="BB11" s="93">
        <f t="shared" si="4"/>
        <v>297902.95</v>
      </c>
      <c r="BC11" s="92"/>
      <c r="BD11" s="94">
        <f t="shared" si="5"/>
        <v>815402.95</v>
      </c>
      <c r="BE11" s="94"/>
    </row>
    <row r="12" spans="1:57" ht="28">
      <c r="A12" s="5" t="s">
        <v>151</v>
      </c>
      <c r="C12" s="61"/>
      <c r="D12" s="100">
        <f>D11-D7</f>
        <v>42402.95</v>
      </c>
      <c r="E12" s="91"/>
      <c r="F12" s="91"/>
      <c r="G12" s="92"/>
      <c r="H12" s="100">
        <f>H11-H7</f>
        <v>37500</v>
      </c>
      <c r="I12" s="91"/>
      <c r="J12" s="91"/>
      <c r="K12" s="92"/>
      <c r="L12" s="100">
        <f>L11-L7</f>
        <v>-12500</v>
      </c>
      <c r="M12" s="91"/>
      <c r="N12" s="91"/>
      <c r="O12" s="92"/>
      <c r="P12" s="100">
        <f>P11-P7</f>
        <v>50000</v>
      </c>
      <c r="Q12" s="91"/>
      <c r="R12" s="91"/>
      <c r="S12" s="92"/>
      <c r="T12" s="100">
        <f>T11-T7</f>
        <v>0</v>
      </c>
      <c r="U12" s="91"/>
      <c r="V12" s="91"/>
      <c r="W12" s="92"/>
      <c r="X12" s="100">
        <f>X11-X7</f>
        <v>105500</v>
      </c>
      <c r="Y12" s="91"/>
      <c r="Z12" s="91"/>
      <c r="AA12" s="92"/>
      <c r="AB12" s="100">
        <f>AB11-AB7</f>
        <v>20000</v>
      </c>
      <c r="AC12" s="91"/>
      <c r="AD12" s="91"/>
      <c r="AE12" s="92"/>
      <c r="AF12" s="100">
        <f>AF11-AF7</f>
        <v>0</v>
      </c>
      <c r="AG12" s="91"/>
      <c r="AH12" s="91"/>
      <c r="AI12" s="92"/>
      <c r="AJ12" s="100">
        <f>AJ11-AJ7</f>
        <v>217500</v>
      </c>
      <c r="AK12" s="91"/>
      <c r="AL12" s="91"/>
      <c r="AM12" s="92"/>
      <c r="AN12" s="100">
        <f>AN11-AN7</f>
        <v>0</v>
      </c>
      <c r="AO12" s="91"/>
      <c r="AP12" s="91"/>
      <c r="AQ12" s="92"/>
      <c r="AR12" s="100">
        <f>AR11-AR7</f>
        <v>62500</v>
      </c>
      <c r="AS12" s="91"/>
      <c r="AT12" s="91"/>
      <c r="AU12" s="92"/>
      <c r="AV12" s="100">
        <f>AV11-AV7</f>
        <v>142500</v>
      </c>
      <c r="AW12" s="91"/>
      <c r="AX12" s="91"/>
      <c r="AY12" s="92"/>
      <c r="AZ12" s="93">
        <f t="shared" si="3"/>
        <v>67402.95</v>
      </c>
      <c r="BA12" s="92"/>
      <c r="BB12" s="93">
        <f t="shared" si="4"/>
        <v>222902.95</v>
      </c>
      <c r="BC12" s="92"/>
      <c r="BD12" s="94">
        <f t="shared" si="5"/>
        <v>665402.94999999995</v>
      </c>
      <c r="BE12" s="94"/>
    </row>
    <row r="13" spans="1:57" ht="13">
      <c r="A13" s="5"/>
      <c r="C13" s="61"/>
      <c r="D13" s="100"/>
      <c r="E13" s="91"/>
      <c r="F13" s="91"/>
      <c r="G13" s="92"/>
      <c r="H13" s="100"/>
      <c r="I13" s="91"/>
      <c r="J13" s="91"/>
      <c r="K13" s="92"/>
      <c r="L13" s="100"/>
      <c r="M13" s="91"/>
      <c r="N13" s="91"/>
      <c r="O13" s="92"/>
      <c r="P13" s="100"/>
      <c r="Q13" s="91"/>
      <c r="R13" s="91"/>
      <c r="S13" s="92"/>
      <c r="T13" s="100"/>
      <c r="U13" s="91"/>
      <c r="V13" s="91"/>
      <c r="W13" s="92"/>
      <c r="X13" s="100"/>
      <c r="Y13" s="91"/>
      <c r="Z13" s="91"/>
      <c r="AA13" s="92"/>
      <c r="AB13" s="100"/>
      <c r="AC13" s="91"/>
      <c r="AD13" s="91"/>
      <c r="AE13" s="92"/>
      <c r="AF13" s="100"/>
      <c r="AG13" s="91"/>
      <c r="AH13" s="91"/>
      <c r="AI13" s="92"/>
      <c r="AJ13" s="100"/>
      <c r="AK13" s="91"/>
      <c r="AL13" s="91"/>
      <c r="AM13" s="92"/>
      <c r="AN13" s="100"/>
      <c r="AO13" s="91"/>
      <c r="AP13" s="91"/>
      <c r="AQ13" s="92"/>
      <c r="AR13" s="100"/>
      <c r="AS13" s="91"/>
      <c r="AT13" s="91"/>
      <c r="AU13" s="92"/>
      <c r="AV13" s="100"/>
      <c r="AW13" s="91"/>
      <c r="AX13" s="91"/>
      <c r="AY13" s="92"/>
      <c r="AZ13" s="100"/>
      <c r="BA13" s="92"/>
      <c r="BB13" s="100"/>
      <c r="BC13" s="92"/>
      <c r="BD13" s="91"/>
      <c r="BE13" s="91"/>
    </row>
    <row r="14" spans="1:57" ht="14">
      <c r="A14" s="5"/>
      <c r="B14" s="5"/>
      <c r="C14" s="5"/>
      <c r="D14" s="117" t="s">
        <v>152</v>
      </c>
      <c r="E14" s="118" t="s">
        <v>153</v>
      </c>
      <c r="F14" s="118" t="s">
        <v>154</v>
      </c>
      <c r="G14" s="118" t="s">
        <v>155</v>
      </c>
      <c r="H14" s="117" t="s">
        <v>152</v>
      </c>
      <c r="I14" s="118" t="s">
        <v>153</v>
      </c>
      <c r="J14" s="118" t="s">
        <v>154</v>
      </c>
      <c r="K14" s="118" t="s">
        <v>155</v>
      </c>
      <c r="L14" s="117" t="s">
        <v>152</v>
      </c>
      <c r="M14" s="118" t="s">
        <v>153</v>
      </c>
      <c r="N14" s="118" t="s">
        <v>154</v>
      </c>
      <c r="O14" s="118" t="s">
        <v>155</v>
      </c>
      <c r="P14" s="117" t="s">
        <v>152</v>
      </c>
      <c r="Q14" s="118" t="s">
        <v>153</v>
      </c>
      <c r="R14" s="118" t="s">
        <v>154</v>
      </c>
      <c r="S14" s="118" t="s">
        <v>155</v>
      </c>
      <c r="T14" s="117" t="s">
        <v>152</v>
      </c>
      <c r="U14" s="118" t="s">
        <v>153</v>
      </c>
      <c r="V14" s="118" t="s">
        <v>154</v>
      </c>
      <c r="W14" s="118" t="s">
        <v>155</v>
      </c>
      <c r="X14" s="117" t="s">
        <v>152</v>
      </c>
      <c r="Y14" s="118" t="s">
        <v>153</v>
      </c>
      <c r="Z14" s="118" t="s">
        <v>154</v>
      </c>
      <c r="AA14" s="118" t="s">
        <v>155</v>
      </c>
      <c r="AB14" s="117" t="s">
        <v>152</v>
      </c>
      <c r="AC14" s="118" t="s">
        <v>153</v>
      </c>
      <c r="AD14" s="118" t="s">
        <v>154</v>
      </c>
      <c r="AE14" s="118" t="s">
        <v>155</v>
      </c>
      <c r="AF14" s="117" t="s">
        <v>152</v>
      </c>
      <c r="AG14" s="118" t="s">
        <v>153</v>
      </c>
      <c r="AH14" s="118" t="s">
        <v>154</v>
      </c>
      <c r="AI14" s="118" t="s">
        <v>155</v>
      </c>
      <c r="AJ14" s="117" t="s">
        <v>152</v>
      </c>
      <c r="AK14" s="118" t="s">
        <v>153</v>
      </c>
      <c r="AL14" s="118" t="s">
        <v>154</v>
      </c>
      <c r="AM14" s="118" t="s">
        <v>155</v>
      </c>
      <c r="AN14" s="117" t="s">
        <v>152</v>
      </c>
      <c r="AO14" s="118" t="s">
        <v>153</v>
      </c>
      <c r="AP14" s="118" t="s">
        <v>154</v>
      </c>
      <c r="AQ14" s="118" t="s">
        <v>155</v>
      </c>
      <c r="AR14" s="117" t="s">
        <v>152</v>
      </c>
      <c r="AS14" s="118" t="s">
        <v>153</v>
      </c>
      <c r="AT14" s="118" t="s">
        <v>154</v>
      </c>
      <c r="AU14" s="118" t="s">
        <v>155</v>
      </c>
      <c r="AV14" s="117" t="s">
        <v>152</v>
      </c>
      <c r="AW14" s="118" t="s">
        <v>153</v>
      </c>
      <c r="AX14" s="118" t="s">
        <v>154</v>
      </c>
      <c r="AY14" s="118" t="s">
        <v>155</v>
      </c>
      <c r="AZ14" s="100"/>
      <c r="BA14" s="92"/>
      <c r="BB14" s="100"/>
      <c r="BC14" s="92"/>
      <c r="BD14" s="91"/>
      <c r="BE14" s="91"/>
    </row>
    <row r="15" spans="1:57" ht="13">
      <c r="A15" s="89" t="s">
        <v>83</v>
      </c>
      <c r="B15" s="265"/>
      <c r="C15" s="121">
        <f>'Revised PS Model 2015'!BB20</f>
        <v>426752.66261627898</v>
      </c>
      <c r="D15" s="53">
        <v>300</v>
      </c>
      <c r="E15" s="123">
        <f t="shared" ref="E15:E19" si="6">D$10*D15/D$20</f>
        <v>45376.5</v>
      </c>
      <c r="F15" s="124">
        <v>3436.08</v>
      </c>
      <c r="G15" s="123">
        <f t="shared" ref="G15:G19" si="7">E15-F15</f>
        <v>41940.42</v>
      </c>
      <c r="H15" s="214">
        <v>300</v>
      </c>
      <c r="I15" s="123">
        <f t="shared" ref="I15:I19" si="8">H$10*H15/H$20</f>
        <v>47345.713953488375</v>
      </c>
      <c r="J15" s="124">
        <v>2196.2800000000002</v>
      </c>
      <c r="K15" s="123">
        <f t="shared" ref="K15:K19" si="9">I15-J15</f>
        <v>45149.433953488377</v>
      </c>
      <c r="L15" s="214">
        <v>300</v>
      </c>
      <c r="M15" s="123">
        <f t="shared" ref="M15:M19" si="10">L$10*L15/L$20</f>
        <v>62602.039534883719</v>
      </c>
      <c r="N15" s="124">
        <v>1187.95</v>
      </c>
      <c r="O15" s="123">
        <f t="shared" ref="O15:O16" si="11">M15-N15</f>
        <v>61414.089534883722</v>
      </c>
      <c r="P15" s="214">
        <v>300</v>
      </c>
      <c r="Q15" s="123">
        <f t="shared" ref="Q15:Q19" si="12">P$10*P15/P$20</f>
        <v>60215.221428571429</v>
      </c>
      <c r="R15" s="124">
        <v>4451.3599999999997</v>
      </c>
      <c r="S15" s="123">
        <f t="shared" ref="S15:S19" si="13">Q15-R15</f>
        <v>55763.861428571428</v>
      </c>
      <c r="T15" s="214">
        <v>300</v>
      </c>
      <c r="U15" s="123">
        <f t="shared" ref="U15:U19" si="14">T$10*T15/T$20</f>
        <v>48155.835714285713</v>
      </c>
      <c r="V15" s="124">
        <v>2020.72</v>
      </c>
      <c r="W15" s="123">
        <f t="shared" ref="W15:W19" si="15">U15-V15</f>
        <v>46135.115714285712</v>
      </c>
      <c r="X15" s="214">
        <v>300</v>
      </c>
      <c r="Y15" s="123">
        <f t="shared" ref="Y15:Y19" si="16">X$10*X15/X$20</f>
        <v>58649.828571428574</v>
      </c>
      <c r="Z15" s="124">
        <v>6312.39</v>
      </c>
      <c r="AA15" s="123">
        <f t="shared" ref="AA15:AA19" si="17">Y15-Z15</f>
        <v>52337.438571428575</v>
      </c>
      <c r="AB15" s="214">
        <v>300</v>
      </c>
      <c r="AC15" s="123">
        <f t="shared" ref="AC15:AC19" si="18">AB$10*AB15/AB$20</f>
        <v>56495.842857142845</v>
      </c>
      <c r="AD15" s="124">
        <v>3855.77</v>
      </c>
      <c r="AE15" s="123">
        <f t="shared" ref="AE15:AE19" si="19">AC15-AD15</f>
        <v>52640.072857142848</v>
      </c>
      <c r="AF15" s="214">
        <v>300</v>
      </c>
      <c r="AG15" s="123">
        <f t="shared" ref="AG15:AG19" si="20">AF$10*AF15/AF$20</f>
        <v>55350.978571428568</v>
      </c>
      <c r="AH15" s="124">
        <v>5140</v>
      </c>
      <c r="AI15" s="123">
        <f t="shared" ref="AI15:AI19" si="21">AG15-AH15</f>
        <v>50210.978571428568</v>
      </c>
      <c r="AJ15" s="214">
        <v>300</v>
      </c>
      <c r="AK15" s="123">
        <f t="shared" ref="AK15:AK19" si="22">AJ$10*AJ15/AJ$20</f>
        <v>41693.857142857145</v>
      </c>
      <c r="AL15" s="124">
        <v>2620.08</v>
      </c>
      <c r="AM15" s="123">
        <f t="shared" ref="AM15:AM19" si="23">AK15-AL15</f>
        <v>39073.777142857143</v>
      </c>
      <c r="AN15" s="214">
        <v>300</v>
      </c>
      <c r="AO15" s="123">
        <f t="shared" ref="AO15:AO19" si="24">AN$10*AN15/AN$20</f>
        <v>47759.550000000017</v>
      </c>
      <c r="AP15" s="124">
        <v>1154.93</v>
      </c>
      <c r="AQ15" s="123">
        <f t="shared" ref="AQ15:AQ19" si="25">AO15-AP15</f>
        <v>46604.620000000017</v>
      </c>
      <c r="AR15" s="214">
        <v>300</v>
      </c>
      <c r="AS15" s="123">
        <f t="shared" ref="AS15:AS19" si="26">AR$10*AR15/AR$20</f>
        <v>40635.050000000003</v>
      </c>
      <c r="AT15" s="124">
        <v>5410.74</v>
      </c>
      <c r="AU15" s="123">
        <f t="shared" ref="AU15:AU19" si="27">AS15-AT15</f>
        <v>35224.310000000005</v>
      </c>
      <c r="AV15" s="214">
        <v>300</v>
      </c>
      <c r="AW15" s="123">
        <f t="shared" ref="AW15:AW19" si="28">AV$10*AV15/AV$20</f>
        <v>42111.457142857143</v>
      </c>
      <c r="AX15" s="124">
        <v>1306.33</v>
      </c>
      <c r="AY15" s="126">
        <f t="shared" ref="AY15:AY19" si="29">AW15-AX15</f>
        <v>40805.127142857142</v>
      </c>
      <c r="AZ15" s="127">
        <f t="shared" ref="AZ15:AZ19" si="30">IF($AV$3="1Q",AY15,0)+IF($AR$3="1Q",AU15,0)+IF($AN$3="1Q",AQ15,0)+IF($AJ$3="1Q",AM15,0)+IF($AF$3="1Q",AI15,0)+IF($AB$3="1Q",AE15,0)+IF($X$3="1Q",AA15,0)+IF($T$3="1Q",W15,0)+IF($P$3="1Q",S15,0)+IF($L$3="1Q",O15,0)+IF($H$3="1Q",K15,0)+IF($D$3="1Q",G15,0)</f>
        <v>148503.94348837208</v>
      </c>
      <c r="BA15" s="128">
        <f t="shared" ref="BA15:BA19" si="31">AZ15+$C15</f>
        <v>575256.606104651</v>
      </c>
      <c r="BB15" s="127">
        <f t="shared" ref="BB15:BB19" si="32">IF($AV$4="1H",AY15,0)+IF($AR$4="1H",AU15,0)+IF($AN$4="1H",AQ15,0)+IF($AJ$4="1H",AM15,0)+IF($AF$4="1H",AI15,0)+IF($AB$4="1H",AE15,0)+IF($X$4="1H",AA15,0)+IF($T$4="1H",W15,0)+IF($P$4="1H",S15,0)+IF($L$4="1H",O15,0)+IF($H$4="1H",K15,0)+IF($D$4="1H",G15,0)</f>
        <v>302740.35920265777</v>
      </c>
      <c r="BC15" s="128">
        <f t="shared" ref="BC15:BC19" si="33">BB15+$C15</f>
        <v>729493.0218189368</v>
      </c>
      <c r="BD15" s="127">
        <f t="shared" ref="BD15:BD19" si="34">AY15+AU15+AQ15+AM15+AI15+AE15+AA15+W15+S15+O15+K15+G15</f>
        <v>567299.2449169436</v>
      </c>
      <c r="BE15" s="91">
        <f t="shared" ref="BE15:BE19" si="35">BD15+C15</f>
        <v>994051.90753322258</v>
      </c>
    </row>
    <row r="16" spans="1:57" ht="13">
      <c r="A16" s="89" t="s">
        <v>209</v>
      </c>
      <c r="B16" s="265"/>
      <c r="C16" s="121">
        <f>'Revised PS Model 2015'!BB21</f>
        <v>-861.51662790702903</v>
      </c>
      <c r="D16" s="53">
        <v>100</v>
      </c>
      <c r="E16" s="123">
        <f t="shared" si="6"/>
        <v>15125.499999999998</v>
      </c>
      <c r="F16" s="124"/>
      <c r="G16" s="123">
        <f t="shared" si="7"/>
        <v>15125.499999999998</v>
      </c>
      <c r="H16" s="214">
        <v>100</v>
      </c>
      <c r="I16" s="123">
        <f t="shared" si="8"/>
        <v>15781.904651162791</v>
      </c>
      <c r="J16" s="124"/>
      <c r="K16" s="123">
        <f t="shared" si="9"/>
        <v>15781.904651162791</v>
      </c>
      <c r="L16" s="214">
        <v>100</v>
      </c>
      <c r="M16" s="123">
        <f t="shared" si="10"/>
        <v>20867.346511627908</v>
      </c>
      <c r="N16" s="124"/>
      <c r="O16" s="123">
        <f t="shared" si="11"/>
        <v>20867.346511627908</v>
      </c>
      <c r="P16" s="214">
        <v>100</v>
      </c>
      <c r="Q16" s="123">
        <f t="shared" si="12"/>
        <v>20071.740476190476</v>
      </c>
      <c r="R16" s="124"/>
      <c r="S16" s="123">
        <f t="shared" si="13"/>
        <v>20071.740476190476</v>
      </c>
      <c r="T16" s="214">
        <v>100</v>
      </c>
      <c r="U16" s="123">
        <f t="shared" si="14"/>
        <v>16051.945238095239</v>
      </c>
      <c r="V16" s="124"/>
      <c r="W16" s="123">
        <f t="shared" si="15"/>
        <v>16051.945238095239</v>
      </c>
      <c r="X16" s="214">
        <v>100</v>
      </c>
      <c r="Y16" s="123">
        <f t="shared" si="16"/>
        <v>19549.942857142854</v>
      </c>
      <c r="Z16" s="124"/>
      <c r="AA16" s="123">
        <f t="shared" si="17"/>
        <v>19549.942857142854</v>
      </c>
      <c r="AB16" s="214">
        <v>100</v>
      </c>
      <c r="AC16" s="123">
        <f t="shared" si="18"/>
        <v>18831.947619047616</v>
      </c>
      <c r="AD16" s="124"/>
      <c r="AE16" s="123">
        <f t="shared" si="19"/>
        <v>18831.947619047616</v>
      </c>
      <c r="AF16" s="214">
        <v>100</v>
      </c>
      <c r="AG16" s="123">
        <f t="shared" si="20"/>
        <v>18450.326190476189</v>
      </c>
      <c r="AH16" s="124"/>
      <c r="AI16" s="123">
        <f t="shared" si="21"/>
        <v>18450.326190476189</v>
      </c>
      <c r="AJ16" s="214">
        <v>100</v>
      </c>
      <c r="AK16" s="123">
        <f t="shared" si="22"/>
        <v>13897.952380952382</v>
      </c>
      <c r="AL16" s="124">
        <v>224.68</v>
      </c>
      <c r="AM16" s="123">
        <f t="shared" si="23"/>
        <v>13673.272380952381</v>
      </c>
      <c r="AN16" s="214">
        <v>100</v>
      </c>
      <c r="AO16" s="123">
        <f t="shared" si="24"/>
        <v>15919.850000000006</v>
      </c>
      <c r="AP16" s="124">
        <v>60.12</v>
      </c>
      <c r="AQ16" s="123">
        <f t="shared" si="25"/>
        <v>15859.730000000005</v>
      </c>
      <c r="AR16" s="214">
        <v>100</v>
      </c>
      <c r="AS16" s="123">
        <f t="shared" si="26"/>
        <v>13545.016666666666</v>
      </c>
      <c r="AT16" s="124"/>
      <c r="AU16" s="123">
        <f t="shared" si="27"/>
        <v>13545.016666666666</v>
      </c>
      <c r="AV16" s="214">
        <v>100</v>
      </c>
      <c r="AW16" s="123">
        <f t="shared" si="28"/>
        <v>14037.152380952381</v>
      </c>
      <c r="AX16" s="124"/>
      <c r="AY16" s="126">
        <f t="shared" si="29"/>
        <v>14037.152380952381</v>
      </c>
      <c r="AZ16" s="127">
        <f t="shared" si="30"/>
        <v>51774.751162790701</v>
      </c>
      <c r="BA16" s="128">
        <f t="shared" si="31"/>
        <v>50913.234534883668</v>
      </c>
      <c r="BB16" s="127">
        <f t="shared" si="32"/>
        <v>107448.37973421927</v>
      </c>
      <c r="BC16" s="128">
        <f t="shared" si="33"/>
        <v>106586.86310631224</v>
      </c>
      <c r="BD16" s="127">
        <f t="shared" si="34"/>
        <v>201845.8249723145</v>
      </c>
      <c r="BE16" s="91">
        <f t="shared" si="35"/>
        <v>200984.30834440747</v>
      </c>
    </row>
    <row r="17" spans="1:57" ht="13">
      <c r="A17" s="89" t="s">
        <v>319</v>
      </c>
      <c r="B17" s="265"/>
      <c r="C17" s="121">
        <f>'Revised PS Model 2015'!BB22</f>
        <v>-81.091162790697354</v>
      </c>
      <c r="D17" s="53">
        <v>10</v>
      </c>
      <c r="E17" s="123">
        <f t="shared" si="6"/>
        <v>1512.55</v>
      </c>
      <c r="F17" s="124"/>
      <c r="G17" s="123">
        <f t="shared" si="7"/>
        <v>1512.55</v>
      </c>
      <c r="H17" s="53">
        <v>10</v>
      </c>
      <c r="I17" s="123">
        <f t="shared" si="8"/>
        <v>1578.190465116279</v>
      </c>
      <c r="J17" s="124"/>
      <c r="K17" s="123">
        <f t="shared" si="9"/>
        <v>1578.190465116279</v>
      </c>
      <c r="L17" s="53">
        <v>10</v>
      </c>
      <c r="M17" s="123">
        <f t="shared" si="10"/>
        <v>2086.7346511627907</v>
      </c>
      <c r="N17" s="124"/>
      <c r="O17" s="123">
        <f>M17-N17-800</f>
        <v>1286.7346511627907</v>
      </c>
      <c r="P17" s="214">
        <v>0</v>
      </c>
      <c r="Q17" s="123">
        <f t="shared" si="12"/>
        <v>0</v>
      </c>
      <c r="R17" s="124"/>
      <c r="S17" s="123">
        <f t="shared" si="13"/>
        <v>0</v>
      </c>
      <c r="T17" s="214">
        <v>0</v>
      </c>
      <c r="U17" s="123">
        <f t="shared" si="14"/>
        <v>0</v>
      </c>
      <c r="V17" s="124"/>
      <c r="W17" s="123">
        <f t="shared" si="15"/>
        <v>0</v>
      </c>
      <c r="X17" s="214">
        <v>0</v>
      </c>
      <c r="Y17" s="123">
        <f t="shared" si="16"/>
        <v>0</v>
      </c>
      <c r="Z17" s="124"/>
      <c r="AA17" s="123">
        <f t="shared" si="17"/>
        <v>0</v>
      </c>
      <c r="AB17" s="214">
        <v>0</v>
      </c>
      <c r="AC17" s="123">
        <f t="shared" si="18"/>
        <v>0</v>
      </c>
      <c r="AD17" s="124"/>
      <c r="AE17" s="123">
        <f t="shared" si="19"/>
        <v>0</v>
      </c>
      <c r="AF17" s="214">
        <v>0</v>
      </c>
      <c r="AG17" s="123">
        <f t="shared" si="20"/>
        <v>0</v>
      </c>
      <c r="AH17" s="124"/>
      <c r="AI17" s="123">
        <f t="shared" si="21"/>
        <v>0</v>
      </c>
      <c r="AJ17" s="214">
        <v>0</v>
      </c>
      <c r="AK17" s="123">
        <f t="shared" si="22"/>
        <v>0</v>
      </c>
      <c r="AL17" s="124"/>
      <c r="AM17" s="123">
        <f t="shared" si="23"/>
        <v>0</v>
      </c>
      <c r="AN17" s="214">
        <v>0</v>
      </c>
      <c r="AO17" s="123">
        <f t="shared" si="24"/>
        <v>0</v>
      </c>
      <c r="AP17" s="124"/>
      <c r="AQ17" s="123">
        <f t="shared" si="25"/>
        <v>0</v>
      </c>
      <c r="AR17" s="214">
        <v>0</v>
      </c>
      <c r="AS17" s="123">
        <f t="shared" si="26"/>
        <v>0</v>
      </c>
      <c r="AT17" s="124"/>
      <c r="AU17" s="123">
        <f t="shared" si="27"/>
        <v>0</v>
      </c>
      <c r="AV17" s="214">
        <v>0</v>
      </c>
      <c r="AW17" s="123">
        <f t="shared" si="28"/>
        <v>0</v>
      </c>
      <c r="AX17" s="124"/>
      <c r="AY17" s="126">
        <f t="shared" si="29"/>
        <v>0</v>
      </c>
      <c r="AZ17" s="127">
        <f t="shared" si="30"/>
        <v>4377.4751162790699</v>
      </c>
      <c r="BA17" s="128">
        <f t="shared" si="31"/>
        <v>4296.3839534883728</v>
      </c>
      <c r="BB17" s="127">
        <f t="shared" si="32"/>
        <v>4377.4751162790699</v>
      </c>
      <c r="BC17" s="128">
        <f t="shared" si="33"/>
        <v>4296.3839534883728</v>
      </c>
      <c r="BD17" s="127">
        <f t="shared" si="34"/>
        <v>4377.4751162790699</v>
      </c>
      <c r="BE17" s="91">
        <f t="shared" si="35"/>
        <v>4296.3839534883728</v>
      </c>
    </row>
    <row r="18" spans="1:57" ht="13">
      <c r="A18" s="89" t="s">
        <v>61</v>
      </c>
      <c r="B18" s="265"/>
      <c r="C18" s="121">
        <f>'Revised PS Model 2015'!BB23</f>
        <v>-81.091162790697354</v>
      </c>
      <c r="D18" s="53">
        <v>10</v>
      </c>
      <c r="E18" s="123">
        <f t="shared" si="6"/>
        <v>1512.55</v>
      </c>
      <c r="F18" s="124"/>
      <c r="G18" s="123">
        <f t="shared" si="7"/>
        <v>1512.55</v>
      </c>
      <c r="H18" s="53">
        <v>10</v>
      </c>
      <c r="I18" s="123">
        <f t="shared" si="8"/>
        <v>1578.190465116279</v>
      </c>
      <c r="J18" s="124"/>
      <c r="K18" s="123">
        <f t="shared" si="9"/>
        <v>1578.190465116279</v>
      </c>
      <c r="L18" s="53">
        <v>10</v>
      </c>
      <c r="M18" s="123">
        <f t="shared" si="10"/>
        <v>2086.7346511627907</v>
      </c>
      <c r="N18" s="124"/>
      <c r="O18" s="123">
        <f t="shared" ref="O18:O19" si="36">M18-N18</f>
        <v>2086.7346511627907</v>
      </c>
      <c r="P18" s="214">
        <v>10</v>
      </c>
      <c r="Q18" s="123">
        <f t="shared" si="12"/>
        <v>2007.1740476190475</v>
      </c>
      <c r="R18" s="124"/>
      <c r="S18" s="123">
        <f t="shared" si="13"/>
        <v>2007.1740476190475</v>
      </c>
      <c r="T18" s="214">
        <v>10</v>
      </c>
      <c r="U18" s="123">
        <f t="shared" si="14"/>
        <v>1605.1945238095236</v>
      </c>
      <c r="V18" s="124"/>
      <c r="W18" s="123">
        <f t="shared" si="15"/>
        <v>1605.1945238095236</v>
      </c>
      <c r="X18" s="214">
        <v>10</v>
      </c>
      <c r="Y18" s="123">
        <f t="shared" si="16"/>
        <v>1954.9942857142858</v>
      </c>
      <c r="Z18" s="124"/>
      <c r="AA18" s="123">
        <f t="shared" si="17"/>
        <v>1954.9942857142858</v>
      </c>
      <c r="AB18" s="214">
        <v>10</v>
      </c>
      <c r="AC18" s="123">
        <f t="shared" si="18"/>
        <v>1883.1947619047617</v>
      </c>
      <c r="AD18" s="124"/>
      <c r="AE18" s="123">
        <f t="shared" si="19"/>
        <v>1883.1947619047617</v>
      </c>
      <c r="AF18" s="214">
        <v>10</v>
      </c>
      <c r="AG18" s="123">
        <f t="shared" si="20"/>
        <v>1845.0326190476189</v>
      </c>
      <c r="AH18" s="124"/>
      <c r="AI18" s="123">
        <f t="shared" si="21"/>
        <v>1845.0326190476189</v>
      </c>
      <c r="AJ18" s="214">
        <v>10</v>
      </c>
      <c r="AK18" s="123">
        <f t="shared" si="22"/>
        <v>1389.7952380952381</v>
      </c>
      <c r="AL18" s="124"/>
      <c r="AM18" s="123">
        <f t="shared" si="23"/>
        <v>1389.7952380952381</v>
      </c>
      <c r="AN18" s="214">
        <v>10</v>
      </c>
      <c r="AO18" s="123">
        <f t="shared" si="24"/>
        <v>1591.9850000000004</v>
      </c>
      <c r="AP18" s="124"/>
      <c r="AQ18" s="123">
        <f t="shared" si="25"/>
        <v>1591.9850000000004</v>
      </c>
      <c r="AR18" s="214">
        <v>10</v>
      </c>
      <c r="AS18" s="123">
        <f t="shared" si="26"/>
        <v>1354.5016666666666</v>
      </c>
      <c r="AT18" s="124"/>
      <c r="AU18" s="123">
        <f t="shared" si="27"/>
        <v>1354.5016666666666</v>
      </c>
      <c r="AV18" s="214">
        <v>10</v>
      </c>
      <c r="AW18" s="123">
        <f t="shared" si="28"/>
        <v>1403.7152380952382</v>
      </c>
      <c r="AX18" s="124"/>
      <c r="AY18" s="126">
        <f t="shared" si="29"/>
        <v>1403.7152380952382</v>
      </c>
      <c r="AZ18" s="127">
        <f t="shared" si="30"/>
        <v>5177.4751162790699</v>
      </c>
      <c r="BA18" s="128">
        <f t="shared" si="31"/>
        <v>5096.3839534883728</v>
      </c>
      <c r="BB18" s="127">
        <f t="shared" si="32"/>
        <v>10744.837973421925</v>
      </c>
      <c r="BC18" s="128">
        <f t="shared" si="33"/>
        <v>10663.746810631228</v>
      </c>
      <c r="BD18" s="127">
        <f t="shared" si="34"/>
        <v>20213.062497231451</v>
      </c>
      <c r="BE18" s="91">
        <f t="shared" si="35"/>
        <v>20131.971334440754</v>
      </c>
    </row>
    <row r="19" spans="1:57" ht="13">
      <c r="A19" s="89" t="s">
        <v>65</v>
      </c>
      <c r="B19" s="265"/>
      <c r="C19" s="121">
        <f>'Revised PS Model 2015'!BB24</f>
        <v>-81.091162790697354</v>
      </c>
      <c r="D19" s="53">
        <v>10</v>
      </c>
      <c r="E19" s="123">
        <f t="shared" si="6"/>
        <v>1512.55</v>
      </c>
      <c r="F19" s="124"/>
      <c r="G19" s="123">
        <f t="shared" si="7"/>
        <v>1512.55</v>
      </c>
      <c r="H19" s="53">
        <v>10</v>
      </c>
      <c r="I19" s="123">
        <f t="shared" si="8"/>
        <v>1578.190465116279</v>
      </c>
      <c r="J19" s="124"/>
      <c r="K19" s="123">
        <f t="shared" si="9"/>
        <v>1578.190465116279</v>
      </c>
      <c r="L19" s="53">
        <v>10</v>
      </c>
      <c r="M19" s="123">
        <f t="shared" si="10"/>
        <v>2086.7346511627907</v>
      </c>
      <c r="N19" s="124"/>
      <c r="O19" s="123">
        <f t="shared" si="36"/>
        <v>2086.7346511627907</v>
      </c>
      <c r="P19" s="214">
        <v>10</v>
      </c>
      <c r="Q19" s="123">
        <f t="shared" si="12"/>
        <v>2007.1740476190475</v>
      </c>
      <c r="R19" s="124"/>
      <c r="S19" s="123">
        <f t="shared" si="13"/>
        <v>2007.1740476190475</v>
      </c>
      <c r="T19" s="214">
        <v>10</v>
      </c>
      <c r="U19" s="123">
        <f t="shared" si="14"/>
        <v>1605.1945238095236</v>
      </c>
      <c r="V19" s="124"/>
      <c r="W19" s="123">
        <f t="shared" si="15"/>
        <v>1605.1945238095236</v>
      </c>
      <c r="X19" s="214">
        <v>10</v>
      </c>
      <c r="Y19" s="123">
        <f t="shared" si="16"/>
        <v>1954.9942857142858</v>
      </c>
      <c r="Z19" s="124"/>
      <c r="AA19" s="123">
        <f t="shared" si="17"/>
        <v>1954.9942857142858</v>
      </c>
      <c r="AB19" s="214">
        <v>10</v>
      </c>
      <c r="AC19" s="123">
        <f t="shared" si="18"/>
        <v>1883.1947619047617</v>
      </c>
      <c r="AD19" s="124"/>
      <c r="AE19" s="123">
        <f t="shared" si="19"/>
        <v>1883.1947619047617</v>
      </c>
      <c r="AF19" s="214">
        <v>10</v>
      </c>
      <c r="AG19" s="123">
        <f t="shared" si="20"/>
        <v>1845.0326190476189</v>
      </c>
      <c r="AH19" s="124"/>
      <c r="AI19" s="123">
        <f t="shared" si="21"/>
        <v>1845.0326190476189</v>
      </c>
      <c r="AJ19" s="214">
        <v>10</v>
      </c>
      <c r="AK19" s="123">
        <f t="shared" si="22"/>
        <v>1389.7952380952381</v>
      </c>
      <c r="AL19" s="124"/>
      <c r="AM19" s="123">
        <f t="shared" si="23"/>
        <v>1389.7952380952381</v>
      </c>
      <c r="AN19" s="214">
        <v>10</v>
      </c>
      <c r="AO19" s="123">
        <f t="shared" si="24"/>
        <v>1591.9850000000004</v>
      </c>
      <c r="AP19" s="124"/>
      <c r="AQ19" s="123">
        <f t="shared" si="25"/>
        <v>1591.9850000000004</v>
      </c>
      <c r="AR19" s="214">
        <v>10</v>
      </c>
      <c r="AS19" s="123">
        <f t="shared" si="26"/>
        <v>1354.5016666666666</v>
      </c>
      <c r="AT19" s="124"/>
      <c r="AU19" s="123">
        <f t="shared" si="27"/>
        <v>1354.5016666666666</v>
      </c>
      <c r="AV19" s="214">
        <v>10</v>
      </c>
      <c r="AW19" s="123">
        <f t="shared" si="28"/>
        <v>1403.7152380952382</v>
      </c>
      <c r="AX19" s="124"/>
      <c r="AY19" s="126">
        <f t="shared" si="29"/>
        <v>1403.7152380952382</v>
      </c>
      <c r="AZ19" s="127">
        <f t="shared" si="30"/>
        <v>5177.4751162790699</v>
      </c>
      <c r="BA19" s="128">
        <f t="shared" si="31"/>
        <v>5096.3839534883728</v>
      </c>
      <c r="BB19" s="127">
        <f t="shared" si="32"/>
        <v>10744.837973421925</v>
      </c>
      <c r="BC19" s="128">
        <f t="shared" si="33"/>
        <v>10663.746810631228</v>
      </c>
      <c r="BD19" s="127">
        <f t="shared" si="34"/>
        <v>20213.062497231451</v>
      </c>
      <c r="BE19" s="91">
        <f t="shared" si="35"/>
        <v>20131.971334440754</v>
      </c>
    </row>
    <row r="20" spans="1:57" ht="13">
      <c r="A20" s="89"/>
      <c r="C20" s="61"/>
      <c r="D20" s="148">
        <f t="shared" ref="D20:E20" si="37">SUM(D15:D19)</f>
        <v>430</v>
      </c>
      <c r="E20" s="149">
        <f t="shared" si="37"/>
        <v>65039.650000000009</v>
      </c>
      <c r="F20" s="91"/>
      <c r="G20" s="91"/>
      <c r="H20" s="148">
        <f t="shared" ref="H20:I20" si="38">SUM(H15:H19)</f>
        <v>430</v>
      </c>
      <c r="I20" s="149">
        <f t="shared" si="38"/>
        <v>67862.19</v>
      </c>
      <c r="J20" s="91"/>
      <c r="K20" s="91"/>
      <c r="L20" s="148">
        <f t="shared" ref="L20:M20" si="39">SUM(L15:L19)</f>
        <v>430</v>
      </c>
      <c r="M20" s="149">
        <f t="shared" si="39"/>
        <v>89729.589999999982</v>
      </c>
      <c r="N20" s="91"/>
      <c r="O20" s="91"/>
      <c r="P20" s="148">
        <f t="shared" ref="P20:Q20" si="40">SUM(P15:P19)</f>
        <v>420</v>
      </c>
      <c r="Q20" s="149">
        <f t="shared" si="40"/>
        <v>84301.31</v>
      </c>
      <c r="R20" s="91"/>
      <c r="S20" s="91"/>
      <c r="T20" s="148">
        <f t="shared" ref="T20:U20" si="41">SUM(T15:T19)</f>
        <v>420</v>
      </c>
      <c r="U20" s="149">
        <f t="shared" si="41"/>
        <v>67418.17</v>
      </c>
      <c r="V20" s="91"/>
      <c r="W20" s="91"/>
      <c r="X20" s="148">
        <f t="shared" ref="X20:Y20" si="42">SUM(X15:X19)</f>
        <v>420</v>
      </c>
      <c r="Y20" s="149">
        <f t="shared" si="42"/>
        <v>82109.760000000009</v>
      </c>
      <c r="Z20" s="91"/>
      <c r="AA20" s="91"/>
      <c r="AB20" s="148">
        <f t="shared" ref="AB20:AC20" si="43">SUM(AB15:AB19)</f>
        <v>420</v>
      </c>
      <c r="AC20" s="149">
        <f t="shared" si="43"/>
        <v>79094.179999999978</v>
      </c>
      <c r="AD20" s="91"/>
      <c r="AE20" s="91"/>
      <c r="AF20" s="148">
        <f t="shared" ref="AF20:AG20" si="44">SUM(AF15:AF19)</f>
        <v>420</v>
      </c>
      <c r="AG20" s="149">
        <f t="shared" si="44"/>
        <v>77491.37</v>
      </c>
      <c r="AH20" s="91"/>
      <c r="AI20" s="91"/>
      <c r="AJ20" s="148">
        <f t="shared" ref="AJ20:AK20" si="45">SUM(AJ15:AJ19)</f>
        <v>420</v>
      </c>
      <c r="AK20" s="149">
        <f t="shared" si="45"/>
        <v>58371.400000000009</v>
      </c>
      <c r="AL20" s="91"/>
      <c r="AM20" s="91"/>
      <c r="AN20" s="148">
        <f t="shared" ref="AN20:AO20" si="46">SUM(AN15:AN19)</f>
        <v>420</v>
      </c>
      <c r="AO20" s="149">
        <f t="shared" si="46"/>
        <v>66863.370000000024</v>
      </c>
      <c r="AP20" s="91"/>
      <c r="AQ20" s="91"/>
      <c r="AR20" s="148">
        <f t="shared" ref="AR20:AS20" si="47">SUM(AR15:AR19)</f>
        <v>420</v>
      </c>
      <c r="AS20" s="149">
        <f t="shared" si="47"/>
        <v>56889.069999999992</v>
      </c>
      <c r="AT20" s="91"/>
      <c r="AU20" s="91"/>
      <c r="AV20" s="148">
        <f t="shared" ref="AV20:AW20" si="48">SUM(AV15:AV19)</f>
        <v>420</v>
      </c>
      <c r="AW20" s="149">
        <f t="shared" si="48"/>
        <v>58956.04</v>
      </c>
      <c r="AX20" s="124"/>
      <c r="AY20" s="92"/>
      <c r="AZ20" s="91"/>
      <c r="BA20" s="150"/>
      <c r="BB20" s="91"/>
      <c r="BC20" s="150"/>
    </row>
    <row r="21" spans="1:57" ht="14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X21" s="151"/>
      <c r="AY21" s="92"/>
      <c r="AZ21" s="216" t="str">
        <f>"Paid for "&amp;AZ2</f>
        <v>Paid for 1Q</v>
      </c>
      <c r="BA21" s="217" t="s">
        <v>256</v>
      </c>
      <c r="BB21" s="216" t="str">
        <f>"Paid for "&amp;BB2</f>
        <v>Paid for 1H</v>
      </c>
      <c r="BC21" s="217" t="s">
        <v>256</v>
      </c>
      <c r="BD21" s="216" t="str">
        <f>"Paid for "&amp;BD2</f>
        <v>Paid for 2016</v>
      </c>
      <c r="BE21" s="217" t="s">
        <v>256</v>
      </c>
    </row>
    <row r="22" spans="1:57" ht="13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45" t="s">
        <v>83</v>
      </c>
      <c r="AZ22" s="200">
        <f>AZ12</f>
        <v>67402.95</v>
      </c>
      <c r="BA22" s="271">
        <f t="shared" ref="BA22:BA26" si="49">BA15-AZ22</f>
        <v>507853.65610465099</v>
      </c>
      <c r="BB22" s="263">
        <f>BB12</f>
        <v>222902.95</v>
      </c>
      <c r="BC22" s="272">
        <f t="shared" ref="BC22:BC26" si="50">BC15-BB22</f>
        <v>506590.07181893679</v>
      </c>
      <c r="BD22" s="263">
        <f>BD12</f>
        <v>665402.94999999995</v>
      </c>
      <c r="BE22" s="272">
        <f t="shared" ref="BE22:BE26" si="51">BE15-BD22</f>
        <v>328648.95753322262</v>
      </c>
    </row>
    <row r="23" spans="1:57" ht="13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209</v>
      </c>
      <c r="AZ23" s="90">
        <v>44952.65</v>
      </c>
      <c r="BA23" s="273">
        <f t="shared" si="49"/>
        <v>5960.5845348836665</v>
      </c>
      <c r="BB23" s="90">
        <f>AZ23+61064.01</f>
        <v>106016.66</v>
      </c>
      <c r="BC23" s="272">
        <f t="shared" si="50"/>
        <v>570.20310631224129</v>
      </c>
      <c r="BD23" s="90">
        <f>BB23+94223.66</f>
        <v>200240.32</v>
      </c>
      <c r="BE23" s="272">
        <f t="shared" si="51"/>
        <v>743.98834440746577</v>
      </c>
    </row>
    <row r="24" spans="1:57" ht="13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0" t="s">
        <v>319</v>
      </c>
      <c r="AZ24" s="90">
        <v>3781</v>
      </c>
      <c r="BA24" s="273">
        <f t="shared" si="49"/>
        <v>515.38395348837275</v>
      </c>
      <c r="BB24" s="90">
        <f>AZ24+498.99</f>
        <v>4279.99</v>
      </c>
      <c r="BC24" s="272">
        <f t="shared" si="50"/>
        <v>16.393953488372972</v>
      </c>
      <c r="BD24" s="90">
        <f>BB24</f>
        <v>4279.99</v>
      </c>
      <c r="BE24" s="272">
        <f t="shared" si="51"/>
        <v>16.393953488372972</v>
      </c>
    </row>
    <row r="25" spans="1:57" ht="13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Y25" s="250" t="s">
        <v>61</v>
      </c>
      <c r="AZ25" s="90">
        <v>4581</v>
      </c>
      <c r="BA25" s="273">
        <f t="shared" si="49"/>
        <v>515.38395348837275</v>
      </c>
      <c r="BB25" s="90">
        <f t="shared" ref="BB25:BB26" si="52">AZ25+6025.73</f>
        <v>10606.73</v>
      </c>
      <c r="BC25" s="272">
        <f t="shared" si="50"/>
        <v>57.016810631228509</v>
      </c>
      <c r="BD25" s="90">
        <f t="shared" ref="BD25:BD26" si="53">BB25+9450.84</f>
        <v>20057.57</v>
      </c>
      <c r="BE25" s="272">
        <f t="shared" si="51"/>
        <v>74.401334440753999</v>
      </c>
    </row>
    <row r="26" spans="1:57" ht="13">
      <c r="A26" s="89"/>
      <c r="B26" s="5"/>
      <c r="C26" s="61"/>
      <c r="D26" s="10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W26" s="151"/>
      <c r="AY26" s="255" t="s">
        <v>65</v>
      </c>
      <c r="AZ26" s="274">
        <v>4581</v>
      </c>
      <c r="BA26" s="279">
        <f t="shared" si="49"/>
        <v>515.38395348837275</v>
      </c>
      <c r="BB26" s="274">
        <f t="shared" si="52"/>
        <v>10606.73</v>
      </c>
      <c r="BC26" s="277">
        <f t="shared" si="50"/>
        <v>57.016810631228509</v>
      </c>
      <c r="BD26" s="274">
        <f t="shared" si="53"/>
        <v>20057.57</v>
      </c>
      <c r="BE26" s="277">
        <f t="shared" si="51"/>
        <v>74.401334440753999</v>
      </c>
    </row>
    <row r="27" spans="1:57" ht="13">
      <c r="A27" s="89"/>
      <c r="C27" s="61"/>
      <c r="D27" s="62"/>
      <c r="BC27" s="91"/>
      <c r="BD27" s="91"/>
      <c r="BE27" s="91"/>
    </row>
    <row r="28" spans="1:57" ht="13">
      <c r="A28" s="89"/>
      <c r="C28" s="61"/>
      <c r="D28" s="62"/>
      <c r="AY28" s="1"/>
      <c r="BA28" s="230"/>
      <c r="BB28" s="230"/>
      <c r="BC28" s="91"/>
      <c r="BD28" s="91"/>
      <c r="BE28" s="91"/>
    </row>
    <row r="29" spans="1:57" ht="13">
      <c r="A29" s="89"/>
      <c r="C29" s="61"/>
      <c r="D29" s="62"/>
      <c r="AZ29" s="152"/>
      <c r="BA29" s="152"/>
      <c r="BB29" s="152"/>
      <c r="BC29" s="91"/>
      <c r="BD29" s="91"/>
      <c r="BE29" s="91"/>
    </row>
    <row r="30" spans="1:57" ht="14">
      <c r="A30" s="89" t="s">
        <v>201</v>
      </c>
      <c r="C30" s="61"/>
      <c r="D30" s="62"/>
      <c r="AN30" s="1" t="s">
        <v>148</v>
      </c>
      <c r="AZ30" s="152"/>
      <c r="BA30" s="152"/>
      <c r="BB30" s="152"/>
      <c r="BC30" s="91"/>
      <c r="BD30" s="91"/>
      <c r="BE30" s="91"/>
    </row>
    <row r="31" spans="1:57" ht="13">
      <c r="A31" s="89"/>
      <c r="C31" s="61"/>
      <c r="D31" s="62"/>
      <c r="BC31" s="91"/>
    </row>
    <row r="32" spans="1:57" ht="13">
      <c r="A32" s="89"/>
      <c r="C32" s="61"/>
      <c r="D32" s="62"/>
    </row>
    <row r="33" spans="1:4" ht="13">
      <c r="A33" s="89"/>
      <c r="C33" s="61"/>
      <c r="D33" s="62"/>
    </row>
    <row r="34" spans="1:4" ht="13">
      <c r="A34" s="89"/>
      <c r="C34" s="61"/>
      <c r="D34" s="62"/>
    </row>
    <row r="35" spans="1:4" ht="13">
      <c r="A35" s="89"/>
      <c r="C35" s="61"/>
      <c r="D35" s="62"/>
    </row>
    <row r="36" spans="1:4" ht="13">
      <c r="A36" s="89"/>
      <c r="C36" s="61"/>
      <c r="D36" s="62"/>
    </row>
    <row r="37" spans="1:4" ht="13">
      <c r="A37" s="89"/>
      <c r="C37" s="61"/>
      <c r="D37" s="62"/>
    </row>
    <row r="38" spans="1:4" ht="13">
      <c r="A38" s="89"/>
      <c r="C38" s="61"/>
      <c r="D38" s="62"/>
    </row>
    <row r="39" spans="1:4" ht="13">
      <c r="A39" s="89"/>
      <c r="C39" s="61"/>
      <c r="D39" s="62"/>
    </row>
    <row r="40" spans="1:4" ht="13">
      <c r="A40" s="89"/>
      <c r="C40" s="61"/>
      <c r="D40" s="62"/>
    </row>
    <row r="41" spans="1:4" ht="13">
      <c r="A41" s="89"/>
      <c r="C41" s="61"/>
      <c r="D41" s="62"/>
    </row>
    <row r="42" spans="1:4" ht="13">
      <c r="A42" s="89"/>
      <c r="C42" s="61"/>
      <c r="D42" s="62"/>
    </row>
    <row r="43" spans="1:4" ht="13">
      <c r="A43" s="89"/>
      <c r="C43" s="61"/>
      <c r="D43" s="62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BE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7" width="15.1640625" customWidth="1"/>
  </cols>
  <sheetData>
    <row r="1" spans="1:57" ht="42.75" customHeight="1">
      <c r="A1" s="5" t="s">
        <v>148</v>
      </c>
      <c r="C1" s="61" t="s">
        <v>131</v>
      </c>
      <c r="D1" s="59">
        <v>42400</v>
      </c>
      <c r="E1" s="60"/>
      <c r="F1" s="60"/>
      <c r="G1" s="61"/>
      <c r="H1" s="59">
        <v>42428</v>
      </c>
      <c r="I1" s="60"/>
      <c r="J1" s="60"/>
      <c r="K1" s="61"/>
      <c r="L1" s="59">
        <v>42460</v>
      </c>
      <c r="M1" s="60"/>
      <c r="N1" s="60"/>
      <c r="O1" s="61"/>
      <c r="P1" s="59">
        <v>42490</v>
      </c>
      <c r="Q1" s="60"/>
      <c r="R1" s="60"/>
      <c r="S1" s="61"/>
      <c r="T1" s="59">
        <v>42521</v>
      </c>
      <c r="U1" s="60"/>
      <c r="V1" s="60"/>
      <c r="W1" s="61"/>
      <c r="X1" s="59">
        <v>42551</v>
      </c>
      <c r="Y1" s="60"/>
      <c r="Z1" s="60"/>
      <c r="AA1" s="61"/>
      <c r="AB1" s="59">
        <v>42582</v>
      </c>
      <c r="AC1" s="60"/>
      <c r="AD1" s="60"/>
      <c r="AE1" s="61"/>
      <c r="AF1" s="59">
        <v>42613</v>
      </c>
      <c r="AG1" s="60"/>
      <c r="AH1" s="60"/>
      <c r="AI1" s="61"/>
      <c r="AJ1" s="59">
        <v>42643</v>
      </c>
      <c r="AK1" s="60"/>
      <c r="AL1" s="60"/>
      <c r="AM1" s="61"/>
      <c r="AN1" s="59">
        <v>42674</v>
      </c>
      <c r="AO1" s="60"/>
      <c r="AP1" s="60"/>
      <c r="AQ1" s="61"/>
      <c r="AR1" s="59">
        <v>42704</v>
      </c>
      <c r="AS1" s="60"/>
      <c r="AT1" s="60"/>
      <c r="AU1" s="61"/>
      <c r="AV1" s="59">
        <v>42735</v>
      </c>
      <c r="AW1" s="60"/>
      <c r="AX1" s="60"/>
      <c r="BB1" s="62"/>
      <c r="BC1" s="61"/>
    </row>
    <row r="2" spans="1:57" ht="14">
      <c r="A2" s="5"/>
      <c r="C2" s="61"/>
      <c r="D2" s="62">
        <f>YEAR(D1)</f>
        <v>2016</v>
      </c>
      <c r="G2" s="61"/>
      <c r="H2" s="62">
        <f>YEAR(H1)</f>
        <v>2016</v>
      </c>
      <c r="K2" s="61"/>
      <c r="L2" s="62">
        <f>YEAR(L1)</f>
        <v>2016</v>
      </c>
      <c r="O2" s="61"/>
      <c r="P2" s="62">
        <f>YEAR(P1)</f>
        <v>2016</v>
      </c>
      <c r="S2" s="61"/>
      <c r="T2" s="62">
        <f>YEAR(T1)</f>
        <v>2016</v>
      </c>
      <c r="W2" s="61"/>
      <c r="X2" s="62">
        <f>YEAR(X1)</f>
        <v>2016</v>
      </c>
      <c r="AA2" s="61"/>
      <c r="AB2" s="62">
        <f>YEAR(AB1)</f>
        <v>2016</v>
      </c>
      <c r="AE2" s="61"/>
      <c r="AF2" s="62">
        <f>YEAR(AF1)</f>
        <v>2016</v>
      </c>
      <c r="AI2" s="61"/>
      <c r="AJ2" s="62">
        <f>YEAR(AJ1)</f>
        <v>2016</v>
      </c>
      <c r="AM2" s="61"/>
      <c r="AN2" s="62">
        <f>YEAR(AN1)</f>
        <v>2016</v>
      </c>
      <c r="AQ2" s="61"/>
      <c r="AR2" s="62">
        <f>YEAR(AR1)</f>
        <v>2016</v>
      </c>
      <c r="AU2" s="61"/>
      <c r="AV2" s="62">
        <f>YEAR(AV1)</f>
        <v>2016</v>
      </c>
      <c r="AY2" s="61"/>
      <c r="AZ2" s="65" t="s">
        <v>132</v>
      </c>
      <c r="BA2" s="65"/>
      <c r="BB2" s="209" t="s">
        <v>247</v>
      </c>
      <c r="BC2" s="61"/>
      <c r="BD2" s="67">
        <v>2016</v>
      </c>
      <c r="BE2" s="67"/>
    </row>
    <row r="3" spans="1:5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  <c r="BE3" s="72"/>
    </row>
    <row r="4" spans="1:57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  <c r="BE4" s="72"/>
    </row>
    <row r="5" spans="1:57" ht="13">
      <c r="A5" s="89" t="s">
        <v>136</v>
      </c>
      <c r="C5" s="61"/>
      <c r="D5" s="90">
        <f>113398.48-39294.91</f>
        <v>74103.569999999992</v>
      </c>
      <c r="E5" s="91"/>
      <c r="F5" s="91"/>
      <c r="G5" s="92"/>
      <c r="H5" s="90">
        <v>78165.91</v>
      </c>
      <c r="I5" s="91"/>
      <c r="J5" s="91"/>
      <c r="K5" s="92"/>
      <c r="L5" s="90">
        <v>101041.64</v>
      </c>
      <c r="M5" s="91"/>
      <c r="N5" s="91"/>
      <c r="O5" s="92"/>
      <c r="P5" s="90">
        <v>91549.95</v>
      </c>
      <c r="Q5" s="91"/>
      <c r="R5" s="91"/>
      <c r="S5" s="92"/>
      <c r="T5" s="90">
        <v>77897.45</v>
      </c>
      <c r="U5" s="91"/>
      <c r="V5" s="91"/>
      <c r="W5" s="92"/>
      <c r="X5" s="90">
        <v>88297.37</v>
      </c>
      <c r="Y5" s="91"/>
      <c r="Z5" s="91"/>
      <c r="AA5" s="92"/>
      <c r="AB5" s="90">
        <v>29842.76</v>
      </c>
      <c r="AC5" s="91"/>
      <c r="AD5" s="91"/>
      <c r="AE5" s="92"/>
      <c r="AF5" s="90">
        <v>85153.84</v>
      </c>
      <c r="AG5" s="91"/>
      <c r="AH5" s="91"/>
      <c r="AI5" s="92"/>
      <c r="AJ5" s="90">
        <v>68026.64</v>
      </c>
      <c r="AK5" s="91"/>
      <c r="AL5" s="91"/>
      <c r="AM5" s="92"/>
      <c r="AN5" s="90">
        <v>4657.07</v>
      </c>
      <c r="AO5" s="91"/>
      <c r="AP5" s="91"/>
      <c r="AQ5" s="92"/>
      <c r="AR5" s="90">
        <v>63978.33</v>
      </c>
      <c r="AS5" s="91"/>
      <c r="AT5" s="91"/>
      <c r="AU5" s="92"/>
      <c r="AV5" s="90">
        <v>-42975.63</v>
      </c>
      <c r="AW5" s="151"/>
      <c r="AX5" s="151"/>
      <c r="AY5" s="92"/>
      <c r="AZ5" s="93">
        <f t="shared" ref="AZ5:AZ7" si="0">SUMIF($D$3:$AY$3,AZ$2,$D5:$AY5)</f>
        <v>253311.12</v>
      </c>
      <c r="BA5" s="92"/>
      <c r="BB5" s="93">
        <f t="shared" ref="BB5:BB7" si="1">SUMIF($D$4:$AY$4,BB$2,$D5:$AY5)</f>
        <v>511055.89</v>
      </c>
      <c r="BC5" s="92"/>
      <c r="BD5" s="94">
        <f t="shared" ref="BD5:BD7" si="2">SUMIF($D$2:$AY$2,$BD$2,$D5:$AY5)</f>
        <v>719738.89999999991</v>
      </c>
      <c r="BE5" s="94"/>
    </row>
    <row r="6" spans="1:57" ht="14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8245</v>
      </c>
      <c r="Q6" s="91" t="s">
        <v>317</v>
      </c>
      <c r="R6" s="91"/>
      <c r="S6" s="92"/>
      <c r="T6" s="90">
        <v>485.43</v>
      </c>
      <c r="U6" s="91" t="s">
        <v>317</v>
      </c>
      <c r="V6" s="91"/>
      <c r="W6" s="92"/>
      <c r="X6" s="90">
        <v>1287.8800000000001</v>
      </c>
      <c r="Y6" s="91" t="s">
        <v>317</v>
      </c>
      <c r="Z6" s="91"/>
      <c r="AA6" s="92"/>
      <c r="AB6" s="90">
        <v>578.78</v>
      </c>
      <c r="AC6" s="91" t="s">
        <v>317</v>
      </c>
      <c r="AD6" s="91"/>
      <c r="AE6" s="92"/>
      <c r="AF6" s="90">
        <v>302.47000000000003</v>
      </c>
      <c r="AG6" s="91" t="s">
        <v>317</v>
      </c>
      <c r="AH6" s="91"/>
      <c r="AI6" s="92"/>
      <c r="AJ6" s="90">
        <v>0</v>
      </c>
      <c r="AK6" s="91"/>
      <c r="AL6" s="91"/>
      <c r="AM6" s="92"/>
      <c r="AN6" s="90">
        <v>123.21</v>
      </c>
      <c r="AO6" s="91" t="s">
        <v>317</v>
      </c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10018.310000000001</v>
      </c>
      <c r="BC6" s="92"/>
      <c r="BD6" s="94">
        <f t="shared" si="2"/>
        <v>11022.77</v>
      </c>
      <c r="BE6" s="94"/>
    </row>
    <row r="7" spans="1:57" ht="13">
      <c r="A7" s="89" t="s">
        <v>143</v>
      </c>
      <c r="B7" s="99">
        <v>12500</v>
      </c>
      <c r="C7" s="61"/>
      <c r="D7" s="100">
        <f>'QB Cleanup PS Model 2016'!ColinSalary</f>
        <v>12500</v>
      </c>
      <c r="E7" s="91"/>
      <c r="F7" s="91"/>
      <c r="G7" s="92"/>
      <c r="H7" s="100">
        <f>'QB Cleanup PS Model 2016'!ColinSalary</f>
        <v>12500</v>
      </c>
      <c r="I7" s="91"/>
      <c r="J7" s="91"/>
      <c r="K7" s="92"/>
      <c r="L7" s="100">
        <f>'QB Cleanup PS Model 2016'!ColinSalary</f>
        <v>12500</v>
      </c>
      <c r="M7" s="91"/>
      <c r="N7" s="91"/>
      <c r="O7" s="92"/>
      <c r="P7" s="100">
        <f>'QB Cleanup PS Model 2016'!ColinSalary</f>
        <v>12500</v>
      </c>
      <c r="Q7" s="91"/>
      <c r="R7" s="91"/>
      <c r="S7" s="92"/>
      <c r="T7" s="100">
        <f>'QB Cleanup PS Model 2016'!ColinSalary</f>
        <v>12500</v>
      </c>
      <c r="U7" s="91"/>
      <c r="V7" s="91"/>
      <c r="W7" s="92"/>
      <c r="X7" s="100">
        <f>'QB Cleanup PS Model 2016'!ColinSalary</f>
        <v>12500</v>
      </c>
      <c r="Y7" s="91"/>
      <c r="Z7" s="91"/>
      <c r="AA7" s="92"/>
      <c r="AB7" s="100">
        <f>'QB Cleanup PS Model 2016'!ColinSalary</f>
        <v>12500</v>
      </c>
      <c r="AC7" s="91"/>
      <c r="AD7" s="91"/>
      <c r="AE7" s="92"/>
      <c r="AF7" s="100">
        <f>'QB Cleanup PS Model 2016'!ColinSalary</f>
        <v>12500</v>
      </c>
      <c r="AG7" s="91"/>
      <c r="AH7" s="91"/>
      <c r="AI7" s="92"/>
      <c r="AJ7" s="100">
        <f>'QB Cleanup PS Model 2016'!ColinSalary</f>
        <v>12500</v>
      </c>
      <c r="AK7" s="91"/>
      <c r="AL7" s="91"/>
      <c r="AM7" s="92"/>
      <c r="AN7" s="100">
        <f>'QB Cleanup PS Model 2016'!ColinSalary</f>
        <v>12500</v>
      </c>
      <c r="AO7" s="91"/>
      <c r="AP7" s="91"/>
      <c r="AQ7" s="92"/>
      <c r="AR7" s="100">
        <f>'QB Cleanup PS Model 2016'!ColinSalary</f>
        <v>12500</v>
      </c>
      <c r="AS7" s="91"/>
      <c r="AT7" s="91"/>
      <c r="AU7" s="92"/>
      <c r="AV7" s="100">
        <f>'QB Cleanup PS Model 2016'!ColinSalary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  <c r="BE7" s="94"/>
    </row>
    <row r="8" spans="1:57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SUM(AZ23:AZ26)</f>
        <v>57895.65</v>
      </c>
      <c r="AC8" s="91"/>
      <c r="AD8" s="91"/>
      <c r="AE8" s="92"/>
      <c r="AF8" s="103"/>
      <c r="AG8" s="91"/>
      <c r="AH8" s="91"/>
      <c r="AI8" s="92"/>
      <c r="AJ8" s="103"/>
      <c r="AK8" s="91"/>
      <c r="AL8" s="91"/>
      <c r="AM8" s="92"/>
      <c r="AN8" s="103">
        <f>SUM(BB23:BB26)-SUM(AZ23:AZ26)</f>
        <v>73614.460000000021</v>
      </c>
      <c r="AO8" s="91"/>
      <c r="AP8" s="91"/>
      <c r="AQ8" s="92"/>
      <c r="AR8" s="103"/>
      <c r="AS8" s="91"/>
      <c r="AT8" s="91"/>
      <c r="AU8" s="92"/>
      <c r="AV8" s="103">
        <f>9450.84*2+94223.66</f>
        <v>113125.34</v>
      </c>
      <c r="AW8" s="91"/>
      <c r="AX8" s="91"/>
      <c r="AY8" s="92"/>
      <c r="AZ8" s="93"/>
      <c r="BA8" s="92"/>
      <c r="BB8" s="93"/>
      <c r="BC8" s="92"/>
      <c r="BD8" s="94"/>
      <c r="BE8" s="94"/>
    </row>
    <row r="9" spans="1:57" ht="13">
      <c r="A9" s="89" t="s">
        <v>145</v>
      </c>
      <c r="B9" s="101"/>
      <c r="C9" s="102"/>
      <c r="D9" s="104">
        <f>SUM(F15:F19)</f>
        <v>3436.08</v>
      </c>
      <c r="E9" s="91"/>
      <c r="F9" s="91"/>
      <c r="G9" s="92"/>
      <c r="H9" s="104">
        <f>SUM(J15:J19)</f>
        <v>2196.2800000000002</v>
      </c>
      <c r="I9" s="91"/>
      <c r="J9" s="91"/>
      <c r="K9" s="92"/>
      <c r="L9" s="104">
        <f>SUM(N15:N19)</f>
        <v>1187.95</v>
      </c>
      <c r="M9" s="91"/>
      <c r="N9" s="91"/>
      <c r="O9" s="92"/>
      <c r="P9" s="104">
        <f>SUM(R15:R19)</f>
        <v>4451.3599999999997</v>
      </c>
      <c r="Q9" s="91"/>
      <c r="R9" s="91"/>
      <c r="S9" s="92"/>
      <c r="T9" s="104">
        <f>SUM(V15:V19)</f>
        <v>2020.72</v>
      </c>
      <c r="U9" s="91"/>
      <c r="V9" s="91"/>
      <c r="W9" s="92"/>
      <c r="X9" s="104">
        <f>SUM(Z15:Z19)</f>
        <v>6312.39</v>
      </c>
      <c r="Y9" s="91"/>
      <c r="Z9" s="91"/>
      <c r="AA9" s="92"/>
      <c r="AB9" s="104">
        <f>SUM(AD15:AD19)</f>
        <v>3855.77</v>
      </c>
      <c r="AC9" s="91"/>
      <c r="AD9" s="91"/>
      <c r="AE9" s="92"/>
      <c r="AF9" s="104">
        <f>SUM(AH15:AH19)</f>
        <v>5140</v>
      </c>
      <c r="AG9" s="91"/>
      <c r="AH9" s="91"/>
      <c r="AI9" s="92"/>
      <c r="AJ9" s="104">
        <f>SUM(AL15:AL19)</f>
        <v>2844.7599999999998</v>
      </c>
      <c r="AK9" s="91"/>
      <c r="AL9" s="91"/>
      <c r="AM9" s="92"/>
      <c r="AN9" s="104">
        <f>SUM(AP15:AP19)</f>
        <v>1215.05</v>
      </c>
      <c r="AO9" s="91"/>
      <c r="AP9" s="91"/>
      <c r="AQ9" s="92"/>
      <c r="AR9" s="104">
        <f>SUM(AT15:AT19)</f>
        <v>5410.74</v>
      </c>
      <c r="AS9" s="91"/>
      <c r="AT9" s="91"/>
      <c r="AU9" s="92"/>
      <c r="AV9" s="104">
        <f>SUM(AX15:AX19)</f>
        <v>1306.33</v>
      </c>
      <c r="AW9" s="91"/>
      <c r="AX9" s="91"/>
      <c r="AY9" s="92"/>
      <c r="AZ9" s="93">
        <f t="shared" ref="AZ9:AZ12" si="3">SUMIF($D$3:$AY$3,AZ$2,$D9:$AY9)</f>
        <v>6820.31</v>
      </c>
      <c r="BA9" s="92"/>
      <c r="BB9" s="93">
        <f t="shared" ref="BB9:BB12" si="4">SUMIF($D$4:$AY$4,BB$2,$D9:$AY9)</f>
        <v>19604.78</v>
      </c>
      <c r="BC9" s="92"/>
      <c r="BD9" s="94">
        <f t="shared" ref="BD9:BD12" si="5">SUMIF($D$2:$AY$2,$BD$2,$D9:$AY9)</f>
        <v>39377.43</v>
      </c>
      <c r="BE9" s="94"/>
    </row>
    <row r="10" spans="1:57" ht="28">
      <c r="A10" s="89" t="s">
        <v>146</v>
      </c>
      <c r="C10" s="61"/>
      <c r="D10" s="104">
        <f>D5-D6-D7+D9+D8</f>
        <v>65039.649999999994</v>
      </c>
      <c r="E10" s="91"/>
      <c r="F10" s="91"/>
      <c r="G10" s="92"/>
      <c r="H10" s="104">
        <f>H5-H6-H7+H9+H8</f>
        <v>67862.19</v>
      </c>
      <c r="I10" s="91"/>
      <c r="J10" s="91"/>
      <c r="K10" s="92"/>
      <c r="L10" s="104">
        <f>L5-L6-L7+L9+L8</f>
        <v>89729.59</v>
      </c>
      <c r="M10" s="91"/>
      <c r="N10" s="91"/>
      <c r="O10" s="92"/>
      <c r="P10" s="104">
        <f>P5-P6-P7+P9+P8+800</f>
        <v>76056.31</v>
      </c>
      <c r="Q10" s="91" t="s">
        <v>318</v>
      </c>
      <c r="R10" s="91"/>
      <c r="S10" s="92"/>
      <c r="T10" s="104">
        <f>T5-T6-T7+T9+T8</f>
        <v>66932.740000000005</v>
      </c>
      <c r="U10" s="91"/>
      <c r="V10" s="91"/>
      <c r="W10" s="92"/>
      <c r="X10" s="104">
        <f>X5-X6-X7+X9+X8</f>
        <v>80821.87999999999</v>
      </c>
      <c r="Y10" s="91"/>
      <c r="Z10" s="91"/>
      <c r="AA10" s="92"/>
      <c r="AB10" s="104">
        <f>AB5-AB6-AB7+AB9+AB8</f>
        <v>78515.399999999994</v>
      </c>
      <c r="AC10" s="91"/>
      <c r="AD10" s="91"/>
      <c r="AE10" s="92"/>
      <c r="AF10" s="104">
        <f>AF5-AF6-AF7+AF9+AF8</f>
        <v>77491.37</v>
      </c>
      <c r="AG10" s="91"/>
      <c r="AH10" s="91"/>
      <c r="AI10" s="92"/>
      <c r="AJ10" s="104">
        <f>AJ5-AJ6-AJ7+AJ9+AJ8</f>
        <v>58371.4</v>
      </c>
      <c r="AK10" s="91"/>
      <c r="AL10" s="91"/>
      <c r="AM10" s="92"/>
      <c r="AN10" s="104">
        <f>AN5-AN6-AN7+AN9+AN8</f>
        <v>66863.370000000024</v>
      </c>
      <c r="AO10" s="91"/>
      <c r="AP10" s="91"/>
      <c r="AQ10" s="92"/>
      <c r="AR10" s="104">
        <f>AR5-AR6-AR7+AR9+AR8</f>
        <v>56889.07</v>
      </c>
      <c r="AS10" s="91"/>
      <c r="AT10" s="91"/>
      <c r="AU10" s="92"/>
      <c r="AV10" s="104">
        <f>AV5-AV6-AV7+AV9+AV8</f>
        <v>58956.04</v>
      </c>
      <c r="AW10" s="91"/>
      <c r="AX10" s="91"/>
      <c r="AY10" s="92"/>
      <c r="AZ10" s="93">
        <f t="shared" si="3"/>
        <v>222631.43</v>
      </c>
      <c r="BA10" s="92"/>
      <c r="BB10" s="93">
        <f t="shared" si="4"/>
        <v>446442.36</v>
      </c>
      <c r="BC10" s="92"/>
      <c r="BD10" s="94">
        <f t="shared" si="5"/>
        <v>843529.01</v>
      </c>
      <c r="BE10" s="94"/>
    </row>
    <row r="11" spans="1:57" ht="13">
      <c r="A11" s="89" t="s">
        <v>147</v>
      </c>
      <c r="C11" s="61"/>
      <c r="D11" s="90">
        <f>32500+15000+7000+402.95</f>
        <v>54902.95</v>
      </c>
      <c r="E11" s="91"/>
      <c r="F11" s="91"/>
      <c r="G11" s="92"/>
      <c r="H11" s="90">
        <v>50000</v>
      </c>
      <c r="I11" s="91"/>
      <c r="J11" s="91"/>
      <c r="K11" s="92"/>
      <c r="L11" s="90">
        <v>0</v>
      </c>
      <c r="M11" s="91"/>
      <c r="N11" s="91"/>
      <c r="O11" s="92"/>
      <c r="P11" s="90">
        <f>12500+25000+15000+10000</f>
        <v>62500</v>
      </c>
      <c r="Q11" s="91"/>
      <c r="R11" s="91"/>
      <c r="S11" s="92"/>
      <c r="T11" s="90">
        <v>12500</v>
      </c>
      <c r="U11" s="91"/>
      <c r="V11" s="91"/>
      <c r="W11" s="92"/>
      <c r="X11" s="90">
        <v>118000</v>
      </c>
      <c r="Y11" s="91"/>
      <c r="Z11" s="91"/>
      <c r="AA11" s="92"/>
      <c r="AB11" s="90">
        <v>32500</v>
      </c>
      <c r="AC11" s="91"/>
      <c r="AD11" s="91"/>
      <c r="AE11" s="92"/>
      <c r="AF11" s="90">
        <v>12500</v>
      </c>
      <c r="AG11" s="91"/>
      <c r="AH11" s="91"/>
      <c r="AI11" s="92"/>
      <c r="AJ11" s="90">
        <v>80000</v>
      </c>
      <c r="AK11" s="91"/>
      <c r="AL11" s="91"/>
      <c r="AM11" s="92"/>
      <c r="AN11" s="90">
        <v>12500</v>
      </c>
      <c r="AO11" s="91"/>
      <c r="AP11" s="91"/>
      <c r="AQ11" s="92"/>
      <c r="AR11" s="90">
        <v>75000</v>
      </c>
      <c r="AS11" s="91"/>
      <c r="AT11" s="91"/>
      <c r="AU11" s="92"/>
      <c r="AV11" s="90">
        <f>12500+100000+30000+12500</f>
        <v>155000</v>
      </c>
      <c r="AW11" s="91"/>
      <c r="AX11" s="91"/>
      <c r="AY11" s="92"/>
      <c r="AZ11" s="93">
        <f t="shared" si="3"/>
        <v>104902.95</v>
      </c>
      <c r="BA11" s="92"/>
      <c r="BB11" s="93">
        <f t="shared" si="4"/>
        <v>297902.95</v>
      </c>
      <c r="BC11" s="92"/>
      <c r="BD11" s="94">
        <f t="shared" si="5"/>
        <v>665402.94999999995</v>
      </c>
      <c r="BE11" s="94"/>
    </row>
    <row r="12" spans="1:57" ht="28">
      <c r="A12" s="5" t="s">
        <v>151</v>
      </c>
      <c r="C12" s="61"/>
      <c r="D12" s="100">
        <f>D11-D7</f>
        <v>42402.95</v>
      </c>
      <c r="E12" s="91"/>
      <c r="F12" s="91"/>
      <c r="G12" s="92"/>
      <c r="H12" s="100">
        <f>H11-H7</f>
        <v>37500</v>
      </c>
      <c r="I12" s="91"/>
      <c r="J12" s="91"/>
      <c r="K12" s="92"/>
      <c r="L12" s="100">
        <f>L11-L7</f>
        <v>-12500</v>
      </c>
      <c r="M12" s="91"/>
      <c r="N12" s="91"/>
      <c r="O12" s="92"/>
      <c r="P12" s="100">
        <f>P11-P7</f>
        <v>50000</v>
      </c>
      <c r="Q12" s="91"/>
      <c r="R12" s="91"/>
      <c r="S12" s="92"/>
      <c r="T12" s="100">
        <f>T11-T7</f>
        <v>0</v>
      </c>
      <c r="U12" s="91"/>
      <c r="V12" s="91"/>
      <c r="W12" s="92"/>
      <c r="X12" s="100">
        <f>X11-X7</f>
        <v>105500</v>
      </c>
      <c r="Y12" s="91"/>
      <c r="Z12" s="91"/>
      <c r="AA12" s="92"/>
      <c r="AB12" s="100">
        <f>AB11-AB7</f>
        <v>20000</v>
      </c>
      <c r="AC12" s="91"/>
      <c r="AD12" s="91"/>
      <c r="AE12" s="92"/>
      <c r="AF12" s="100">
        <f>AF11-AF7</f>
        <v>0</v>
      </c>
      <c r="AG12" s="91"/>
      <c r="AH12" s="91"/>
      <c r="AI12" s="92"/>
      <c r="AJ12" s="100">
        <f>AJ11-AJ7</f>
        <v>67500</v>
      </c>
      <c r="AK12" s="91"/>
      <c r="AL12" s="91"/>
      <c r="AM12" s="92"/>
      <c r="AN12" s="100">
        <f>AN11-AN7</f>
        <v>0</v>
      </c>
      <c r="AO12" s="91"/>
      <c r="AP12" s="91"/>
      <c r="AQ12" s="92"/>
      <c r="AR12" s="100">
        <f>AR11-AR7</f>
        <v>62500</v>
      </c>
      <c r="AS12" s="91"/>
      <c r="AT12" s="91"/>
      <c r="AU12" s="92"/>
      <c r="AV12" s="100">
        <f>AV11-AV7</f>
        <v>142500</v>
      </c>
      <c r="AW12" s="91"/>
      <c r="AX12" s="91"/>
      <c r="AY12" s="92"/>
      <c r="AZ12" s="93">
        <f t="shared" si="3"/>
        <v>67402.95</v>
      </c>
      <c r="BA12" s="92"/>
      <c r="BB12" s="93">
        <f t="shared" si="4"/>
        <v>222902.95</v>
      </c>
      <c r="BC12" s="92"/>
      <c r="BD12" s="94">
        <f t="shared" si="5"/>
        <v>515402.95</v>
      </c>
      <c r="BE12" s="94"/>
    </row>
    <row r="13" spans="1:57" ht="13">
      <c r="A13" s="5"/>
      <c r="C13" s="61"/>
      <c r="D13" s="100"/>
      <c r="E13" s="91"/>
      <c r="F13" s="91"/>
      <c r="G13" s="92"/>
      <c r="H13" s="100"/>
      <c r="I13" s="91"/>
      <c r="J13" s="91"/>
      <c r="K13" s="92"/>
      <c r="L13" s="100"/>
      <c r="M13" s="91"/>
      <c r="N13" s="91"/>
      <c r="O13" s="92"/>
      <c r="P13" s="100"/>
      <c r="Q13" s="91"/>
      <c r="R13" s="91"/>
      <c r="S13" s="92"/>
      <c r="T13" s="100"/>
      <c r="U13" s="91"/>
      <c r="V13" s="91"/>
      <c r="W13" s="92"/>
      <c r="X13" s="100"/>
      <c r="Y13" s="91"/>
      <c r="Z13" s="91"/>
      <c r="AA13" s="92"/>
      <c r="AB13" s="100"/>
      <c r="AC13" s="91"/>
      <c r="AD13" s="91"/>
      <c r="AE13" s="92"/>
      <c r="AF13" s="100"/>
      <c r="AG13" s="91"/>
      <c r="AH13" s="91"/>
      <c r="AI13" s="92"/>
      <c r="AJ13" s="100"/>
      <c r="AK13" s="91"/>
      <c r="AL13" s="91"/>
      <c r="AM13" s="92"/>
      <c r="AN13" s="100"/>
      <c r="AO13" s="91"/>
      <c r="AP13" s="91"/>
      <c r="AQ13" s="92"/>
      <c r="AR13" s="100"/>
      <c r="AS13" s="91"/>
      <c r="AT13" s="91"/>
      <c r="AU13" s="92"/>
      <c r="AV13" s="100"/>
      <c r="AW13" s="91"/>
      <c r="AX13" s="91"/>
      <c r="AY13" s="92"/>
      <c r="AZ13" s="100"/>
      <c r="BA13" s="92"/>
      <c r="BB13" s="100"/>
      <c r="BC13" s="92"/>
      <c r="BD13" s="91"/>
      <c r="BE13" s="91"/>
    </row>
    <row r="14" spans="1:57" ht="14">
      <c r="A14" s="5"/>
      <c r="B14" s="5"/>
      <c r="C14" s="5"/>
      <c r="D14" s="117" t="s">
        <v>152</v>
      </c>
      <c r="E14" s="118" t="s">
        <v>153</v>
      </c>
      <c r="F14" s="118" t="s">
        <v>154</v>
      </c>
      <c r="G14" s="118" t="s">
        <v>155</v>
      </c>
      <c r="H14" s="117" t="s">
        <v>152</v>
      </c>
      <c r="I14" s="118" t="s">
        <v>153</v>
      </c>
      <c r="J14" s="118" t="s">
        <v>154</v>
      </c>
      <c r="K14" s="118" t="s">
        <v>155</v>
      </c>
      <c r="L14" s="117" t="s">
        <v>152</v>
      </c>
      <c r="M14" s="118" t="s">
        <v>153</v>
      </c>
      <c r="N14" s="118" t="s">
        <v>154</v>
      </c>
      <c r="O14" s="118" t="s">
        <v>155</v>
      </c>
      <c r="P14" s="117" t="s">
        <v>152</v>
      </c>
      <c r="Q14" s="118" t="s">
        <v>153</v>
      </c>
      <c r="R14" s="118" t="s">
        <v>154</v>
      </c>
      <c r="S14" s="118" t="s">
        <v>155</v>
      </c>
      <c r="T14" s="117" t="s">
        <v>152</v>
      </c>
      <c r="U14" s="118" t="s">
        <v>153</v>
      </c>
      <c r="V14" s="118" t="s">
        <v>154</v>
      </c>
      <c r="W14" s="118" t="s">
        <v>155</v>
      </c>
      <c r="X14" s="117" t="s">
        <v>152</v>
      </c>
      <c r="Y14" s="118" t="s">
        <v>153</v>
      </c>
      <c r="Z14" s="118" t="s">
        <v>154</v>
      </c>
      <c r="AA14" s="118" t="s">
        <v>155</v>
      </c>
      <c r="AB14" s="117" t="s">
        <v>152</v>
      </c>
      <c r="AC14" s="118" t="s">
        <v>153</v>
      </c>
      <c r="AD14" s="118" t="s">
        <v>154</v>
      </c>
      <c r="AE14" s="118" t="s">
        <v>155</v>
      </c>
      <c r="AF14" s="117" t="s">
        <v>152</v>
      </c>
      <c r="AG14" s="118" t="s">
        <v>153</v>
      </c>
      <c r="AH14" s="118" t="s">
        <v>154</v>
      </c>
      <c r="AI14" s="118" t="s">
        <v>155</v>
      </c>
      <c r="AJ14" s="117" t="s">
        <v>152</v>
      </c>
      <c r="AK14" s="118" t="s">
        <v>153</v>
      </c>
      <c r="AL14" s="118" t="s">
        <v>154</v>
      </c>
      <c r="AM14" s="118" t="s">
        <v>155</v>
      </c>
      <c r="AN14" s="117" t="s">
        <v>152</v>
      </c>
      <c r="AO14" s="118" t="s">
        <v>153</v>
      </c>
      <c r="AP14" s="118" t="s">
        <v>154</v>
      </c>
      <c r="AQ14" s="118" t="s">
        <v>155</v>
      </c>
      <c r="AR14" s="117" t="s">
        <v>152</v>
      </c>
      <c r="AS14" s="118" t="s">
        <v>153</v>
      </c>
      <c r="AT14" s="118" t="s">
        <v>154</v>
      </c>
      <c r="AU14" s="118" t="s">
        <v>155</v>
      </c>
      <c r="AV14" s="117" t="s">
        <v>152</v>
      </c>
      <c r="AW14" s="118" t="s">
        <v>153</v>
      </c>
      <c r="AX14" s="118" t="s">
        <v>154</v>
      </c>
      <c r="AY14" s="118" t="s">
        <v>155</v>
      </c>
      <c r="AZ14" s="100"/>
      <c r="BA14" s="92"/>
      <c r="BB14" s="100"/>
      <c r="BC14" s="92"/>
      <c r="BD14" s="91"/>
      <c r="BE14" s="91"/>
    </row>
    <row r="15" spans="1:57" ht="13">
      <c r="A15" s="89" t="s">
        <v>83</v>
      </c>
      <c r="B15" s="265"/>
      <c r="C15" s="121">
        <f>'Revised PS Model 2015'!BB20</f>
        <v>426752.66261627898</v>
      </c>
      <c r="D15" s="53">
        <v>300</v>
      </c>
      <c r="E15" s="123">
        <f t="shared" ref="E15:E19" si="6">D$10*D15/D$20</f>
        <v>45376.5</v>
      </c>
      <c r="F15" s="124">
        <v>3436.08</v>
      </c>
      <c r="G15" s="123">
        <f t="shared" ref="G15:G19" si="7">E15-F15</f>
        <v>41940.42</v>
      </c>
      <c r="H15" s="214">
        <v>300</v>
      </c>
      <c r="I15" s="123">
        <f t="shared" ref="I15:I19" si="8">H$10*H15/H$20</f>
        <v>47345.713953488375</v>
      </c>
      <c r="J15" s="124">
        <v>2196.2800000000002</v>
      </c>
      <c r="K15" s="123">
        <f t="shared" ref="K15:K19" si="9">I15-J15</f>
        <v>45149.433953488377</v>
      </c>
      <c r="L15" s="214">
        <v>300</v>
      </c>
      <c r="M15" s="123">
        <f t="shared" ref="M15:M19" si="10">L$10*L15/L$20</f>
        <v>62602.039534883719</v>
      </c>
      <c r="N15" s="124">
        <v>1187.95</v>
      </c>
      <c r="O15" s="123">
        <f t="shared" ref="O15:O16" si="11">M15-N15</f>
        <v>61414.089534883722</v>
      </c>
      <c r="P15" s="214">
        <v>300</v>
      </c>
      <c r="Q15" s="123">
        <f t="shared" ref="Q15:Q19" si="12">P$10*P15/P$20</f>
        <v>54325.935714285712</v>
      </c>
      <c r="R15" s="124">
        <v>4451.3599999999997</v>
      </c>
      <c r="S15" s="123">
        <f t="shared" ref="S15:S19" si="13">Q15-R15</f>
        <v>49874.575714285711</v>
      </c>
      <c r="T15" s="214">
        <v>300</v>
      </c>
      <c r="U15" s="123">
        <f t="shared" ref="U15:U19" si="14">T$10*T15/T$20</f>
        <v>47809.1</v>
      </c>
      <c r="V15" s="124">
        <v>2020.72</v>
      </c>
      <c r="W15" s="123">
        <f t="shared" ref="W15:W19" si="15">U15-V15</f>
        <v>45788.38</v>
      </c>
      <c r="X15" s="214">
        <v>300</v>
      </c>
      <c r="Y15" s="123">
        <f t="shared" ref="Y15:Y19" si="16">X$10*X15/X$20</f>
        <v>57729.91428571428</v>
      </c>
      <c r="Z15" s="124">
        <v>6312.39</v>
      </c>
      <c r="AA15" s="123">
        <f t="shared" ref="AA15:AA19" si="17">Y15-Z15</f>
        <v>51417.52428571428</v>
      </c>
      <c r="AB15" s="214">
        <v>300</v>
      </c>
      <c r="AC15" s="123">
        <f t="shared" ref="AC15:AC19" si="18">AB$10*AB15/AB$20</f>
        <v>56082.428571428572</v>
      </c>
      <c r="AD15" s="124">
        <v>3855.77</v>
      </c>
      <c r="AE15" s="123">
        <f t="shared" ref="AE15:AE19" si="19">AC15-AD15</f>
        <v>52226.658571428576</v>
      </c>
      <c r="AF15" s="214">
        <v>300</v>
      </c>
      <c r="AG15" s="123">
        <f t="shared" ref="AG15:AG19" si="20">AF$10*AF15/AF$20</f>
        <v>55350.978571428568</v>
      </c>
      <c r="AH15" s="124">
        <v>5140</v>
      </c>
      <c r="AI15" s="123">
        <f t="shared" ref="AI15:AI19" si="21">AG15-AH15</f>
        <v>50210.978571428568</v>
      </c>
      <c r="AJ15" s="214">
        <v>300</v>
      </c>
      <c r="AK15" s="123">
        <f t="shared" ref="AK15:AK19" si="22">AJ$10*AJ15/AJ$20</f>
        <v>41693.857142857145</v>
      </c>
      <c r="AL15" s="124">
        <v>2620.08</v>
      </c>
      <c r="AM15" s="123">
        <f t="shared" ref="AM15:AM19" si="23">AK15-AL15</f>
        <v>39073.777142857143</v>
      </c>
      <c r="AN15" s="214">
        <v>300</v>
      </c>
      <c r="AO15" s="123">
        <f t="shared" ref="AO15:AO19" si="24">AN$10*AN15/AN$20</f>
        <v>47759.550000000017</v>
      </c>
      <c r="AP15" s="124">
        <v>1154.93</v>
      </c>
      <c r="AQ15" s="123">
        <f t="shared" ref="AQ15:AQ19" si="25">AO15-AP15</f>
        <v>46604.620000000017</v>
      </c>
      <c r="AR15" s="214">
        <v>300</v>
      </c>
      <c r="AS15" s="123">
        <f t="shared" ref="AS15:AS19" si="26">AR$10*AR15/AR$20</f>
        <v>40635.050000000003</v>
      </c>
      <c r="AT15" s="124">
        <v>5410.74</v>
      </c>
      <c r="AU15" s="123">
        <f t="shared" ref="AU15:AU19" si="27">AS15-AT15</f>
        <v>35224.310000000005</v>
      </c>
      <c r="AV15" s="214">
        <v>300</v>
      </c>
      <c r="AW15" s="123">
        <f t="shared" ref="AW15:AW19" si="28">AV$10*AV15/AV$20</f>
        <v>42111.457142857143</v>
      </c>
      <c r="AX15" s="124">
        <v>1306.33</v>
      </c>
      <c r="AY15" s="126">
        <f t="shared" ref="AY15:AY19" si="29">AW15-AX15</f>
        <v>40805.127142857142</v>
      </c>
      <c r="AZ15" s="127">
        <f t="shared" ref="AZ15:AZ19" si="30">IF($AV$3="1Q",AY15,0)+IF($AR$3="1Q",AU15,0)+IF($AN$3="1Q",AQ15,0)+IF($AJ$3="1Q",AM15,0)+IF($AF$3="1Q",AI15,0)+IF($AB$3="1Q",AE15,0)+IF($X$3="1Q",AA15,0)+IF($T$3="1Q",W15,0)+IF($P$3="1Q",S15,0)+IF($L$3="1Q",O15,0)+IF($H$3="1Q",K15,0)+IF($D$3="1Q",G15,0)</f>
        <v>148503.94348837208</v>
      </c>
      <c r="BA15" s="128">
        <f t="shared" ref="BA15:BA19" si="31">AZ15+$C15</f>
        <v>575256.606104651</v>
      </c>
      <c r="BB15" s="127">
        <f t="shared" ref="BB15:BB19" si="32">IF($AV$4="1H",AY15,0)+IF($AR$4="1H",AU15,0)+IF($AN$4="1H",AQ15,0)+IF($AJ$4="1H",AM15,0)+IF($AF$4="1H",AI15,0)+IF($AB$4="1H",AE15,0)+IF($X$4="1H",AA15,0)+IF($T$4="1H",W15,0)+IF($P$4="1H",S15,0)+IF($L$4="1H",O15,0)+IF($H$4="1H",K15,0)+IF($D$4="1H",G15,0)</f>
        <v>295584.42348837206</v>
      </c>
      <c r="BC15" s="128">
        <f t="shared" ref="BC15:BC19" si="33">BB15+$C15</f>
        <v>722337.08610465098</v>
      </c>
      <c r="BD15" s="127">
        <f t="shared" ref="BD15:BD19" si="34">AY15+AU15+AQ15+AM15+AI15+AE15+AA15+W15+S15+O15+K15+G15</f>
        <v>559729.89491694351</v>
      </c>
      <c r="BE15" s="91">
        <f t="shared" ref="BE15:BE19" si="35">BD15+C15</f>
        <v>986482.55753322248</v>
      </c>
    </row>
    <row r="16" spans="1:57" ht="13">
      <c r="A16" s="89" t="s">
        <v>209</v>
      </c>
      <c r="B16" s="265"/>
      <c r="C16" s="121">
        <f>'Revised PS Model 2015'!BB21</f>
        <v>-861.51662790702903</v>
      </c>
      <c r="D16" s="53">
        <v>100</v>
      </c>
      <c r="E16" s="123">
        <f t="shared" si="6"/>
        <v>15125.499999999998</v>
      </c>
      <c r="F16" s="124"/>
      <c r="G16" s="123">
        <f t="shared" si="7"/>
        <v>15125.499999999998</v>
      </c>
      <c r="H16" s="214">
        <v>100</v>
      </c>
      <c r="I16" s="123">
        <f t="shared" si="8"/>
        <v>15781.904651162791</v>
      </c>
      <c r="J16" s="124"/>
      <c r="K16" s="123">
        <f t="shared" si="9"/>
        <v>15781.904651162791</v>
      </c>
      <c r="L16" s="214">
        <v>100</v>
      </c>
      <c r="M16" s="123">
        <f t="shared" si="10"/>
        <v>20867.346511627908</v>
      </c>
      <c r="N16" s="124"/>
      <c r="O16" s="123">
        <f t="shared" si="11"/>
        <v>20867.346511627908</v>
      </c>
      <c r="P16" s="214">
        <v>100</v>
      </c>
      <c r="Q16" s="123">
        <f t="shared" si="12"/>
        <v>18108.64523809524</v>
      </c>
      <c r="R16" s="124"/>
      <c r="S16" s="123">
        <f t="shared" si="13"/>
        <v>18108.64523809524</v>
      </c>
      <c r="T16" s="214">
        <v>100</v>
      </c>
      <c r="U16" s="123">
        <f t="shared" si="14"/>
        <v>15936.366666666669</v>
      </c>
      <c r="V16" s="124"/>
      <c r="W16" s="123">
        <f t="shared" si="15"/>
        <v>15936.366666666669</v>
      </c>
      <c r="X16" s="214">
        <v>100</v>
      </c>
      <c r="Y16" s="123">
        <f t="shared" si="16"/>
        <v>19243.304761904761</v>
      </c>
      <c r="Z16" s="124"/>
      <c r="AA16" s="123">
        <f t="shared" si="17"/>
        <v>19243.304761904761</v>
      </c>
      <c r="AB16" s="214">
        <v>100</v>
      </c>
      <c r="AC16" s="123">
        <f t="shared" si="18"/>
        <v>18694.142857142855</v>
      </c>
      <c r="AD16" s="124"/>
      <c r="AE16" s="123">
        <f t="shared" si="19"/>
        <v>18694.142857142855</v>
      </c>
      <c r="AF16" s="214">
        <v>100</v>
      </c>
      <c r="AG16" s="123">
        <f t="shared" si="20"/>
        <v>18450.326190476189</v>
      </c>
      <c r="AH16" s="124"/>
      <c r="AI16" s="123">
        <f t="shared" si="21"/>
        <v>18450.326190476189</v>
      </c>
      <c r="AJ16" s="214">
        <v>100</v>
      </c>
      <c r="AK16" s="123">
        <f t="shared" si="22"/>
        <v>13897.952380952382</v>
      </c>
      <c r="AL16" s="124">
        <v>224.68</v>
      </c>
      <c r="AM16" s="123">
        <f t="shared" si="23"/>
        <v>13673.272380952381</v>
      </c>
      <c r="AN16" s="214">
        <v>100</v>
      </c>
      <c r="AO16" s="123">
        <f t="shared" si="24"/>
        <v>15919.850000000006</v>
      </c>
      <c r="AP16" s="124">
        <v>60.12</v>
      </c>
      <c r="AQ16" s="123">
        <f t="shared" si="25"/>
        <v>15859.730000000005</v>
      </c>
      <c r="AR16" s="214">
        <v>100</v>
      </c>
      <c r="AS16" s="123">
        <f t="shared" si="26"/>
        <v>13545.016666666666</v>
      </c>
      <c r="AT16" s="124"/>
      <c r="AU16" s="123">
        <f t="shared" si="27"/>
        <v>13545.016666666666</v>
      </c>
      <c r="AV16" s="214">
        <v>100</v>
      </c>
      <c r="AW16" s="123">
        <f t="shared" si="28"/>
        <v>14037.152380952381</v>
      </c>
      <c r="AX16" s="124"/>
      <c r="AY16" s="126">
        <f t="shared" si="29"/>
        <v>14037.152380952381</v>
      </c>
      <c r="AZ16" s="127">
        <f t="shared" si="30"/>
        <v>51774.751162790701</v>
      </c>
      <c r="BA16" s="128">
        <f t="shared" si="31"/>
        <v>50913.234534883668</v>
      </c>
      <c r="BB16" s="127">
        <f t="shared" si="32"/>
        <v>105063.06782945737</v>
      </c>
      <c r="BC16" s="128">
        <f t="shared" si="33"/>
        <v>104201.55120155035</v>
      </c>
      <c r="BD16" s="127">
        <f t="shared" si="34"/>
        <v>199322.70830564783</v>
      </c>
      <c r="BE16" s="91">
        <f t="shared" si="35"/>
        <v>198461.1916777408</v>
      </c>
    </row>
    <row r="17" spans="1:57" ht="13">
      <c r="A17" s="89" t="s">
        <v>319</v>
      </c>
      <c r="B17" s="265"/>
      <c r="C17" s="121">
        <f>'Revised PS Model 2015'!BB22</f>
        <v>-81.091162790697354</v>
      </c>
      <c r="D17" s="53">
        <v>10</v>
      </c>
      <c r="E17" s="123">
        <f t="shared" si="6"/>
        <v>1512.55</v>
      </c>
      <c r="F17" s="124"/>
      <c r="G17" s="123">
        <f t="shared" si="7"/>
        <v>1512.55</v>
      </c>
      <c r="H17" s="53">
        <v>10</v>
      </c>
      <c r="I17" s="123">
        <f t="shared" si="8"/>
        <v>1578.190465116279</v>
      </c>
      <c r="J17" s="124"/>
      <c r="K17" s="123">
        <f t="shared" si="9"/>
        <v>1578.190465116279</v>
      </c>
      <c r="L17" s="53">
        <v>10</v>
      </c>
      <c r="M17" s="123">
        <f t="shared" si="10"/>
        <v>2086.7346511627907</v>
      </c>
      <c r="N17" s="124"/>
      <c r="O17" s="123">
        <f>M17-N17-800</f>
        <v>1286.7346511627907</v>
      </c>
      <c r="P17" s="214">
        <v>0</v>
      </c>
      <c r="Q17" s="123">
        <f t="shared" si="12"/>
        <v>0</v>
      </c>
      <c r="R17" s="124"/>
      <c r="S17" s="123">
        <f t="shared" si="13"/>
        <v>0</v>
      </c>
      <c r="T17" s="214">
        <v>0</v>
      </c>
      <c r="U17" s="123">
        <f t="shared" si="14"/>
        <v>0</v>
      </c>
      <c r="V17" s="124"/>
      <c r="W17" s="123">
        <f t="shared" si="15"/>
        <v>0</v>
      </c>
      <c r="X17" s="214">
        <v>0</v>
      </c>
      <c r="Y17" s="123">
        <f t="shared" si="16"/>
        <v>0</v>
      </c>
      <c r="Z17" s="124"/>
      <c r="AA17" s="123">
        <f t="shared" si="17"/>
        <v>0</v>
      </c>
      <c r="AB17" s="214">
        <v>0</v>
      </c>
      <c r="AC17" s="123">
        <f t="shared" si="18"/>
        <v>0</v>
      </c>
      <c r="AD17" s="124"/>
      <c r="AE17" s="123">
        <f t="shared" si="19"/>
        <v>0</v>
      </c>
      <c r="AF17" s="214">
        <v>0</v>
      </c>
      <c r="AG17" s="123">
        <f t="shared" si="20"/>
        <v>0</v>
      </c>
      <c r="AH17" s="124"/>
      <c r="AI17" s="123">
        <f t="shared" si="21"/>
        <v>0</v>
      </c>
      <c r="AJ17" s="214">
        <v>0</v>
      </c>
      <c r="AK17" s="123">
        <f t="shared" si="22"/>
        <v>0</v>
      </c>
      <c r="AL17" s="124"/>
      <c r="AM17" s="123">
        <f t="shared" si="23"/>
        <v>0</v>
      </c>
      <c r="AN17" s="214">
        <v>0</v>
      </c>
      <c r="AO17" s="123">
        <f t="shared" si="24"/>
        <v>0</v>
      </c>
      <c r="AP17" s="124"/>
      <c r="AQ17" s="123">
        <f t="shared" si="25"/>
        <v>0</v>
      </c>
      <c r="AR17" s="214">
        <v>0</v>
      </c>
      <c r="AS17" s="123">
        <f t="shared" si="26"/>
        <v>0</v>
      </c>
      <c r="AT17" s="124"/>
      <c r="AU17" s="123">
        <f t="shared" si="27"/>
        <v>0</v>
      </c>
      <c r="AV17" s="214">
        <v>0</v>
      </c>
      <c r="AW17" s="123">
        <f t="shared" si="28"/>
        <v>0</v>
      </c>
      <c r="AX17" s="124"/>
      <c r="AY17" s="126">
        <f t="shared" si="29"/>
        <v>0</v>
      </c>
      <c r="AZ17" s="127">
        <f t="shared" si="30"/>
        <v>4377.4751162790699</v>
      </c>
      <c r="BA17" s="128">
        <f t="shared" si="31"/>
        <v>4296.3839534883728</v>
      </c>
      <c r="BB17" s="127">
        <f t="shared" si="32"/>
        <v>4377.4751162790699</v>
      </c>
      <c r="BC17" s="128">
        <f t="shared" si="33"/>
        <v>4296.3839534883728</v>
      </c>
      <c r="BD17" s="127">
        <f t="shared" si="34"/>
        <v>4377.4751162790699</v>
      </c>
      <c r="BE17" s="91">
        <f t="shared" si="35"/>
        <v>4296.3839534883728</v>
      </c>
    </row>
    <row r="18" spans="1:57" ht="13">
      <c r="A18" s="89" t="s">
        <v>61</v>
      </c>
      <c r="B18" s="265"/>
      <c r="C18" s="121">
        <f>'Revised PS Model 2015'!BB23</f>
        <v>-81.091162790697354</v>
      </c>
      <c r="D18" s="53">
        <v>10</v>
      </c>
      <c r="E18" s="123">
        <f t="shared" si="6"/>
        <v>1512.55</v>
      </c>
      <c r="F18" s="124"/>
      <c r="G18" s="123">
        <f t="shared" si="7"/>
        <v>1512.55</v>
      </c>
      <c r="H18" s="53">
        <v>10</v>
      </c>
      <c r="I18" s="123">
        <f t="shared" si="8"/>
        <v>1578.190465116279</v>
      </c>
      <c r="J18" s="124"/>
      <c r="K18" s="123">
        <f t="shared" si="9"/>
        <v>1578.190465116279</v>
      </c>
      <c r="L18" s="53">
        <v>10</v>
      </c>
      <c r="M18" s="123">
        <f t="shared" si="10"/>
        <v>2086.7346511627907</v>
      </c>
      <c r="N18" s="124"/>
      <c r="O18" s="123">
        <f t="shared" ref="O18:O19" si="36">M18-N18</f>
        <v>2086.7346511627907</v>
      </c>
      <c r="P18" s="214">
        <v>10</v>
      </c>
      <c r="Q18" s="123">
        <f t="shared" si="12"/>
        <v>1810.8645238095237</v>
      </c>
      <c r="R18" s="124"/>
      <c r="S18" s="123">
        <f t="shared" si="13"/>
        <v>1810.8645238095237</v>
      </c>
      <c r="T18" s="214">
        <v>10</v>
      </c>
      <c r="U18" s="123">
        <f t="shared" si="14"/>
        <v>1593.6366666666668</v>
      </c>
      <c r="V18" s="124"/>
      <c r="W18" s="123">
        <f t="shared" si="15"/>
        <v>1593.6366666666668</v>
      </c>
      <c r="X18" s="214">
        <v>10</v>
      </c>
      <c r="Y18" s="123">
        <f t="shared" si="16"/>
        <v>1924.330476190476</v>
      </c>
      <c r="Z18" s="124"/>
      <c r="AA18" s="123">
        <f t="shared" si="17"/>
        <v>1924.330476190476</v>
      </c>
      <c r="AB18" s="214">
        <v>10</v>
      </c>
      <c r="AC18" s="123">
        <f t="shared" si="18"/>
        <v>1869.4142857142858</v>
      </c>
      <c r="AD18" s="124"/>
      <c r="AE18" s="123">
        <f t="shared" si="19"/>
        <v>1869.4142857142858</v>
      </c>
      <c r="AF18" s="214">
        <v>10</v>
      </c>
      <c r="AG18" s="123">
        <f t="shared" si="20"/>
        <v>1845.0326190476189</v>
      </c>
      <c r="AH18" s="124"/>
      <c r="AI18" s="123">
        <f t="shared" si="21"/>
        <v>1845.0326190476189</v>
      </c>
      <c r="AJ18" s="214">
        <v>10</v>
      </c>
      <c r="AK18" s="123">
        <f t="shared" si="22"/>
        <v>1389.7952380952381</v>
      </c>
      <c r="AL18" s="124"/>
      <c r="AM18" s="123">
        <f t="shared" si="23"/>
        <v>1389.7952380952381</v>
      </c>
      <c r="AN18" s="214">
        <v>10</v>
      </c>
      <c r="AO18" s="123">
        <f t="shared" si="24"/>
        <v>1591.9850000000004</v>
      </c>
      <c r="AP18" s="124"/>
      <c r="AQ18" s="123">
        <f t="shared" si="25"/>
        <v>1591.9850000000004</v>
      </c>
      <c r="AR18" s="214">
        <v>10</v>
      </c>
      <c r="AS18" s="123">
        <f t="shared" si="26"/>
        <v>1354.5016666666666</v>
      </c>
      <c r="AT18" s="124"/>
      <c r="AU18" s="123">
        <f t="shared" si="27"/>
        <v>1354.5016666666666</v>
      </c>
      <c r="AV18" s="214">
        <v>10</v>
      </c>
      <c r="AW18" s="123">
        <f t="shared" si="28"/>
        <v>1403.7152380952382</v>
      </c>
      <c r="AX18" s="124"/>
      <c r="AY18" s="126">
        <f t="shared" si="29"/>
        <v>1403.7152380952382</v>
      </c>
      <c r="AZ18" s="127">
        <f t="shared" si="30"/>
        <v>5177.4751162790699</v>
      </c>
      <c r="BA18" s="128">
        <f t="shared" si="31"/>
        <v>5096.3839534883728</v>
      </c>
      <c r="BB18" s="127">
        <f t="shared" si="32"/>
        <v>10506.306782945736</v>
      </c>
      <c r="BC18" s="128">
        <f t="shared" si="33"/>
        <v>10425.215620155039</v>
      </c>
      <c r="BD18" s="127">
        <f t="shared" si="34"/>
        <v>19960.750830564786</v>
      </c>
      <c r="BE18" s="91">
        <f t="shared" si="35"/>
        <v>19879.659667774089</v>
      </c>
    </row>
    <row r="19" spans="1:57" ht="13">
      <c r="A19" s="89" t="s">
        <v>65</v>
      </c>
      <c r="B19" s="265"/>
      <c r="C19" s="121">
        <f>'Revised PS Model 2015'!BB24</f>
        <v>-81.091162790697354</v>
      </c>
      <c r="D19" s="53">
        <v>10</v>
      </c>
      <c r="E19" s="123">
        <f t="shared" si="6"/>
        <v>1512.55</v>
      </c>
      <c r="F19" s="124"/>
      <c r="G19" s="123">
        <f t="shared" si="7"/>
        <v>1512.55</v>
      </c>
      <c r="H19" s="53">
        <v>10</v>
      </c>
      <c r="I19" s="123">
        <f t="shared" si="8"/>
        <v>1578.190465116279</v>
      </c>
      <c r="J19" s="124"/>
      <c r="K19" s="123">
        <f t="shared" si="9"/>
        <v>1578.190465116279</v>
      </c>
      <c r="L19" s="53">
        <v>10</v>
      </c>
      <c r="M19" s="123">
        <f t="shared" si="10"/>
        <v>2086.7346511627907</v>
      </c>
      <c r="N19" s="124"/>
      <c r="O19" s="123">
        <f t="shared" si="36"/>
        <v>2086.7346511627907</v>
      </c>
      <c r="P19" s="214">
        <v>10</v>
      </c>
      <c r="Q19" s="123">
        <f t="shared" si="12"/>
        <v>1810.8645238095237</v>
      </c>
      <c r="R19" s="124"/>
      <c r="S19" s="123">
        <f t="shared" si="13"/>
        <v>1810.8645238095237</v>
      </c>
      <c r="T19" s="214">
        <v>10</v>
      </c>
      <c r="U19" s="123">
        <f t="shared" si="14"/>
        <v>1593.6366666666668</v>
      </c>
      <c r="V19" s="124"/>
      <c r="W19" s="123">
        <f t="shared" si="15"/>
        <v>1593.6366666666668</v>
      </c>
      <c r="X19" s="214">
        <v>10</v>
      </c>
      <c r="Y19" s="123">
        <f t="shared" si="16"/>
        <v>1924.330476190476</v>
      </c>
      <c r="Z19" s="124"/>
      <c r="AA19" s="123">
        <f t="shared" si="17"/>
        <v>1924.330476190476</v>
      </c>
      <c r="AB19" s="214">
        <v>10</v>
      </c>
      <c r="AC19" s="123">
        <f t="shared" si="18"/>
        <v>1869.4142857142858</v>
      </c>
      <c r="AD19" s="124"/>
      <c r="AE19" s="123">
        <f t="shared" si="19"/>
        <v>1869.4142857142858</v>
      </c>
      <c r="AF19" s="214">
        <v>10</v>
      </c>
      <c r="AG19" s="123">
        <f t="shared" si="20"/>
        <v>1845.0326190476189</v>
      </c>
      <c r="AH19" s="124"/>
      <c r="AI19" s="123">
        <f t="shared" si="21"/>
        <v>1845.0326190476189</v>
      </c>
      <c r="AJ19" s="214">
        <v>10</v>
      </c>
      <c r="AK19" s="123">
        <f t="shared" si="22"/>
        <v>1389.7952380952381</v>
      </c>
      <c r="AL19" s="124"/>
      <c r="AM19" s="123">
        <f t="shared" si="23"/>
        <v>1389.7952380952381</v>
      </c>
      <c r="AN19" s="214">
        <v>10</v>
      </c>
      <c r="AO19" s="123">
        <f t="shared" si="24"/>
        <v>1591.9850000000004</v>
      </c>
      <c r="AP19" s="124"/>
      <c r="AQ19" s="123">
        <f t="shared" si="25"/>
        <v>1591.9850000000004</v>
      </c>
      <c r="AR19" s="214">
        <v>10</v>
      </c>
      <c r="AS19" s="123">
        <f t="shared" si="26"/>
        <v>1354.5016666666666</v>
      </c>
      <c r="AT19" s="124"/>
      <c r="AU19" s="123">
        <f t="shared" si="27"/>
        <v>1354.5016666666666</v>
      </c>
      <c r="AV19" s="214">
        <v>10</v>
      </c>
      <c r="AW19" s="123">
        <f t="shared" si="28"/>
        <v>1403.7152380952382</v>
      </c>
      <c r="AX19" s="124"/>
      <c r="AY19" s="126">
        <f t="shared" si="29"/>
        <v>1403.7152380952382</v>
      </c>
      <c r="AZ19" s="127">
        <f t="shared" si="30"/>
        <v>5177.4751162790699</v>
      </c>
      <c r="BA19" s="128">
        <f t="shared" si="31"/>
        <v>5096.3839534883728</v>
      </c>
      <c r="BB19" s="127">
        <f t="shared" si="32"/>
        <v>10506.306782945736</v>
      </c>
      <c r="BC19" s="128">
        <f t="shared" si="33"/>
        <v>10425.215620155039</v>
      </c>
      <c r="BD19" s="127">
        <f t="shared" si="34"/>
        <v>19960.750830564786</v>
      </c>
      <c r="BE19" s="91">
        <f t="shared" si="35"/>
        <v>19879.659667774089</v>
      </c>
    </row>
    <row r="20" spans="1:57" ht="13">
      <c r="A20" s="89"/>
      <c r="C20" s="61"/>
      <c r="D20" s="148">
        <f t="shared" ref="D20:E20" si="37">SUM(D15:D19)</f>
        <v>430</v>
      </c>
      <c r="E20" s="149">
        <f t="shared" si="37"/>
        <v>65039.650000000009</v>
      </c>
      <c r="F20" s="91"/>
      <c r="G20" s="91"/>
      <c r="H20" s="148">
        <f t="shared" ref="H20:I20" si="38">SUM(H15:H19)</f>
        <v>430</v>
      </c>
      <c r="I20" s="149">
        <f t="shared" si="38"/>
        <v>67862.19</v>
      </c>
      <c r="J20" s="91"/>
      <c r="K20" s="91"/>
      <c r="L20" s="148">
        <f t="shared" ref="L20:M20" si="39">SUM(L15:L19)</f>
        <v>430</v>
      </c>
      <c r="M20" s="149">
        <f t="shared" si="39"/>
        <v>89729.589999999982</v>
      </c>
      <c r="N20" s="91"/>
      <c r="O20" s="91"/>
      <c r="P20" s="148">
        <f t="shared" ref="P20:Q20" si="40">SUM(P15:P19)</f>
        <v>420</v>
      </c>
      <c r="Q20" s="149">
        <f t="shared" si="40"/>
        <v>76056.31</v>
      </c>
      <c r="R20" s="91"/>
      <c r="S20" s="91"/>
      <c r="T20" s="148">
        <f t="shared" ref="T20:U20" si="41">SUM(T15:T19)</f>
        <v>420</v>
      </c>
      <c r="U20" s="149">
        <f t="shared" si="41"/>
        <v>66932.740000000005</v>
      </c>
      <c r="V20" s="91"/>
      <c r="W20" s="91"/>
      <c r="X20" s="148">
        <f t="shared" ref="X20:Y20" si="42">SUM(X15:X19)</f>
        <v>420</v>
      </c>
      <c r="Y20" s="149">
        <f t="shared" si="42"/>
        <v>80821.87999999999</v>
      </c>
      <c r="Z20" s="91"/>
      <c r="AA20" s="91"/>
      <c r="AB20" s="148">
        <f t="shared" ref="AB20:AC20" si="43">SUM(AB15:AB19)</f>
        <v>420</v>
      </c>
      <c r="AC20" s="149">
        <f t="shared" si="43"/>
        <v>78515.399999999994</v>
      </c>
      <c r="AD20" s="91"/>
      <c r="AE20" s="91"/>
      <c r="AF20" s="148">
        <f t="shared" ref="AF20:AG20" si="44">SUM(AF15:AF19)</f>
        <v>420</v>
      </c>
      <c r="AG20" s="149">
        <f t="shared" si="44"/>
        <v>77491.37</v>
      </c>
      <c r="AH20" s="91"/>
      <c r="AI20" s="91"/>
      <c r="AJ20" s="148">
        <f t="shared" ref="AJ20:AK20" si="45">SUM(AJ15:AJ19)</f>
        <v>420</v>
      </c>
      <c r="AK20" s="149">
        <f t="shared" si="45"/>
        <v>58371.400000000009</v>
      </c>
      <c r="AL20" s="91"/>
      <c r="AM20" s="91"/>
      <c r="AN20" s="148">
        <f t="shared" ref="AN20:AO20" si="46">SUM(AN15:AN19)</f>
        <v>420</v>
      </c>
      <c r="AO20" s="149">
        <f t="shared" si="46"/>
        <v>66863.370000000024</v>
      </c>
      <c r="AP20" s="91"/>
      <c r="AQ20" s="91"/>
      <c r="AR20" s="148">
        <f t="shared" ref="AR20:AS20" si="47">SUM(AR15:AR19)</f>
        <v>420</v>
      </c>
      <c r="AS20" s="149">
        <f t="shared" si="47"/>
        <v>56889.069999999992</v>
      </c>
      <c r="AT20" s="91"/>
      <c r="AU20" s="91"/>
      <c r="AV20" s="148">
        <f t="shared" ref="AV20:AW20" si="48">SUM(AV15:AV19)</f>
        <v>420</v>
      </c>
      <c r="AW20" s="149">
        <f t="shared" si="48"/>
        <v>58956.04</v>
      </c>
      <c r="AX20" s="124"/>
      <c r="AY20" s="92"/>
      <c r="AZ20" s="91"/>
      <c r="BA20" s="150"/>
      <c r="BB20" s="91"/>
      <c r="BC20" s="150"/>
    </row>
    <row r="21" spans="1:57" ht="14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X21" s="151"/>
      <c r="AY21" s="92"/>
      <c r="AZ21" s="216" t="str">
        <f>"Paid for "&amp;AZ2</f>
        <v>Paid for 1Q</v>
      </c>
      <c r="BA21" s="217" t="s">
        <v>256</v>
      </c>
      <c r="BB21" s="216" t="str">
        <f>"Paid for "&amp;BB2</f>
        <v>Paid for 1H</v>
      </c>
      <c r="BC21" s="217" t="s">
        <v>256</v>
      </c>
      <c r="BD21" s="216" t="str">
        <f>"Paid for "&amp;BD2</f>
        <v>Paid for 2016</v>
      </c>
      <c r="BE21" s="217" t="s">
        <v>256</v>
      </c>
    </row>
    <row r="22" spans="1:57" ht="13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45" t="s">
        <v>83</v>
      </c>
      <c r="AZ22" s="200">
        <f>AZ12</f>
        <v>67402.95</v>
      </c>
      <c r="BA22" s="271">
        <f t="shared" ref="BA22:BA26" si="49">BA15-AZ22</f>
        <v>507853.65610465099</v>
      </c>
      <c r="BB22" s="263">
        <f>BB12</f>
        <v>222902.95</v>
      </c>
      <c r="BC22" s="272">
        <f t="shared" ref="BC22:BC26" si="50">BC15-BB22</f>
        <v>499434.13610465097</v>
      </c>
      <c r="BD22" s="263">
        <f>BD12</f>
        <v>515402.95</v>
      </c>
      <c r="BE22" s="272">
        <f t="shared" ref="BE22:BE26" si="51">BE15-BD22</f>
        <v>471079.60753322247</v>
      </c>
    </row>
    <row r="23" spans="1:57" ht="13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209</v>
      </c>
      <c r="AZ23" s="90">
        <v>44952.65</v>
      </c>
      <c r="BA23" s="273">
        <f t="shared" si="49"/>
        <v>5960.5845348836665</v>
      </c>
      <c r="BB23" s="90">
        <f>AZ23+61064.01</f>
        <v>106016.66</v>
      </c>
      <c r="BC23" s="272">
        <f t="shared" si="50"/>
        <v>-1815.1087984496553</v>
      </c>
      <c r="BD23" s="90">
        <f>BB23+94223.66</f>
        <v>200240.32</v>
      </c>
      <c r="BE23" s="272">
        <f t="shared" si="51"/>
        <v>-1779.1283222592028</v>
      </c>
    </row>
    <row r="24" spans="1:57" ht="13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0" t="s">
        <v>319</v>
      </c>
      <c r="AZ24" s="90">
        <v>3781</v>
      </c>
      <c r="BA24" s="273">
        <f t="shared" si="49"/>
        <v>515.38395348837275</v>
      </c>
      <c r="BB24" s="90">
        <f>AZ24+498.99</f>
        <v>4279.99</v>
      </c>
      <c r="BC24" s="272">
        <f t="shared" si="50"/>
        <v>16.393953488372972</v>
      </c>
      <c r="BD24" s="90">
        <f>BB24</f>
        <v>4279.99</v>
      </c>
      <c r="BE24" s="272">
        <f t="shared" si="51"/>
        <v>16.393953488372972</v>
      </c>
    </row>
    <row r="25" spans="1:57" ht="13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Y25" s="250" t="s">
        <v>61</v>
      </c>
      <c r="AZ25" s="90">
        <v>4581</v>
      </c>
      <c r="BA25" s="273">
        <f t="shared" si="49"/>
        <v>515.38395348837275</v>
      </c>
      <c r="BB25" s="90">
        <f t="shared" ref="BB25:BB26" si="52">AZ25+6025.73</f>
        <v>10606.73</v>
      </c>
      <c r="BC25" s="272">
        <f t="shared" si="50"/>
        <v>-181.51437984496079</v>
      </c>
      <c r="BD25" s="90">
        <f t="shared" ref="BD25:BD26" si="53">BB25+9450.84</f>
        <v>20057.57</v>
      </c>
      <c r="BE25" s="272">
        <f t="shared" si="51"/>
        <v>-177.91033222591068</v>
      </c>
    </row>
    <row r="26" spans="1:57" ht="13">
      <c r="A26" s="89"/>
      <c r="B26" s="5"/>
      <c r="C26" s="61"/>
      <c r="D26" s="10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W26" s="151"/>
      <c r="AY26" s="255" t="s">
        <v>65</v>
      </c>
      <c r="AZ26" s="274">
        <v>4581</v>
      </c>
      <c r="BA26" s="279">
        <f t="shared" si="49"/>
        <v>515.38395348837275</v>
      </c>
      <c r="BB26" s="274">
        <f t="shared" si="52"/>
        <v>10606.73</v>
      </c>
      <c r="BC26" s="277">
        <f t="shared" si="50"/>
        <v>-181.51437984496079</v>
      </c>
      <c r="BD26" s="274">
        <f t="shared" si="53"/>
        <v>20057.57</v>
      </c>
      <c r="BE26" s="277">
        <f t="shared" si="51"/>
        <v>-177.91033222591068</v>
      </c>
    </row>
    <row r="27" spans="1:57" ht="13">
      <c r="A27" s="89"/>
      <c r="C27" s="61"/>
      <c r="D27" s="62"/>
      <c r="BC27" s="91"/>
      <c r="BD27" s="91"/>
      <c r="BE27" s="91"/>
    </row>
    <row r="28" spans="1:57" ht="13">
      <c r="A28" s="89"/>
      <c r="C28" s="61"/>
      <c r="D28" s="62"/>
      <c r="AY28" s="1"/>
      <c r="BA28" s="230"/>
      <c r="BB28" s="230"/>
      <c r="BC28" s="91"/>
      <c r="BD28" s="91"/>
      <c r="BE28" s="91"/>
    </row>
    <row r="29" spans="1:57" ht="13">
      <c r="A29" s="89"/>
      <c r="C29" s="61"/>
      <c r="D29" s="62"/>
      <c r="AZ29" s="152"/>
      <c r="BA29" s="152"/>
      <c r="BB29" s="152"/>
      <c r="BC29" s="91"/>
      <c r="BD29" s="91"/>
      <c r="BE29" s="91"/>
    </row>
    <row r="30" spans="1:57" ht="14">
      <c r="A30" s="89" t="s">
        <v>201</v>
      </c>
      <c r="C30" s="61"/>
      <c r="D30" s="62"/>
      <c r="AN30" s="1" t="s">
        <v>148</v>
      </c>
      <c r="AZ30" s="152"/>
      <c r="BA30" s="152"/>
      <c r="BB30" s="152"/>
      <c r="BC30" s="91"/>
      <c r="BD30" s="91"/>
      <c r="BE30" s="91"/>
    </row>
    <row r="31" spans="1:57" ht="13">
      <c r="A31" s="89"/>
      <c r="C31" s="61"/>
      <c r="D31" s="62"/>
      <c r="BC31" s="91"/>
    </row>
    <row r="32" spans="1:57" ht="13">
      <c r="A32" s="89"/>
      <c r="C32" s="61"/>
      <c r="D32" s="62"/>
    </row>
    <row r="33" spans="1:4" ht="13">
      <c r="A33" s="89"/>
      <c r="C33" s="61"/>
      <c r="D33" s="62"/>
    </row>
    <row r="34" spans="1:4" ht="13">
      <c r="A34" s="89"/>
      <c r="C34" s="61"/>
      <c r="D34" s="62"/>
    </row>
    <row r="35" spans="1:4" ht="13">
      <c r="A35" s="89"/>
      <c r="C35" s="61"/>
      <c r="D35" s="62"/>
    </row>
    <row r="36" spans="1:4" ht="13">
      <c r="A36" s="89"/>
      <c r="C36" s="61"/>
      <c r="D36" s="62"/>
    </row>
    <row r="37" spans="1:4" ht="13">
      <c r="A37" s="89"/>
      <c r="C37" s="61"/>
      <c r="D37" s="62"/>
    </row>
    <row r="38" spans="1:4" ht="13">
      <c r="A38" s="89"/>
      <c r="C38" s="61"/>
      <c r="D38" s="62"/>
    </row>
    <row r="39" spans="1:4" ht="13">
      <c r="A39" s="89"/>
      <c r="C39" s="61"/>
      <c r="D39" s="62"/>
    </row>
    <row r="40" spans="1:4" ht="13">
      <c r="A40" s="89"/>
      <c r="C40" s="61"/>
      <c r="D40" s="62"/>
    </row>
    <row r="41" spans="1:4" ht="13">
      <c r="A41" s="89"/>
      <c r="C41" s="61"/>
      <c r="D41" s="62"/>
    </row>
    <row r="42" spans="1:4" ht="13">
      <c r="A42" s="89"/>
      <c r="C42" s="61"/>
      <c r="D42" s="62"/>
    </row>
    <row r="43" spans="1:4" ht="13">
      <c r="A43" s="89"/>
      <c r="C43" s="61"/>
      <c r="D43" s="62"/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BE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7" width="15.1640625" customWidth="1"/>
  </cols>
  <sheetData>
    <row r="1" spans="1:57" ht="42.75" customHeight="1">
      <c r="A1" s="5" t="s">
        <v>148</v>
      </c>
      <c r="C1" s="61" t="s">
        <v>131</v>
      </c>
      <c r="D1" s="59">
        <v>42400</v>
      </c>
      <c r="E1" s="60"/>
      <c r="F1" s="60"/>
      <c r="G1" s="61"/>
      <c r="H1" s="59">
        <v>42428</v>
      </c>
      <c r="I1" s="60"/>
      <c r="J1" s="60"/>
      <c r="K1" s="61"/>
      <c r="L1" s="59">
        <v>42460</v>
      </c>
      <c r="M1" s="60"/>
      <c r="N1" s="60"/>
      <c r="O1" s="61"/>
      <c r="P1" s="59">
        <v>42490</v>
      </c>
      <c r="Q1" s="60"/>
      <c r="R1" s="60"/>
      <c r="S1" s="61"/>
      <c r="T1" s="59">
        <v>42521</v>
      </c>
      <c r="U1" s="60"/>
      <c r="V1" s="60"/>
      <c r="W1" s="61"/>
      <c r="X1" s="59">
        <v>42551</v>
      </c>
      <c r="Y1" s="60"/>
      <c r="Z1" s="60"/>
      <c r="AA1" s="61"/>
      <c r="AB1" s="59">
        <v>42582</v>
      </c>
      <c r="AC1" s="60"/>
      <c r="AD1" s="60"/>
      <c r="AE1" s="61"/>
      <c r="AF1" s="59">
        <v>42613</v>
      </c>
      <c r="AG1" s="60"/>
      <c r="AH1" s="60"/>
      <c r="AI1" s="61"/>
      <c r="AJ1" s="59">
        <v>42643</v>
      </c>
      <c r="AK1" s="60"/>
      <c r="AL1" s="60"/>
      <c r="AM1" s="61"/>
      <c r="AN1" s="59">
        <v>42674</v>
      </c>
      <c r="AO1" s="60"/>
      <c r="AP1" s="60"/>
      <c r="AQ1" s="61"/>
      <c r="AR1" s="59">
        <v>42704</v>
      </c>
      <c r="AS1" s="60"/>
      <c r="AT1" s="60"/>
      <c r="AU1" s="61"/>
      <c r="AV1" s="59">
        <v>42735</v>
      </c>
      <c r="AW1" s="60"/>
      <c r="AX1" s="60"/>
      <c r="BB1" s="62"/>
      <c r="BC1" s="61"/>
    </row>
    <row r="2" spans="1:57" ht="14">
      <c r="A2" s="5"/>
      <c r="C2" s="61"/>
      <c r="D2" s="62">
        <f>YEAR(D1)</f>
        <v>2016</v>
      </c>
      <c r="G2" s="61"/>
      <c r="H2" s="62">
        <f>YEAR(H1)</f>
        <v>2016</v>
      </c>
      <c r="K2" s="61"/>
      <c r="L2" s="62">
        <f>YEAR(L1)</f>
        <v>2016</v>
      </c>
      <c r="O2" s="61"/>
      <c r="P2" s="62">
        <f>YEAR(P1)</f>
        <v>2016</v>
      </c>
      <c r="S2" s="61"/>
      <c r="T2" s="62">
        <f>YEAR(T1)</f>
        <v>2016</v>
      </c>
      <c r="W2" s="61"/>
      <c r="X2" s="62">
        <f>YEAR(X1)</f>
        <v>2016</v>
      </c>
      <c r="AA2" s="61"/>
      <c r="AB2" s="62">
        <f>YEAR(AB1)</f>
        <v>2016</v>
      </c>
      <c r="AE2" s="61"/>
      <c r="AF2" s="62">
        <f>YEAR(AF1)</f>
        <v>2016</v>
      </c>
      <c r="AI2" s="61"/>
      <c r="AJ2" s="62">
        <f>YEAR(AJ1)</f>
        <v>2016</v>
      </c>
      <c r="AM2" s="61"/>
      <c r="AN2" s="62">
        <f>YEAR(AN1)</f>
        <v>2016</v>
      </c>
      <c r="AQ2" s="61"/>
      <c r="AR2" s="62">
        <f>YEAR(AR1)</f>
        <v>2016</v>
      </c>
      <c r="AU2" s="61"/>
      <c r="AV2" s="62">
        <f>YEAR(AV1)</f>
        <v>2016</v>
      </c>
      <c r="AY2" s="61"/>
      <c r="AZ2" s="65" t="s">
        <v>132</v>
      </c>
      <c r="BA2" s="65"/>
      <c r="BB2" s="209" t="s">
        <v>247</v>
      </c>
      <c r="BC2" s="61"/>
      <c r="BD2" s="67">
        <v>2016</v>
      </c>
      <c r="BE2" s="67"/>
    </row>
    <row r="3" spans="1:5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  <c r="BE3" s="72"/>
    </row>
    <row r="4" spans="1:57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  <c r="BE4" s="72"/>
    </row>
    <row r="5" spans="1:57" ht="13">
      <c r="A5" s="89" t="s">
        <v>136</v>
      </c>
      <c r="C5" s="61"/>
      <c r="D5" s="90">
        <v>73398.48</v>
      </c>
      <c r="E5" s="91"/>
      <c r="F5" s="91"/>
      <c r="G5" s="92"/>
      <c r="H5" s="90">
        <v>78165.91</v>
      </c>
      <c r="I5" s="91"/>
      <c r="J5" s="91"/>
      <c r="K5" s="92"/>
      <c r="L5" s="90">
        <v>101041.64</v>
      </c>
      <c r="M5" s="91"/>
      <c r="N5" s="91"/>
      <c r="O5" s="92"/>
      <c r="P5" s="90">
        <v>101927.45</v>
      </c>
      <c r="Q5" s="91"/>
      <c r="R5" s="91"/>
      <c r="S5" s="92"/>
      <c r="T5" s="90">
        <v>77897.45</v>
      </c>
      <c r="U5" s="91"/>
      <c r="V5" s="91"/>
      <c r="W5" s="92"/>
      <c r="X5" s="90">
        <v>88297.37</v>
      </c>
      <c r="Y5" s="91"/>
      <c r="Z5" s="91"/>
      <c r="AA5" s="92"/>
      <c r="AB5" s="90">
        <v>29842.76</v>
      </c>
      <c r="AC5" s="91"/>
      <c r="AD5" s="91"/>
      <c r="AE5" s="92"/>
      <c r="AF5" s="90">
        <v>85153.84</v>
      </c>
      <c r="AG5" s="91"/>
      <c r="AH5" s="91"/>
      <c r="AI5" s="92"/>
      <c r="AJ5" s="90">
        <v>68026.64</v>
      </c>
      <c r="AK5" s="91"/>
      <c r="AL5" s="91"/>
      <c r="AM5" s="92"/>
      <c r="AN5" s="90">
        <v>4657.07</v>
      </c>
      <c r="AO5" s="91"/>
      <c r="AP5" s="91"/>
      <c r="AQ5" s="92"/>
      <c r="AR5" s="90">
        <v>63978.33</v>
      </c>
      <c r="AS5" s="91"/>
      <c r="AT5" s="91"/>
      <c r="AU5" s="92"/>
      <c r="AV5" s="90">
        <v>-42975.63</v>
      </c>
      <c r="AW5" s="151"/>
      <c r="AX5" s="151"/>
      <c r="AY5" s="92"/>
      <c r="AZ5" s="93">
        <f t="shared" ref="AZ5:AZ7" si="0">SUMIF($D$3:$AY$3,AZ$2,$D5:$AY5)</f>
        <v>252606.03000000003</v>
      </c>
      <c r="BA5" s="92"/>
      <c r="BB5" s="93">
        <f t="shared" ref="BB5:BB7" si="1">SUMIF($D$4:$AY$4,BB$2,$D5:$AY5)</f>
        <v>520728.30000000005</v>
      </c>
      <c r="BC5" s="92"/>
      <c r="BD5" s="94">
        <f t="shared" ref="BD5:BD7" si="2">SUMIF($D$2:$AY$2,$BD$2,$D5:$AY5)</f>
        <v>729411.30999999994</v>
      </c>
      <c r="BE5" s="94"/>
    </row>
    <row r="6" spans="1:57" ht="14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8245</v>
      </c>
      <c r="Q6" s="91" t="s">
        <v>317</v>
      </c>
      <c r="R6" s="91"/>
      <c r="S6" s="92"/>
      <c r="T6" s="90">
        <v>485.43</v>
      </c>
      <c r="U6" s="91" t="s">
        <v>317</v>
      </c>
      <c r="V6" s="91"/>
      <c r="W6" s="92"/>
      <c r="X6" s="90">
        <v>1287.8800000000001</v>
      </c>
      <c r="Y6" s="91" t="s">
        <v>317</v>
      </c>
      <c r="Z6" s="91"/>
      <c r="AA6" s="92"/>
      <c r="AB6" s="90">
        <v>578.78</v>
      </c>
      <c r="AC6" s="91" t="s">
        <v>317</v>
      </c>
      <c r="AD6" s="91"/>
      <c r="AE6" s="92"/>
      <c r="AF6" s="90">
        <v>302.47000000000003</v>
      </c>
      <c r="AG6" s="91" t="s">
        <v>317</v>
      </c>
      <c r="AH6" s="91"/>
      <c r="AI6" s="92"/>
      <c r="AJ6" s="90">
        <v>0</v>
      </c>
      <c r="AK6" s="91"/>
      <c r="AL6" s="91"/>
      <c r="AM6" s="92"/>
      <c r="AN6" s="90">
        <v>123.21</v>
      </c>
      <c r="AO6" s="91" t="s">
        <v>317</v>
      </c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10018.310000000001</v>
      </c>
      <c r="BC6" s="92"/>
      <c r="BD6" s="94">
        <f t="shared" si="2"/>
        <v>11022.77</v>
      </c>
      <c r="BE6" s="94"/>
    </row>
    <row r="7" spans="1:57" ht="13">
      <c r="A7" s="89" t="s">
        <v>143</v>
      </c>
      <c r="B7" s="99">
        <v>12500</v>
      </c>
      <c r="C7" s="61"/>
      <c r="D7" s="100">
        <f>'Revised PS Model 2016'!ColinSalary</f>
        <v>12500</v>
      </c>
      <c r="E7" s="91"/>
      <c r="F7" s="91"/>
      <c r="G7" s="92"/>
      <c r="H7" s="100">
        <f>'Revised PS Model 2016'!ColinSalary</f>
        <v>12500</v>
      </c>
      <c r="I7" s="91"/>
      <c r="J7" s="91"/>
      <c r="K7" s="92"/>
      <c r="L7" s="100">
        <f>'Revised PS Model 2016'!ColinSalary</f>
        <v>12500</v>
      </c>
      <c r="M7" s="91"/>
      <c r="N7" s="91"/>
      <c r="O7" s="92"/>
      <c r="P7" s="100">
        <f>'Revised PS Model 2016'!ColinSalary</f>
        <v>12500</v>
      </c>
      <c r="Q7" s="91"/>
      <c r="R7" s="91"/>
      <c r="S7" s="92"/>
      <c r="T7" s="100">
        <f>'Revised PS Model 2016'!ColinSalary</f>
        <v>12500</v>
      </c>
      <c r="U7" s="91"/>
      <c r="V7" s="91"/>
      <c r="W7" s="92"/>
      <c r="X7" s="100">
        <f>'Revised PS Model 2016'!ColinSalary</f>
        <v>12500</v>
      </c>
      <c r="Y7" s="91"/>
      <c r="Z7" s="91"/>
      <c r="AA7" s="92"/>
      <c r="AB7" s="100">
        <f>'Revised PS Model 2016'!ColinSalary</f>
        <v>12500</v>
      </c>
      <c r="AC7" s="91"/>
      <c r="AD7" s="91"/>
      <c r="AE7" s="92"/>
      <c r="AF7" s="100">
        <f>'Revised PS Model 2016'!ColinSalary</f>
        <v>12500</v>
      </c>
      <c r="AG7" s="91"/>
      <c r="AH7" s="91"/>
      <c r="AI7" s="92"/>
      <c r="AJ7" s="100">
        <f>'Revised PS Model 2016'!ColinSalary</f>
        <v>12500</v>
      </c>
      <c r="AK7" s="91"/>
      <c r="AL7" s="91"/>
      <c r="AM7" s="92"/>
      <c r="AN7" s="100">
        <f>'Revised PS Model 2016'!ColinSalary</f>
        <v>12500</v>
      </c>
      <c r="AO7" s="91"/>
      <c r="AP7" s="91"/>
      <c r="AQ7" s="92"/>
      <c r="AR7" s="100">
        <f>'Revised PS Model 2016'!ColinSalary</f>
        <v>12500</v>
      </c>
      <c r="AS7" s="91"/>
      <c r="AT7" s="91"/>
      <c r="AU7" s="92"/>
      <c r="AV7" s="100">
        <f>'Revised PS Model 2016'!ColinSalary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  <c r="BE7" s="94"/>
    </row>
    <row r="8" spans="1:57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SUM(AZ23:AZ26)</f>
        <v>57895.65</v>
      </c>
      <c r="AC8" s="91"/>
      <c r="AD8" s="91"/>
      <c r="AE8" s="92"/>
      <c r="AF8" s="103"/>
      <c r="AG8" s="91"/>
      <c r="AH8" s="91"/>
      <c r="AI8" s="92"/>
      <c r="AJ8" s="103"/>
      <c r="AK8" s="91"/>
      <c r="AL8" s="91"/>
      <c r="AM8" s="92"/>
      <c r="AN8" s="103">
        <f>SUM(BB23:BB26)-SUM(AZ23:AZ26)</f>
        <v>73614.460000000021</v>
      </c>
      <c r="AO8" s="91"/>
      <c r="AP8" s="91"/>
      <c r="AQ8" s="92"/>
      <c r="AR8" s="103"/>
      <c r="AS8" s="91"/>
      <c r="AT8" s="91"/>
      <c r="AU8" s="92"/>
      <c r="AV8" s="103">
        <f>9450.84*2+94223.66</f>
        <v>113125.34</v>
      </c>
      <c r="AW8" s="91"/>
      <c r="AX8" s="91"/>
      <c r="AY8" s="92"/>
      <c r="AZ8" s="93"/>
      <c r="BA8" s="92"/>
      <c r="BB8" s="93"/>
      <c r="BC8" s="92"/>
      <c r="BD8" s="94"/>
      <c r="BE8" s="94"/>
    </row>
    <row r="9" spans="1:57" ht="13">
      <c r="A9" s="89" t="s">
        <v>145</v>
      </c>
      <c r="B9" s="101"/>
      <c r="C9" s="102"/>
      <c r="D9" s="104">
        <f>SUM(F15:F19)</f>
        <v>3436.08</v>
      </c>
      <c r="E9" s="91"/>
      <c r="F9" s="91"/>
      <c r="G9" s="92"/>
      <c r="H9" s="104">
        <f>SUM(J15:J19)</f>
        <v>2196.2800000000002</v>
      </c>
      <c r="I9" s="91"/>
      <c r="J9" s="91"/>
      <c r="K9" s="92"/>
      <c r="L9" s="104">
        <f>SUM(N15:N19)</f>
        <v>1187.95</v>
      </c>
      <c r="M9" s="91"/>
      <c r="N9" s="91"/>
      <c r="O9" s="92"/>
      <c r="P9" s="104">
        <f>SUM(R15:R19)</f>
        <v>4451.3599999999997</v>
      </c>
      <c r="Q9" s="91"/>
      <c r="R9" s="91"/>
      <c r="S9" s="92"/>
      <c r="T9" s="104">
        <f>SUM(V15:V19)</f>
        <v>2020.72</v>
      </c>
      <c r="U9" s="91"/>
      <c r="V9" s="91"/>
      <c r="W9" s="92"/>
      <c r="X9" s="104">
        <f>SUM(Z15:Z19)</f>
        <v>6312.39</v>
      </c>
      <c r="Y9" s="91"/>
      <c r="Z9" s="91"/>
      <c r="AA9" s="92"/>
      <c r="AB9" s="104">
        <f>SUM(AD15:AD19)</f>
        <v>3855.77</v>
      </c>
      <c r="AC9" s="91"/>
      <c r="AD9" s="91"/>
      <c r="AE9" s="92"/>
      <c r="AF9" s="104">
        <f>SUM(AH15:AH19)</f>
        <v>5140</v>
      </c>
      <c r="AG9" s="91"/>
      <c r="AH9" s="91"/>
      <c r="AI9" s="92"/>
      <c r="AJ9" s="104">
        <f>SUM(AL15:AL19)</f>
        <v>2844.7599999999998</v>
      </c>
      <c r="AK9" s="91"/>
      <c r="AL9" s="91"/>
      <c r="AM9" s="92"/>
      <c r="AN9" s="104">
        <f>SUM(AP15:AP19)</f>
        <v>1215.05</v>
      </c>
      <c r="AO9" s="91"/>
      <c r="AP9" s="91"/>
      <c r="AQ9" s="92"/>
      <c r="AR9" s="104">
        <f>SUM(AT15:AT19)</f>
        <v>5410.74</v>
      </c>
      <c r="AS9" s="91"/>
      <c r="AT9" s="91"/>
      <c r="AU9" s="92"/>
      <c r="AV9" s="104">
        <f>SUM(AX15:AX19)</f>
        <v>1306.33</v>
      </c>
      <c r="AW9" s="91"/>
      <c r="AX9" s="91"/>
      <c r="AY9" s="92"/>
      <c r="AZ9" s="93">
        <f t="shared" ref="AZ9:AZ12" si="3">SUMIF($D$3:$AY$3,AZ$2,$D9:$AY9)</f>
        <v>6820.31</v>
      </c>
      <c r="BA9" s="92"/>
      <c r="BB9" s="93">
        <f t="shared" ref="BB9:BB12" si="4">SUMIF($D$4:$AY$4,BB$2,$D9:$AY9)</f>
        <v>19604.78</v>
      </c>
      <c r="BC9" s="92"/>
      <c r="BD9" s="94">
        <f t="shared" ref="BD9:BD12" si="5">SUMIF($D$2:$AY$2,$BD$2,$D9:$AY9)</f>
        <v>39377.43</v>
      </c>
      <c r="BE9" s="94"/>
    </row>
    <row r="10" spans="1:57" ht="28">
      <c r="A10" s="89" t="s">
        <v>146</v>
      </c>
      <c r="C10" s="61"/>
      <c r="D10" s="104">
        <f>D5-D6-D7+D9+D8</f>
        <v>64334.559999999998</v>
      </c>
      <c r="E10" s="91"/>
      <c r="F10" s="91"/>
      <c r="G10" s="92"/>
      <c r="H10" s="104">
        <f>H5-H6-H7+H9+H8</f>
        <v>67862.19</v>
      </c>
      <c r="I10" s="91"/>
      <c r="J10" s="91"/>
      <c r="K10" s="92"/>
      <c r="L10" s="104">
        <f>L5-L6-L7+L9+L8</f>
        <v>89729.59</v>
      </c>
      <c r="M10" s="91"/>
      <c r="N10" s="91"/>
      <c r="O10" s="92"/>
      <c r="P10" s="104">
        <f>P5-P6-P7+P9+P8+800</f>
        <v>86433.81</v>
      </c>
      <c r="Q10" s="91" t="s">
        <v>318</v>
      </c>
      <c r="R10" s="91"/>
      <c r="S10" s="92"/>
      <c r="T10" s="104">
        <f>T5-T6-T7+T9+T8</f>
        <v>66932.740000000005</v>
      </c>
      <c r="U10" s="91"/>
      <c r="V10" s="91"/>
      <c r="W10" s="92"/>
      <c r="X10" s="104">
        <f>X5-X6-X7+X9+X8</f>
        <v>80821.87999999999</v>
      </c>
      <c r="Y10" s="91"/>
      <c r="Z10" s="91"/>
      <c r="AA10" s="92"/>
      <c r="AB10" s="104">
        <f>AB5-AB6-AB7+AB9+AB8</f>
        <v>78515.399999999994</v>
      </c>
      <c r="AC10" s="91"/>
      <c r="AD10" s="91"/>
      <c r="AE10" s="92"/>
      <c r="AF10" s="104">
        <f>AF5-AF6-AF7+AF9+AF8</f>
        <v>77491.37</v>
      </c>
      <c r="AG10" s="91"/>
      <c r="AH10" s="91"/>
      <c r="AI10" s="92"/>
      <c r="AJ10" s="104">
        <f>AJ5-AJ6-AJ7+AJ9+AJ8</f>
        <v>58371.4</v>
      </c>
      <c r="AK10" s="91"/>
      <c r="AL10" s="91"/>
      <c r="AM10" s="92"/>
      <c r="AN10" s="104">
        <f>AN5-AN6-AN7+AN9+AN8</f>
        <v>66863.370000000024</v>
      </c>
      <c r="AO10" s="91"/>
      <c r="AP10" s="91"/>
      <c r="AQ10" s="92"/>
      <c r="AR10" s="104">
        <f>AR5-AR6-AR7+AR9+AR8</f>
        <v>56889.07</v>
      </c>
      <c r="AS10" s="91"/>
      <c r="AT10" s="91"/>
      <c r="AU10" s="92"/>
      <c r="AV10" s="104">
        <f>AV5-AV6-AV7+AV9+AV8</f>
        <v>58956.04</v>
      </c>
      <c r="AW10" s="91"/>
      <c r="AX10" s="91"/>
      <c r="AY10" s="92"/>
      <c r="AZ10" s="93">
        <f t="shared" si="3"/>
        <v>221926.34</v>
      </c>
      <c r="BA10" s="92"/>
      <c r="BB10" s="93">
        <f t="shared" si="4"/>
        <v>456114.77</v>
      </c>
      <c r="BC10" s="92"/>
      <c r="BD10" s="94">
        <f t="shared" si="5"/>
        <v>853201.42</v>
      </c>
      <c r="BE10" s="94"/>
    </row>
    <row r="11" spans="1:57" ht="13">
      <c r="A11" s="89" t="s">
        <v>147</v>
      </c>
      <c r="C11" s="61"/>
      <c r="D11" s="90">
        <f>32500+15000+7000+402.95</f>
        <v>54902.95</v>
      </c>
      <c r="E11" s="91"/>
      <c r="F11" s="91"/>
      <c r="G11" s="92"/>
      <c r="H11" s="90">
        <v>50000</v>
      </c>
      <c r="I11" s="91"/>
      <c r="J11" s="91"/>
      <c r="K11" s="92"/>
      <c r="L11" s="90">
        <v>0</v>
      </c>
      <c r="M11" s="91"/>
      <c r="N11" s="91"/>
      <c r="O11" s="92"/>
      <c r="P11" s="90">
        <f>12500+25000+15000+10000</f>
        <v>62500</v>
      </c>
      <c r="Q11" s="91"/>
      <c r="R11" s="91"/>
      <c r="S11" s="92"/>
      <c r="T11" s="90">
        <v>12500</v>
      </c>
      <c r="U11" s="91"/>
      <c r="V11" s="91"/>
      <c r="W11" s="92"/>
      <c r="X11" s="90">
        <v>118000</v>
      </c>
      <c r="Y11" s="91"/>
      <c r="Z11" s="91"/>
      <c r="AA11" s="92"/>
      <c r="AB11" s="90">
        <v>32500</v>
      </c>
      <c r="AC11" s="91"/>
      <c r="AD11" s="91"/>
      <c r="AE11" s="92"/>
      <c r="AF11" s="90">
        <v>12500</v>
      </c>
      <c r="AG11" s="91"/>
      <c r="AH11" s="91"/>
      <c r="AI11" s="92"/>
      <c r="AJ11" s="90">
        <v>80000</v>
      </c>
      <c r="AK11" s="91"/>
      <c r="AL11" s="91"/>
      <c r="AM11" s="92"/>
      <c r="AN11" s="90">
        <v>12500</v>
      </c>
      <c r="AO11" s="91"/>
      <c r="AP11" s="91"/>
      <c r="AQ11" s="92"/>
      <c r="AR11" s="90">
        <v>75000</v>
      </c>
      <c r="AS11" s="91"/>
      <c r="AT11" s="91"/>
      <c r="AU11" s="92"/>
      <c r="AV11" s="90">
        <f>12500+100000+30000+12500</f>
        <v>155000</v>
      </c>
      <c r="AW11" s="91"/>
      <c r="AX11" s="91"/>
      <c r="AY11" s="92"/>
      <c r="AZ11" s="93">
        <f t="shared" si="3"/>
        <v>104902.95</v>
      </c>
      <c r="BA11" s="92"/>
      <c r="BB11" s="93">
        <f t="shared" si="4"/>
        <v>297902.95</v>
      </c>
      <c r="BC11" s="92"/>
      <c r="BD11" s="94">
        <f t="shared" si="5"/>
        <v>665402.94999999995</v>
      </c>
      <c r="BE11" s="94"/>
    </row>
    <row r="12" spans="1:57" ht="28">
      <c r="A12" s="5" t="s">
        <v>151</v>
      </c>
      <c r="C12" s="61"/>
      <c r="D12" s="100">
        <f>D11-D7</f>
        <v>42402.95</v>
      </c>
      <c r="E12" s="91"/>
      <c r="F12" s="91"/>
      <c r="G12" s="92"/>
      <c r="H12" s="100">
        <f>H11-H7</f>
        <v>37500</v>
      </c>
      <c r="I12" s="91"/>
      <c r="J12" s="91"/>
      <c r="K12" s="92"/>
      <c r="L12" s="100">
        <f>L11-L7</f>
        <v>-12500</v>
      </c>
      <c r="M12" s="91"/>
      <c r="N12" s="91"/>
      <c r="O12" s="92"/>
      <c r="P12" s="100">
        <f>P11-P7</f>
        <v>50000</v>
      </c>
      <c r="Q12" s="91"/>
      <c r="R12" s="91"/>
      <c r="S12" s="92"/>
      <c r="T12" s="100">
        <f>T11-T7</f>
        <v>0</v>
      </c>
      <c r="U12" s="91"/>
      <c r="V12" s="91"/>
      <c r="W12" s="92"/>
      <c r="X12" s="100">
        <f>X11-X7</f>
        <v>105500</v>
      </c>
      <c r="Y12" s="91"/>
      <c r="Z12" s="91"/>
      <c r="AA12" s="92"/>
      <c r="AB12" s="100">
        <f>AB11-AB7</f>
        <v>20000</v>
      </c>
      <c r="AC12" s="91"/>
      <c r="AD12" s="91"/>
      <c r="AE12" s="92"/>
      <c r="AF12" s="100">
        <f>AF11-AF7</f>
        <v>0</v>
      </c>
      <c r="AG12" s="91"/>
      <c r="AH12" s="91"/>
      <c r="AI12" s="92"/>
      <c r="AJ12" s="100">
        <f>AJ11-AJ7</f>
        <v>67500</v>
      </c>
      <c r="AK12" s="91"/>
      <c r="AL12" s="91"/>
      <c r="AM12" s="92"/>
      <c r="AN12" s="100">
        <f>AN11-AN7</f>
        <v>0</v>
      </c>
      <c r="AO12" s="91"/>
      <c r="AP12" s="91"/>
      <c r="AQ12" s="92"/>
      <c r="AR12" s="100">
        <f>AR11-AR7</f>
        <v>62500</v>
      </c>
      <c r="AS12" s="91"/>
      <c r="AT12" s="91"/>
      <c r="AU12" s="92"/>
      <c r="AV12" s="100">
        <f>AV11-AV7</f>
        <v>142500</v>
      </c>
      <c r="AW12" s="91"/>
      <c r="AX12" s="91"/>
      <c r="AY12" s="92"/>
      <c r="AZ12" s="93">
        <f t="shared" si="3"/>
        <v>67402.95</v>
      </c>
      <c r="BA12" s="92"/>
      <c r="BB12" s="93">
        <f t="shared" si="4"/>
        <v>222902.95</v>
      </c>
      <c r="BC12" s="92"/>
      <c r="BD12" s="94">
        <f t="shared" si="5"/>
        <v>515402.95</v>
      </c>
      <c r="BE12" s="94"/>
    </row>
    <row r="13" spans="1:57" ht="13">
      <c r="A13" s="5"/>
      <c r="C13" s="61"/>
      <c r="D13" s="100"/>
      <c r="E13" s="91"/>
      <c r="F13" s="91"/>
      <c r="G13" s="92"/>
      <c r="H13" s="100"/>
      <c r="I13" s="91"/>
      <c r="J13" s="91"/>
      <c r="K13" s="92"/>
      <c r="L13" s="100"/>
      <c r="M13" s="91"/>
      <c r="N13" s="91"/>
      <c r="O13" s="92"/>
      <c r="P13" s="100"/>
      <c r="Q13" s="91"/>
      <c r="R13" s="91"/>
      <c r="S13" s="92"/>
      <c r="T13" s="100"/>
      <c r="U13" s="91"/>
      <c r="V13" s="91"/>
      <c r="W13" s="92"/>
      <c r="X13" s="100"/>
      <c r="Y13" s="91"/>
      <c r="Z13" s="91"/>
      <c r="AA13" s="92"/>
      <c r="AB13" s="100"/>
      <c r="AC13" s="91"/>
      <c r="AD13" s="91"/>
      <c r="AE13" s="92"/>
      <c r="AF13" s="100"/>
      <c r="AG13" s="91"/>
      <c r="AH13" s="91"/>
      <c r="AI13" s="92"/>
      <c r="AJ13" s="100"/>
      <c r="AK13" s="91"/>
      <c r="AL13" s="91"/>
      <c r="AM13" s="92"/>
      <c r="AN13" s="100"/>
      <c r="AO13" s="91"/>
      <c r="AP13" s="91"/>
      <c r="AQ13" s="92"/>
      <c r="AR13" s="100"/>
      <c r="AS13" s="91"/>
      <c r="AT13" s="91"/>
      <c r="AU13" s="92"/>
      <c r="AV13" s="100"/>
      <c r="AW13" s="91"/>
      <c r="AX13" s="91"/>
      <c r="AY13" s="92"/>
      <c r="AZ13" s="100"/>
      <c r="BA13" s="92"/>
      <c r="BB13" s="100"/>
      <c r="BC13" s="92"/>
      <c r="BD13" s="91"/>
      <c r="BE13" s="91"/>
    </row>
    <row r="14" spans="1:57" ht="14">
      <c r="A14" s="5"/>
      <c r="B14" s="5"/>
      <c r="C14" s="5"/>
      <c r="D14" s="117" t="s">
        <v>152</v>
      </c>
      <c r="E14" s="118" t="s">
        <v>153</v>
      </c>
      <c r="F14" s="118" t="s">
        <v>154</v>
      </c>
      <c r="G14" s="118" t="s">
        <v>155</v>
      </c>
      <c r="H14" s="117" t="s">
        <v>152</v>
      </c>
      <c r="I14" s="118" t="s">
        <v>153</v>
      </c>
      <c r="J14" s="118" t="s">
        <v>154</v>
      </c>
      <c r="K14" s="118" t="s">
        <v>155</v>
      </c>
      <c r="L14" s="117" t="s">
        <v>152</v>
      </c>
      <c r="M14" s="118" t="s">
        <v>153</v>
      </c>
      <c r="N14" s="118" t="s">
        <v>154</v>
      </c>
      <c r="O14" s="118" t="s">
        <v>155</v>
      </c>
      <c r="P14" s="117" t="s">
        <v>152</v>
      </c>
      <c r="Q14" s="118" t="s">
        <v>153</v>
      </c>
      <c r="R14" s="118" t="s">
        <v>154</v>
      </c>
      <c r="S14" s="118" t="s">
        <v>155</v>
      </c>
      <c r="T14" s="117" t="s">
        <v>152</v>
      </c>
      <c r="U14" s="118" t="s">
        <v>153</v>
      </c>
      <c r="V14" s="118" t="s">
        <v>154</v>
      </c>
      <c r="W14" s="118" t="s">
        <v>155</v>
      </c>
      <c r="X14" s="117" t="s">
        <v>152</v>
      </c>
      <c r="Y14" s="118" t="s">
        <v>153</v>
      </c>
      <c r="Z14" s="118" t="s">
        <v>154</v>
      </c>
      <c r="AA14" s="118" t="s">
        <v>155</v>
      </c>
      <c r="AB14" s="117" t="s">
        <v>152</v>
      </c>
      <c r="AC14" s="118" t="s">
        <v>153</v>
      </c>
      <c r="AD14" s="118" t="s">
        <v>154</v>
      </c>
      <c r="AE14" s="118" t="s">
        <v>155</v>
      </c>
      <c r="AF14" s="117" t="s">
        <v>152</v>
      </c>
      <c r="AG14" s="118" t="s">
        <v>153</v>
      </c>
      <c r="AH14" s="118" t="s">
        <v>154</v>
      </c>
      <c r="AI14" s="118" t="s">
        <v>155</v>
      </c>
      <c r="AJ14" s="117" t="s">
        <v>152</v>
      </c>
      <c r="AK14" s="118" t="s">
        <v>153</v>
      </c>
      <c r="AL14" s="118" t="s">
        <v>154</v>
      </c>
      <c r="AM14" s="118" t="s">
        <v>155</v>
      </c>
      <c r="AN14" s="117" t="s">
        <v>152</v>
      </c>
      <c r="AO14" s="118" t="s">
        <v>153</v>
      </c>
      <c r="AP14" s="118" t="s">
        <v>154</v>
      </c>
      <c r="AQ14" s="118" t="s">
        <v>155</v>
      </c>
      <c r="AR14" s="117" t="s">
        <v>152</v>
      </c>
      <c r="AS14" s="118" t="s">
        <v>153</v>
      </c>
      <c r="AT14" s="118" t="s">
        <v>154</v>
      </c>
      <c r="AU14" s="118" t="s">
        <v>155</v>
      </c>
      <c r="AV14" s="117" t="s">
        <v>152</v>
      </c>
      <c r="AW14" s="118" t="s">
        <v>153</v>
      </c>
      <c r="AX14" s="118" t="s">
        <v>154</v>
      </c>
      <c r="AY14" s="118" t="s">
        <v>155</v>
      </c>
      <c r="AZ14" s="100"/>
      <c r="BA14" s="92"/>
      <c r="BB14" s="100"/>
      <c r="BC14" s="92"/>
      <c r="BD14" s="91"/>
      <c r="BE14" s="91"/>
    </row>
    <row r="15" spans="1:57" ht="13">
      <c r="A15" s="89" t="s">
        <v>83</v>
      </c>
      <c r="B15" s="265"/>
      <c r="C15" s="121">
        <f>'Revised PS Model 2015'!BB20</f>
        <v>426752.66261627898</v>
      </c>
      <c r="D15" s="53">
        <v>300</v>
      </c>
      <c r="E15" s="123">
        <f t="shared" ref="E15:E19" si="6">D$10*D15/D$20</f>
        <v>44884.576744186044</v>
      </c>
      <c r="F15" s="124">
        <v>3436.08</v>
      </c>
      <c r="G15" s="123">
        <f t="shared" ref="G15:G19" si="7">E15-F15</f>
        <v>41448.496744186043</v>
      </c>
      <c r="H15" s="214">
        <v>300</v>
      </c>
      <c r="I15" s="123">
        <f t="shared" ref="I15:I19" si="8">H$10*H15/H$20</f>
        <v>47345.713953488375</v>
      </c>
      <c r="J15" s="124">
        <v>2196.2800000000002</v>
      </c>
      <c r="K15" s="123">
        <f t="shared" ref="K15:K19" si="9">I15-J15</f>
        <v>45149.433953488377</v>
      </c>
      <c r="L15" s="214">
        <v>300</v>
      </c>
      <c r="M15" s="123">
        <f t="shared" ref="M15:M19" si="10">L$10*L15/L$20</f>
        <v>62602.039534883719</v>
      </c>
      <c r="N15" s="124">
        <v>1187.95</v>
      </c>
      <c r="O15" s="123">
        <f t="shared" ref="O15:O16" si="11">M15-N15</f>
        <v>61414.089534883722</v>
      </c>
      <c r="P15" s="214">
        <v>300</v>
      </c>
      <c r="Q15" s="123">
        <f t="shared" ref="Q15:Q19" si="12">P$10*P15/P$20</f>
        <v>61738.435714285712</v>
      </c>
      <c r="R15" s="124">
        <v>4451.3599999999997</v>
      </c>
      <c r="S15" s="123">
        <f t="shared" ref="S15:S19" si="13">Q15-R15</f>
        <v>57287.075714285711</v>
      </c>
      <c r="T15" s="214">
        <v>300</v>
      </c>
      <c r="U15" s="123">
        <f t="shared" ref="U15:U19" si="14">T$10*T15/T$20</f>
        <v>47809.1</v>
      </c>
      <c r="V15" s="124">
        <v>2020.72</v>
      </c>
      <c r="W15" s="123">
        <f t="shared" ref="W15:W19" si="15">U15-V15</f>
        <v>45788.38</v>
      </c>
      <c r="X15" s="214">
        <v>300</v>
      </c>
      <c r="Y15" s="123">
        <f t="shared" ref="Y15:Y19" si="16">X$10*X15/X$20</f>
        <v>57729.91428571428</v>
      </c>
      <c r="Z15" s="124">
        <v>6312.39</v>
      </c>
      <c r="AA15" s="123">
        <f t="shared" ref="AA15:AA19" si="17">Y15-Z15</f>
        <v>51417.52428571428</v>
      </c>
      <c r="AB15" s="214">
        <v>300</v>
      </c>
      <c r="AC15" s="123">
        <f t="shared" ref="AC15:AC19" si="18">AB$10*AB15/AB$20</f>
        <v>56082.428571428572</v>
      </c>
      <c r="AD15" s="124">
        <v>3855.77</v>
      </c>
      <c r="AE15" s="123">
        <f t="shared" ref="AE15:AE19" si="19">AC15-AD15</f>
        <v>52226.658571428576</v>
      </c>
      <c r="AF15" s="214">
        <v>300</v>
      </c>
      <c r="AG15" s="123">
        <f t="shared" ref="AG15:AG19" si="20">AF$10*AF15/AF$20</f>
        <v>55350.978571428568</v>
      </c>
      <c r="AH15" s="124">
        <v>5140</v>
      </c>
      <c r="AI15" s="123">
        <f t="shared" ref="AI15:AI19" si="21">AG15-AH15</f>
        <v>50210.978571428568</v>
      </c>
      <c r="AJ15" s="214">
        <v>300</v>
      </c>
      <c r="AK15" s="123">
        <f t="shared" ref="AK15:AK19" si="22">AJ$10*AJ15/AJ$20</f>
        <v>41693.857142857145</v>
      </c>
      <c r="AL15" s="124">
        <v>2620.08</v>
      </c>
      <c r="AM15" s="123">
        <f t="shared" ref="AM15:AM19" si="23">AK15-AL15</f>
        <v>39073.777142857143</v>
      </c>
      <c r="AN15" s="214">
        <v>300</v>
      </c>
      <c r="AO15" s="123">
        <f t="shared" ref="AO15:AO19" si="24">AN$10*AN15/AN$20</f>
        <v>47759.550000000017</v>
      </c>
      <c r="AP15" s="124">
        <v>1154.93</v>
      </c>
      <c r="AQ15" s="123">
        <f t="shared" ref="AQ15:AQ19" si="25">AO15-AP15</f>
        <v>46604.620000000017</v>
      </c>
      <c r="AR15" s="214">
        <v>300</v>
      </c>
      <c r="AS15" s="123">
        <f t="shared" ref="AS15:AS19" si="26">AR$10*AR15/AR$20</f>
        <v>40635.050000000003</v>
      </c>
      <c r="AT15" s="124">
        <v>5410.74</v>
      </c>
      <c r="AU15" s="123">
        <f t="shared" ref="AU15:AU19" si="27">AS15-AT15</f>
        <v>35224.310000000005</v>
      </c>
      <c r="AV15" s="214">
        <v>300</v>
      </c>
      <c r="AW15" s="123">
        <f t="shared" ref="AW15:AW19" si="28">AV$10*AV15/AV$20</f>
        <v>42111.457142857143</v>
      </c>
      <c r="AX15" s="124">
        <v>1306.33</v>
      </c>
      <c r="AY15" s="126">
        <f t="shared" ref="AY15:AY19" si="29">AW15-AX15</f>
        <v>40805.127142857142</v>
      </c>
      <c r="AZ15" s="127">
        <f t="shared" ref="AZ15:AZ19" si="30">IF($AV$3="1Q",AY15,0)+IF($AR$3="1Q",AU15,0)+IF($AN$3="1Q",AQ15,0)+IF($AJ$3="1Q",AM15,0)+IF($AF$3="1Q",AI15,0)+IF($AB$3="1Q",AE15,0)+IF($X$3="1Q",AA15,0)+IF($T$3="1Q",W15,0)+IF($P$3="1Q",S15,0)+IF($L$3="1Q",O15,0)+IF($H$3="1Q",K15,0)+IF($D$3="1Q",G15,0)</f>
        <v>148012.02023255813</v>
      </c>
      <c r="BA15" s="128">
        <f>AZ15-AZ12+$C15</f>
        <v>507361.7328488371</v>
      </c>
      <c r="BB15" s="127">
        <f t="shared" ref="BB15:BB19" si="31">IF($AV$4="1H",AY15,0)+IF($AR$4="1H",AU15,0)+IF($AN$4="1H",AQ15,0)+IF($AJ$4="1H",AM15,0)+IF($AF$4="1H",AI15,0)+IF($AB$4="1H",AE15,0)+IF($X$4="1H",AA15,0)+IF($T$4="1H",W15,0)+IF($P$4="1H",S15,0)+IF($L$4="1H",O15,0)+IF($H$4="1H",K15,0)+IF($D$4="1H",G15,0)</f>
        <v>302505.00023255812</v>
      </c>
      <c r="BC15" s="128">
        <f>BB15-BB12+$C15</f>
        <v>506354.71284883708</v>
      </c>
      <c r="BD15" s="127">
        <f>AY15+AU15+AQ15+AM15+AI15+AE15+AA15+W15+S15+O15+K15+G15-BD12</f>
        <v>51247.521661129605</v>
      </c>
      <c r="BE15" s="91">
        <f t="shared" ref="BE15:BE19" si="32">BD15+C15</f>
        <v>478000.18427740858</v>
      </c>
    </row>
    <row r="16" spans="1:57" ht="13">
      <c r="A16" s="89" t="s">
        <v>209</v>
      </c>
      <c r="B16" s="265"/>
      <c r="C16" s="121">
        <f>'Revised PS Model 2015'!BB21</f>
        <v>-861.51662790702903</v>
      </c>
      <c r="D16" s="53">
        <v>100</v>
      </c>
      <c r="E16" s="123">
        <f t="shared" si="6"/>
        <v>14961.525581395348</v>
      </c>
      <c r="F16" s="124"/>
      <c r="G16" s="123">
        <f t="shared" si="7"/>
        <v>14961.525581395348</v>
      </c>
      <c r="H16" s="214">
        <v>100</v>
      </c>
      <c r="I16" s="123">
        <f t="shared" si="8"/>
        <v>15781.904651162791</v>
      </c>
      <c r="J16" s="124"/>
      <c r="K16" s="123">
        <f t="shared" si="9"/>
        <v>15781.904651162791</v>
      </c>
      <c r="L16" s="214">
        <v>100</v>
      </c>
      <c r="M16" s="123">
        <f t="shared" si="10"/>
        <v>20867.346511627908</v>
      </c>
      <c r="N16" s="124"/>
      <c r="O16" s="123">
        <f t="shared" si="11"/>
        <v>20867.346511627908</v>
      </c>
      <c r="P16" s="214">
        <v>100</v>
      </c>
      <c r="Q16" s="123">
        <f t="shared" si="12"/>
        <v>20579.478571428572</v>
      </c>
      <c r="R16" s="124"/>
      <c r="S16" s="123">
        <f t="shared" si="13"/>
        <v>20579.478571428572</v>
      </c>
      <c r="T16" s="214">
        <v>100</v>
      </c>
      <c r="U16" s="123">
        <f t="shared" si="14"/>
        <v>15936.366666666669</v>
      </c>
      <c r="V16" s="124"/>
      <c r="W16" s="123">
        <f t="shared" si="15"/>
        <v>15936.366666666669</v>
      </c>
      <c r="X16" s="214">
        <v>100</v>
      </c>
      <c r="Y16" s="123">
        <f t="shared" si="16"/>
        <v>19243.304761904761</v>
      </c>
      <c r="Z16" s="124"/>
      <c r="AA16" s="123">
        <f t="shared" si="17"/>
        <v>19243.304761904761</v>
      </c>
      <c r="AB16" s="214">
        <v>100</v>
      </c>
      <c r="AC16" s="123">
        <f t="shared" si="18"/>
        <v>18694.142857142855</v>
      </c>
      <c r="AD16" s="124"/>
      <c r="AE16" s="123">
        <f t="shared" si="19"/>
        <v>18694.142857142855</v>
      </c>
      <c r="AF16" s="214">
        <v>100</v>
      </c>
      <c r="AG16" s="123">
        <f t="shared" si="20"/>
        <v>18450.326190476189</v>
      </c>
      <c r="AH16" s="124"/>
      <c r="AI16" s="123">
        <f t="shared" si="21"/>
        <v>18450.326190476189</v>
      </c>
      <c r="AJ16" s="214">
        <v>100</v>
      </c>
      <c r="AK16" s="123">
        <f t="shared" si="22"/>
        <v>13897.952380952382</v>
      </c>
      <c r="AL16" s="124">
        <v>224.68</v>
      </c>
      <c r="AM16" s="123">
        <f t="shared" si="23"/>
        <v>13673.272380952381</v>
      </c>
      <c r="AN16" s="214">
        <v>100</v>
      </c>
      <c r="AO16" s="123">
        <f t="shared" si="24"/>
        <v>15919.850000000006</v>
      </c>
      <c r="AP16" s="124">
        <v>60.12</v>
      </c>
      <c r="AQ16" s="123">
        <f t="shared" si="25"/>
        <v>15859.730000000005</v>
      </c>
      <c r="AR16" s="214">
        <v>100</v>
      </c>
      <c r="AS16" s="123">
        <f t="shared" si="26"/>
        <v>13545.016666666666</v>
      </c>
      <c r="AT16" s="124"/>
      <c r="AU16" s="123">
        <f t="shared" si="27"/>
        <v>13545.016666666666</v>
      </c>
      <c r="AV16" s="214">
        <v>100</v>
      </c>
      <c r="AW16" s="123">
        <f t="shared" si="28"/>
        <v>14037.152380952381</v>
      </c>
      <c r="AX16" s="124"/>
      <c r="AY16" s="126">
        <f t="shared" si="29"/>
        <v>14037.152380952381</v>
      </c>
      <c r="AZ16" s="127">
        <f t="shared" si="30"/>
        <v>51610.776744186049</v>
      </c>
      <c r="BA16" s="128">
        <f t="shared" ref="BA16:BA19" si="33">AZ16+$C16</f>
        <v>50749.260116279023</v>
      </c>
      <c r="BB16" s="127">
        <f t="shared" si="31"/>
        <v>107369.92674418606</v>
      </c>
      <c r="BC16" s="128">
        <f t="shared" ref="BC16:BC19" si="34">BB16+$C16</f>
        <v>106508.41011627903</v>
      </c>
      <c r="BD16" s="127">
        <f t="shared" ref="BD16:BD19" si="35">AY16+AU16+AQ16+AM16+AI16+AE16+AA16+W16+S16+O16+K16+G16</f>
        <v>201629.56722037651</v>
      </c>
      <c r="BE16" s="91">
        <f t="shared" si="32"/>
        <v>200768.05059246949</v>
      </c>
    </row>
    <row r="17" spans="1:57" ht="13">
      <c r="A17" s="89" t="s">
        <v>319</v>
      </c>
      <c r="B17" s="265"/>
      <c r="C17" s="121">
        <f>'Revised PS Model 2015'!BB22</f>
        <v>-81.091162790697354</v>
      </c>
      <c r="D17" s="53">
        <v>10</v>
      </c>
      <c r="E17" s="123">
        <f t="shared" si="6"/>
        <v>1496.1525581395349</v>
      </c>
      <c r="F17" s="124"/>
      <c r="G17" s="123">
        <f t="shared" si="7"/>
        <v>1496.1525581395349</v>
      </c>
      <c r="H17" s="53">
        <v>10</v>
      </c>
      <c r="I17" s="123">
        <f t="shared" si="8"/>
        <v>1578.190465116279</v>
      </c>
      <c r="J17" s="124"/>
      <c r="K17" s="123">
        <f t="shared" si="9"/>
        <v>1578.190465116279</v>
      </c>
      <c r="L17" s="53">
        <v>10</v>
      </c>
      <c r="M17" s="123">
        <f t="shared" si="10"/>
        <v>2086.7346511627907</v>
      </c>
      <c r="N17" s="124"/>
      <c r="O17" s="123">
        <f>M17-N17-800</f>
        <v>1286.7346511627907</v>
      </c>
      <c r="P17" s="214">
        <v>0</v>
      </c>
      <c r="Q17" s="123">
        <f t="shared" si="12"/>
        <v>0</v>
      </c>
      <c r="R17" s="124"/>
      <c r="S17" s="123">
        <f t="shared" si="13"/>
        <v>0</v>
      </c>
      <c r="T17" s="214">
        <v>0</v>
      </c>
      <c r="U17" s="123">
        <f t="shared" si="14"/>
        <v>0</v>
      </c>
      <c r="V17" s="124"/>
      <c r="W17" s="123">
        <f t="shared" si="15"/>
        <v>0</v>
      </c>
      <c r="X17" s="214">
        <v>0</v>
      </c>
      <c r="Y17" s="123">
        <f t="shared" si="16"/>
        <v>0</v>
      </c>
      <c r="Z17" s="124"/>
      <c r="AA17" s="123">
        <f t="shared" si="17"/>
        <v>0</v>
      </c>
      <c r="AB17" s="214">
        <v>0</v>
      </c>
      <c r="AC17" s="123">
        <f t="shared" si="18"/>
        <v>0</v>
      </c>
      <c r="AD17" s="124"/>
      <c r="AE17" s="123">
        <f t="shared" si="19"/>
        <v>0</v>
      </c>
      <c r="AF17" s="214">
        <v>0</v>
      </c>
      <c r="AG17" s="123">
        <f t="shared" si="20"/>
        <v>0</v>
      </c>
      <c r="AH17" s="124"/>
      <c r="AI17" s="123">
        <f t="shared" si="21"/>
        <v>0</v>
      </c>
      <c r="AJ17" s="214">
        <v>0</v>
      </c>
      <c r="AK17" s="123">
        <f t="shared" si="22"/>
        <v>0</v>
      </c>
      <c r="AL17" s="124"/>
      <c r="AM17" s="123">
        <f t="shared" si="23"/>
        <v>0</v>
      </c>
      <c r="AN17" s="214">
        <v>0</v>
      </c>
      <c r="AO17" s="123">
        <f t="shared" si="24"/>
        <v>0</v>
      </c>
      <c r="AP17" s="124"/>
      <c r="AQ17" s="123">
        <f t="shared" si="25"/>
        <v>0</v>
      </c>
      <c r="AR17" s="214">
        <v>0</v>
      </c>
      <c r="AS17" s="123">
        <f t="shared" si="26"/>
        <v>0</v>
      </c>
      <c r="AT17" s="124"/>
      <c r="AU17" s="123">
        <f t="shared" si="27"/>
        <v>0</v>
      </c>
      <c r="AV17" s="214">
        <v>0</v>
      </c>
      <c r="AW17" s="123">
        <f t="shared" si="28"/>
        <v>0</v>
      </c>
      <c r="AX17" s="124"/>
      <c r="AY17" s="126">
        <f t="shared" si="29"/>
        <v>0</v>
      </c>
      <c r="AZ17" s="127">
        <f t="shared" si="30"/>
        <v>4361.0776744186041</v>
      </c>
      <c r="BA17" s="128">
        <f t="shared" si="33"/>
        <v>4279.986511627907</v>
      </c>
      <c r="BB17" s="127">
        <f t="shared" si="31"/>
        <v>4361.0776744186041</v>
      </c>
      <c r="BC17" s="128">
        <f t="shared" si="34"/>
        <v>4279.986511627907</v>
      </c>
      <c r="BD17" s="127">
        <f t="shared" si="35"/>
        <v>4361.0776744186041</v>
      </c>
      <c r="BE17" s="91">
        <f t="shared" si="32"/>
        <v>4279.986511627907</v>
      </c>
    </row>
    <row r="18" spans="1:57" ht="13">
      <c r="A18" s="89" t="s">
        <v>61</v>
      </c>
      <c r="B18" s="265"/>
      <c r="C18" s="121">
        <f>'Revised PS Model 2015'!BB23</f>
        <v>-81.091162790697354</v>
      </c>
      <c r="D18" s="53">
        <v>10</v>
      </c>
      <c r="E18" s="123">
        <f t="shared" si="6"/>
        <v>1496.1525581395349</v>
      </c>
      <c r="F18" s="124"/>
      <c r="G18" s="123">
        <f t="shared" si="7"/>
        <v>1496.1525581395349</v>
      </c>
      <c r="H18" s="53">
        <v>10</v>
      </c>
      <c r="I18" s="123">
        <f t="shared" si="8"/>
        <v>1578.190465116279</v>
      </c>
      <c r="J18" s="124"/>
      <c r="K18" s="123">
        <f t="shared" si="9"/>
        <v>1578.190465116279</v>
      </c>
      <c r="L18" s="53">
        <v>10</v>
      </c>
      <c r="M18" s="123">
        <f t="shared" si="10"/>
        <v>2086.7346511627907</v>
      </c>
      <c r="N18" s="124"/>
      <c r="O18" s="123">
        <f t="shared" ref="O18:O19" si="36">M18-N18</f>
        <v>2086.7346511627907</v>
      </c>
      <c r="P18" s="214">
        <v>10</v>
      </c>
      <c r="Q18" s="123">
        <f t="shared" si="12"/>
        <v>2057.9478571428572</v>
      </c>
      <c r="R18" s="124"/>
      <c r="S18" s="123">
        <f t="shared" si="13"/>
        <v>2057.9478571428572</v>
      </c>
      <c r="T18" s="214">
        <v>10</v>
      </c>
      <c r="U18" s="123">
        <f t="shared" si="14"/>
        <v>1593.6366666666668</v>
      </c>
      <c r="V18" s="124"/>
      <c r="W18" s="123">
        <f t="shared" si="15"/>
        <v>1593.6366666666668</v>
      </c>
      <c r="X18" s="214">
        <v>10</v>
      </c>
      <c r="Y18" s="123">
        <f t="shared" si="16"/>
        <v>1924.330476190476</v>
      </c>
      <c r="Z18" s="124"/>
      <c r="AA18" s="123">
        <f t="shared" si="17"/>
        <v>1924.330476190476</v>
      </c>
      <c r="AB18" s="214">
        <v>10</v>
      </c>
      <c r="AC18" s="123">
        <f t="shared" si="18"/>
        <v>1869.4142857142858</v>
      </c>
      <c r="AD18" s="124"/>
      <c r="AE18" s="123">
        <f t="shared" si="19"/>
        <v>1869.4142857142858</v>
      </c>
      <c r="AF18" s="214">
        <v>10</v>
      </c>
      <c r="AG18" s="123">
        <f t="shared" si="20"/>
        <v>1845.0326190476189</v>
      </c>
      <c r="AH18" s="124"/>
      <c r="AI18" s="123">
        <f t="shared" si="21"/>
        <v>1845.0326190476189</v>
      </c>
      <c r="AJ18" s="214">
        <v>10</v>
      </c>
      <c r="AK18" s="123">
        <f t="shared" si="22"/>
        <v>1389.7952380952381</v>
      </c>
      <c r="AL18" s="124"/>
      <c r="AM18" s="123">
        <f t="shared" si="23"/>
        <v>1389.7952380952381</v>
      </c>
      <c r="AN18" s="214">
        <v>10</v>
      </c>
      <c r="AO18" s="123">
        <f t="shared" si="24"/>
        <v>1591.9850000000004</v>
      </c>
      <c r="AP18" s="124"/>
      <c r="AQ18" s="123">
        <f t="shared" si="25"/>
        <v>1591.9850000000004</v>
      </c>
      <c r="AR18" s="214">
        <v>10</v>
      </c>
      <c r="AS18" s="123">
        <f t="shared" si="26"/>
        <v>1354.5016666666666</v>
      </c>
      <c r="AT18" s="124"/>
      <c r="AU18" s="123">
        <f t="shared" si="27"/>
        <v>1354.5016666666666</v>
      </c>
      <c r="AV18" s="214">
        <v>10</v>
      </c>
      <c r="AW18" s="123">
        <f t="shared" si="28"/>
        <v>1403.7152380952382</v>
      </c>
      <c r="AX18" s="124"/>
      <c r="AY18" s="126">
        <f t="shared" si="29"/>
        <v>1403.7152380952382</v>
      </c>
      <c r="AZ18" s="127">
        <f t="shared" si="30"/>
        <v>5161.0776744186041</v>
      </c>
      <c r="BA18" s="128">
        <f t="shared" si="33"/>
        <v>5079.986511627907</v>
      </c>
      <c r="BB18" s="127">
        <f t="shared" si="31"/>
        <v>10736.992674418603</v>
      </c>
      <c r="BC18" s="128">
        <f t="shared" si="34"/>
        <v>10655.901511627906</v>
      </c>
      <c r="BD18" s="127">
        <f t="shared" si="35"/>
        <v>20191.436722037655</v>
      </c>
      <c r="BE18" s="91">
        <f t="shared" si="32"/>
        <v>20110.345559246958</v>
      </c>
    </row>
    <row r="19" spans="1:57" ht="13">
      <c r="A19" s="89" t="s">
        <v>65</v>
      </c>
      <c r="B19" s="265"/>
      <c r="C19" s="121">
        <f>'Revised PS Model 2015'!BB24</f>
        <v>-81.091162790697354</v>
      </c>
      <c r="D19" s="53">
        <v>10</v>
      </c>
      <c r="E19" s="123">
        <f t="shared" si="6"/>
        <v>1496.1525581395349</v>
      </c>
      <c r="F19" s="124"/>
      <c r="G19" s="123">
        <f t="shared" si="7"/>
        <v>1496.1525581395349</v>
      </c>
      <c r="H19" s="53">
        <v>10</v>
      </c>
      <c r="I19" s="123">
        <f t="shared" si="8"/>
        <v>1578.190465116279</v>
      </c>
      <c r="J19" s="124"/>
      <c r="K19" s="123">
        <f t="shared" si="9"/>
        <v>1578.190465116279</v>
      </c>
      <c r="L19" s="53">
        <v>10</v>
      </c>
      <c r="M19" s="123">
        <f t="shared" si="10"/>
        <v>2086.7346511627907</v>
      </c>
      <c r="N19" s="124"/>
      <c r="O19" s="123">
        <f t="shared" si="36"/>
        <v>2086.7346511627907</v>
      </c>
      <c r="P19" s="214">
        <v>10</v>
      </c>
      <c r="Q19" s="123">
        <f t="shared" si="12"/>
        <v>2057.9478571428572</v>
      </c>
      <c r="R19" s="124"/>
      <c r="S19" s="123">
        <f t="shared" si="13"/>
        <v>2057.9478571428572</v>
      </c>
      <c r="T19" s="214">
        <v>10</v>
      </c>
      <c r="U19" s="123">
        <f t="shared" si="14"/>
        <v>1593.6366666666668</v>
      </c>
      <c r="V19" s="124"/>
      <c r="W19" s="123">
        <f t="shared" si="15"/>
        <v>1593.6366666666668</v>
      </c>
      <c r="X19" s="214">
        <v>10</v>
      </c>
      <c r="Y19" s="123">
        <f t="shared" si="16"/>
        <v>1924.330476190476</v>
      </c>
      <c r="Z19" s="124"/>
      <c r="AA19" s="123">
        <f t="shared" si="17"/>
        <v>1924.330476190476</v>
      </c>
      <c r="AB19" s="214">
        <v>10</v>
      </c>
      <c r="AC19" s="123">
        <f t="shared" si="18"/>
        <v>1869.4142857142858</v>
      </c>
      <c r="AD19" s="124"/>
      <c r="AE19" s="123">
        <f t="shared" si="19"/>
        <v>1869.4142857142858</v>
      </c>
      <c r="AF19" s="214">
        <v>10</v>
      </c>
      <c r="AG19" s="123">
        <f t="shared" si="20"/>
        <v>1845.0326190476189</v>
      </c>
      <c r="AH19" s="124"/>
      <c r="AI19" s="123">
        <f t="shared" si="21"/>
        <v>1845.0326190476189</v>
      </c>
      <c r="AJ19" s="214">
        <v>10</v>
      </c>
      <c r="AK19" s="123">
        <f t="shared" si="22"/>
        <v>1389.7952380952381</v>
      </c>
      <c r="AL19" s="124"/>
      <c r="AM19" s="123">
        <f t="shared" si="23"/>
        <v>1389.7952380952381</v>
      </c>
      <c r="AN19" s="214">
        <v>10</v>
      </c>
      <c r="AO19" s="123">
        <f t="shared" si="24"/>
        <v>1591.9850000000004</v>
      </c>
      <c r="AP19" s="124"/>
      <c r="AQ19" s="123">
        <f t="shared" si="25"/>
        <v>1591.9850000000004</v>
      </c>
      <c r="AR19" s="214">
        <v>10</v>
      </c>
      <c r="AS19" s="123">
        <f t="shared" si="26"/>
        <v>1354.5016666666666</v>
      </c>
      <c r="AT19" s="124"/>
      <c r="AU19" s="123">
        <f t="shared" si="27"/>
        <v>1354.5016666666666</v>
      </c>
      <c r="AV19" s="214">
        <v>10</v>
      </c>
      <c r="AW19" s="123">
        <f t="shared" si="28"/>
        <v>1403.7152380952382</v>
      </c>
      <c r="AX19" s="124"/>
      <c r="AY19" s="126">
        <f t="shared" si="29"/>
        <v>1403.7152380952382</v>
      </c>
      <c r="AZ19" s="127">
        <f t="shared" si="30"/>
        <v>5161.0776744186041</v>
      </c>
      <c r="BA19" s="128">
        <f t="shared" si="33"/>
        <v>5079.986511627907</v>
      </c>
      <c r="BB19" s="127">
        <f t="shared" si="31"/>
        <v>10736.992674418603</v>
      </c>
      <c r="BC19" s="128">
        <f t="shared" si="34"/>
        <v>10655.901511627906</v>
      </c>
      <c r="BD19" s="127">
        <f t="shared" si="35"/>
        <v>20191.436722037655</v>
      </c>
      <c r="BE19" s="91">
        <f t="shared" si="32"/>
        <v>20110.345559246958</v>
      </c>
    </row>
    <row r="20" spans="1:57" ht="13">
      <c r="A20" s="89"/>
      <c r="C20" s="61"/>
      <c r="D20" s="148">
        <f t="shared" ref="D20:E20" si="37">SUM(D15:D19)</f>
        <v>430</v>
      </c>
      <c r="E20" s="149">
        <f t="shared" si="37"/>
        <v>64334.55999999999</v>
      </c>
      <c r="F20" s="91"/>
      <c r="G20" s="91"/>
      <c r="H20" s="148">
        <f t="shared" ref="H20:I20" si="38">SUM(H15:H19)</f>
        <v>430</v>
      </c>
      <c r="I20" s="149">
        <f t="shared" si="38"/>
        <v>67862.19</v>
      </c>
      <c r="J20" s="91"/>
      <c r="K20" s="91"/>
      <c r="L20" s="148">
        <f t="shared" ref="L20:M20" si="39">SUM(L15:L19)</f>
        <v>430</v>
      </c>
      <c r="M20" s="149">
        <f t="shared" si="39"/>
        <v>89729.589999999982</v>
      </c>
      <c r="N20" s="91"/>
      <c r="O20" s="91"/>
      <c r="P20" s="148">
        <f t="shared" ref="P20:Q20" si="40">SUM(P15:P19)</f>
        <v>420</v>
      </c>
      <c r="Q20" s="149">
        <f t="shared" si="40"/>
        <v>86433.810000000012</v>
      </c>
      <c r="R20" s="91"/>
      <c r="S20" s="91"/>
      <c r="T20" s="148">
        <f t="shared" ref="T20:U20" si="41">SUM(T15:T19)</f>
        <v>420</v>
      </c>
      <c r="U20" s="149">
        <f t="shared" si="41"/>
        <v>66932.740000000005</v>
      </c>
      <c r="V20" s="91"/>
      <c r="W20" s="91"/>
      <c r="X20" s="148">
        <f t="shared" ref="X20:Y20" si="42">SUM(X15:X19)</f>
        <v>420</v>
      </c>
      <c r="Y20" s="149">
        <f t="shared" si="42"/>
        <v>80821.87999999999</v>
      </c>
      <c r="Z20" s="91"/>
      <c r="AA20" s="91"/>
      <c r="AB20" s="148">
        <f t="shared" ref="AB20:AC20" si="43">SUM(AB15:AB19)</f>
        <v>420</v>
      </c>
      <c r="AC20" s="149">
        <f t="shared" si="43"/>
        <v>78515.399999999994</v>
      </c>
      <c r="AD20" s="91"/>
      <c r="AE20" s="91"/>
      <c r="AF20" s="148">
        <f t="shared" ref="AF20:AG20" si="44">SUM(AF15:AF19)</f>
        <v>420</v>
      </c>
      <c r="AG20" s="149">
        <f t="shared" si="44"/>
        <v>77491.37</v>
      </c>
      <c r="AH20" s="91"/>
      <c r="AI20" s="91"/>
      <c r="AJ20" s="148">
        <f t="shared" ref="AJ20:AK20" si="45">SUM(AJ15:AJ19)</f>
        <v>420</v>
      </c>
      <c r="AK20" s="149">
        <f t="shared" si="45"/>
        <v>58371.400000000009</v>
      </c>
      <c r="AL20" s="91"/>
      <c r="AM20" s="91"/>
      <c r="AN20" s="148">
        <f t="shared" ref="AN20:AO20" si="46">SUM(AN15:AN19)</f>
        <v>420</v>
      </c>
      <c r="AO20" s="149">
        <f t="shared" si="46"/>
        <v>66863.370000000024</v>
      </c>
      <c r="AP20" s="91"/>
      <c r="AQ20" s="91"/>
      <c r="AR20" s="148">
        <f t="shared" ref="AR20:AS20" si="47">SUM(AR15:AR19)</f>
        <v>420</v>
      </c>
      <c r="AS20" s="149">
        <f t="shared" si="47"/>
        <v>56889.069999999992</v>
      </c>
      <c r="AT20" s="91"/>
      <c r="AU20" s="91"/>
      <c r="AV20" s="148">
        <f t="shared" ref="AV20:AW20" si="48">SUM(AV15:AV19)</f>
        <v>420</v>
      </c>
      <c r="AW20" s="149">
        <f t="shared" si="48"/>
        <v>58956.04</v>
      </c>
      <c r="AX20" s="124"/>
      <c r="AY20" s="92"/>
      <c r="AZ20" s="91"/>
      <c r="BA20" s="150"/>
      <c r="BB20" s="91"/>
      <c r="BC20" s="150"/>
    </row>
    <row r="21" spans="1:57" ht="14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X21" s="151"/>
      <c r="AY21" s="92"/>
      <c r="AZ21" s="216" t="str">
        <f>"Paid for "&amp;AZ2</f>
        <v>Paid for 1Q</v>
      </c>
      <c r="BA21" s="217" t="s">
        <v>256</v>
      </c>
      <c r="BB21" s="216" t="str">
        <f>"Paid for "&amp;BB2</f>
        <v>Paid for 1H</v>
      </c>
      <c r="BC21" s="217" t="s">
        <v>256</v>
      </c>
      <c r="BD21" s="216" t="str">
        <f>"Paid for "&amp;BD2</f>
        <v>Paid for 2016</v>
      </c>
      <c r="BE21" s="217" t="s">
        <v>256</v>
      </c>
    </row>
    <row r="22" spans="1:57" ht="13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45" t="s">
        <v>83</v>
      </c>
      <c r="AZ22" s="200">
        <f>IF($AV$3="1Q",AV12,0)+IF($AR$3="1Q",AR12,0)+IF($AN$3="1Q",AN12,0)+IF($AJ$3="1Q",AJ12,0)+IF($AF$3="1Q",AF12,0)+IF($AB$3="1Q",AB12,0)+IF($X$3="1Q",X12,0)+IF($T$3="1Q",T12,0)+IF($P$3="1Q",P12,0)+IF($L$3="1Q",L12,0)+IF($H$3="1Q",H12,0)+IF($D$3="1Q",D12,0)</f>
        <v>67402.95</v>
      </c>
      <c r="BA22" s="271">
        <f t="shared" ref="BA22:BA26" si="49">BA15-AZ22</f>
        <v>439958.78284883709</v>
      </c>
      <c r="BB22" s="263">
        <f>IF($AV$4="1H",$AV$12,0)+IF($AR$4="1H",$AR$12,0)+IF($AN$4="1H",$AN$12,0)+IF($AJ$4="1H",$AJ$12,0)+IF($AF$4="1H",$AF$12,0)+IF($AB$4="1H",$AB$12,0)+IF($X$4="1H",$X$12,0)+IF($T$4="1H",$T$12,0)+IF($P$4="1H",$P$12,0)+IF($L$4="1H",$L$12,0)+IF($H$4="1H",$H$12,0)+IF($D$4="1H",$D$12,0)</f>
        <v>222902.95</v>
      </c>
      <c r="BC22" s="272">
        <f t="shared" ref="BC22:BC26" si="50">BC15-BB22</f>
        <v>283451.76284883707</v>
      </c>
      <c r="BD22" s="263">
        <f>IF($AV$4="1H",$AV$12,0)+IF($AR$4="1H",$AR$12,0)+IF($AN$4="1H",$AN$12,0)+IF($AJ$4="1H",$AJ$12,0)+IF($AF$4="1H",$AF$12,0)+IF($AB$4="1H",$AB$12,0)+IF($X$4="1H",$X$12,0)+IF($T$4="1H",$T$12,0)+IF($P$4="1H",$P$12,0)+IF($L$4="1H",$L$12,0)+IF($H$4="1H",$H$12,0)+IF($D$4="1H",$D$12,0)</f>
        <v>222902.95</v>
      </c>
      <c r="BE22" s="272">
        <f t="shared" ref="BE22:BE26" si="51">BE15-BD22</f>
        <v>255097.23427740857</v>
      </c>
    </row>
    <row r="23" spans="1:57" ht="13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209</v>
      </c>
      <c r="AZ23" s="90">
        <v>44952.65</v>
      </c>
      <c r="BA23" s="273">
        <f t="shared" si="49"/>
        <v>5796.6101162790219</v>
      </c>
      <c r="BB23" s="90">
        <f>AZ23+61064.01</f>
        <v>106016.66</v>
      </c>
      <c r="BC23" s="272">
        <f t="shared" si="50"/>
        <v>491.75011627902859</v>
      </c>
      <c r="BD23" s="90">
        <f>BB23+94223.66</f>
        <v>200240.32</v>
      </c>
      <c r="BE23" s="272">
        <f t="shared" si="51"/>
        <v>527.73059246948105</v>
      </c>
    </row>
    <row r="24" spans="1:57" ht="13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0" t="s">
        <v>319</v>
      </c>
      <c r="AZ24" s="90">
        <v>3781</v>
      </c>
      <c r="BA24" s="273">
        <f t="shared" si="49"/>
        <v>498.98651162790702</v>
      </c>
      <c r="BB24" s="90">
        <f>AZ24+498.99</f>
        <v>4279.99</v>
      </c>
      <c r="BC24" s="272">
        <f t="shared" si="50"/>
        <v>-3.4883720927609829E-3</v>
      </c>
      <c r="BD24" s="90">
        <f>BB24</f>
        <v>4279.99</v>
      </c>
      <c r="BE24" s="272">
        <f t="shared" si="51"/>
        <v>-3.4883720927609829E-3</v>
      </c>
    </row>
    <row r="25" spans="1:57" ht="13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Y25" s="250" t="s">
        <v>61</v>
      </c>
      <c r="AZ25" s="90">
        <v>4581</v>
      </c>
      <c r="BA25" s="273">
        <f t="shared" si="49"/>
        <v>498.98651162790702</v>
      </c>
      <c r="BB25" s="90">
        <f t="shared" ref="BB25:BB26" si="52">AZ25+6025.73</f>
        <v>10606.73</v>
      </c>
      <c r="BC25" s="272">
        <f t="shared" si="50"/>
        <v>49.171511627906511</v>
      </c>
      <c r="BD25" s="90">
        <f t="shared" ref="BD25:BD26" si="53">BB25+9450.84</f>
        <v>20057.57</v>
      </c>
      <c r="BE25" s="272">
        <f t="shared" si="51"/>
        <v>52.775559246958437</v>
      </c>
    </row>
    <row r="26" spans="1:57" ht="13">
      <c r="A26" s="89"/>
      <c r="B26" s="5"/>
      <c r="C26" s="61"/>
      <c r="D26" s="10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W26" s="151"/>
      <c r="AY26" s="255" t="s">
        <v>65</v>
      </c>
      <c r="AZ26" s="274">
        <v>4581</v>
      </c>
      <c r="BA26" s="279">
        <f t="shared" si="49"/>
        <v>498.98651162790702</v>
      </c>
      <c r="BB26" s="274">
        <f t="shared" si="52"/>
        <v>10606.73</v>
      </c>
      <c r="BC26" s="277">
        <f t="shared" si="50"/>
        <v>49.171511627906511</v>
      </c>
      <c r="BD26" s="274">
        <f t="shared" si="53"/>
        <v>20057.57</v>
      </c>
      <c r="BE26" s="277">
        <f t="shared" si="51"/>
        <v>52.775559246958437</v>
      </c>
    </row>
    <row r="27" spans="1:57" ht="13">
      <c r="A27" s="89"/>
      <c r="C27" s="61"/>
      <c r="D27" s="62"/>
      <c r="BC27" s="91"/>
      <c r="BD27" s="91"/>
      <c r="BE27" s="91"/>
    </row>
    <row r="28" spans="1:57" ht="13">
      <c r="A28" s="89"/>
      <c r="C28" s="61"/>
      <c r="D28" s="62"/>
      <c r="AY28" s="1"/>
      <c r="BA28" s="230"/>
      <c r="BB28" s="230"/>
      <c r="BC28" s="91"/>
      <c r="BD28" s="91"/>
      <c r="BE28" s="91"/>
    </row>
    <row r="29" spans="1:57" ht="13">
      <c r="A29" s="89"/>
      <c r="C29" s="61"/>
      <c r="D29" s="62"/>
      <c r="AZ29" s="152"/>
      <c r="BA29" s="152"/>
      <c r="BB29" s="152"/>
      <c r="BC29" s="91"/>
      <c r="BD29" s="91"/>
      <c r="BE29" s="91"/>
    </row>
    <row r="30" spans="1:57" ht="14">
      <c r="A30" s="89" t="s">
        <v>201</v>
      </c>
      <c r="C30" s="61"/>
      <c r="D30" s="62"/>
      <c r="AN30" s="1" t="s">
        <v>148</v>
      </c>
      <c r="AZ30" s="152"/>
      <c r="BA30" s="152"/>
      <c r="BB30" s="152"/>
      <c r="BC30" s="91"/>
      <c r="BD30" s="91"/>
      <c r="BE30" s="91"/>
    </row>
    <row r="31" spans="1:57" ht="13">
      <c r="A31" s="89"/>
      <c r="C31" s="61"/>
      <c r="D31" s="62"/>
      <c r="BC31" s="91"/>
    </row>
    <row r="32" spans="1:57" ht="13">
      <c r="A32" s="89"/>
      <c r="C32" s="61"/>
      <c r="D32" s="62"/>
    </row>
    <row r="33" spans="1:4" ht="13">
      <c r="A33" s="89"/>
      <c r="C33" s="61"/>
      <c r="D33" s="62"/>
    </row>
    <row r="34" spans="1:4" ht="13">
      <c r="A34" s="89"/>
      <c r="C34" s="61"/>
      <c r="D34" s="62"/>
    </row>
    <row r="35" spans="1:4" ht="13">
      <c r="A35" s="89"/>
      <c r="C35" s="61"/>
      <c r="D35" s="62"/>
    </row>
    <row r="36" spans="1:4" ht="13">
      <c r="A36" s="89"/>
      <c r="C36" s="61"/>
      <c r="D36" s="62"/>
    </row>
    <row r="37" spans="1:4" ht="13">
      <c r="A37" s="89"/>
      <c r="C37" s="61"/>
      <c r="D37" s="62"/>
    </row>
    <row r="38" spans="1:4" ht="13">
      <c r="A38" s="89"/>
      <c r="C38" s="61"/>
      <c r="D38" s="62"/>
    </row>
    <row r="39" spans="1:4" ht="13">
      <c r="A39" s="89"/>
      <c r="C39" s="61"/>
      <c r="D39" s="62"/>
    </row>
    <row r="40" spans="1:4" ht="13">
      <c r="A40" s="89"/>
      <c r="C40" s="61"/>
      <c r="D40" s="62"/>
    </row>
    <row r="41" spans="1:4" ht="13">
      <c r="A41" s="89"/>
      <c r="C41" s="61"/>
      <c r="D41" s="62"/>
    </row>
    <row r="42" spans="1:4" ht="13">
      <c r="A42" s="89"/>
      <c r="C42" s="61"/>
      <c r="D42" s="62"/>
    </row>
    <row r="43" spans="1:4" ht="13">
      <c r="A43" s="89"/>
      <c r="C43" s="61"/>
      <c r="D43" s="62"/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BE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7" width="15.1640625" customWidth="1"/>
  </cols>
  <sheetData>
    <row r="1" spans="1:57" ht="42.75" customHeight="1">
      <c r="A1" s="5" t="s">
        <v>148</v>
      </c>
      <c r="C1" s="61" t="s">
        <v>131</v>
      </c>
      <c r="D1" s="59">
        <v>42400</v>
      </c>
      <c r="E1" s="60"/>
      <c r="F1" s="60"/>
      <c r="G1" s="61"/>
      <c r="H1" s="59">
        <v>42428</v>
      </c>
      <c r="I1" s="60"/>
      <c r="J1" s="60"/>
      <c r="K1" s="61"/>
      <c r="L1" s="59">
        <v>42460</v>
      </c>
      <c r="M1" s="60"/>
      <c r="N1" s="60"/>
      <c r="O1" s="61"/>
      <c r="P1" s="59">
        <v>42490</v>
      </c>
      <c r="Q1" s="60"/>
      <c r="R1" s="60"/>
      <c r="S1" s="61"/>
      <c r="T1" s="59">
        <v>42521</v>
      </c>
      <c r="U1" s="60"/>
      <c r="V1" s="60"/>
      <c r="W1" s="61"/>
      <c r="X1" s="59">
        <v>42551</v>
      </c>
      <c r="Y1" s="60"/>
      <c r="Z1" s="60"/>
      <c r="AA1" s="61"/>
      <c r="AB1" s="59">
        <v>42582</v>
      </c>
      <c r="AC1" s="60"/>
      <c r="AD1" s="60"/>
      <c r="AE1" s="61"/>
      <c r="AF1" s="59">
        <v>42613</v>
      </c>
      <c r="AG1" s="60"/>
      <c r="AH1" s="60"/>
      <c r="AI1" s="61"/>
      <c r="AJ1" s="59">
        <v>42643</v>
      </c>
      <c r="AK1" s="60"/>
      <c r="AL1" s="60"/>
      <c r="AM1" s="61"/>
      <c r="AN1" s="59">
        <v>42674</v>
      </c>
      <c r="AO1" s="60"/>
      <c r="AP1" s="60"/>
      <c r="AQ1" s="61"/>
      <c r="AR1" s="59">
        <v>42704</v>
      </c>
      <c r="AS1" s="60"/>
      <c r="AT1" s="60"/>
      <c r="AU1" s="61"/>
      <c r="AV1" s="59">
        <v>42735</v>
      </c>
      <c r="AW1" s="60"/>
      <c r="AX1" s="60"/>
      <c r="BB1" s="62"/>
      <c r="BC1" s="61"/>
    </row>
    <row r="2" spans="1:57" ht="14">
      <c r="A2" s="5"/>
      <c r="C2" s="61"/>
      <c r="D2" s="62">
        <f>YEAR(D1)</f>
        <v>2016</v>
      </c>
      <c r="G2" s="61"/>
      <c r="H2" s="62">
        <f>YEAR(H1)</f>
        <v>2016</v>
      </c>
      <c r="K2" s="61"/>
      <c r="L2" s="62">
        <f>YEAR(L1)</f>
        <v>2016</v>
      </c>
      <c r="O2" s="61"/>
      <c r="P2" s="62">
        <f>YEAR(P1)</f>
        <v>2016</v>
      </c>
      <c r="S2" s="61"/>
      <c r="T2" s="62">
        <f>YEAR(T1)</f>
        <v>2016</v>
      </c>
      <c r="W2" s="61"/>
      <c r="X2" s="62">
        <f>YEAR(X1)</f>
        <v>2016</v>
      </c>
      <c r="AA2" s="61"/>
      <c r="AB2" s="62">
        <f>YEAR(AB1)</f>
        <v>2016</v>
      </c>
      <c r="AE2" s="61"/>
      <c r="AF2" s="62">
        <f>YEAR(AF1)</f>
        <v>2016</v>
      </c>
      <c r="AI2" s="61"/>
      <c r="AJ2" s="62">
        <f>YEAR(AJ1)</f>
        <v>2016</v>
      </c>
      <c r="AM2" s="61"/>
      <c r="AN2" s="62">
        <f>YEAR(AN1)</f>
        <v>2016</v>
      </c>
      <c r="AQ2" s="61"/>
      <c r="AR2" s="62">
        <f>YEAR(AR1)</f>
        <v>2016</v>
      </c>
      <c r="AU2" s="61"/>
      <c r="AV2" s="62">
        <f>YEAR(AV1)</f>
        <v>2016</v>
      </c>
      <c r="AY2" s="61"/>
      <c r="AZ2" s="65" t="s">
        <v>132</v>
      </c>
      <c r="BA2" s="65"/>
      <c r="BB2" s="209" t="s">
        <v>247</v>
      </c>
      <c r="BC2" s="61"/>
      <c r="BD2" s="67">
        <v>2016</v>
      </c>
      <c r="BE2" s="67"/>
    </row>
    <row r="3" spans="1:57" ht="14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  <c r="BE3" s="72"/>
    </row>
    <row r="4" spans="1:57" ht="14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  <c r="BE4" s="72"/>
    </row>
    <row r="5" spans="1:57" ht="28">
      <c r="A5" s="89" t="s">
        <v>136</v>
      </c>
      <c r="C5" s="61"/>
      <c r="D5" s="90">
        <v>113398.48</v>
      </c>
      <c r="E5" s="91"/>
      <c r="F5" s="91"/>
      <c r="G5" s="92"/>
      <c r="H5" s="90">
        <v>78165.91</v>
      </c>
      <c r="I5" s="91"/>
      <c r="J5" s="91"/>
      <c r="K5" s="92"/>
      <c r="L5" s="90">
        <v>101041.64</v>
      </c>
      <c r="M5" s="91"/>
      <c r="N5" s="91"/>
      <c r="O5" s="92"/>
      <c r="P5" s="90">
        <v>91549.95</v>
      </c>
      <c r="Q5" s="91"/>
      <c r="R5" s="91"/>
      <c r="S5" s="92"/>
      <c r="T5" s="90">
        <v>77897.45</v>
      </c>
      <c r="U5" s="91"/>
      <c r="V5" s="91"/>
      <c r="W5" s="92"/>
      <c r="X5" s="90">
        <v>88297.37</v>
      </c>
      <c r="Y5" s="91"/>
      <c r="Z5" s="91"/>
      <c r="AA5" s="92"/>
      <c r="AB5" s="90">
        <v>29842.76</v>
      </c>
      <c r="AC5" s="91"/>
      <c r="AD5" s="91"/>
      <c r="AE5" s="92"/>
      <c r="AF5" s="90">
        <v>85153.84</v>
      </c>
      <c r="AG5" s="91"/>
      <c r="AH5" s="91"/>
      <c r="AI5" s="92"/>
      <c r="AJ5" s="90">
        <v>68026.64</v>
      </c>
      <c r="AK5" s="91"/>
      <c r="AL5" s="91"/>
      <c r="AM5" s="92"/>
      <c r="AN5" s="90">
        <v>4657.07</v>
      </c>
      <c r="AO5" s="91"/>
      <c r="AP5" s="91"/>
      <c r="AQ5" s="92"/>
      <c r="AR5" s="90">
        <v>63978.33</v>
      </c>
      <c r="AS5" s="91"/>
      <c r="AT5" s="91"/>
      <c r="AU5" s="92"/>
      <c r="AV5" s="90">
        <v>-42975.63</v>
      </c>
      <c r="AW5" s="151" t="s">
        <v>320</v>
      </c>
      <c r="AX5" s="151" t="s">
        <v>321</v>
      </c>
      <c r="AY5" s="92"/>
      <c r="AZ5" s="93">
        <f t="shared" ref="AZ5:AZ7" si="0">SUMIF($D$3:$AY$3,AZ$2,$D5:$AY5)</f>
        <v>292606.03000000003</v>
      </c>
      <c r="BA5" s="92"/>
      <c r="BB5" s="93">
        <f t="shared" ref="BB5:BB7" si="1">SUMIF($D$4:$AY$4,BB$2,$D5:$AY5)</f>
        <v>550350.80000000005</v>
      </c>
      <c r="BC5" s="92"/>
      <c r="BD5" s="94">
        <f t="shared" ref="BD5:BD7" si="2">SUMIF($D$2:$AY$2,$BD$2,$D5:$AY5)</f>
        <v>759033.80999999994</v>
      </c>
      <c r="BE5" s="94"/>
    </row>
    <row r="6" spans="1:57" ht="14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10310.379999999999</v>
      </c>
      <c r="Q6" s="91" t="s">
        <v>317</v>
      </c>
      <c r="R6" s="91"/>
      <c r="S6" s="92"/>
      <c r="T6" s="90">
        <v>485.43</v>
      </c>
      <c r="U6" s="91" t="s">
        <v>317</v>
      </c>
      <c r="V6" s="91"/>
      <c r="W6" s="92"/>
      <c r="X6" s="90">
        <v>1287.8800000000001</v>
      </c>
      <c r="Y6" s="91" t="s">
        <v>317</v>
      </c>
      <c r="Z6" s="91"/>
      <c r="AA6" s="92"/>
      <c r="AB6" s="90">
        <v>578.78</v>
      </c>
      <c r="AC6" s="91"/>
      <c r="AD6" s="91"/>
      <c r="AE6" s="92"/>
      <c r="AF6" s="90">
        <v>302.47000000000003</v>
      </c>
      <c r="AG6" s="91"/>
      <c r="AH6" s="91"/>
      <c r="AI6" s="92"/>
      <c r="AJ6" s="90">
        <v>0</v>
      </c>
      <c r="AK6" s="91"/>
      <c r="AL6" s="91"/>
      <c r="AM6" s="92"/>
      <c r="AN6" s="90">
        <v>123.21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12083.689999999999</v>
      </c>
      <c r="BC6" s="92"/>
      <c r="BD6" s="94">
        <f t="shared" si="2"/>
        <v>13088.149999999998</v>
      </c>
      <c r="BE6" s="94"/>
    </row>
    <row r="7" spans="1:57" ht="13">
      <c r="A7" s="89" t="s">
        <v>143</v>
      </c>
      <c r="B7" s="99">
        <v>12500</v>
      </c>
      <c r="C7" s="61"/>
      <c r="D7" s="100">
        <f>'PS Model 2016'!ColinSalary</f>
        <v>12500</v>
      </c>
      <c r="E7" s="91"/>
      <c r="F7" s="91"/>
      <c r="G7" s="92"/>
      <c r="H7" s="100">
        <f>'PS Model 2016'!ColinSalary</f>
        <v>12500</v>
      </c>
      <c r="I7" s="91"/>
      <c r="J7" s="91"/>
      <c r="K7" s="92"/>
      <c r="L7" s="100">
        <f>'PS Model 2016'!ColinSalary</f>
        <v>12500</v>
      </c>
      <c r="M7" s="91"/>
      <c r="N7" s="91"/>
      <c r="O7" s="92"/>
      <c r="P7" s="100">
        <f>'PS Model 2016'!ColinSalary</f>
        <v>12500</v>
      </c>
      <c r="Q7" s="91"/>
      <c r="R7" s="91"/>
      <c r="S7" s="92"/>
      <c r="T7" s="100">
        <f>'PS Model 2016'!ColinSalary</f>
        <v>12500</v>
      </c>
      <c r="U7" s="91"/>
      <c r="V7" s="91"/>
      <c r="W7" s="92"/>
      <c r="X7" s="100">
        <f>'PS Model 2016'!ColinSalary</f>
        <v>12500</v>
      </c>
      <c r="Y7" s="91"/>
      <c r="Z7" s="91"/>
      <c r="AA7" s="92"/>
      <c r="AB7" s="100">
        <f>'PS Model 2016'!ColinSalary</f>
        <v>12500</v>
      </c>
      <c r="AC7" s="91"/>
      <c r="AD7" s="91"/>
      <c r="AE7" s="92"/>
      <c r="AF7" s="100">
        <f>'PS Model 2016'!ColinSalary</f>
        <v>12500</v>
      </c>
      <c r="AG7" s="91"/>
      <c r="AH7" s="91"/>
      <c r="AI7" s="92"/>
      <c r="AJ7" s="100">
        <f>'PS Model 2016'!ColinSalary</f>
        <v>12500</v>
      </c>
      <c r="AK7" s="91"/>
      <c r="AL7" s="91"/>
      <c r="AM7" s="92"/>
      <c r="AN7" s="100">
        <f>'PS Model 2016'!ColinSalary</f>
        <v>12500</v>
      </c>
      <c r="AO7" s="91"/>
      <c r="AP7" s="91"/>
      <c r="AQ7" s="92"/>
      <c r="AR7" s="100">
        <f>'PS Model 2016'!ColinSalary</f>
        <v>12500</v>
      </c>
      <c r="AS7" s="91"/>
      <c r="AT7" s="91"/>
      <c r="AU7" s="92"/>
      <c r="AV7" s="100">
        <f>'PS Model 2016'!ColinSalary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  <c r="BE7" s="94"/>
    </row>
    <row r="8" spans="1:57" ht="13">
      <c r="A8" s="89" t="s">
        <v>144</v>
      </c>
      <c r="B8" s="101"/>
      <c r="C8" s="102"/>
      <c r="D8" s="103"/>
      <c r="E8" s="91"/>
      <c r="F8" s="91"/>
      <c r="G8" s="92"/>
      <c r="H8" s="103"/>
      <c r="I8" s="91"/>
      <c r="J8" s="91"/>
      <c r="K8" s="92"/>
      <c r="L8" s="103"/>
      <c r="M8" s="91"/>
      <c r="N8" s="91"/>
      <c r="O8" s="92"/>
      <c r="P8" s="103"/>
      <c r="Q8" s="91"/>
      <c r="R8" s="91"/>
      <c r="S8" s="92"/>
      <c r="T8" s="103"/>
      <c r="U8" s="91"/>
      <c r="V8" s="91"/>
      <c r="W8" s="92"/>
      <c r="X8" s="103"/>
      <c r="Y8" s="91"/>
      <c r="Z8" s="91"/>
      <c r="AA8" s="92"/>
      <c r="AB8" s="103">
        <f>SUM(AZ23:AZ26)</f>
        <v>57895.65</v>
      </c>
      <c r="AC8" s="91"/>
      <c r="AD8" s="91"/>
      <c r="AE8" s="92"/>
      <c r="AF8" s="103"/>
      <c r="AG8" s="91"/>
      <c r="AH8" s="91"/>
      <c r="AI8" s="92"/>
      <c r="AJ8" s="103"/>
      <c r="AK8" s="91"/>
      <c r="AL8" s="91"/>
      <c r="AM8" s="92"/>
      <c r="AN8" s="103">
        <f>SUM(BB23:BB26)-SUM(AZ23:AZ26)</f>
        <v>73614.460000000021</v>
      </c>
      <c r="AO8" s="91"/>
      <c r="AP8" s="91"/>
      <c r="AQ8" s="92"/>
      <c r="AR8" s="103"/>
      <c r="AS8" s="91"/>
      <c r="AT8" s="91"/>
      <c r="AU8" s="92"/>
      <c r="AV8" s="103">
        <f>9450.84*2+94223.66</f>
        <v>113125.34</v>
      </c>
      <c r="AW8" s="91"/>
      <c r="AX8" s="91"/>
      <c r="AY8" s="92"/>
      <c r="AZ8" s="93"/>
      <c r="BA8" s="92"/>
      <c r="BB8" s="93"/>
      <c r="BC8" s="92"/>
      <c r="BD8" s="94"/>
      <c r="BE8" s="94"/>
    </row>
    <row r="9" spans="1:57" ht="13">
      <c r="A9" s="89" t="s">
        <v>145</v>
      </c>
      <c r="B9" s="101"/>
      <c r="C9" s="102"/>
      <c r="D9" s="104">
        <f>SUM(F15:F19)</f>
        <v>3436.08</v>
      </c>
      <c r="E9" s="91"/>
      <c r="F9" s="91"/>
      <c r="G9" s="92"/>
      <c r="H9" s="104">
        <f>SUM(J15:J19)</f>
        <v>2196.2800000000002</v>
      </c>
      <c r="I9" s="91"/>
      <c r="J9" s="91"/>
      <c r="K9" s="92"/>
      <c r="L9" s="104">
        <f>SUM(N15:N19)</f>
        <v>1187.95</v>
      </c>
      <c r="M9" s="91"/>
      <c r="N9" s="91"/>
      <c r="O9" s="92"/>
      <c r="P9" s="104">
        <f>SUM(R15:R19)</f>
        <v>4451.3599999999997</v>
      </c>
      <c r="Q9" s="91"/>
      <c r="R9" s="91"/>
      <c r="S9" s="92"/>
      <c r="T9" s="104">
        <f>SUM(V15:V19)</f>
        <v>2020.72</v>
      </c>
      <c r="U9" s="91"/>
      <c r="V9" s="91"/>
      <c r="W9" s="92"/>
      <c r="X9" s="104">
        <f>SUM(Z15:Z19)</f>
        <v>6312.39</v>
      </c>
      <c r="Y9" s="91"/>
      <c r="Z9" s="91"/>
      <c r="AA9" s="92"/>
      <c r="AB9" s="104">
        <f>SUM(AD15:AD19)</f>
        <v>3855.77</v>
      </c>
      <c r="AC9" s="91"/>
      <c r="AD9" s="91"/>
      <c r="AE9" s="92"/>
      <c r="AF9" s="104">
        <f>SUM(AH15:AH19)</f>
        <v>5140</v>
      </c>
      <c r="AG9" s="91"/>
      <c r="AH9" s="91"/>
      <c r="AI9" s="92"/>
      <c r="AJ9" s="104">
        <f>SUM(AL15:AL19)</f>
        <v>2844.7599999999998</v>
      </c>
      <c r="AK9" s="91"/>
      <c r="AL9" s="91"/>
      <c r="AM9" s="92"/>
      <c r="AN9" s="104">
        <f>SUM(AP15:AP19)</f>
        <v>1215.05</v>
      </c>
      <c r="AO9" s="91"/>
      <c r="AP9" s="91"/>
      <c r="AQ9" s="92"/>
      <c r="AR9" s="104">
        <f>SUM(AT15:AT19)</f>
        <v>5410.74</v>
      </c>
      <c r="AS9" s="91"/>
      <c r="AT9" s="91"/>
      <c r="AU9" s="92"/>
      <c r="AV9" s="104">
        <f>SUM(AX15:AX19)</f>
        <v>1264.92</v>
      </c>
      <c r="AW9" s="91"/>
      <c r="AX9" s="91"/>
      <c r="AY9" s="92"/>
      <c r="AZ9" s="93">
        <f t="shared" ref="AZ9:AZ12" si="3">SUMIF($D$3:$AY$3,AZ$2,$D9:$AY9)</f>
        <v>6820.31</v>
      </c>
      <c r="BA9" s="92"/>
      <c r="BB9" s="93">
        <f t="shared" ref="BB9:BB12" si="4">SUMIF($D$4:$AY$4,BB$2,$D9:$AY9)</f>
        <v>19604.78</v>
      </c>
      <c r="BC9" s="92"/>
      <c r="BD9" s="94">
        <f t="shared" ref="BD9:BD12" si="5">SUMIF($D$2:$AY$2,$BD$2,$D9:$AY9)</f>
        <v>39336.019999999997</v>
      </c>
      <c r="BE9" s="94"/>
    </row>
    <row r="10" spans="1:57" ht="28">
      <c r="A10" s="89" t="s">
        <v>146</v>
      </c>
      <c r="C10" s="61"/>
      <c r="D10" s="104">
        <f>D5-D6-D7+D9+D8</f>
        <v>104334.56</v>
      </c>
      <c r="E10" s="91"/>
      <c r="F10" s="91"/>
      <c r="G10" s="92"/>
      <c r="H10" s="104">
        <f>H5-H6-H7+H9+H8</f>
        <v>67862.19</v>
      </c>
      <c r="I10" s="91"/>
      <c r="J10" s="91"/>
      <c r="K10" s="92"/>
      <c r="L10" s="104">
        <f>L5-L6-L7+L9+L8</f>
        <v>89729.59</v>
      </c>
      <c r="M10" s="91"/>
      <c r="N10" s="91"/>
      <c r="O10" s="92"/>
      <c r="P10" s="104">
        <f>P5-P6-P7+P9+P8+800</f>
        <v>73990.929999999993</v>
      </c>
      <c r="Q10" s="91" t="s">
        <v>318</v>
      </c>
      <c r="R10" s="91"/>
      <c r="S10" s="92"/>
      <c r="T10" s="104">
        <f>T5-T6-T7+T9+T8</f>
        <v>66932.740000000005</v>
      </c>
      <c r="U10" s="91"/>
      <c r="V10" s="91"/>
      <c r="W10" s="92"/>
      <c r="X10" s="104">
        <f>X5-X6-X7+X9+X8</f>
        <v>80821.87999999999</v>
      </c>
      <c r="Y10" s="91"/>
      <c r="Z10" s="91"/>
      <c r="AA10" s="92"/>
      <c r="AB10" s="104">
        <f>AB5-AB6-AB7+AB9+AB8</f>
        <v>78515.399999999994</v>
      </c>
      <c r="AC10" s="91"/>
      <c r="AD10" s="91"/>
      <c r="AE10" s="92"/>
      <c r="AF10" s="104">
        <f>AF5-AF6-AF7+AF9+AF8</f>
        <v>77491.37</v>
      </c>
      <c r="AG10" s="91"/>
      <c r="AH10" s="91"/>
      <c r="AI10" s="92"/>
      <c r="AJ10" s="104">
        <f>AJ5-AJ6-AJ7+AJ9+AJ8</f>
        <v>58371.4</v>
      </c>
      <c r="AK10" s="91"/>
      <c r="AL10" s="91"/>
      <c r="AM10" s="92"/>
      <c r="AN10" s="104">
        <f>AN5-AN6-AN7+AN9+AN8</f>
        <v>66863.370000000024</v>
      </c>
      <c r="AO10" s="91"/>
      <c r="AP10" s="91"/>
      <c r="AQ10" s="92"/>
      <c r="AR10" s="104">
        <f>AR5-AR6-AR7+AR9+AR8</f>
        <v>56889.07</v>
      </c>
      <c r="AS10" s="91"/>
      <c r="AT10" s="91"/>
      <c r="AU10" s="92"/>
      <c r="AV10" s="104">
        <f>AV5-AV6-AV7+AV9+AV8</f>
        <v>58914.63</v>
      </c>
      <c r="AW10" s="91"/>
      <c r="AX10" s="91"/>
      <c r="AY10" s="92"/>
      <c r="AZ10" s="93">
        <f t="shared" si="3"/>
        <v>261926.34</v>
      </c>
      <c r="BA10" s="92"/>
      <c r="BB10" s="93">
        <f t="shared" si="4"/>
        <v>483671.89</v>
      </c>
      <c r="BC10" s="92"/>
      <c r="BD10" s="94">
        <f t="shared" si="5"/>
        <v>880717.13</v>
      </c>
      <c r="BE10" s="94"/>
    </row>
    <row r="11" spans="1:57" ht="13">
      <c r="A11" s="89" t="s">
        <v>147</v>
      </c>
      <c r="C11" s="61"/>
      <c r="D11" s="90">
        <f>32500+15000+7000+402.95</f>
        <v>54902.95</v>
      </c>
      <c r="E11" s="91"/>
      <c r="F11" s="91"/>
      <c r="G11" s="92"/>
      <c r="H11" s="90">
        <v>50000</v>
      </c>
      <c r="I11" s="91"/>
      <c r="J11" s="91"/>
      <c r="K11" s="92"/>
      <c r="L11" s="90">
        <v>0</v>
      </c>
      <c r="M11" s="91"/>
      <c r="N11" s="91"/>
      <c r="O11" s="92"/>
      <c r="P11" s="90">
        <f>12500+25000+15000+10000</f>
        <v>62500</v>
      </c>
      <c r="Q11" s="91"/>
      <c r="R11" s="91"/>
      <c r="S11" s="92"/>
      <c r="T11" s="90">
        <v>12500</v>
      </c>
      <c r="U11" s="91"/>
      <c r="V11" s="91"/>
      <c r="W11" s="92"/>
      <c r="X11" s="90">
        <v>118000</v>
      </c>
      <c r="Y11" s="91"/>
      <c r="Z11" s="91"/>
      <c r="AA11" s="92"/>
      <c r="AB11" s="90">
        <v>32500</v>
      </c>
      <c r="AC11" s="91"/>
      <c r="AD11" s="91"/>
      <c r="AE11" s="92"/>
      <c r="AF11" s="90">
        <v>12500</v>
      </c>
      <c r="AG11" s="91"/>
      <c r="AH11" s="91"/>
      <c r="AI11" s="92"/>
      <c r="AJ11" s="90">
        <v>80000</v>
      </c>
      <c r="AK11" s="91"/>
      <c r="AL11" s="91"/>
      <c r="AM11" s="92"/>
      <c r="AN11" s="90">
        <v>12500</v>
      </c>
      <c r="AO11" s="91"/>
      <c r="AP11" s="91"/>
      <c r="AQ11" s="92"/>
      <c r="AR11" s="90">
        <v>75000</v>
      </c>
      <c r="AS11" s="91"/>
      <c r="AT11" s="91"/>
      <c r="AU11" s="92"/>
      <c r="AV11" s="90">
        <f>12500+100000+30000+12500</f>
        <v>155000</v>
      </c>
      <c r="AW11" s="91"/>
      <c r="AX11" s="91"/>
      <c r="AY11" s="92"/>
      <c r="AZ11" s="93">
        <f t="shared" si="3"/>
        <v>104902.95</v>
      </c>
      <c r="BA11" s="92"/>
      <c r="BB11" s="93">
        <f t="shared" si="4"/>
        <v>297902.95</v>
      </c>
      <c r="BC11" s="92"/>
      <c r="BD11" s="94">
        <f t="shared" si="5"/>
        <v>665402.94999999995</v>
      </c>
      <c r="BE11" s="94"/>
    </row>
    <row r="12" spans="1:57" ht="28">
      <c r="A12" s="5" t="s">
        <v>151</v>
      </c>
      <c r="C12" s="61"/>
      <c r="D12" s="100">
        <f>D11-D7</f>
        <v>42402.95</v>
      </c>
      <c r="E12" s="91"/>
      <c r="F12" s="91"/>
      <c r="G12" s="92"/>
      <c r="H12" s="100">
        <f>H11-H7</f>
        <v>37500</v>
      </c>
      <c r="I12" s="91"/>
      <c r="J12" s="91"/>
      <c r="K12" s="92"/>
      <c r="L12" s="100">
        <f>L11-L7</f>
        <v>-12500</v>
      </c>
      <c r="M12" s="91"/>
      <c r="N12" s="91"/>
      <c r="O12" s="92"/>
      <c r="P12" s="100">
        <f>P11-P7</f>
        <v>50000</v>
      </c>
      <c r="Q12" s="91"/>
      <c r="R12" s="91"/>
      <c r="S12" s="92"/>
      <c r="T12" s="100">
        <f>T11-T7</f>
        <v>0</v>
      </c>
      <c r="U12" s="91"/>
      <c r="V12" s="91"/>
      <c r="W12" s="92"/>
      <c r="X12" s="100">
        <f>X11-X7</f>
        <v>105500</v>
      </c>
      <c r="Y12" s="91"/>
      <c r="Z12" s="91"/>
      <c r="AA12" s="92"/>
      <c r="AB12" s="100">
        <f>AB11-AB7</f>
        <v>20000</v>
      </c>
      <c r="AC12" s="91"/>
      <c r="AD12" s="91"/>
      <c r="AE12" s="92"/>
      <c r="AF12" s="100">
        <f>AF11-AF7</f>
        <v>0</v>
      </c>
      <c r="AG12" s="91"/>
      <c r="AH12" s="91"/>
      <c r="AI12" s="92"/>
      <c r="AJ12" s="100">
        <f>AJ11-AJ7</f>
        <v>67500</v>
      </c>
      <c r="AK12" s="91"/>
      <c r="AL12" s="91"/>
      <c r="AM12" s="92"/>
      <c r="AN12" s="100">
        <f>AN11-AN7</f>
        <v>0</v>
      </c>
      <c r="AO12" s="91"/>
      <c r="AP12" s="91"/>
      <c r="AQ12" s="92"/>
      <c r="AR12" s="100">
        <f>AR11-AR7</f>
        <v>62500</v>
      </c>
      <c r="AS12" s="91"/>
      <c r="AT12" s="91"/>
      <c r="AU12" s="92"/>
      <c r="AV12" s="100">
        <f>AV11-AV7</f>
        <v>142500</v>
      </c>
      <c r="AW12" s="91"/>
      <c r="AX12" s="91"/>
      <c r="AY12" s="92"/>
      <c r="AZ12" s="93">
        <f t="shared" si="3"/>
        <v>67402.95</v>
      </c>
      <c r="BA12" s="92"/>
      <c r="BB12" s="93">
        <f t="shared" si="4"/>
        <v>222902.95</v>
      </c>
      <c r="BC12" s="92"/>
      <c r="BD12" s="94">
        <f t="shared" si="5"/>
        <v>515402.95</v>
      </c>
      <c r="BE12" s="94"/>
    </row>
    <row r="13" spans="1:57" ht="13">
      <c r="A13" s="5"/>
      <c r="C13" s="61"/>
      <c r="D13" s="100"/>
      <c r="E13" s="91"/>
      <c r="F13" s="91"/>
      <c r="G13" s="92"/>
      <c r="H13" s="100"/>
      <c r="I13" s="91"/>
      <c r="J13" s="91"/>
      <c r="K13" s="92"/>
      <c r="L13" s="100"/>
      <c r="M13" s="91"/>
      <c r="N13" s="91"/>
      <c r="O13" s="92"/>
      <c r="P13" s="100"/>
      <c r="Q13" s="91"/>
      <c r="R13" s="91"/>
      <c r="S13" s="92"/>
      <c r="T13" s="100"/>
      <c r="U13" s="91"/>
      <c r="V13" s="91"/>
      <c r="W13" s="92"/>
      <c r="X13" s="100"/>
      <c r="Y13" s="91"/>
      <c r="Z13" s="91"/>
      <c r="AA13" s="92"/>
      <c r="AB13" s="100"/>
      <c r="AC13" s="91"/>
      <c r="AD13" s="91"/>
      <c r="AE13" s="92"/>
      <c r="AF13" s="100"/>
      <c r="AG13" s="91"/>
      <c r="AH13" s="91"/>
      <c r="AI13" s="92"/>
      <c r="AJ13" s="100"/>
      <c r="AK13" s="91"/>
      <c r="AL13" s="91"/>
      <c r="AM13" s="92"/>
      <c r="AN13" s="100"/>
      <c r="AO13" s="91"/>
      <c r="AP13" s="91"/>
      <c r="AQ13" s="92"/>
      <c r="AR13" s="100"/>
      <c r="AS13" s="91"/>
      <c r="AT13" s="91"/>
      <c r="AU13" s="92"/>
      <c r="AV13" s="100"/>
      <c r="AW13" s="91"/>
      <c r="AX13" s="91"/>
      <c r="AY13" s="92"/>
      <c r="AZ13" s="100"/>
      <c r="BA13" s="92"/>
      <c r="BB13" s="100"/>
      <c r="BC13" s="92"/>
      <c r="BD13" s="91"/>
      <c r="BE13" s="91"/>
    </row>
    <row r="14" spans="1:57" ht="14">
      <c r="A14" s="5"/>
      <c r="B14" s="5"/>
      <c r="C14" s="5"/>
      <c r="D14" s="117" t="s">
        <v>152</v>
      </c>
      <c r="E14" s="118" t="s">
        <v>153</v>
      </c>
      <c r="F14" s="118" t="s">
        <v>154</v>
      </c>
      <c r="G14" s="118" t="s">
        <v>155</v>
      </c>
      <c r="H14" s="117" t="s">
        <v>152</v>
      </c>
      <c r="I14" s="118" t="s">
        <v>153</v>
      </c>
      <c r="J14" s="118" t="s">
        <v>154</v>
      </c>
      <c r="K14" s="118" t="s">
        <v>155</v>
      </c>
      <c r="L14" s="117" t="s">
        <v>152</v>
      </c>
      <c r="M14" s="118" t="s">
        <v>153</v>
      </c>
      <c r="N14" s="118" t="s">
        <v>154</v>
      </c>
      <c r="O14" s="118" t="s">
        <v>155</v>
      </c>
      <c r="P14" s="117" t="s">
        <v>152</v>
      </c>
      <c r="Q14" s="118" t="s">
        <v>153</v>
      </c>
      <c r="R14" s="118" t="s">
        <v>154</v>
      </c>
      <c r="S14" s="118" t="s">
        <v>155</v>
      </c>
      <c r="T14" s="117" t="s">
        <v>152</v>
      </c>
      <c r="U14" s="118" t="s">
        <v>153</v>
      </c>
      <c r="V14" s="118" t="s">
        <v>154</v>
      </c>
      <c r="W14" s="118" t="s">
        <v>155</v>
      </c>
      <c r="X14" s="117" t="s">
        <v>152</v>
      </c>
      <c r="Y14" s="118" t="s">
        <v>153</v>
      </c>
      <c r="Z14" s="118" t="s">
        <v>154</v>
      </c>
      <c r="AA14" s="118" t="s">
        <v>155</v>
      </c>
      <c r="AB14" s="117" t="s">
        <v>152</v>
      </c>
      <c r="AC14" s="118" t="s">
        <v>153</v>
      </c>
      <c r="AD14" s="118" t="s">
        <v>154</v>
      </c>
      <c r="AE14" s="118" t="s">
        <v>155</v>
      </c>
      <c r="AF14" s="117" t="s">
        <v>152</v>
      </c>
      <c r="AG14" s="118" t="s">
        <v>153</v>
      </c>
      <c r="AH14" s="118" t="s">
        <v>154</v>
      </c>
      <c r="AI14" s="118" t="s">
        <v>155</v>
      </c>
      <c r="AJ14" s="117" t="s">
        <v>152</v>
      </c>
      <c r="AK14" s="118" t="s">
        <v>153</v>
      </c>
      <c r="AL14" s="118" t="s">
        <v>154</v>
      </c>
      <c r="AM14" s="118" t="s">
        <v>155</v>
      </c>
      <c r="AN14" s="117" t="s">
        <v>152</v>
      </c>
      <c r="AO14" s="118" t="s">
        <v>153</v>
      </c>
      <c r="AP14" s="118" t="s">
        <v>154</v>
      </c>
      <c r="AQ14" s="118" t="s">
        <v>155</v>
      </c>
      <c r="AR14" s="117" t="s">
        <v>152</v>
      </c>
      <c r="AS14" s="118" t="s">
        <v>153</v>
      </c>
      <c r="AT14" s="118" t="s">
        <v>154</v>
      </c>
      <c r="AU14" s="118" t="s">
        <v>155</v>
      </c>
      <c r="AV14" s="117" t="s">
        <v>152</v>
      </c>
      <c r="AW14" s="118" t="s">
        <v>153</v>
      </c>
      <c r="AX14" s="118" t="s">
        <v>154</v>
      </c>
      <c r="AY14" s="118" t="s">
        <v>155</v>
      </c>
      <c r="AZ14" s="100"/>
      <c r="BA14" s="92"/>
      <c r="BB14" s="100"/>
      <c r="BC14" s="92"/>
      <c r="BD14" s="91"/>
      <c r="BE14" s="91"/>
    </row>
    <row r="15" spans="1:57" ht="13">
      <c r="A15" s="89" t="s">
        <v>83</v>
      </c>
      <c r="B15" s="265"/>
      <c r="C15" s="121">
        <f>'Revised PS Model 2015'!BB20</f>
        <v>426752.66261627898</v>
      </c>
      <c r="D15" s="53">
        <v>300</v>
      </c>
      <c r="E15" s="123">
        <f t="shared" ref="E15:E19" si="6">D$10*D15/D$20</f>
        <v>72791.553488372097</v>
      </c>
      <c r="F15" s="124">
        <v>3436.08</v>
      </c>
      <c r="G15" s="123">
        <f t="shared" ref="G15:G19" si="7">E15-F15</f>
        <v>69355.473488372096</v>
      </c>
      <c r="H15" s="214">
        <v>300</v>
      </c>
      <c r="I15" s="123">
        <f t="shared" ref="I15:I19" si="8">H$10*H15/H$20</f>
        <v>47345.713953488375</v>
      </c>
      <c r="J15" s="124">
        <v>2196.2800000000002</v>
      </c>
      <c r="K15" s="123">
        <f t="shared" ref="K15:K19" si="9">I15-J15</f>
        <v>45149.433953488377</v>
      </c>
      <c r="L15" s="214">
        <v>300</v>
      </c>
      <c r="M15" s="123">
        <f t="shared" ref="M15:M19" si="10">L$10*L15/L$20</f>
        <v>62602.039534883719</v>
      </c>
      <c r="N15" s="124">
        <v>1187.95</v>
      </c>
      <c r="O15" s="123">
        <f t="shared" ref="O15:O16" si="11">M15-N15</f>
        <v>61414.089534883722</v>
      </c>
      <c r="P15" s="214">
        <v>300</v>
      </c>
      <c r="Q15" s="123">
        <f t="shared" ref="Q15:Q19" si="12">P$10*P15/P$20</f>
        <v>52850.66428571428</v>
      </c>
      <c r="R15" s="124">
        <v>4451.3599999999997</v>
      </c>
      <c r="S15" s="123">
        <f t="shared" ref="S15:S19" si="13">Q15-R15</f>
        <v>48399.304285714279</v>
      </c>
      <c r="T15" s="214">
        <v>300</v>
      </c>
      <c r="U15" s="123">
        <f t="shared" ref="U15:U19" si="14">T$10*T15/T$20</f>
        <v>47809.1</v>
      </c>
      <c r="V15" s="124">
        <v>2020.72</v>
      </c>
      <c r="W15" s="123">
        <f t="shared" ref="W15:W19" si="15">U15-V15</f>
        <v>45788.38</v>
      </c>
      <c r="X15" s="214">
        <v>300</v>
      </c>
      <c r="Y15" s="123">
        <f t="shared" ref="Y15:Y19" si="16">X$10*X15/X$20</f>
        <v>57729.91428571428</v>
      </c>
      <c r="Z15" s="124">
        <v>6312.39</v>
      </c>
      <c r="AA15" s="123">
        <f t="shared" ref="AA15:AA19" si="17">Y15-Z15</f>
        <v>51417.52428571428</v>
      </c>
      <c r="AB15" s="214">
        <v>300</v>
      </c>
      <c r="AC15" s="123">
        <f t="shared" ref="AC15:AC19" si="18">AB$10*AB15/AB$20</f>
        <v>56082.428571428572</v>
      </c>
      <c r="AD15" s="124">
        <v>3855.77</v>
      </c>
      <c r="AE15" s="123">
        <f t="shared" ref="AE15:AE19" si="19">AC15-AD15</f>
        <v>52226.658571428576</v>
      </c>
      <c r="AF15" s="214">
        <v>300</v>
      </c>
      <c r="AG15" s="123">
        <f t="shared" ref="AG15:AG19" si="20">AF$10*AF15/AF$20</f>
        <v>55350.978571428568</v>
      </c>
      <c r="AH15" s="124">
        <v>5140</v>
      </c>
      <c r="AI15" s="123">
        <f t="shared" ref="AI15:AI19" si="21">AG15-AH15</f>
        <v>50210.978571428568</v>
      </c>
      <c r="AJ15" s="214">
        <v>300</v>
      </c>
      <c r="AK15" s="123">
        <f t="shared" ref="AK15:AK19" si="22">AJ$10*AJ15/AJ$20</f>
        <v>41693.857142857145</v>
      </c>
      <c r="AL15" s="124">
        <v>2620.08</v>
      </c>
      <c r="AM15" s="123">
        <f t="shared" ref="AM15:AM19" si="23">AK15-AL15</f>
        <v>39073.777142857143</v>
      </c>
      <c r="AN15" s="214">
        <v>300</v>
      </c>
      <c r="AO15" s="123">
        <f t="shared" ref="AO15:AO19" si="24">AN$10*AN15/AN$20</f>
        <v>47759.550000000017</v>
      </c>
      <c r="AP15" s="124">
        <v>1154.93</v>
      </c>
      <c r="AQ15" s="123">
        <f t="shared" ref="AQ15:AQ19" si="25">AO15-AP15</f>
        <v>46604.620000000017</v>
      </c>
      <c r="AR15" s="214">
        <v>300</v>
      </c>
      <c r="AS15" s="123">
        <f t="shared" ref="AS15:AS19" si="26">AR$10*AR15/AR$20</f>
        <v>40635.050000000003</v>
      </c>
      <c r="AT15" s="124">
        <v>5410.74</v>
      </c>
      <c r="AU15" s="123">
        <f t="shared" ref="AU15:AU19" si="27">AS15-AT15</f>
        <v>35224.310000000005</v>
      </c>
      <c r="AV15" s="214">
        <v>300</v>
      </c>
      <c r="AW15" s="123">
        <f t="shared" ref="AW15:AW19" si="28">AV$10*AV15/AV$20</f>
        <v>42081.87857142857</v>
      </c>
      <c r="AX15" s="124">
        <v>1264.92</v>
      </c>
      <c r="AY15" s="126">
        <f t="shared" ref="AY15:AY19" si="29">AW15-AX15</f>
        <v>40816.958571428571</v>
      </c>
      <c r="AZ15" s="127">
        <f t="shared" ref="AZ15:AZ19" si="30">IF($AV$3="1Q",AY15,0)+IF($AR$3="1Q",AU15,0)+IF($AN$3="1Q",AQ15,0)+IF($AJ$3="1Q",AM15,0)+IF($AF$3="1Q",AI15,0)+IF($AB$3="1Q",AE15,0)+IF($X$3="1Q",AA15,0)+IF($T$3="1Q",W15,0)+IF($P$3="1Q",S15,0)+IF($L$3="1Q",O15,0)+IF($H$3="1Q",K15,0)+IF($D$3="1Q",G15,0)</f>
        <v>175918.99697674421</v>
      </c>
      <c r="BA15" s="128">
        <f>AZ15-AZ12+$C15</f>
        <v>535268.70959302317</v>
      </c>
      <c r="BB15" s="127">
        <f t="shared" ref="BB15:BB19" si="31">IF($AV$4="1H",AY15,0)+IF($AR$4="1H",AU15,0)+IF($AN$4="1H",AQ15,0)+IF($AJ$4="1H",AM15,0)+IF($AF$4="1H",AI15,0)+IF($AB$4="1H",AE15,0)+IF($X$4="1H",AA15,0)+IF($T$4="1H",W15,0)+IF($P$4="1H",S15,0)+IF($L$4="1H",O15,0)+IF($H$4="1H",K15,0)+IF($D$4="1H",G15,0)</f>
        <v>321524.20554817276</v>
      </c>
      <c r="BC15" s="128">
        <f>BB15-BB12+$C15</f>
        <v>525373.91816445172</v>
      </c>
      <c r="BD15" s="127">
        <f>AY15+AU15+AQ15+AM15+AI15+AE15+AA15+W15+S15+O15+K15+G15-BD12</f>
        <v>70278.558405315562</v>
      </c>
      <c r="BE15" s="91">
        <f t="shared" ref="BE15:BE19" si="32">BD15+C15</f>
        <v>497031.22102159454</v>
      </c>
    </row>
    <row r="16" spans="1:57" ht="13">
      <c r="A16" s="89" t="s">
        <v>209</v>
      </c>
      <c r="B16" s="265"/>
      <c r="C16" s="121">
        <f>'Revised PS Model 2015'!BB21</f>
        <v>-861.51662790702903</v>
      </c>
      <c r="D16" s="53">
        <v>100</v>
      </c>
      <c r="E16" s="123">
        <f t="shared" si="6"/>
        <v>24263.851162790699</v>
      </c>
      <c r="F16" s="124"/>
      <c r="G16" s="123">
        <f t="shared" si="7"/>
        <v>24263.851162790699</v>
      </c>
      <c r="H16" s="214">
        <v>100</v>
      </c>
      <c r="I16" s="123">
        <f t="shared" si="8"/>
        <v>15781.904651162791</v>
      </c>
      <c r="J16" s="124"/>
      <c r="K16" s="123">
        <f t="shared" si="9"/>
        <v>15781.904651162791</v>
      </c>
      <c r="L16" s="214">
        <v>100</v>
      </c>
      <c r="M16" s="123">
        <f t="shared" si="10"/>
        <v>20867.346511627908</v>
      </c>
      <c r="N16" s="124"/>
      <c r="O16" s="123">
        <f t="shared" si="11"/>
        <v>20867.346511627908</v>
      </c>
      <c r="P16" s="214">
        <v>100</v>
      </c>
      <c r="Q16" s="123">
        <f t="shared" si="12"/>
        <v>17616.888095238093</v>
      </c>
      <c r="R16" s="124"/>
      <c r="S16" s="123">
        <f t="shared" si="13"/>
        <v>17616.888095238093</v>
      </c>
      <c r="T16" s="214">
        <v>100</v>
      </c>
      <c r="U16" s="123">
        <f t="shared" si="14"/>
        <v>15936.366666666669</v>
      </c>
      <c r="V16" s="124"/>
      <c r="W16" s="123">
        <f t="shared" si="15"/>
        <v>15936.366666666669</v>
      </c>
      <c r="X16" s="214">
        <v>100</v>
      </c>
      <c r="Y16" s="123">
        <f t="shared" si="16"/>
        <v>19243.304761904761</v>
      </c>
      <c r="Z16" s="124"/>
      <c r="AA16" s="123">
        <f t="shared" si="17"/>
        <v>19243.304761904761</v>
      </c>
      <c r="AB16" s="214">
        <v>100</v>
      </c>
      <c r="AC16" s="123">
        <f t="shared" si="18"/>
        <v>18694.142857142855</v>
      </c>
      <c r="AD16" s="124"/>
      <c r="AE16" s="123">
        <f t="shared" si="19"/>
        <v>18694.142857142855</v>
      </c>
      <c r="AF16" s="214">
        <v>100</v>
      </c>
      <c r="AG16" s="123">
        <f t="shared" si="20"/>
        <v>18450.326190476189</v>
      </c>
      <c r="AH16" s="124"/>
      <c r="AI16" s="123">
        <f t="shared" si="21"/>
        <v>18450.326190476189</v>
      </c>
      <c r="AJ16" s="214">
        <v>100</v>
      </c>
      <c r="AK16" s="123">
        <f t="shared" si="22"/>
        <v>13897.952380952382</v>
      </c>
      <c r="AL16" s="124">
        <v>224.68</v>
      </c>
      <c r="AM16" s="123">
        <f t="shared" si="23"/>
        <v>13673.272380952381</v>
      </c>
      <c r="AN16" s="214">
        <v>100</v>
      </c>
      <c r="AO16" s="123">
        <f t="shared" si="24"/>
        <v>15919.850000000006</v>
      </c>
      <c r="AP16" s="124">
        <v>60.12</v>
      </c>
      <c r="AQ16" s="123">
        <f t="shared" si="25"/>
        <v>15859.730000000005</v>
      </c>
      <c r="AR16" s="214">
        <v>100</v>
      </c>
      <c r="AS16" s="123">
        <f t="shared" si="26"/>
        <v>13545.016666666666</v>
      </c>
      <c r="AT16" s="124"/>
      <c r="AU16" s="123">
        <f t="shared" si="27"/>
        <v>13545.016666666666</v>
      </c>
      <c r="AV16" s="214">
        <v>100</v>
      </c>
      <c r="AW16" s="123">
        <f t="shared" si="28"/>
        <v>14027.292857142857</v>
      </c>
      <c r="AX16" s="124"/>
      <c r="AY16" s="126">
        <f t="shared" si="29"/>
        <v>14027.292857142857</v>
      </c>
      <c r="AZ16" s="127">
        <f t="shared" si="30"/>
        <v>60913.1023255814</v>
      </c>
      <c r="BA16" s="128">
        <f t="shared" ref="BA16:BA19" si="33">AZ16+$C16</f>
        <v>60051.585697674367</v>
      </c>
      <c r="BB16" s="127">
        <f t="shared" si="31"/>
        <v>113709.66184939092</v>
      </c>
      <c r="BC16" s="128">
        <f t="shared" ref="BC16:BC19" si="34">BB16+$C16</f>
        <v>112848.14522148389</v>
      </c>
      <c r="BD16" s="127">
        <f t="shared" ref="BD16:BD19" si="35">AY16+AU16+AQ16+AM16+AI16+AE16+AA16+W16+S16+O16+K16+G16</f>
        <v>207959.44280177186</v>
      </c>
      <c r="BE16" s="91">
        <f t="shared" si="32"/>
        <v>207097.92617386483</v>
      </c>
    </row>
    <row r="17" spans="1:57" ht="13">
      <c r="A17" s="89" t="s">
        <v>319</v>
      </c>
      <c r="B17" s="265"/>
      <c r="C17" s="121">
        <f>'Revised PS Model 2015'!BB22</f>
        <v>-81.091162790697354</v>
      </c>
      <c r="D17" s="53">
        <v>10</v>
      </c>
      <c r="E17" s="123">
        <f t="shared" si="6"/>
        <v>2426.3851162790697</v>
      </c>
      <c r="F17" s="124"/>
      <c r="G17" s="123">
        <f t="shared" si="7"/>
        <v>2426.3851162790697</v>
      </c>
      <c r="H17" s="53">
        <v>10</v>
      </c>
      <c r="I17" s="123">
        <f t="shared" si="8"/>
        <v>1578.190465116279</v>
      </c>
      <c r="J17" s="124"/>
      <c r="K17" s="123">
        <f t="shared" si="9"/>
        <v>1578.190465116279</v>
      </c>
      <c r="L17" s="53">
        <v>10</v>
      </c>
      <c r="M17" s="123">
        <f t="shared" si="10"/>
        <v>2086.7346511627907</v>
      </c>
      <c r="N17" s="124"/>
      <c r="O17" s="123">
        <f>M17-N17-800</f>
        <v>1286.7346511627907</v>
      </c>
      <c r="P17" s="214">
        <v>0</v>
      </c>
      <c r="Q17" s="123">
        <f t="shared" si="12"/>
        <v>0</v>
      </c>
      <c r="R17" s="124"/>
      <c r="S17" s="123">
        <f t="shared" si="13"/>
        <v>0</v>
      </c>
      <c r="T17" s="214">
        <v>0</v>
      </c>
      <c r="U17" s="123">
        <f t="shared" si="14"/>
        <v>0</v>
      </c>
      <c r="V17" s="124"/>
      <c r="W17" s="123">
        <f t="shared" si="15"/>
        <v>0</v>
      </c>
      <c r="X17" s="214">
        <v>0</v>
      </c>
      <c r="Y17" s="123">
        <f t="shared" si="16"/>
        <v>0</v>
      </c>
      <c r="Z17" s="124"/>
      <c r="AA17" s="123">
        <f t="shared" si="17"/>
        <v>0</v>
      </c>
      <c r="AB17" s="214">
        <v>0</v>
      </c>
      <c r="AC17" s="123">
        <f t="shared" si="18"/>
        <v>0</v>
      </c>
      <c r="AD17" s="124"/>
      <c r="AE17" s="123">
        <f t="shared" si="19"/>
        <v>0</v>
      </c>
      <c r="AF17" s="214">
        <v>0</v>
      </c>
      <c r="AG17" s="123">
        <f t="shared" si="20"/>
        <v>0</v>
      </c>
      <c r="AH17" s="124"/>
      <c r="AI17" s="123">
        <f t="shared" si="21"/>
        <v>0</v>
      </c>
      <c r="AJ17" s="214">
        <v>0</v>
      </c>
      <c r="AK17" s="123">
        <f t="shared" si="22"/>
        <v>0</v>
      </c>
      <c r="AL17" s="124"/>
      <c r="AM17" s="123">
        <f t="shared" si="23"/>
        <v>0</v>
      </c>
      <c r="AN17" s="214">
        <v>0</v>
      </c>
      <c r="AO17" s="123">
        <f t="shared" si="24"/>
        <v>0</v>
      </c>
      <c r="AP17" s="124"/>
      <c r="AQ17" s="123">
        <f t="shared" si="25"/>
        <v>0</v>
      </c>
      <c r="AR17" s="214">
        <v>0</v>
      </c>
      <c r="AS17" s="123">
        <f t="shared" si="26"/>
        <v>0</v>
      </c>
      <c r="AT17" s="124"/>
      <c r="AU17" s="123">
        <f t="shared" si="27"/>
        <v>0</v>
      </c>
      <c r="AV17" s="214">
        <v>0</v>
      </c>
      <c r="AW17" s="123">
        <f t="shared" si="28"/>
        <v>0</v>
      </c>
      <c r="AX17" s="124"/>
      <c r="AY17" s="126">
        <f t="shared" si="29"/>
        <v>0</v>
      </c>
      <c r="AZ17" s="127">
        <f t="shared" si="30"/>
        <v>5291.3102325581394</v>
      </c>
      <c r="BA17" s="128">
        <f t="shared" si="33"/>
        <v>5210.2190697674423</v>
      </c>
      <c r="BB17" s="127">
        <f t="shared" si="31"/>
        <v>5291.3102325581394</v>
      </c>
      <c r="BC17" s="128">
        <f t="shared" si="34"/>
        <v>5210.2190697674423</v>
      </c>
      <c r="BD17" s="127">
        <f t="shared" si="35"/>
        <v>5291.3102325581394</v>
      </c>
      <c r="BE17" s="91">
        <f t="shared" si="32"/>
        <v>5210.2190697674423</v>
      </c>
    </row>
    <row r="18" spans="1:57" ht="13">
      <c r="A18" s="89" t="s">
        <v>61</v>
      </c>
      <c r="B18" s="265"/>
      <c r="C18" s="121">
        <f>'Revised PS Model 2015'!BB23</f>
        <v>-81.091162790697354</v>
      </c>
      <c r="D18" s="53">
        <v>10</v>
      </c>
      <c r="E18" s="123">
        <f t="shared" si="6"/>
        <v>2426.3851162790697</v>
      </c>
      <c r="F18" s="124"/>
      <c r="G18" s="123">
        <f t="shared" si="7"/>
        <v>2426.3851162790697</v>
      </c>
      <c r="H18" s="53">
        <v>10</v>
      </c>
      <c r="I18" s="123">
        <f t="shared" si="8"/>
        <v>1578.190465116279</v>
      </c>
      <c r="J18" s="124"/>
      <c r="K18" s="123">
        <f t="shared" si="9"/>
        <v>1578.190465116279</v>
      </c>
      <c r="L18" s="53">
        <v>10</v>
      </c>
      <c r="M18" s="123">
        <f t="shared" si="10"/>
        <v>2086.7346511627907</v>
      </c>
      <c r="N18" s="124"/>
      <c r="O18" s="123">
        <f t="shared" ref="O18:O19" si="36">M18-N18</f>
        <v>2086.7346511627907</v>
      </c>
      <c r="P18" s="214">
        <v>10</v>
      </c>
      <c r="Q18" s="123">
        <f t="shared" si="12"/>
        <v>1761.6888095238094</v>
      </c>
      <c r="R18" s="124"/>
      <c r="S18" s="123">
        <f t="shared" si="13"/>
        <v>1761.6888095238094</v>
      </c>
      <c r="T18" s="214">
        <v>10</v>
      </c>
      <c r="U18" s="123">
        <f t="shared" si="14"/>
        <v>1593.6366666666668</v>
      </c>
      <c r="V18" s="124"/>
      <c r="W18" s="123">
        <f t="shared" si="15"/>
        <v>1593.6366666666668</v>
      </c>
      <c r="X18" s="214">
        <v>10</v>
      </c>
      <c r="Y18" s="123">
        <f t="shared" si="16"/>
        <v>1924.330476190476</v>
      </c>
      <c r="Z18" s="124"/>
      <c r="AA18" s="123">
        <f t="shared" si="17"/>
        <v>1924.330476190476</v>
      </c>
      <c r="AB18" s="214">
        <v>10</v>
      </c>
      <c r="AC18" s="123">
        <f t="shared" si="18"/>
        <v>1869.4142857142858</v>
      </c>
      <c r="AD18" s="124"/>
      <c r="AE18" s="123">
        <f t="shared" si="19"/>
        <v>1869.4142857142858</v>
      </c>
      <c r="AF18" s="214">
        <v>10</v>
      </c>
      <c r="AG18" s="123">
        <f t="shared" si="20"/>
        <v>1845.0326190476189</v>
      </c>
      <c r="AH18" s="124"/>
      <c r="AI18" s="123">
        <f t="shared" si="21"/>
        <v>1845.0326190476189</v>
      </c>
      <c r="AJ18" s="214">
        <v>10</v>
      </c>
      <c r="AK18" s="123">
        <f t="shared" si="22"/>
        <v>1389.7952380952381</v>
      </c>
      <c r="AL18" s="124"/>
      <c r="AM18" s="123">
        <f t="shared" si="23"/>
        <v>1389.7952380952381</v>
      </c>
      <c r="AN18" s="214">
        <v>10</v>
      </c>
      <c r="AO18" s="123">
        <f t="shared" si="24"/>
        <v>1591.9850000000004</v>
      </c>
      <c r="AP18" s="124"/>
      <c r="AQ18" s="123">
        <f t="shared" si="25"/>
        <v>1591.9850000000004</v>
      </c>
      <c r="AR18" s="214">
        <v>10</v>
      </c>
      <c r="AS18" s="123">
        <f t="shared" si="26"/>
        <v>1354.5016666666666</v>
      </c>
      <c r="AT18" s="124"/>
      <c r="AU18" s="123">
        <f t="shared" si="27"/>
        <v>1354.5016666666666</v>
      </c>
      <c r="AV18" s="214">
        <v>10</v>
      </c>
      <c r="AW18" s="123">
        <f t="shared" si="28"/>
        <v>1402.7292857142857</v>
      </c>
      <c r="AX18" s="124"/>
      <c r="AY18" s="126">
        <f t="shared" si="29"/>
        <v>1402.7292857142857</v>
      </c>
      <c r="AZ18" s="127">
        <f t="shared" si="30"/>
        <v>6091.3102325581394</v>
      </c>
      <c r="BA18" s="128">
        <f t="shared" si="33"/>
        <v>6010.2190697674423</v>
      </c>
      <c r="BB18" s="127">
        <f t="shared" si="31"/>
        <v>11370.96618493909</v>
      </c>
      <c r="BC18" s="128">
        <f t="shared" si="34"/>
        <v>11289.875022148393</v>
      </c>
      <c r="BD18" s="127">
        <f t="shared" si="35"/>
        <v>20824.424280177191</v>
      </c>
      <c r="BE18" s="91">
        <f t="shared" si="32"/>
        <v>20743.333117386494</v>
      </c>
    </row>
    <row r="19" spans="1:57" ht="13">
      <c r="A19" s="89" t="s">
        <v>65</v>
      </c>
      <c r="B19" s="265"/>
      <c r="C19" s="121">
        <f>'Revised PS Model 2015'!BB24</f>
        <v>-81.091162790697354</v>
      </c>
      <c r="D19" s="53">
        <v>10</v>
      </c>
      <c r="E19" s="123">
        <f t="shared" si="6"/>
        <v>2426.3851162790697</v>
      </c>
      <c r="F19" s="124"/>
      <c r="G19" s="123">
        <f t="shared" si="7"/>
        <v>2426.3851162790697</v>
      </c>
      <c r="H19" s="53">
        <v>10</v>
      </c>
      <c r="I19" s="123">
        <f t="shared" si="8"/>
        <v>1578.190465116279</v>
      </c>
      <c r="J19" s="124"/>
      <c r="K19" s="123">
        <f t="shared" si="9"/>
        <v>1578.190465116279</v>
      </c>
      <c r="L19" s="53">
        <v>10</v>
      </c>
      <c r="M19" s="123">
        <f t="shared" si="10"/>
        <v>2086.7346511627907</v>
      </c>
      <c r="N19" s="124"/>
      <c r="O19" s="123">
        <f t="shared" si="36"/>
        <v>2086.7346511627907</v>
      </c>
      <c r="P19" s="214">
        <v>10</v>
      </c>
      <c r="Q19" s="123">
        <f t="shared" si="12"/>
        <v>1761.6888095238094</v>
      </c>
      <c r="R19" s="124"/>
      <c r="S19" s="123">
        <f t="shared" si="13"/>
        <v>1761.6888095238094</v>
      </c>
      <c r="T19" s="214">
        <v>10</v>
      </c>
      <c r="U19" s="123">
        <f t="shared" si="14"/>
        <v>1593.6366666666668</v>
      </c>
      <c r="V19" s="124"/>
      <c r="W19" s="123">
        <f t="shared" si="15"/>
        <v>1593.6366666666668</v>
      </c>
      <c r="X19" s="214">
        <v>10</v>
      </c>
      <c r="Y19" s="123">
        <f t="shared" si="16"/>
        <v>1924.330476190476</v>
      </c>
      <c r="Z19" s="124"/>
      <c r="AA19" s="123">
        <f t="shared" si="17"/>
        <v>1924.330476190476</v>
      </c>
      <c r="AB19" s="214">
        <v>10</v>
      </c>
      <c r="AC19" s="123">
        <f t="shared" si="18"/>
        <v>1869.4142857142858</v>
      </c>
      <c r="AD19" s="124"/>
      <c r="AE19" s="123">
        <f t="shared" si="19"/>
        <v>1869.4142857142858</v>
      </c>
      <c r="AF19" s="214">
        <v>10</v>
      </c>
      <c r="AG19" s="123">
        <f t="shared" si="20"/>
        <v>1845.0326190476189</v>
      </c>
      <c r="AH19" s="124"/>
      <c r="AI19" s="123">
        <f t="shared" si="21"/>
        <v>1845.0326190476189</v>
      </c>
      <c r="AJ19" s="214">
        <v>10</v>
      </c>
      <c r="AK19" s="123">
        <f t="shared" si="22"/>
        <v>1389.7952380952381</v>
      </c>
      <c r="AL19" s="124"/>
      <c r="AM19" s="123">
        <f t="shared" si="23"/>
        <v>1389.7952380952381</v>
      </c>
      <c r="AN19" s="214">
        <v>10</v>
      </c>
      <c r="AO19" s="123">
        <f t="shared" si="24"/>
        <v>1591.9850000000004</v>
      </c>
      <c r="AP19" s="124"/>
      <c r="AQ19" s="123">
        <f t="shared" si="25"/>
        <v>1591.9850000000004</v>
      </c>
      <c r="AR19" s="214">
        <v>10</v>
      </c>
      <c r="AS19" s="123">
        <f t="shared" si="26"/>
        <v>1354.5016666666666</v>
      </c>
      <c r="AT19" s="124"/>
      <c r="AU19" s="123">
        <f t="shared" si="27"/>
        <v>1354.5016666666666</v>
      </c>
      <c r="AV19" s="214">
        <v>10</v>
      </c>
      <c r="AW19" s="123">
        <f t="shared" si="28"/>
        <v>1402.7292857142857</v>
      </c>
      <c r="AX19" s="124"/>
      <c r="AY19" s="126">
        <f t="shared" si="29"/>
        <v>1402.7292857142857</v>
      </c>
      <c r="AZ19" s="127">
        <f t="shared" si="30"/>
        <v>6091.3102325581394</v>
      </c>
      <c r="BA19" s="128">
        <f t="shared" si="33"/>
        <v>6010.2190697674423</v>
      </c>
      <c r="BB19" s="127">
        <f t="shared" si="31"/>
        <v>11370.96618493909</v>
      </c>
      <c r="BC19" s="128">
        <f t="shared" si="34"/>
        <v>11289.875022148393</v>
      </c>
      <c r="BD19" s="127">
        <f t="shared" si="35"/>
        <v>20824.424280177191</v>
      </c>
      <c r="BE19" s="91">
        <f t="shared" si="32"/>
        <v>20743.333117386494</v>
      </c>
    </row>
    <row r="20" spans="1:57" ht="13">
      <c r="A20" s="89"/>
      <c r="C20" s="61"/>
      <c r="D20" s="148">
        <f t="shared" ref="D20:E20" si="37">SUM(D15:D19)</f>
        <v>430</v>
      </c>
      <c r="E20" s="149">
        <f t="shared" si="37"/>
        <v>104334.56</v>
      </c>
      <c r="F20" s="91"/>
      <c r="G20" s="91"/>
      <c r="H20" s="148">
        <f t="shared" ref="H20:I20" si="38">SUM(H15:H19)</f>
        <v>430</v>
      </c>
      <c r="I20" s="149">
        <f t="shared" si="38"/>
        <v>67862.19</v>
      </c>
      <c r="J20" s="91"/>
      <c r="K20" s="91"/>
      <c r="L20" s="148">
        <f t="shared" ref="L20:M20" si="39">SUM(L15:L19)</f>
        <v>430</v>
      </c>
      <c r="M20" s="149">
        <f t="shared" si="39"/>
        <v>89729.589999999982</v>
      </c>
      <c r="N20" s="91"/>
      <c r="O20" s="91"/>
      <c r="P20" s="148">
        <f t="shared" ref="P20:Q20" si="40">SUM(P15:P19)</f>
        <v>420</v>
      </c>
      <c r="Q20" s="149">
        <f t="shared" si="40"/>
        <v>73990.929999999993</v>
      </c>
      <c r="R20" s="91"/>
      <c r="S20" s="91"/>
      <c r="T20" s="148">
        <f t="shared" ref="T20:U20" si="41">SUM(T15:T19)</f>
        <v>420</v>
      </c>
      <c r="U20" s="149">
        <f t="shared" si="41"/>
        <v>66932.740000000005</v>
      </c>
      <c r="V20" s="91"/>
      <c r="W20" s="91"/>
      <c r="X20" s="148">
        <f t="shared" ref="X20:Y20" si="42">SUM(X15:X19)</f>
        <v>420</v>
      </c>
      <c r="Y20" s="149">
        <f t="shared" si="42"/>
        <v>80821.87999999999</v>
      </c>
      <c r="Z20" s="91"/>
      <c r="AA20" s="91"/>
      <c r="AB20" s="148">
        <f t="shared" ref="AB20:AC20" si="43">SUM(AB15:AB19)</f>
        <v>420</v>
      </c>
      <c r="AC20" s="149">
        <f t="shared" si="43"/>
        <v>78515.399999999994</v>
      </c>
      <c r="AD20" s="91"/>
      <c r="AE20" s="91"/>
      <c r="AF20" s="148">
        <f t="shared" ref="AF20:AG20" si="44">SUM(AF15:AF19)</f>
        <v>420</v>
      </c>
      <c r="AG20" s="149">
        <f t="shared" si="44"/>
        <v>77491.37</v>
      </c>
      <c r="AH20" s="91"/>
      <c r="AI20" s="91"/>
      <c r="AJ20" s="148">
        <f t="shared" ref="AJ20:AK20" si="45">SUM(AJ15:AJ19)</f>
        <v>420</v>
      </c>
      <c r="AK20" s="149">
        <f t="shared" si="45"/>
        <v>58371.400000000009</v>
      </c>
      <c r="AL20" s="91"/>
      <c r="AM20" s="91"/>
      <c r="AN20" s="148">
        <f t="shared" ref="AN20:AO20" si="46">SUM(AN15:AN19)</f>
        <v>420</v>
      </c>
      <c r="AO20" s="149">
        <f t="shared" si="46"/>
        <v>66863.370000000024</v>
      </c>
      <c r="AP20" s="91"/>
      <c r="AQ20" s="91"/>
      <c r="AR20" s="148">
        <f t="shared" ref="AR20:AS20" si="47">SUM(AR15:AR19)</f>
        <v>420</v>
      </c>
      <c r="AS20" s="149">
        <f t="shared" si="47"/>
        <v>56889.069999999992</v>
      </c>
      <c r="AT20" s="91"/>
      <c r="AU20" s="91"/>
      <c r="AV20" s="148">
        <f t="shared" ref="AV20:AW20" si="48">SUM(AV15:AV19)</f>
        <v>420</v>
      </c>
      <c r="AW20" s="149">
        <f t="shared" si="48"/>
        <v>58914.630000000005</v>
      </c>
      <c r="AX20" s="124"/>
      <c r="AY20" s="92"/>
      <c r="AZ20" s="91"/>
      <c r="BA20" s="150"/>
      <c r="BB20" s="91"/>
      <c r="BC20" s="150"/>
    </row>
    <row r="21" spans="1:57" ht="14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X21" s="151"/>
      <c r="AY21" s="92"/>
      <c r="AZ21" s="216" t="str">
        <f>"Paid for "&amp;AZ2</f>
        <v>Paid for 1Q</v>
      </c>
      <c r="BA21" s="217" t="s">
        <v>256</v>
      </c>
      <c r="BB21" s="216" t="str">
        <f>"Paid for "&amp;BB2</f>
        <v>Paid for 1H</v>
      </c>
      <c r="BC21" s="217" t="s">
        <v>256</v>
      </c>
      <c r="BD21" s="216" t="str">
        <f>"Paid for "&amp;BD2</f>
        <v>Paid for 2016</v>
      </c>
      <c r="BE21" s="217" t="s">
        <v>256</v>
      </c>
    </row>
    <row r="22" spans="1:57" ht="13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45" t="s">
        <v>83</v>
      </c>
      <c r="AZ22" s="200">
        <f>IF($AV$3="1Q",AV12,0)+IF($AR$3="1Q",AR12,0)+IF($AN$3="1Q",AN12,0)+IF($AJ$3="1Q",AJ12,0)+IF($AF$3="1Q",AF12,0)+IF($AB$3="1Q",AB12,0)+IF($X$3="1Q",X12,0)+IF($T$3="1Q",T12,0)+IF($P$3="1Q",P12,0)+IF($L$3="1Q",L12,0)+IF($H$3="1Q",H12,0)+IF($D$3="1Q",D12,0)</f>
        <v>67402.95</v>
      </c>
      <c r="BA22" s="271">
        <f t="shared" ref="BA22:BA26" si="49">BA15-AZ22</f>
        <v>467865.75959302316</v>
      </c>
      <c r="BB22" s="263">
        <f>IF($AV$4="1H",$AV$12,0)+IF($AR$4="1H",$AR$12,0)+IF($AN$4="1H",$AN$12,0)+IF($AJ$4="1H",$AJ$12,0)+IF($AF$4="1H",$AF$12,0)+IF($AB$4="1H",$AB$12,0)+IF($X$4="1H",$X$12,0)+IF($T$4="1H",$T$12,0)+IF($P$4="1H",$P$12,0)+IF($L$4="1H",$L$12,0)+IF($H$4="1H",$H$12,0)+IF($D$4="1H",$D$12,0)</f>
        <v>222902.95</v>
      </c>
      <c r="BC22" s="272">
        <f t="shared" ref="BC22:BC26" si="50">BC15-BB22</f>
        <v>302470.96816445171</v>
      </c>
      <c r="BD22" s="263">
        <f>IF($AV$4="1H",$AV$12,0)+IF($AR$4="1H",$AR$12,0)+IF($AN$4="1H",$AN$12,0)+IF($AJ$4="1H",$AJ$12,0)+IF($AF$4="1H",$AF$12,0)+IF($AB$4="1H",$AB$12,0)+IF($X$4="1H",$X$12,0)+IF($T$4="1H",$T$12,0)+IF($P$4="1H",$P$12,0)+IF($L$4="1H",$L$12,0)+IF($H$4="1H",$H$12,0)+IF($D$4="1H",$D$12,0)</f>
        <v>222902.95</v>
      </c>
      <c r="BE22" s="272">
        <f t="shared" ref="BE22:BE26" si="51">BE15-BD22</f>
        <v>274128.27102159453</v>
      </c>
    </row>
    <row r="23" spans="1:57" ht="13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209</v>
      </c>
      <c r="AZ23" s="90">
        <v>44952.65</v>
      </c>
      <c r="BA23" s="273">
        <f t="shared" si="49"/>
        <v>15098.935697674366</v>
      </c>
      <c r="BB23" s="90">
        <f>AZ23+61064.01</f>
        <v>106016.66</v>
      </c>
      <c r="BC23" s="272">
        <f t="shared" si="50"/>
        <v>6831.4852214838902</v>
      </c>
      <c r="BD23" s="90">
        <f>BB23+94223.66</f>
        <v>200240.32</v>
      </c>
      <c r="BE23" s="272">
        <f t="shared" si="51"/>
        <v>6857.6061738648277</v>
      </c>
    </row>
    <row r="24" spans="1:57" ht="13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0" t="s">
        <v>319</v>
      </c>
      <c r="AZ24" s="90">
        <v>3781</v>
      </c>
      <c r="BA24" s="273">
        <f t="shared" si="49"/>
        <v>1429.2190697674423</v>
      </c>
      <c r="BB24" s="90">
        <f>AZ24+498.99</f>
        <v>4279.99</v>
      </c>
      <c r="BC24" s="272">
        <f t="shared" si="50"/>
        <v>930.22906976744252</v>
      </c>
      <c r="BD24" s="90">
        <f>BB24</f>
        <v>4279.99</v>
      </c>
      <c r="BE24" s="272">
        <f t="shared" si="51"/>
        <v>930.22906976744252</v>
      </c>
    </row>
    <row r="25" spans="1:57" ht="13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Y25" s="250" t="s">
        <v>61</v>
      </c>
      <c r="AZ25" s="90">
        <v>4581</v>
      </c>
      <c r="BA25" s="273">
        <f t="shared" si="49"/>
        <v>1429.2190697674423</v>
      </c>
      <c r="BB25" s="90">
        <f t="shared" ref="BB25:BB26" si="52">AZ25+6025.73</f>
        <v>10606.73</v>
      </c>
      <c r="BC25" s="272">
        <f t="shared" si="50"/>
        <v>683.14502214839376</v>
      </c>
      <c r="BD25" s="90">
        <f t="shared" ref="BD25:BD26" si="53">BB25+9450.84</f>
        <v>20057.57</v>
      </c>
      <c r="BE25" s="272">
        <f t="shared" si="51"/>
        <v>685.76311738649383</v>
      </c>
    </row>
    <row r="26" spans="1:57" ht="13">
      <c r="A26" s="89"/>
      <c r="B26" s="5"/>
      <c r="C26" s="61"/>
      <c r="D26" s="10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W26" s="151"/>
      <c r="AY26" s="255" t="s">
        <v>65</v>
      </c>
      <c r="AZ26" s="274">
        <v>4581</v>
      </c>
      <c r="BA26" s="279">
        <f t="shared" si="49"/>
        <v>1429.2190697674423</v>
      </c>
      <c r="BB26" s="274">
        <f t="shared" si="52"/>
        <v>10606.73</v>
      </c>
      <c r="BC26" s="277">
        <f t="shared" si="50"/>
        <v>683.14502214839376</v>
      </c>
      <c r="BD26" s="274">
        <f t="shared" si="53"/>
        <v>20057.57</v>
      </c>
      <c r="BE26" s="277">
        <f t="shared" si="51"/>
        <v>685.76311738649383</v>
      </c>
    </row>
    <row r="27" spans="1:57" ht="13">
      <c r="A27" s="89"/>
      <c r="C27" s="61"/>
      <c r="D27" s="62"/>
      <c r="BC27" s="91"/>
      <c r="BD27" s="91"/>
      <c r="BE27" s="91"/>
    </row>
    <row r="28" spans="1:57" ht="13">
      <c r="A28" s="89"/>
      <c r="C28" s="61"/>
      <c r="D28" s="62"/>
      <c r="AY28" s="1"/>
      <c r="BA28" s="230"/>
      <c r="BB28" s="230"/>
      <c r="BC28" s="91"/>
      <c r="BD28" s="91"/>
      <c r="BE28" s="91"/>
    </row>
    <row r="29" spans="1:57" ht="13">
      <c r="A29" s="89"/>
      <c r="C29" s="61"/>
      <c r="D29" s="62"/>
      <c r="AZ29" s="152"/>
      <c r="BA29" s="152"/>
      <c r="BB29" s="152"/>
      <c r="BC29" s="91"/>
      <c r="BD29" s="91"/>
      <c r="BE29" s="91"/>
    </row>
    <row r="30" spans="1:57" ht="14">
      <c r="A30" s="89" t="s">
        <v>201</v>
      </c>
      <c r="C30" s="61"/>
      <c r="D30" s="62"/>
      <c r="AN30" s="1" t="s">
        <v>148</v>
      </c>
      <c r="AZ30" s="152"/>
      <c r="BA30" s="152"/>
      <c r="BB30" s="152"/>
      <c r="BC30" s="91"/>
      <c r="BD30" s="91"/>
      <c r="BE30" s="91"/>
    </row>
    <row r="31" spans="1:57" ht="13">
      <c r="A31" s="89"/>
      <c r="C31" s="61"/>
      <c r="D31" s="62"/>
      <c r="BC31" s="91"/>
    </row>
    <row r="32" spans="1:57" ht="13">
      <c r="A32" s="89"/>
      <c r="C32" s="61"/>
      <c r="D32" s="62"/>
    </row>
    <row r="33" spans="1:4" ht="13">
      <c r="A33" s="89"/>
      <c r="C33" s="61"/>
      <c r="D33" s="62"/>
    </row>
    <row r="34" spans="1:4" ht="13">
      <c r="A34" s="89"/>
      <c r="C34" s="61"/>
      <c r="D34" s="62"/>
    </row>
    <row r="35" spans="1:4" ht="13">
      <c r="A35" s="89"/>
      <c r="C35" s="61"/>
      <c r="D35" s="62"/>
    </row>
    <row r="36" spans="1:4" ht="13">
      <c r="A36" s="89"/>
      <c r="C36" s="61"/>
      <c r="D36" s="62"/>
    </row>
    <row r="37" spans="1:4" ht="13">
      <c r="A37" s="89"/>
      <c r="C37" s="61"/>
      <c r="D37" s="62"/>
    </row>
    <row r="38" spans="1:4" ht="13">
      <c r="A38" s="89"/>
      <c r="C38" s="61"/>
      <c r="D38" s="62"/>
    </row>
    <row r="39" spans="1:4" ht="13">
      <c r="A39" s="89"/>
      <c r="C39" s="61"/>
      <c r="D39" s="62"/>
    </row>
    <row r="40" spans="1:4" ht="13">
      <c r="A40" s="89"/>
      <c r="C40" s="61"/>
      <c r="D40" s="62"/>
    </row>
    <row r="41" spans="1:4" ht="13">
      <c r="A41" s="89"/>
      <c r="C41" s="61"/>
      <c r="D41" s="62"/>
    </row>
    <row r="42" spans="1:4" ht="13">
      <c r="A42" s="89"/>
      <c r="C42" s="61"/>
      <c r="D42" s="62"/>
    </row>
    <row r="43" spans="1:4" ht="13">
      <c r="A43" s="89"/>
      <c r="C43" s="61"/>
      <c r="D43" s="62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BD42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3" width="15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6" width="15.1640625" customWidth="1"/>
  </cols>
  <sheetData>
    <row r="1" spans="1:56" ht="12.75" customHeight="1">
      <c r="A1" s="5" t="s">
        <v>148</v>
      </c>
      <c r="C1" s="61" t="s">
        <v>131</v>
      </c>
      <c r="D1" s="59">
        <v>42400</v>
      </c>
      <c r="E1" s="60"/>
      <c r="F1" s="60"/>
      <c r="G1" s="61"/>
      <c r="H1" s="59">
        <v>42428</v>
      </c>
      <c r="I1" s="60"/>
      <c r="J1" s="60"/>
      <c r="K1" s="61"/>
      <c r="L1" s="59">
        <v>42460</v>
      </c>
      <c r="M1" s="60"/>
      <c r="N1" s="60"/>
      <c r="O1" s="61"/>
      <c r="P1" s="59">
        <v>42490</v>
      </c>
      <c r="Q1" s="60"/>
      <c r="R1" s="60"/>
      <c r="S1" s="61"/>
      <c r="T1" s="59">
        <v>42521</v>
      </c>
      <c r="U1" s="60"/>
      <c r="V1" s="60"/>
      <c r="W1" s="61"/>
      <c r="X1" s="59">
        <v>42551</v>
      </c>
      <c r="Y1" s="60"/>
      <c r="Z1" s="60"/>
      <c r="AA1" s="61"/>
      <c r="AB1" s="59">
        <v>42582</v>
      </c>
      <c r="AC1" s="60"/>
      <c r="AD1" s="60"/>
      <c r="AE1" s="61"/>
      <c r="AF1" s="59">
        <v>42613</v>
      </c>
      <c r="AG1" s="60"/>
      <c r="AH1" s="60"/>
      <c r="AI1" s="61"/>
      <c r="AJ1" s="59">
        <v>42643</v>
      </c>
      <c r="AK1" s="60"/>
      <c r="AL1" s="60"/>
      <c r="AM1" s="61"/>
      <c r="AN1" s="59">
        <v>42674</v>
      </c>
      <c r="AO1" s="60"/>
      <c r="AP1" s="60"/>
      <c r="AQ1" s="61"/>
      <c r="AR1" s="59">
        <v>42704</v>
      </c>
      <c r="AS1" s="60"/>
      <c r="AT1" s="60"/>
      <c r="AU1" s="61"/>
      <c r="AV1" s="59">
        <v>42735</v>
      </c>
      <c r="AW1" s="60"/>
      <c r="AX1" s="60"/>
      <c r="BB1" s="62"/>
      <c r="BC1" s="61"/>
    </row>
    <row r="2" spans="1:56" ht="12.75" customHeight="1">
      <c r="A2" s="5"/>
      <c r="C2" s="61"/>
      <c r="D2" s="62">
        <f>YEAR(D1)</f>
        <v>2016</v>
      </c>
      <c r="G2" s="61"/>
      <c r="H2" s="62">
        <f>YEAR(H1)</f>
        <v>2016</v>
      </c>
      <c r="K2" s="61"/>
      <c r="L2" s="62">
        <f>YEAR(L1)</f>
        <v>2016</v>
      </c>
      <c r="O2" s="61"/>
      <c r="P2" s="62">
        <f>YEAR(P1)</f>
        <v>2016</v>
      </c>
      <c r="S2" s="61"/>
      <c r="T2" s="62">
        <f>YEAR(T1)</f>
        <v>2016</v>
      </c>
      <c r="W2" s="61"/>
      <c r="X2" s="62">
        <f>YEAR(X1)</f>
        <v>2016</v>
      </c>
      <c r="AA2" s="61"/>
      <c r="AB2" s="62">
        <f>YEAR(AB1)</f>
        <v>2016</v>
      </c>
      <c r="AE2" s="61"/>
      <c r="AF2" s="62">
        <f>YEAR(AF1)</f>
        <v>2016</v>
      </c>
      <c r="AI2" s="61"/>
      <c r="AJ2" s="62">
        <f>YEAR(AJ1)</f>
        <v>2016</v>
      </c>
      <c r="AM2" s="61"/>
      <c r="AN2" s="62">
        <f>YEAR(AN1)</f>
        <v>2016</v>
      </c>
      <c r="AQ2" s="61"/>
      <c r="AR2" s="62">
        <f>YEAR(AR1)</f>
        <v>2016</v>
      </c>
      <c r="AU2" s="61"/>
      <c r="AV2" s="62">
        <f>YEAR(AV1)</f>
        <v>2016</v>
      </c>
      <c r="AY2" s="61"/>
      <c r="AZ2" s="65" t="s">
        <v>132</v>
      </c>
      <c r="BA2" s="65"/>
      <c r="BB2" s="209" t="s">
        <v>247</v>
      </c>
      <c r="BC2" s="61"/>
      <c r="BD2" s="67">
        <v>2016</v>
      </c>
    </row>
    <row r="3" spans="1:56" ht="12.75" customHeight="1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</row>
    <row r="4" spans="1:56" ht="12.75" customHeight="1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</row>
    <row r="5" spans="1:56" ht="12.75" customHeight="1">
      <c r="A5" s="89" t="s">
        <v>136</v>
      </c>
      <c r="C5" s="61"/>
      <c r="D5" s="90">
        <v>73398.48</v>
      </c>
      <c r="E5" s="91"/>
      <c r="F5" s="91"/>
      <c r="G5" s="92"/>
      <c r="H5" s="90">
        <v>78165.91</v>
      </c>
      <c r="I5" s="91"/>
      <c r="J5" s="91"/>
      <c r="K5" s="92"/>
      <c r="L5" s="90">
        <v>101041.64</v>
      </c>
      <c r="M5" s="91"/>
      <c r="N5" s="91"/>
      <c r="O5" s="92"/>
      <c r="P5" s="90">
        <v>101927.45</v>
      </c>
      <c r="Q5" s="91"/>
      <c r="R5" s="91"/>
      <c r="S5" s="92"/>
      <c r="T5" s="90">
        <v>77897.45</v>
      </c>
      <c r="U5" s="91"/>
      <c r="V5" s="91"/>
      <c r="W5" s="92"/>
      <c r="X5" s="90">
        <v>89543.79</v>
      </c>
      <c r="Y5" s="91"/>
      <c r="Z5" s="91"/>
      <c r="AA5" s="92"/>
      <c r="AB5" s="90"/>
      <c r="AC5" s="91"/>
      <c r="AD5" s="91"/>
      <c r="AE5" s="92"/>
      <c r="AF5" s="90"/>
      <c r="AG5" s="91"/>
      <c r="AH5" s="91"/>
      <c r="AI5" s="92"/>
      <c r="AJ5" s="90"/>
      <c r="AK5" s="91"/>
      <c r="AL5" s="91"/>
      <c r="AM5" s="92"/>
      <c r="AN5" s="90"/>
      <c r="AO5" s="91"/>
      <c r="AP5" s="91"/>
      <c r="AQ5" s="92"/>
      <c r="AR5" s="90"/>
      <c r="AS5" s="91"/>
      <c r="AT5" s="91"/>
      <c r="AU5" s="92"/>
      <c r="AV5" s="90"/>
      <c r="AW5" s="151"/>
      <c r="AX5" s="151"/>
      <c r="AY5" s="92"/>
      <c r="AZ5" s="93">
        <f t="shared" ref="AZ5:AZ11" si="0">SUMIF($D$3:$AY$3,AZ$2,$D5:$AY5)</f>
        <v>252606.03000000003</v>
      </c>
      <c r="BA5" s="92"/>
      <c r="BB5" s="93">
        <f t="shared" ref="BB5:BB11" si="1">SUMIF($D$4:$AY$4,BB$2,$D5:$AY5)</f>
        <v>521974.72000000003</v>
      </c>
      <c r="BC5" s="92"/>
      <c r="BD5" s="94">
        <f t="shared" ref="BD5:BD11" si="2">SUMIF($D$2:$AY$2,$BD$2,$D5:$AY5)</f>
        <v>521974.72000000003</v>
      </c>
    </row>
    <row r="6" spans="1:56" ht="12.75" customHeight="1">
      <c r="A6" s="89" t="s">
        <v>138</v>
      </c>
      <c r="C6" s="61"/>
      <c r="D6" s="90">
        <v>0</v>
      </c>
      <c r="E6" s="91"/>
      <c r="F6" s="91"/>
      <c r="G6" s="92"/>
      <c r="H6" s="90">
        <v>0</v>
      </c>
      <c r="I6" s="91"/>
      <c r="J6" s="91"/>
      <c r="K6" s="92"/>
      <c r="L6" s="90">
        <v>0</v>
      </c>
      <c r="M6" s="91"/>
      <c r="N6" s="91"/>
      <c r="O6" s="92"/>
      <c r="P6" s="90">
        <v>10310.379999999999</v>
      </c>
      <c r="Q6" s="91" t="s">
        <v>317</v>
      </c>
      <c r="R6" s="91"/>
      <c r="S6" s="92"/>
      <c r="T6" s="90">
        <v>485.43</v>
      </c>
      <c r="U6" s="91" t="s">
        <v>317</v>
      </c>
      <c r="V6" s="91"/>
      <c r="W6" s="92"/>
      <c r="X6" s="90">
        <v>1287.8800000000001</v>
      </c>
      <c r="Y6" s="91" t="s">
        <v>317</v>
      </c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12083.689999999999</v>
      </c>
      <c r="BC6" s="92"/>
      <c r="BD6" s="94">
        <f t="shared" si="2"/>
        <v>12083.689999999999</v>
      </c>
    </row>
    <row r="7" spans="1:56" ht="12.75" customHeight="1">
      <c r="A7" s="89" t="s">
        <v>143</v>
      </c>
      <c r="B7" s="99">
        <v>12500</v>
      </c>
      <c r="C7" s="61"/>
      <c r="D7" s="100">
        <f>'PS Model 2016 Q2'!ColinSalary</f>
        <v>12500</v>
      </c>
      <c r="E7" s="91"/>
      <c r="F7" s="91"/>
      <c r="G7" s="92"/>
      <c r="H7" s="100">
        <f>'PS Model 2016 Q2'!ColinSalary</f>
        <v>12500</v>
      </c>
      <c r="I7" s="91"/>
      <c r="J7" s="91"/>
      <c r="K7" s="92"/>
      <c r="L7" s="100">
        <f>'PS Model 2016 Q2'!ColinSalary</f>
        <v>12500</v>
      </c>
      <c r="M7" s="91"/>
      <c r="N7" s="91"/>
      <c r="O7" s="92"/>
      <c r="P7" s="100">
        <f>'PS Model 2016 Q2'!ColinSalary</f>
        <v>12500</v>
      </c>
      <c r="Q7" s="91"/>
      <c r="R7" s="91"/>
      <c r="S7" s="92"/>
      <c r="T7" s="100">
        <f>'PS Model 2016 Q2'!ColinSalary</f>
        <v>12500</v>
      </c>
      <c r="U7" s="91"/>
      <c r="V7" s="91"/>
      <c r="W7" s="92"/>
      <c r="X7" s="100">
        <f>'PS Model 2016 Q2'!ColinSalary</f>
        <v>12500</v>
      </c>
      <c r="Y7" s="91"/>
      <c r="Z7" s="91"/>
      <c r="AA7" s="92"/>
      <c r="AB7" s="100">
        <f>'PS Model 2016 Q2'!ColinSalary</f>
        <v>12500</v>
      </c>
      <c r="AC7" s="91"/>
      <c r="AD7" s="91"/>
      <c r="AE7" s="92"/>
      <c r="AF7" s="100">
        <f>'PS Model 2016 Q2'!ColinSalary</f>
        <v>12500</v>
      </c>
      <c r="AG7" s="91"/>
      <c r="AH7" s="91"/>
      <c r="AI7" s="92"/>
      <c r="AJ7" s="100">
        <f>'PS Model 2016 Q2'!ColinSalary</f>
        <v>12500</v>
      </c>
      <c r="AK7" s="91"/>
      <c r="AL7" s="91"/>
      <c r="AM7" s="92"/>
      <c r="AN7" s="100">
        <f>'PS Model 2016 Q2'!ColinSalary</f>
        <v>12500</v>
      </c>
      <c r="AO7" s="91"/>
      <c r="AP7" s="91"/>
      <c r="AQ7" s="92"/>
      <c r="AR7" s="100">
        <f>'PS Model 2016 Q2'!ColinSalary</f>
        <v>12500</v>
      </c>
      <c r="AS7" s="91"/>
      <c r="AT7" s="91"/>
      <c r="AU7" s="92"/>
      <c r="AV7" s="100">
        <f>'PS Model 2016 Q2'!ColinSalary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</row>
    <row r="8" spans="1:56" ht="12.75" customHeight="1">
      <c r="A8" s="89" t="s">
        <v>145</v>
      </c>
      <c r="B8" s="101"/>
      <c r="C8" s="102"/>
      <c r="D8" s="104">
        <f>SUM(F14:F18)</f>
        <v>3436.08</v>
      </c>
      <c r="E8" s="91"/>
      <c r="F8" s="91"/>
      <c r="G8" s="92"/>
      <c r="H8" s="104">
        <f>SUM(J14:J18)</f>
        <v>2196.2800000000002</v>
      </c>
      <c r="I8" s="91"/>
      <c r="J8" s="91"/>
      <c r="K8" s="92"/>
      <c r="L8" s="104">
        <f>SUM(N14:N18)</f>
        <v>1187.95</v>
      </c>
      <c r="M8" s="91"/>
      <c r="N8" s="91"/>
      <c r="O8" s="92"/>
      <c r="P8" s="104">
        <f>SUM(R14:R18)</f>
        <v>4451.3599999999997</v>
      </c>
      <c r="Q8" s="91"/>
      <c r="R8" s="91"/>
      <c r="S8" s="92"/>
      <c r="T8" s="104">
        <f>SUM(V14:V18)</f>
        <v>2020.72</v>
      </c>
      <c r="U8" s="91"/>
      <c r="V8" s="91"/>
      <c r="W8" s="92"/>
      <c r="X8" s="104">
        <f>SUM(Z14:Z18)</f>
        <v>5065.9799999999996</v>
      </c>
      <c r="Y8" s="91"/>
      <c r="Z8" s="91"/>
      <c r="AA8" s="92"/>
      <c r="AB8" s="104">
        <f>SUM(AD14:AD18)</f>
        <v>0</v>
      </c>
      <c r="AC8" s="91"/>
      <c r="AD8" s="91"/>
      <c r="AE8" s="92"/>
      <c r="AF8" s="104">
        <f>SUM(AH14:AH18)</f>
        <v>0</v>
      </c>
      <c r="AG8" s="91"/>
      <c r="AH8" s="91"/>
      <c r="AI8" s="92"/>
      <c r="AJ8" s="104">
        <f>SUM(AL14:AL18)</f>
        <v>0</v>
      </c>
      <c r="AK8" s="91"/>
      <c r="AL8" s="91"/>
      <c r="AM8" s="92"/>
      <c r="AN8" s="104">
        <f>SUM(AP14:AP18)</f>
        <v>0</v>
      </c>
      <c r="AO8" s="91"/>
      <c r="AP8" s="91"/>
      <c r="AQ8" s="92"/>
      <c r="AR8" s="104">
        <f>SUM(AT14:AT18)</f>
        <v>0</v>
      </c>
      <c r="AS8" s="91"/>
      <c r="AT8" s="91"/>
      <c r="AU8" s="92"/>
      <c r="AV8" s="104">
        <f>SUM(AX14:AX18)</f>
        <v>0</v>
      </c>
      <c r="AW8" s="91"/>
      <c r="AX8" s="91"/>
      <c r="AY8" s="92"/>
      <c r="AZ8" s="93">
        <f t="shared" si="0"/>
        <v>6820.31</v>
      </c>
      <c r="BA8" s="92"/>
      <c r="BB8" s="93">
        <f t="shared" si="1"/>
        <v>18358.37</v>
      </c>
      <c r="BC8" s="92"/>
      <c r="BD8" s="94">
        <f t="shared" si="2"/>
        <v>18358.37</v>
      </c>
    </row>
    <row r="9" spans="1:56" ht="12.75" customHeight="1">
      <c r="A9" s="89" t="s">
        <v>146</v>
      </c>
      <c r="C9" s="61"/>
      <c r="D9" s="104">
        <f>D5-D6-D7+D8</f>
        <v>64334.559999999998</v>
      </c>
      <c r="E9" s="91"/>
      <c r="F9" s="91"/>
      <c r="G9" s="92"/>
      <c r="H9" s="104">
        <f>H5-H6-H7+H8</f>
        <v>67862.19</v>
      </c>
      <c r="I9" s="91"/>
      <c r="J9" s="91"/>
      <c r="K9" s="92"/>
      <c r="L9" s="104">
        <f>L5-L6-L7+L8</f>
        <v>89729.59</v>
      </c>
      <c r="M9" s="91"/>
      <c r="N9" s="91"/>
      <c r="O9" s="92"/>
      <c r="P9" s="104">
        <f>P5-P6-P7+P8+800</f>
        <v>84368.43</v>
      </c>
      <c r="Q9" s="91" t="s">
        <v>318</v>
      </c>
      <c r="R9" s="91"/>
      <c r="S9" s="92"/>
      <c r="T9" s="104">
        <f>T5-T6-T7+T8</f>
        <v>66932.740000000005</v>
      </c>
      <c r="U9" s="91"/>
      <c r="V9" s="91"/>
      <c r="W9" s="92"/>
      <c r="X9" s="104">
        <f>X5-X6-X7+X8</f>
        <v>80821.889999999985</v>
      </c>
      <c r="Y9" s="91"/>
      <c r="Z9" s="91"/>
      <c r="AA9" s="92"/>
      <c r="AB9" s="104">
        <f>AB5-AB6-AB7+AB8</f>
        <v>-12500</v>
      </c>
      <c r="AC9" s="91"/>
      <c r="AD9" s="91"/>
      <c r="AE9" s="92"/>
      <c r="AF9" s="104">
        <f>AF5-AF6-AF7+AF8</f>
        <v>-12500</v>
      </c>
      <c r="AG9" s="91"/>
      <c r="AH9" s="91"/>
      <c r="AI9" s="92"/>
      <c r="AJ9" s="104">
        <f>AJ5-AJ6-AJ7+AJ8</f>
        <v>-12500</v>
      </c>
      <c r="AK9" s="91"/>
      <c r="AL9" s="91"/>
      <c r="AM9" s="92"/>
      <c r="AN9" s="104">
        <f>AN5-AN6-AN7+AN8</f>
        <v>-12500</v>
      </c>
      <c r="AO9" s="91"/>
      <c r="AP9" s="91"/>
      <c r="AQ9" s="92"/>
      <c r="AR9" s="104">
        <f>AR5-AR6-AR7+AR8</f>
        <v>-12500</v>
      </c>
      <c r="AS9" s="91"/>
      <c r="AT9" s="91"/>
      <c r="AU9" s="92"/>
      <c r="AV9" s="104">
        <f>AV5-AV6-AV7+AV8</f>
        <v>-12500</v>
      </c>
      <c r="AW9" s="91"/>
      <c r="AX9" s="91"/>
      <c r="AY9" s="92"/>
      <c r="AZ9" s="93">
        <f t="shared" si="0"/>
        <v>221926.34</v>
      </c>
      <c r="BA9" s="92"/>
      <c r="BB9" s="93">
        <f t="shared" si="1"/>
        <v>454049.4</v>
      </c>
      <c r="BC9" s="92"/>
      <c r="BD9" s="94">
        <f t="shared" si="2"/>
        <v>379049.4</v>
      </c>
    </row>
    <row r="10" spans="1:56" ht="12.75" customHeight="1">
      <c r="A10" s="89" t="s">
        <v>147</v>
      </c>
      <c r="C10" s="61"/>
      <c r="D10" s="90">
        <f>32500+15000+7000+402.95</f>
        <v>54902.95</v>
      </c>
      <c r="E10" s="91"/>
      <c r="F10" s="91"/>
      <c r="G10" s="92"/>
      <c r="H10" s="90">
        <v>50000</v>
      </c>
      <c r="I10" s="91"/>
      <c r="J10" s="91"/>
      <c r="K10" s="92"/>
      <c r="L10" s="90">
        <v>0</v>
      </c>
      <c r="M10" s="91"/>
      <c r="N10" s="91"/>
      <c r="O10" s="92"/>
      <c r="P10" s="90">
        <f>12500+25000+15000+10000</f>
        <v>62500</v>
      </c>
      <c r="Q10" s="91"/>
      <c r="R10" s="91"/>
      <c r="S10" s="92"/>
      <c r="T10" s="90">
        <v>12500</v>
      </c>
      <c r="U10" s="91"/>
      <c r="V10" s="91"/>
      <c r="W10" s="92"/>
      <c r="X10" s="90">
        <f>12500+18000+15000+60000</f>
        <v>105500</v>
      </c>
      <c r="Y10" s="91"/>
      <c r="Z10" s="91"/>
      <c r="AA10" s="92"/>
      <c r="AB10" s="90"/>
      <c r="AC10" s="91"/>
      <c r="AD10" s="91"/>
      <c r="AE10" s="92"/>
      <c r="AF10" s="90"/>
      <c r="AG10" s="91"/>
      <c r="AH10" s="91"/>
      <c r="AI10" s="92"/>
      <c r="AJ10" s="90"/>
      <c r="AK10" s="91"/>
      <c r="AL10" s="91"/>
      <c r="AM10" s="92"/>
      <c r="AN10" s="90"/>
      <c r="AO10" s="91"/>
      <c r="AP10" s="91"/>
      <c r="AQ10" s="92"/>
      <c r="AR10" s="90"/>
      <c r="AS10" s="91"/>
      <c r="AT10" s="91"/>
      <c r="AU10" s="92"/>
      <c r="AV10" s="90"/>
      <c r="AW10" s="91"/>
      <c r="AX10" s="91"/>
      <c r="AY10" s="92"/>
      <c r="AZ10" s="93">
        <f t="shared" si="0"/>
        <v>104902.95</v>
      </c>
      <c r="BA10" s="92"/>
      <c r="BB10" s="93">
        <f t="shared" si="1"/>
        <v>285402.95</v>
      </c>
      <c r="BC10" s="92"/>
      <c r="BD10" s="94">
        <f t="shared" si="2"/>
        <v>285402.95</v>
      </c>
    </row>
    <row r="11" spans="1:56" ht="12.75" customHeight="1">
      <c r="A11" s="5" t="s">
        <v>151</v>
      </c>
      <c r="C11" s="61"/>
      <c r="D11" s="100">
        <f>D10-D7</f>
        <v>42402.95</v>
      </c>
      <c r="E11" s="91"/>
      <c r="F11" s="91"/>
      <c r="G11" s="92"/>
      <c r="H11" s="100">
        <f>H10-H7</f>
        <v>37500</v>
      </c>
      <c r="I11" s="91"/>
      <c r="J11" s="91"/>
      <c r="K11" s="92"/>
      <c r="L11" s="100">
        <f>L10-L7</f>
        <v>-12500</v>
      </c>
      <c r="M11" s="91"/>
      <c r="N11" s="91"/>
      <c r="O11" s="92"/>
      <c r="P11" s="100">
        <f>P10-P7</f>
        <v>50000</v>
      </c>
      <c r="Q11" s="91"/>
      <c r="R11" s="91"/>
      <c r="S11" s="92"/>
      <c r="T11" s="100">
        <f>T10-T7</f>
        <v>0</v>
      </c>
      <c r="U11" s="91"/>
      <c r="V11" s="91"/>
      <c r="W11" s="92"/>
      <c r="X11" s="100">
        <f>X10-X7</f>
        <v>93000</v>
      </c>
      <c r="Y11" s="91"/>
      <c r="Z11" s="91"/>
      <c r="AA11" s="92"/>
      <c r="AB11" s="100">
        <f>AB10-AB7</f>
        <v>-12500</v>
      </c>
      <c r="AC11" s="91"/>
      <c r="AD11" s="91"/>
      <c r="AE11" s="92"/>
      <c r="AF11" s="100">
        <f>AF10-AF7</f>
        <v>-12500</v>
      </c>
      <c r="AG11" s="91"/>
      <c r="AH11" s="91"/>
      <c r="AI11" s="92"/>
      <c r="AJ11" s="100">
        <f>AJ10-AJ7</f>
        <v>-12500</v>
      </c>
      <c r="AK11" s="91"/>
      <c r="AL11" s="91"/>
      <c r="AM11" s="92"/>
      <c r="AN11" s="100">
        <f>AN10-AN7</f>
        <v>-12500</v>
      </c>
      <c r="AO11" s="91"/>
      <c r="AP11" s="91"/>
      <c r="AQ11" s="92"/>
      <c r="AR11" s="100">
        <f>AR10-AR7</f>
        <v>-12500</v>
      </c>
      <c r="AS11" s="91"/>
      <c r="AT11" s="91"/>
      <c r="AU11" s="92"/>
      <c r="AV11" s="100">
        <f>AV10-AV7</f>
        <v>-12500</v>
      </c>
      <c r="AW11" s="91"/>
      <c r="AX11" s="91"/>
      <c r="AY11" s="92"/>
      <c r="AZ11" s="93">
        <f t="shared" si="0"/>
        <v>67402.95</v>
      </c>
      <c r="BA11" s="92"/>
      <c r="BB11" s="93">
        <f t="shared" si="1"/>
        <v>210402.95</v>
      </c>
      <c r="BC11" s="92"/>
      <c r="BD11" s="94">
        <f t="shared" si="2"/>
        <v>135402.95000000001</v>
      </c>
    </row>
    <row r="12" spans="1:56" ht="12.75" customHeight="1">
      <c r="A12" s="5"/>
      <c r="C12" s="61"/>
      <c r="D12" s="100"/>
      <c r="E12" s="91"/>
      <c r="F12" s="91"/>
      <c r="G12" s="92"/>
      <c r="H12" s="100"/>
      <c r="I12" s="91"/>
      <c r="J12" s="91"/>
      <c r="K12" s="92"/>
      <c r="L12" s="100"/>
      <c r="M12" s="91"/>
      <c r="N12" s="91"/>
      <c r="O12" s="92"/>
      <c r="P12" s="100"/>
      <c r="Q12" s="91"/>
      <c r="R12" s="91"/>
      <c r="S12" s="92"/>
      <c r="T12" s="100"/>
      <c r="U12" s="91"/>
      <c r="V12" s="91"/>
      <c r="W12" s="92"/>
      <c r="X12" s="100"/>
      <c r="Y12" s="91"/>
      <c r="Z12" s="91"/>
      <c r="AA12" s="92"/>
      <c r="AB12" s="100"/>
      <c r="AC12" s="91"/>
      <c r="AD12" s="91"/>
      <c r="AE12" s="92"/>
      <c r="AF12" s="100"/>
      <c r="AG12" s="91"/>
      <c r="AH12" s="91"/>
      <c r="AI12" s="92"/>
      <c r="AJ12" s="100"/>
      <c r="AK12" s="91"/>
      <c r="AL12" s="91"/>
      <c r="AM12" s="92"/>
      <c r="AN12" s="100"/>
      <c r="AO12" s="91"/>
      <c r="AP12" s="91"/>
      <c r="AQ12" s="92"/>
      <c r="AR12" s="100"/>
      <c r="AS12" s="91"/>
      <c r="AT12" s="91"/>
      <c r="AU12" s="92"/>
      <c r="AV12" s="100"/>
      <c r="AW12" s="91"/>
      <c r="AX12" s="91"/>
      <c r="AY12" s="92"/>
      <c r="AZ12" s="100"/>
      <c r="BA12" s="92"/>
      <c r="BB12" s="100"/>
      <c r="BC12" s="92"/>
      <c r="BD12" s="91"/>
    </row>
    <row r="13" spans="1:56" ht="12.75" customHeight="1">
      <c r="A13" s="5"/>
      <c r="B13" s="5"/>
      <c r="C13" s="5"/>
      <c r="D13" s="117" t="s">
        <v>152</v>
      </c>
      <c r="E13" s="118" t="s">
        <v>153</v>
      </c>
      <c r="F13" s="118" t="s">
        <v>154</v>
      </c>
      <c r="G13" s="118" t="s">
        <v>155</v>
      </c>
      <c r="H13" s="117" t="s">
        <v>152</v>
      </c>
      <c r="I13" s="118" t="s">
        <v>153</v>
      </c>
      <c r="J13" s="118" t="s">
        <v>154</v>
      </c>
      <c r="K13" s="118" t="s">
        <v>155</v>
      </c>
      <c r="L13" s="117" t="s">
        <v>152</v>
      </c>
      <c r="M13" s="118" t="s">
        <v>153</v>
      </c>
      <c r="N13" s="118" t="s">
        <v>154</v>
      </c>
      <c r="O13" s="118" t="s">
        <v>155</v>
      </c>
      <c r="P13" s="117" t="s">
        <v>152</v>
      </c>
      <c r="Q13" s="118" t="s">
        <v>153</v>
      </c>
      <c r="R13" s="118" t="s">
        <v>154</v>
      </c>
      <c r="S13" s="118" t="s">
        <v>155</v>
      </c>
      <c r="T13" s="117" t="s">
        <v>152</v>
      </c>
      <c r="U13" s="118" t="s">
        <v>153</v>
      </c>
      <c r="V13" s="118" t="s">
        <v>154</v>
      </c>
      <c r="W13" s="118" t="s">
        <v>155</v>
      </c>
      <c r="X13" s="117" t="s">
        <v>152</v>
      </c>
      <c r="Y13" s="118" t="s">
        <v>153</v>
      </c>
      <c r="Z13" s="118" t="s">
        <v>154</v>
      </c>
      <c r="AA13" s="118" t="s">
        <v>155</v>
      </c>
      <c r="AB13" s="117" t="s">
        <v>152</v>
      </c>
      <c r="AC13" s="118" t="s">
        <v>153</v>
      </c>
      <c r="AD13" s="118" t="s">
        <v>154</v>
      </c>
      <c r="AE13" s="118" t="s">
        <v>155</v>
      </c>
      <c r="AF13" s="117" t="s">
        <v>152</v>
      </c>
      <c r="AG13" s="118" t="s">
        <v>153</v>
      </c>
      <c r="AH13" s="118" t="s">
        <v>154</v>
      </c>
      <c r="AI13" s="118" t="s">
        <v>155</v>
      </c>
      <c r="AJ13" s="117" t="s">
        <v>152</v>
      </c>
      <c r="AK13" s="118" t="s">
        <v>153</v>
      </c>
      <c r="AL13" s="118" t="s">
        <v>154</v>
      </c>
      <c r="AM13" s="118" t="s">
        <v>155</v>
      </c>
      <c r="AN13" s="117" t="s">
        <v>152</v>
      </c>
      <c r="AO13" s="118" t="s">
        <v>153</v>
      </c>
      <c r="AP13" s="118" t="s">
        <v>154</v>
      </c>
      <c r="AQ13" s="118" t="s">
        <v>155</v>
      </c>
      <c r="AR13" s="117" t="s">
        <v>152</v>
      </c>
      <c r="AS13" s="118" t="s">
        <v>153</v>
      </c>
      <c r="AT13" s="118" t="s">
        <v>154</v>
      </c>
      <c r="AU13" s="118" t="s">
        <v>155</v>
      </c>
      <c r="AV13" s="117" t="s">
        <v>152</v>
      </c>
      <c r="AW13" s="118" t="s">
        <v>153</v>
      </c>
      <c r="AX13" s="118" t="s">
        <v>154</v>
      </c>
      <c r="AY13" s="118" t="s">
        <v>155</v>
      </c>
      <c r="AZ13" s="100"/>
      <c r="BA13" s="92"/>
      <c r="BB13" s="100"/>
      <c r="BC13" s="92"/>
      <c r="BD13" s="91"/>
    </row>
    <row r="14" spans="1:56" ht="12.75" customHeight="1">
      <c r="A14" s="89" t="s">
        <v>83</v>
      </c>
      <c r="B14" s="265"/>
      <c r="C14" s="121">
        <f>'Revised PS Model 2015'!BB20</f>
        <v>426752.66261627898</v>
      </c>
      <c r="D14" s="53">
        <v>300</v>
      </c>
      <c r="E14" s="123">
        <f t="shared" ref="E14:E18" si="3">D$9*D14/D$19</f>
        <v>44884.576744186044</v>
      </c>
      <c r="F14" s="124">
        <v>3436.08</v>
      </c>
      <c r="G14" s="123">
        <f t="shared" ref="G14:G18" si="4">E14-F14</f>
        <v>41448.496744186043</v>
      </c>
      <c r="H14" s="214">
        <v>300</v>
      </c>
      <c r="I14" s="123">
        <f t="shared" ref="I14:I18" si="5">H$9*H14/H$19</f>
        <v>47345.713953488375</v>
      </c>
      <c r="J14" s="124">
        <v>2196.2800000000002</v>
      </c>
      <c r="K14" s="123">
        <f t="shared" ref="K14:K18" si="6">I14-J14</f>
        <v>45149.433953488377</v>
      </c>
      <c r="L14" s="214">
        <v>300</v>
      </c>
      <c r="M14" s="123">
        <f t="shared" ref="M14:M18" si="7">L$9*L14/L$19</f>
        <v>62602.039534883719</v>
      </c>
      <c r="N14" s="124">
        <v>1187.95</v>
      </c>
      <c r="O14" s="123">
        <f t="shared" ref="O14:O18" si="8">M14-N14</f>
        <v>61414.089534883722</v>
      </c>
      <c r="P14" s="214">
        <v>300</v>
      </c>
      <c r="Q14" s="123">
        <f t="shared" ref="Q14:Q18" si="9">P$9*P14/P$19</f>
        <v>60263.16428571428</v>
      </c>
      <c r="R14" s="124">
        <v>4451.3599999999997</v>
      </c>
      <c r="S14" s="123">
        <f t="shared" ref="S14:S18" si="10">Q14-R14</f>
        <v>55811.804285714279</v>
      </c>
      <c r="T14" s="214">
        <v>300</v>
      </c>
      <c r="U14" s="123">
        <f t="shared" ref="U14:U18" si="11">T$9*T14/T$19</f>
        <v>47809.1</v>
      </c>
      <c r="V14" s="124">
        <v>2020.72</v>
      </c>
      <c r="W14" s="123">
        <f t="shared" ref="W14:W18" si="12">U14-V14</f>
        <v>45788.38</v>
      </c>
      <c r="X14" s="214">
        <v>300</v>
      </c>
      <c r="Y14" s="123">
        <f t="shared" ref="Y14:Y18" si="13">X$9*X14/X$19</f>
        <v>57729.921428571419</v>
      </c>
      <c r="Z14" s="124">
        <v>5065.9799999999996</v>
      </c>
      <c r="AA14" s="123">
        <f t="shared" ref="AA14:AA18" si="14">Y14-Z14</f>
        <v>52663.941428571416</v>
      </c>
      <c r="AB14" s="214">
        <v>300</v>
      </c>
      <c r="AC14" s="123">
        <f t="shared" ref="AC14:AC18" si="15">AB$9*AB14/AB$19</f>
        <v>-8928.5714285714294</v>
      </c>
      <c r="AD14" s="124"/>
      <c r="AE14" s="123">
        <f t="shared" ref="AE14:AE18" si="16">AC14-AD14</f>
        <v>-8928.5714285714294</v>
      </c>
      <c r="AF14" s="214">
        <v>300</v>
      </c>
      <c r="AG14" s="123">
        <f t="shared" ref="AG14:AG18" si="17">AF$9*AF14/AF$19</f>
        <v>-8928.5714285714294</v>
      </c>
      <c r="AH14" s="124"/>
      <c r="AI14" s="123">
        <f t="shared" ref="AI14:AI18" si="18">AG14-AH14</f>
        <v>-8928.5714285714294</v>
      </c>
      <c r="AJ14" s="214">
        <v>300</v>
      </c>
      <c r="AK14" s="123">
        <f t="shared" ref="AK14:AK18" si="19">AJ$9*AJ14/AJ$19</f>
        <v>-8928.5714285714294</v>
      </c>
      <c r="AL14" s="124"/>
      <c r="AM14" s="123">
        <f t="shared" ref="AM14:AM18" si="20">AK14-AL14</f>
        <v>-8928.5714285714294</v>
      </c>
      <c r="AN14" s="214">
        <v>300</v>
      </c>
      <c r="AO14" s="123">
        <f t="shared" ref="AO14:AO18" si="21">AN$9*AN14/AN$19</f>
        <v>-8928.5714285714294</v>
      </c>
      <c r="AP14" s="124"/>
      <c r="AQ14" s="123">
        <f t="shared" ref="AQ14:AQ18" si="22">AO14-AP14</f>
        <v>-8928.5714285714294</v>
      </c>
      <c r="AR14" s="214">
        <v>300</v>
      </c>
      <c r="AS14" s="123">
        <f t="shared" ref="AS14:AS18" si="23">AR$9*AR14/AR$19</f>
        <v>-8928.5714285714294</v>
      </c>
      <c r="AT14" s="124"/>
      <c r="AU14" s="123">
        <f t="shared" ref="AU14:AU18" si="24">AS14-AT14</f>
        <v>-8928.5714285714294</v>
      </c>
      <c r="AV14" s="214">
        <v>300</v>
      </c>
      <c r="AW14" s="123">
        <f t="shared" ref="AW14:AW18" si="25">AV$9*AV14/AV$19</f>
        <v>-8928.5714285714294</v>
      </c>
      <c r="AX14" s="124"/>
      <c r="AY14" s="126">
        <f t="shared" ref="AY14:AY18" si="26">AW14-AX14</f>
        <v>-8928.5714285714294</v>
      </c>
      <c r="AZ14" s="127">
        <f t="shared" ref="AZ14:AZ18" si="27">IF($AV$3="1Q",AY14,0)+IF($AR$3="1Q",AU14,0)+IF($AN$3="1Q",AQ14,0)+IF($AJ$3="1Q",AM14,0)+IF($AF$3="1Q",AI14,0)+IF($AB$3="1Q",AE14,0)+IF($X$3="1Q",AA14,0)+IF($T$3="1Q",W14,0)+IF($P$3="1Q",S14,0)+IF($L$3="1Q",O14,0)+IF($H$3="1Q",K14,0)+IF($D$3="1Q",G14,0)</f>
        <v>148012.02023255813</v>
      </c>
      <c r="BA14" s="128">
        <f>AZ14-AZ11+$C14</f>
        <v>507361.7328488371</v>
      </c>
      <c r="BB14" s="127">
        <f t="shared" ref="BB14:BB18" si="28">IF($AV$4="1H",AY14,0)+IF($AR$4="1H",AU14,0)+IF($AN$4="1H",AQ14,0)+IF($AJ$4="1H",AM14,0)+IF($AF$4="1H",AI14,0)+IF($AB$4="1H",AE14,0)+IF($X$4="1H",AA14,0)+IF($T$4="1H",W14,0)+IF($P$4="1H",S14,0)+IF($L$4="1H",O14,0)+IF($H$4="1H",K14,0)+IF($D$4="1H",G14,0)</f>
        <v>302276.14594684384</v>
      </c>
      <c r="BC14" s="128">
        <f>BB14-BB11+$C14</f>
        <v>518625.85856312281</v>
      </c>
      <c r="BD14" s="127">
        <f>AY14+AU14+AQ14+AM14+AI14+AE14+AA14+W14+S14+O14+K14+G14-BD11</f>
        <v>113301.76737541525</v>
      </c>
    </row>
    <row r="15" spans="1:56" ht="12.75" customHeight="1">
      <c r="A15" s="89" t="s">
        <v>209</v>
      </c>
      <c r="B15" s="265"/>
      <c r="C15" s="121">
        <f>'Revised PS Model 2015'!BB21</f>
        <v>-861.51662790702903</v>
      </c>
      <c r="D15" s="53">
        <v>100</v>
      </c>
      <c r="E15" s="123">
        <f t="shared" si="3"/>
        <v>14961.525581395348</v>
      </c>
      <c r="F15" s="124"/>
      <c r="G15" s="123">
        <f t="shared" si="4"/>
        <v>14961.525581395348</v>
      </c>
      <c r="H15" s="214">
        <v>100</v>
      </c>
      <c r="I15" s="123">
        <f t="shared" si="5"/>
        <v>15781.904651162791</v>
      </c>
      <c r="J15" s="124"/>
      <c r="K15" s="123">
        <f t="shared" si="6"/>
        <v>15781.904651162791</v>
      </c>
      <c r="L15" s="214">
        <v>100</v>
      </c>
      <c r="M15" s="123">
        <f t="shared" si="7"/>
        <v>20867.346511627908</v>
      </c>
      <c r="N15" s="124"/>
      <c r="O15" s="123">
        <f t="shared" si="8"/>
        <v>20867.346511627908</v>
      </c>
      <c r="P15" s="214">
        <v>100</v>
      </c>
      <c r="Q15" s="123">
        <f t="shared" si="9"/>
        <v>20087.721428571429</v>
      </c>
      <c r="R15" s="124"/>
      <c r="S15" s="123">
        <f t="shared" si="10"/>
        <v>20087.721428571429</v>
      </c>
      <c r="T15" s="214">
        <v>100</v>
      </c>
      <c r="U15" s="123">
        <f t="shared" si="11"/>
        <v>15936.366666666669</v>
      </c>
      <c r="V15" s="124"/>
      <c r="W15" s="123">
        <f t="shared" si="12"/>
        <v>15936.366666666669</v>
      </c>
      <c r="X15" s="214">
        <v>100</v>
      </c>
      <c r="Y15" s="123">
        <f t="shared" si="13"/>
        <v>19243.307142857138</v>
      </c>
      <c r="Z15" s="124"/>
      <c r="AA15" s="123">
        <f t="shared" si="14"/>
        <v>19243.307142857138</v>
      </c>
      <c r="AB15" s="214">
        <v>100</v>
      </c>
      <c r="AC15" s="123">
        <f t="shared" si="15"/>
        <v>-2976.1904761904761</v>
      </c>
      <c r="AD15" s="124"/>
      <c r="AE15" s="123">
        <f t="shared" si="16"/>
        <v>-2976.1904761904761</v>
      </c>
      <c r="AF15" s="214">
        <v>100</v>
      </c>
      <c r="AG15" s="123">
        <f t="shared" si="17"/>
        <v>-2976.1904761904761</v>
      </c>
      <c r="AH15" s="124"/>
      <c r="AI15" s="123">
        <f t="shared" si="18"/>
        <v>-2976.1904761904761</v>
      </c>
      <c r="AJ15" s="214">
        <v>100</v>
      </c>
      <c r="AK15" s="123">
        <f t="shared" si="19"/>
        <v>-2976.1904761904761</v>
      </c>
      <c r="AL15" s="124"/>
      <c r="AM15" s="123">
        <f t="shared" si="20"/>
        <v>-2976.1904761904761</v>
      </c>
      <c r="AN15" s="214">
        <v>100</v>
      </c>
      <c r="AO15" s="123">
        <f t="shared" si="21"/>
        <v>-2976.1904761904761</v>
      </c>
      <c r="AP15" s="124"/>
      <c r="AQ15" s="123">
        <f t="shared" si="22"/>
        <v>-2976.1904761904761</v>
      </c>
      <c r="AR15" s="214">
        <v>100</v>
      </c>
      <c r="AS15" s="123">
        <f t="shared" si="23"/>
        <v>-2976.1904761904761</v>
      </c>
      <c r="AT15" s="124"/>
      <c r="AU15" s="123">
        <f t="shared" si="24"/>
        <v>-2976.1904761904761</v>
      </c>
      <c r="AV15" s="214">
        <v>100</v>
      </c>
      <c r="AW15" s="123">
        <f t="shared" si="25"/>
        <v>-2976.1904761904761</v>
      </c>
      <c r="AX15" s="124"/>
      <c r="AY15" s="126">
        <f t="shared" si="26"/>
        <v>-2976.1904761904761</v>
      </c>
      <c r="AZ15" s="127">
        <f t="shared" si="27"/>
        <v>51610.776744186049</v>
      </c>
      <c r="BA15" s="128">
        <f>AZ15+$C15</f>
        <v>50749.260116279023</v>
      </c>
      <c r="BB15" s="127">
        <f t="shared" si="28"/>
        <v>106878.17198228129</v>
      </c>
      <c r="BC15" s="128">
        <f>BB15+$C15</f>
        <v>106016.65535437426</v>
      </c>
      <c r="BD15" s="127">
        <f t="shared" ref="BD15:BD18" si="29">AY15+AU15+AQ15+AM15+AI15+AE15+AA15+W15+S15+O15+K15+G15</f>
        <v>89021.029125138419</v>
      </c>
    </row>
    <row r="16" spans="1:56" ht="12.75" customHeight="1">
      <c r="A16" s="89" t="s">
        <v>319</v>
      </c>
      <c r="B16" s="265"/>
      <c r="C16" s="121">
        <f>'Revised PS Model 2015'!BB22</f>
        <v>-81.091162790697354</v>
      </c>
      <c r="D16" s="53">
        <v>10</v>
      </c>
      <c r="E16" s="123">
        <f t="shared" si="3"/>
        <v>1496.1525581395349</v>
      </c>
      <c r="F16" s="124"/>
      <c r="G16" s="123">
        <f t="shared" si="4"/>
        <v>1496.1525581395349</v>
      </c>
      <c r="H16" s="53">
        <v>10</v>
      </c>
      <c r="I16" s="123">
        <f t="shared" si="5"/>
        <v>1578.190465116279</v>
      </c>
      <c r="J16" s="124"/>
      <c r="K16" s="123">
        <f t="shared" si="6"/>
        <v>1578.190465116279</v>
      </c>
      <c r="L16" s="53">
        <v>10</v>
      </c>
      <c r="M16" s="123">
        <f t="shared" si="7"/>
        <v>2086.7346511627907</v>
      </c>
      <c r="N16" s="124"/>
      <c r="O16" s="123">
        <f t="shared" si="8"/>
        <v>2086.7346511627907</v>
      </c>
      <c r="P16" s="214">
        <v>0</v>
      </c>
      <c r="Q16" s="123">
        <f t="shared" si="9"/>
        <v>0</v>
      </c>
      <c r="R16" s="124"/>
      <c r="S16" s="123">
        <f t="shared" si="10"/>
        <v>0</v>
      </c>
      <c r="T16" s="214">
        <v>0</v>
      </c>
      <c r="U16" s="123">
        <f t="shared" si="11"/>
        <v>0</v>
      </c>
      <c r="V16" s="124"/>
      <c r="W16" s="123">
        <f t="shared" si="12"/>
        <v>0</v>
      </c>
      <c r="X16" s="214">
        <v>0</v>
      </c>
      <c r="Y16" s="123">
        <f t="shared" si="13"/>
        <v>0</v>
      </c>
      <c r="Z16" s="124"/>
      <c r="AA16" s="123">
        <f t="shared" si="14"/>
        <v>0</v>
      </c>
      <c r="AB16" s="214">
        <v>0</v>
      </c>
      <c r="AC16" s="123">
        <f t="shared" si="15"/>
        <v>0</v>
      </c>
      <c r="AD16" s="124"/>
      <c r="AE16" s="123">
        <f t="shared" si="16"/>
        <v>0</v>
      </c>
      <c r="AF16" s="214">
        <v>0</v>
      </c>
      <c r="AG16" s="123">
        <f t="shared" si="17"/>
        <v>0</v>
      </c>
      <c r="AH16" s="124"/>
      <c r="AI16" s="123">
        <f t="shared" si="18"/>
        <v>0</v>
      </c>
      <c r="AJ16" s="214">
        <v>0</v>
      </c>
      <c r="AK16" s="123">
        <f t="shared" si="19"/>
        <v>0</v>
      </c>
      <c r="AL16" s="124"/>
      <c r="AM16" s="123">
        <f t="shared" si="20"/>
        <v>0</v>
      </c>
      <c r="AN16" s="214">
        <v>0</v>
      </c>
      <c r="AO16" s="123">
        <f t="shared" si="21"/>
        <v>0</v>
      </c>
      <c r="AP16" s="124"/>
      <c r="AQ16" s="123">
        <f t="shared" si="22"/>
        <v>0</v>
      </c>
      <c r="AR16" s="214">
        <v>0</v>
      </c>
      <c r="AS16" s="123">
        <f t="shared" si="23"/>
        <v>0</v>
      </c>
      <c r="AT16" s="124"/>
      <c r="AU16" s="123">
        <f t="shared" si="24"/>
        <v>0</v>
      </c>
      <c r="AV16" s="214">
        <v>0</v>
      </c>
      <c r="AW16" s="123">
        <f t="shared" si="25"/>
        <v>0</v>
      </c>
      <c r="AX16" s="124"/>
      <c r="AY16" s="126">
        <f t="shared" si="26"/>
        <v>0</v>
      </c>
      <c r="AZ16" s="127">
        <f t="shared" si="27"/>
        <v>5161.0776744186041</v>
      </c>
      <c r="BA16" s="128">
        <f>AZ16+$C16-800</f>
        <v>4279.986511627907</v>
      </c>
      <c r="BB16" s="127">
        <f t="shared" si="28"/>
        <v>5161.0776744186041</v>
      </c>
      <c r="BC16" s="128">
        <f>BB16+$C16-800</f>
        <v>4279.986511627907</v>
      </c>
      <c r="BD16" s="127">
        <f t="shared" si="29"/>
        <v>5161.0776744186041</v>
      </c>
    </row>
    <row r="17" spans="1:56" ht="12.75" customHeight="1">
      <c r="A17" s="89" t="s">
        <v>61</v>
      </c>
      <c r="B17" s="265"/>
      <c r="C17" s="121">
        <f>'Revised PS Model 2015'!BB23</f>
        <v>-81.091162790697354</v>
      </c>
      <c r="D17" s="53">
        <v>10</v>
      </c>
      <c r="E17" s="123">
        <f t="shared" si="3"/>
        <v>1496.1525581395349</v>
      </c>
      <c r="F17" s="124"/>
      <c r="G17" s="123">
        <f t="shared" si="4"/>
        <v>1496.1525581395349</v>
      </c>
      <c r="H17" s="53">
        <v>10</v>
      </c>
      <c r="I17" s="123">
        <f t="shared" si="5"/>
        <v>1578.190465116279</v>
      </c>
      <c r="J17" s="124"/>
      <c r="K17" s="123">
        <f t="shared" si="6"/>
        <v>1578.190465116279</v>
      </c>
      <c r="L17" s="53">
        <v>10</v>
      </c>
      <c r="M17" s="123">
        <f t="shared" si="7"/>
        <v>2086.7346511627907</v>
      </c>
      <c r="N17" s="124"/>
      <c r="O17" s="123">
        <f t="shared" si="8"/>
        <v>2086.7346511627907</v>
      </c>
      <c r="P17" s="214">
        <v>10</v>
      </c>
      <c r="Q17" s="123">
        <f t="shared" si="9"/>
        <v>2008.7721428571426</v>
      </c>
      <c r="R17" s="124"/>
      <c r="S17" s="123">
        <f t="shared" si="10"/>
        <v>2008.7721428571426</v>
      </c>
      <c r="T17" s="214">
        <v>10</v>
      </c>
      <c r="U17" s="123">
        <f t="shared" si="11"/>
        <v>1593.6366666666668</v>
      </c>
      <c r="V17" s="124"/>
      <c r="W17" s="123">
        <f t="shared" si="12"/>
        <v>1593.6366666666668</v>
      </c>
      <c r="X17" s="214">
        <v>10</v>
      </c>
      <c r="Y17" s="123">
        <f t="shared" si="13"/>
        <v>1924.3307142857141</v>
      </c>
      <c r="Z17" s="124"/>
      <c r="AA17" s="123">
        <f t="shared" si="14"/>
        <v>1924.3307142857141</v>
      </c>
      <c r="AB17" s="214">
        <v>10</v>
      </c>
      <c r="AC17" s="123">
        <f t="shared" si="15"/>
        <v>-297.61904761904759</v>
      </c>
      <c r="AD17" s="124"/>
      <c r="AE17" s="123">
        <f t="shared" si="16"/>
        <v>-297.61904761904759</v>
      </c>
      <c r="AF17" s="214">
        <v>10</v>
      </c>
      <c r="AG17" s="123">
        <f t="shared" si="17"/>
        <v>-297.61904761904759</v>
      </c>
      <c r="AH17" s="124"/>
      <c r="AI17" s="123">
        <f t="shared" si="18"/>
        <v>-297.61904761904759</v>
      </c>
      <c r="AJ17" s="214">
        <v>10</v>
      </c>
      <c r="AK17" s="123">
        <f t="shared" si="19"/>
        <v>-297.61904761904759</v>
      </c>
      <c r="AL17" s="124"/>
      <c r="AM17" s="123">
        <f t="shared" si="20"/>
        <v>-297.61904761904759</v>
      </c>
      <c r="AN17" s="214">
        <v>10</v>
      </c>
      <c r="AO17" s="123">
        <f t="shared" si="21"/>
        <v>-297.61904761904759</v>
      </c>
      <c r="AP17" s="124"/>
      <c r="AQ17" s="123">
        <f t="shared" si="22"/>
        <v>-297.61904761904759</v>
      </c>
      <c r="AR17" s="214">
        <v>10</v>
      </c>
      <c r="AS17" s="123">
        <f t="shared" si="23"/>
        <v>-297.61904761904759</v>
      </c>
      <c r="AT17" s="124"/>
      <c r="AU17" s="123">
        <f t="shared" si="24"/>
        <v>-297.61904761904759</v>
      </c>
      <c r="AV17" s="214">
        <v>10</v>
      </c>
      <c r="AW17" s="123">
        <f t="shared" si="25"/>
        <v>-297.61904761904759</v>
      </c>
      <c r="AX17" s="124"/>
      <c r="AY17" s="126">
        <f t="shared" si="26"/>
        <v>-297.61904761904759</v>
      </c>
      <c r="AZ17" s="127">
        <f t="shared" si="27"/>
        <v>5161.0776744186041</v>
      </c>
      <c r="BA17" s="128">
        <f t="shared" ref="BA17:BA18" si="30">AZ17+$C17</f>
        <v>5079.986511627907</v>
      </c>
      <c r="BB17" s="127">
        <f t="shared" si="28"/>
        <v>10687.817198228127</v>
      </c>
      <c r="BC17" s="128">
        <f t="shared" ref="BC17:BC18" si="31">BB17+$C17</f>
        <v>10606.72603543743</v>
      </c>
      <c r="BD17" s="127">
        <f t="shared" si="29"/>
        <v>8902.1029125138411</v>
      </c>
    </row>
    <row r="18" spans="1:56" ht="12.75" customHeight="1">
      <c r="A18" s="89" t="s">
        <v>65</v>
      </c>
      <c r="B18" s="265"/>
      <c r="C18" s="121">
        <f>'Revised PS Model 2015'!BB24</f>
        <v>-81.091162790697354</v>
      </c>
      <c r="D18" s="53">
        <v>10</v>
      </c>
      <c r="E18" s="123">
        <f t="shared" si="3"/>
        <v>1496.1525581395349</v>
      </c>
      <c r="F18" s="124"/>
      <c r="G18" s="123">
        <f t="shared" si="4"/>
        <v>1496.1525581395349</v>
      </c>
      <c r="H18" s="53">
        <v>10</v>
      </c>
      <c r="I18" s="123">
        <f t="shared" si="5"/>
        <v>1578.190465116279</v>
      </c>
      <c r="J18" s="124"/>
      <c r="K18" s="123">
        <f t="shared" si="6"/>
        <v>1578.190465116279</v>
      </c>
      <c r="L18" s="53">
        <v>10</v>
      </c>
      <c r="M18" s="123">
        <f t="shared" si="7"/>
        <v>2086.7346511627907</v>
      </c>
      <c r="N18" s="124"/>
      <c r="O18" s="123">
        <f t="shared" si="8"/>
        <v>2086.7346511627907</v>
      </c>
      <c r="P18" s="214">
        <v>10</v>
      </c>
      <c r="Q18" s="123">
        <f t="shared" si="9"/>
        <v>2008.7721428571426</v>
      </c>
      <c r="R18" s="124"/>
      <c r="S18" s="123">
        <f t="shared" si="10"/>
        <v>2008.7721428571426</v>
      </c>
      <c r="T18" s="214">
        <v>10</v>
      </c>
      <c r="U18" s="123">
        <f t="shared" si="11"/>
        <v>1593.6366666666668</v>
      </c>
      <c r="V18" s="124"/>
      <c r="W18" s="123">
        <f t="shared" si="12"/>
        <v>1593.6366666666668</v>
      </c>
      <c r="X18" s="214">
        <v>10</v>
      </c>
      <c r="Y18" s="123">
        <f t="shared" si="13"/>
        <v>1924.3307142857141</v>
      </c>
      <c r="Z18" s="124"/>
      <c r="AA18" s="123">
        <f t="shared" si="14"/>
        <v>1924.3307142857141</v>
      </c>
      <c r="AB18" s="214">
        <v>10</v>
      </c>
      <c r="AC18" s="123">
        <f t="shared" si="15"/>
        <v>-297.61904761904759</v>
      </c>
      <c r="AD18" s="124"/>
      <c r="AE18" s="123">
        <f t="shared" si="16"/>
        <v>-297.61904761904759</v>
      </c>
      <c r="AF18" s="214">
        <v>10</v>
      </c>
      <c r="AG18" s="123">
        <f t="shared" si="17"/>
        <v>-297.61904761904759</v>
      </c>
      <c r="AH18" s="124"/>
      <c r="AI18" s="123">
        <f t="shared" si="18"/>
        <v>-297.61904761904759</v>
      </c>
      <c r="AJ18" s="214">
        <v>10</v>
      </c>
      <c r="AK18" s="123">
        <f t="shared" si="19"/>
        <v>-297.61904761904759</v>
      </c>
      <c r="AL18" s="124"/>
      <c r="AM18" s="123">
        <f t="shared" si="20"/>
        <v>-297.61904761904759</v>
      </c>
      <c r="AN18" s="214">
        <v>10</v>
      </c>
      <c r="AO18" s="123">
        <f t="shared" si="21"/>
        <v>-297.61904761904759</v>
      </c>
      <c r="AP18" s="124"/>
      <c r="AQ18" s="123">
        <f t="shared" si="22"/>
        <v>-297.61904761904759</v>
      </c>
      <c r="AR18" s="214">
        <v>10</v>
      </c>
      <c r="AS18" s="123">
        <f t="shared" si="23"/>
        <v>-297.61904761904759</v>
      </c>
      <c r="AT18" s="124"/>
      <c r="AU18" s="123">
        <f t="shared" si="24"/>
        <v>-297.61904761904759</v>
      </c>
      <c r="AV18" s="214">
        <v>10</v>
      </c>
      <c r="AW18" s="123">
        <f t="shared" si="25"/>
        <v>-297.61904761904759</v>
      </c>
      <c r="AX18" s="124"/>
      <c r="AY18" s="126">
        <f t="shared" si="26"/>
        <v>-297.61904761904759</v>
      </c>
      <c r="AZ18" s="127">
        <f t="shared" si="27"/>
        <v>5161.0776744186041</v>
      </c>
      <c r="BA18" s="128">
        <f t="shared" si="30"/>
        <v>5079.986511627907</v>
      </c>
      <c r="BB18" s="127">
        <f t="shared" si="28"/>
        <v>10687.817198228127</v>
      </c>
      <c r="BC18" s="128">
        <f t="shared" si="31"/>
        <v>10606.72603543743</v>
      </c>
      <c r="BD18" s="127">
        <f t="shared" si="29"/>
        <v>8902.1029125138411</v>
      </c>
    </row>
    <row r="19" spans="1:56" ht="12.75" customHeight="1">
      <c r="A19" s="89"/>
      <c r="C19" s="61"/>
      <c r="D19" s="148">
        <f t="shared" ref="D19:E19" si="32">SUM(D14:D18)</f>
        <v>430</v>
      </c>
      <c r="E19" s="149">
        <f t="shared" si="32"/>
        <v>64334.55999999999</v>
      </c>
      <c r="F19" s="91"/>
      <c r="G19" s="149">
        <f t="shared" ref="G19:I19" si="33">SUM(G14:G18)</f>
        <v>60898.479999999989</v>
      </c>
      <c r="H19" s="148">
        <f t="shared" si="33"/>
        <v>430</v>
      </c>
      <c r="I19" s="149">
        <f t="shared" si="33"/>
        <v>67862.19</v>
      </c>
      <c r="J19" s="91"/>
      <c r="K19" s="149">
        <f t="shared" ref="K19:M19" si="34">SUM(K14:K18)</f>
        <v>65665.91</v>
      </c>
      <c r="L19" s="148">
        <f t="shared" si="34"/>
        <v>430</v>
      </c>
      <c r="M19" s="149">
        <f t="shared" si="34"/>
        <v>89729.589999999982</v>
      </c>
      <c r="N19" s="91"/>
      <c r="O19" s="149">
        <f t="shared" ref="O19:Q19" si="35">SUM(O14:O18)</f>
        <v>88541.639999999985</v>
      </c>
      <c r="P19" s="148">
        <f t="shared" si="35"/>
        <v>420</v>
      </c>
      <c r="Q19" s="149">
        <f t="shared" si="35"/>
        <v>84368.43</v>
      </c>
      <c r="R19" s="91"/>
      <c r="S19" s="91"/>
      <c r="T19" s="148">
        <f t="shared" ref="T19:U19" si="36">SUM(T14:T18)</f>
        <v>420</v>
      </c>
      <c r="U19" s="149">
        <f t="shared" si="36"/>
        <v>66932.740000000005</v>
      </c>
      <c r="V19" s="91"/>
      <c r="W19" s="91"/>
      <c r="X19" s="148">
        <f t="shared" ref="X19:Y19" si="37">SUM(X14:X18)</f>
        <v>420</v>
      </c>
      <c r="Y19" s="149">
        <f t="shared" si="37"/>
        <v>80821.88999999997</v>
      </c>
      <c r="Z19" s="91"/>
      <c r="AA19" s="91"/>
      <c r="AB19" s="148">
        <f t="shared" ref="AB19:AC19" si="38">SUM(AB14:AB18)</f>
        <v>420</v>
      </c>
      <c r="AC19" s="149">
        <f t="shared" si="38"/>
        <v>-12500</v>
      </c>
      <c r="AD19" s="91"/>
      <c r="AE19" s="91"/>
      <c r="AF19" s="148">
        <f t="shared" ref="AF19:AG19" si="39">SUM(AF14:AF18)</f>
        <v>420</v>
      </c>
      <c r="AG19" s="149">
        <f t="shared" si="39"/>
        <v>-12500</v>
      </c>
      <c r="AH19" s="91"/>
      <c r="AI19" s="91"/>
      <c r="AJ19" s="148">
        <f t="shared" ref="AJ19:AK19" si="40">SUM(AJ14:AJ18)</f>
        <v>420</v>
      </c>
      <c r="AK19" s="149">
        <f t="shared" si="40"/>
        <v>-12500</v>
      </c>
      <c r="AL19" s="91"/>
      <c r="AM19" s="91"/>
      <c r="AN19" s="148">
        <f t="shared" ref="AN19:AO19" si="41">SUM(AN14:AN18)</f>
        <v>420</v>
      </c>
      <c r="AO19" s="149">
        <f t="shared" si="41"/>
        <v>-12500</v>
      </c>
      <c r="AP19" s="91"/>
      <c r="AQ19" s="91"/>
      <c r="AR19" s="148">
        <f t="shared" ref="AR19:AS19" si="42">SUM(AR14:AR18)</f>
        <v>420</v>
      </c>
      <c r="AS19" s="149">
        <f t="shared" si="42"/>
        <v>-12500</v>
      </c>
      <c r="AT19" s="91"/>
      <c r="AU19" s="91"/>
      <c r="AV19" s="148">
        <f t="shared" ref="AV19:AW19" si="43">SUM(AV14:AV18)</f>
        <v>420</v>
      </c>
      <c r="AW19" s="149">
        <f t="shared" si="43"/>
        <v>-12500</v>
      </c>
      <c r="AX19" s="124"/>
      <c r="AY19" s="92"/>
      <c r="AZ19" s="91"/>
      <c r="BA19" s="150"/>
      <c r="BB19" s="91"/>
      <c r="BC19" s="150"/>
    </row>
    <row r="20" spans="1:56" ht="12.75" customHeight="1">
      <c r="A20" s="89"/>
      <c r="B20" s="5"/>
      <c r="C20" s="61"/>
      <c r="D20" s="10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W20" s="151"/>
      <c r="AX20" s="151"/>
      <c r="AY20" s="92"/>
      <c r="AZ20" s="216" t="str">
        <f>"Paid for "&amp;AZ2</f>
        <v>Paid for 1Q</v>
      </c>
      <c r="BA20" s="217" t="s">
        <v>256</v>
      </c>
      <c r="BB20" s="216" t="str">
        <f>"Paid for "&amp;BB2</f>
        <v>Paid for 1H</v>
      </c>
      <c r="BC20" s="217" t="s">
        <v>256</v>
      </c>
      <c r="BD20" s="91"/>
    </row>
    <row r="21" spans="1:56" ht="12.75" customHeight="1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Y21" s="245" t="s">
        <v>83</v>
      </c>
      <c r="AZ21" s="200">
        <f>IF($AV$3="1Q",AV11,0)+IF($AR$3="1Q",AR11,0)+IF($AN$3="1Q",AN11,0)+IF($AJ$3="1Q",AJ11,0)+IF($AF$3="1Q",AF11,0)+IF($AB$3="1Q",AB11,0)+IF($X$3="1Q",X11,0)+IF($T$3="1Q",T11,0)+IF($P$3="1Q",P11,0)+IF($L$3="1Q",L11,0)+IF($H$3="1Q",H11,0)+IF($D$3="1Q",D11,0)</f>
        <v>67402.95</v>
      </c>
      <c r="BA21" s="271">
        <f t="shared" ref="BA21:BA25" si="44">BA14-AZ21</f>
        <v>439958.78284883709</v>
      </c>
      <c r="BB21" s="263">
        <f>IF($AV$4="1H",$AV$11,0)+IF($AR$4="1H",$AR$11,0)+IF($AN$4="1H",$AN$11,0)+IF($AJ$4="1H",$AJ$11,0)+IF($AF$4="1H",$AF$11,0)+IF($AB$4="1H",$AB$11,0)+IF($X$4="1H",$X$11,0)+IF($T$4="1H",$T$11,0)+IF($P$4="1H",$P$11,0)+IF($L$4="1H",$L$11,0)+IF($H$4="1H",$H$11,0)+IF($D$4="1H",$D$11,0)</f>
        <v>210402.95</v>
      </c>
      <c r="BC21" s="272">
        <f t="shared" ref="BC21:BC25" si="45">BC14-AZ21</f>
        <v>451222.90856312279</v>
      </c>
      <c r="BD21" s="91">
        <f t="shared" ref="BD21:BD25" si="46">BD14+C14</f>
        <v>540054.42999169417</v>
      </c>
    </row>
    <row r="22" spans="1:56" ht="12.75" customHeight="1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50" t="s">
        <v>209</v>
      </c>
      <c r="AZ22" s="90">
        <v>44952.65</v>
      </c>
      <c r="BA22" s="273">
        <f t="shared" si="44"/>
        <v>5796.6101162790219</v>
      </c>
      <c r="BB22" s="90">
        <v>0</v>
      </c>
      <c r="BC22" s="272">
        <f t="shared" si="45"/>
        <v>61064.005354374262</v>
      </c>
      <c r="BD22" s="91">
        <f t="shared" si="46"/>
        <v>88159.512497231393</v>
      </c>
    </row>
    <row r="23" spans="1:56" ht="12.75" customHeight="1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319</v>
      </c>
      <c r="AZ23" s="90">
        <v>3781</v>
      </c>
      <c r="BA23" s="273">
        <f t="shared" si="44"/>
        <v>498.98651162790702</v>
      </c>
      <c r="BB23" s="90">
        <v>0</v>
      </c>
      <c r="BC23" s="272">
        <f t="shared" si="45"/>
        <v>498.98651162790702</v>
      </c>
      <c r="BD23" s="91">
        <f t="shared" si="46"/>
        <v>5079.986511627907</v>
      </c>
    </row>
    <row r="24" spans="1:56" ht="12.75" customHeight="1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0" t="s">
        <v>61</v>
      </c>
      <c r="AZ24" s="90">
        <v>4581</v>
      </c>
      <c r="BA24" s="273">
        <f t="shared" si="44"/>
        <v>498.98651162790702</v>
      </c>
      <c r="BB24" s="90">
        <v>0</v>
      </c>
      <c r="BC24" s="272">
        <f t="shared" si="45"/>
        <v>6025.7260354374303</v>
      </c>
      <c r="BD24" s="91">
        <f t="shared" si="46"/>
        <v>8821.011749723144</v>
      </c>
    </row>
    <row r="25" spans="1:56" ht="12.75" customHeight="1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Y25" s="255" t="s">
        <v>65</v>
      </c>
      <c r="AZ25" s="274">
        <v>4581</v>
      </c>
      <c r="BA25" s="279">
        <f t="shared" si="44"/>
        <v>498.98651162790702</v>
      </c>
      <c r="BB25" s="274">
        <v>0</v>
      </c>
      <c r="BC25" s="277">
        <f t="shared" si="45"/>
        <v>6025.7260354374303</v>
      </c>
      <c r="BD25" s="91">
        <f t="shared" si="46"/>
        <v>8821.011749723144</v>
      </c>
    </row>
    <row r="26" spans="1:56" ht="12.75" customHeight="1">
      <c r="A26" s="89"/>
      <c r="C26" s="61"/>
      <c r="D26" s="62"/>
      <c r="BC26" s="91"/>
      <c r="BD26" s="91"/>
    </row>
    <row r="27" spans="1:56" ht="12.75" customHeight="1">
      <c r="A27" s="89"/>
      <c r="C27" s="61"/>
      <c r="D27" s="62"/>
      <c r="AY27" s="1"/>
      <c r="BA27" s="230"/>
      <c r="BB27" s="230"/>
      <c r="BC27" s="91"/>
      <c r="BD27" s="91"/>
    </row>
    <row r="28" spans="1:56" ht="12.75" customHeight="1">
      <c r="A28" s="89"/>
      <c r="C28" s="61"/>
      <c r="D28" s="62"/>
      <c r="AZ28" s="152"/>
      <c r="BA28" s="152"/>
      <c r="BB28" s="152"/>
      <c r="BC28" s="91"/>
      <c r="BD28" s="91"/>
    </row>
    <row r="29" spans="1:56" ht="12.75" customHeight="1">
      <c r="A29" s="89" t="s">
        <v>201</v>
      </c>
      <c r="C29" s="61"/>
      <c r="D29" s="62"/>
      <c r="AN29" s="1" t="s">
        <v>148</v>
      </c>
      <c r="AZ29" s="152"/>
      <c r="BA29" s="152"/>
      <c r="BB29" s="152"/>
      <c r="BC29" s="91"/>
      <c r="BD29" s="91"/>
    </row>
    <row r="30" spans="1:56" ht="12.75" customHeight="1">
      <c r="A30" s="89"/>
      <c r="C30" s="61"/>
      <c r="D30" s="62"/>
      <c r="BC30" s="91"/>
    </row>
    <row r="31" spans="1:56" ht="12.75" customHeight="1">
      <c r="A31" s="89"/>
      <c r="C31" s="61"/>
      <c r="D31" s="62"/>
    </row>
    <row r="32" spans="1:56" ht="12.75" customHeight="1">
      <c r="A32" s="89"/>
      <c r="C32" s="61"/>
      <c r="D32" s="62"/>
    </row>
    <row r="33" spans="1:4" ht="12.75" customHeight="1">
      <c r="A33" s="89"/>
      <c r="C33" s="61"/>
      <c r="D33" s="62"/>
    </row>
    <row r="34" spans="1:4" ht="12.75" customHeight="1">
      <c r="A34" s="89"/>
      <c r="C34" s="61"/>
      <c r="D34" s="62"/>
    </row>
    <row r="35" spans="1:4" ht="12.75" customHeight="1">
      <c r="A35" s="89"/>
      <c r="C35" s="61"/>
      <c r="D35" s="62"/>
    </row>
    <row r="36" spans="1:4" ht="12.75" customHeight="1">
      <c r="A36" s="89"/>
      <c r="C36" s="61"/>
      <c r="D36" s="62"/>
    </row>
    <row r="37" spans="1:4" ht="12.75" customHeight="1">
      <c r="A37" s="89"/>
      <c r="C37" s="61"/>
      <c r="D37" s="62"/>
    </row>
    <row r="38" spans="1:4" ht="12.75" customHeight="1">
      <c r="A38" s="89"/>
      <c r="C38" s="61"/>
      <c r="D38" s="62"/>
    </row>
    <row r="39" spans="1:4" ht="12.75" customHeight="1">
      <c r="A39" s="89"/>
      <c r="C39" s="61"/>
      <c r="D39" s="62"/>
    </row>
    <row r="40" spans="1:4" ht="12.75" customHeight="1">
      <c r="A40" s="89"/>
      <c r="C40" s="61"/>
      <c r="D40" s="62"/>
    </row>
    <row r="41" spans="1:4" ht="12.75" customHeight="1">
      <c r="A41" s="89"/>
      <c r="C41" s="61"/>
      <c r="D41" s="62"/>
    </row>
    <row r="42" spans="1:4" ht="12.75" customHeight="1">
      <c r="A42" s="89"/>
      <c r="C42" s="61"/>
      <c r="D42" s="62"/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BD42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2" width="15.1640625" customWidth="1"/>
    <col min="13" max="13" width="12.1640625" customWidth="1"/>
    <col min="14" max="14" width="9.33203125" customWidth="1"/>
    <col min="15" max="16" width="15.1640625" customWidth="1"/>
    <col min="17" max="17" width="20.33203125" customWidth="1"/>
    <col min="18" max="18" width="11.1640625" customWidth="1"/>
    <col min="19" max="48" width="15.1640625" customWidth="1"/>
    <col min="49" max="50" width="10.5" customWidth="1"/>
    <col min="51" max="51" width="10.83203125" customWidth="1"/>
    <col min="52" max="56" width="15.1640625" customWidth="1"/>
  </cols>
  <sheetData>
    <row r="1" spans="1:56" ht="12.75" customHeight="1">
      <c r="A1" s="5" t="s">
        <v>148</v>
      </c>
      <c r="C1" s="61" t="s">
        <v>131</v>
      </c>
      <c r="D1" s="59">
        <v>42400</v>
      </c>
      <c r="E1" s="60"/>
      <c r="F1" s="60"/>
      <c r="G1" s="61"/>
      <c r="H1" s="59">
        <v>42428</v>
      </c>
      <c r="I1" s="60"/>
      <c r="J1" s="60"/>
      <c r="K1" s="61"/>
      <c r="L1" s="59">
        <v>42460</v>
      </c>
      <c r="M1" s="60"/>
      <c r="N1" s="60"/>
      <c r="O1" s="61"/>
      <c r="P1" s="59">
        <v>42490</v>
      </c>
      <c r="Q1" s="60"/>
      <c r="R1" s="60"/>
      <c r="S1" s="61"/>
      <c r="T1" s="59">
        <v>42521</v>
      </c>
      <c r="U1" s="60"/>
      <c r="V1" s="60"/>
      <c r="W1" s="61"/>
      <c r="X1" s="59">
        <v>42551</v>
      </c>
      <c r="Y1" s="60"/>
      <c r="Z1" s="60"/>
      <c r="AA1" s="61"/>
      <c r="AB1" s="59">
        <v>42582</v>
      </c>
      <c r="AC1" s="60"/>
      <c r="AD1" s="60"/>
      <c r="AE1" s="61"/>
      <c r="AF1" s="59">
        <v>42613</v>
      </c>
      <c r="AG1" s="60"/>
      <c r="AH1" s="60"/>
      <c r="AI1" s="61"/>
      <c r="AJ1" s="59">
        <v>42643</v>
      </c>
      <c r="AK1" s="60"/>
      <c r="AL1" s="60"/>
      <c r="AM1" s="61"/>
      <c r="AN1" s="59">
        <v>42674</v>
      </c>
      <c r="AO1" s="60"/>
      <c r="AP1" s="60"/>
      <c r="AQ1" s="61"/>
      <c r="AR1" s="59">
        <v>42704</v>
      </c>
      <c r="AS1" s="60"/>
      <c r="AT1" s="60"/>
      <c r="AU1" s="61"/>
      <c r="AV1" s="59">
        <v>42735</v>
      </c>
      <c r="AW1" s="60"/>
      <c r="AX1" s="60"/>
      <c r="BB1" s="62"/>
      <c r="BC1" s="61"/>
    </row>
    <row r="2" spans="1:56" ht="12.75" customHeight="1">
      <c r="A2" s="5"/>
      <c r="C2" s="61"/>
      <c r="D2" s="62">
        <f>YEAR(D1)</f>
        <v>2016</v>
      </c>
      <c r="G2" s="61"/>
      <c r="H2" s="62">
        <f>YEAR(H1)</f>
        <v>2016</v>
      </c>
      <c r="K2" s="61"/>
      <c r="L2" s="62">
        <f>YEAR(L1)</f>
        <v>2016</v>
      </c>
      <c r="O2" s="61"/>
      <c r="P2" s="62">
        <f>YEAR(P1)</f>
        <v>2016</v>
      </c>
      <c r="S2" s="61"/>
      <c r="T2" s="62">
        <f>YEAR(T1)</f>
        <v>2016</v>
      </c>
      <c r="W2" s="61"/>
      <c r="X2" s="62">
        <f>YEAR(X1)</f>
        <v>2016</v>
      </c>
      <c r="AA2" s="61"/>
      <c r="AB2" s="62">
        <f>YEAR(AB1)</f>
        <v>2016</v>
      </c>
      <c r="AE2" s="61"/>
      <c r="AF2" s="62">
        <f>YEAR(AF1)</f>
        <v>2016</v>
      </c>
      <c r="AI2" s="61"/>
      <c r="AJ2" s="62">
        <f>YEAR(AJ1)</f>
        <v>2016</v>
      </c>
      <c r="AM2" s="61"/>
      <c r="AN2" s="62">
        <f>YEAR(AN1)</f>
        <v>2016</v>
      </c>
      <c r="AQ2" s="61"/>
      <c r="AR2" s="62">
        <f>YEAR(AR1)</f>
        <v>2016</v>
      </c>
      <c r="AU2" s="61"/>
      <c r="AV2" s="62">
        <f>YEAR(AV1)</f>
        <v>2016</v>
      </c>
      <c r="AY2" s="61"/>
      <c r="AZ2" s="65" t="s">
        <v>132</v>
      </c>
      <c r="BA2" s="65"/>
      <c r="BB2" s="209" t="s">
        <v>247</v>
      </c>
      <c r="BC2" s="61"/>
      <c r="BD2" s="67">
        <v>2016</v>
      </c>
    </row>
    <row r="3" spans="1:56" ht="12.75" customHeight="1">
      <c r="A3" s="5"/>
      <c r="C3" s="61"/>
      <c r="D3" s="69" t="s">
        <v>132</v>
      </c>
      <c r="G3" s="61"/>
      <c r="H3" s="69" t="s">
        <v>132</v>
      </c>
      <c r="K3" s="61"/>
      <c r="L3" s="69" t="s">
        <v>132</v>
      </c>
      <c r="O3" s="61"/>
      <c r="P3" s="69" t="s">
        <v>133</v>
      </c>
      <c r="S3" s="61"/>
      <c r="T3" s="69" t="s">
        <v>133</v>
      </c>
      <c r="W3" s="61"/>
      <c r="X3" s="69" t="s">
        <v>133</v>
      </c>
      <c r="AA3" s="61"/>
      <c r="AB3" s="69" t="s">
        <v>134</v>
      </c>
      <c r="AE3" s="61"/>
      <c r="AF3" s="69" t="s">
        <v>134</v>
      </c>
      <c r="AI3" s="61"/>
      <c r="AJ3" s="69" t="s">
        <v>134</v>
      </c>
      <c r="AM3" s="61"/>
      <c r="AN3" s="69" t="s">
        <v>135</v>
      </c>
      <c r="AQ3" s="61"/>
      <c r="AR3" s="69" t="s">
        <v>135</v>
      </c>
      <c r="AU3" s="61"/>
      <c r="AV3" s="69" t="s">
        <v>135</v>
      </c>
      <c r="AY3" s="61"/>
      <c r="AZ3" s="70"/>
      <c r="BA3" s="70"/>
      <c r="BB3" s="71"/>
      <c r="BC3" s="61"/>
      <c r="BD3" s="72"/>
    </row>
    <row r="4" spans="1:56" ht="12.75" customHeight="1">
      <c r="A4" s="5"/>
      <c r="C4" s="61"/>
      <c r="D4" s="69" t="str">
        <f>IF(MONTH(D1)&lt;7,"1H","2H")</f>
        <v>1H</v>
      </c>
      <c r="G4" s="61"/>
      <c r="H4" s="69" t="str">
        <f>IF(MONTH(H1)&lt;7,"1H","2H")</f>
        <v>1H</v>
      </c>
      <c r="K4" s="61"/>
      <c r="L4" s="69" t="str">
        <f>IF(MONTH(L1)&lt;7,"1H","2H")</f>
        <v>1H</v>
      </c>
      <c r="O4" s="61"/>
      <c r="P4" s="69" t="str">
        <f>IF(MONTH(P1)&lt;7,"1H","2H")</f>
        <v>1H</v>
      </c>
      <c r="S4" s="61"/>
      <c r="T4" s="69" t="str">
        <f>IF(MONTH(T1)&lt;7,"1H","2H")</f>
        <v>1H</v>
      </c>
      <c r="W4" s="61"/>
      <c r="X4" s="69" t="str">
        <f>IF(MONTH(X1)&lt;7,"1H","2H")</f>
        <v>1H</v>
      </c>
      <c r="AA4" s="61"/>
      <c r="AB4" s="69" t="str">
        <f>IF(MONTH(AB1)&lt;7,"1H","2H")</f>
        <v>2H</v>
      </c>
      <c r="AE4" s="61"/>
      <c r="AF4" s="69" t="str">
        <f>IF(MONTH(AF1)&lt;7,"1H","2H")</f>
        <v>2H</v>
      </c>
      <c r="AI4" s="61"/>
      <c r="AJ4" s="69" t="str">
        <f>IF(MONTH(AJ1)&lt;7,"1H","2H")</f>
        <v>2H</v>
      </c>
      <c r="AM4" s="61"/>
      <c r="AN4" s="69" t="str">
        <f>IF(MONTH(AN1)&lt;7,"1H","2H")</f>
        <v>2H</v>
      </c>
      <c r="AQ4" s="61"/>
      <c r="AR4" s="69" t="str">
        <f>IF(MONTH(AR1)&lt;7,"1H","2H")</f>
        <v>2H</v>
      </c>
      <c r="AU4" s="61"/>
      <c r="AV4" s="69" t="str">
        <f>IF(MONTH(AV1)&lt;7,"1H","2H")</f>
        <v>2H</v>
      </c>
      <c r="AY4" s="61"/>
      <c r="AZ4" s="70"/>
      <c r="BA4" s="70"/>
      <c r="BB4" s="71"/>
      <c r="BC4" s="61"/>
      <c r="BD4" s="72"/>
    </row>
    <row r="5" spans="1:56" ht="12.75" customHeight="1">
      <c r="A5" s="89" t="s">
        <v>136</v>
      </c>
      <c r="C5" s="61"/>
      <c r="D5" s="90">
        <v>74103.570000000007</v>
      </c>
      <c r="E5" s="91"/>
      <c r="F5" s="91"/>
      <c r="G5" s="92"/>
      <c r="H5" s="90">
        <v>78165.91</v>
      </c>
      <c r="I5" s="91"/>
      <c r="J5" s="91"/>
      <c r="K5" s="92"/>
      <c r="L5" s="90">
        <v>101066.64</v>
      </c>
      <c r="M5" s="91"/>
      <c r="N5" s="91"/>
      <c r="O5" s="92"/>
      <c r="P5" s="90"/>
      <c r="Q5" s="91"/>
      <c r="R5" s="91"/>
      <c r="S5" s="92"/>
      <c r="T5" s="90"/>
      <c r="U5" s="91"/>
      <c r="V5" s="91"/>
      <c r="W5" s="92"/>
      <c r="X5" s="90"/>
      <c r="Y5" s="91"/>
      <c r="Z5" s="91"/>
      <c r="AA5" s="92"/>
      <c r="AB5" s="90"/>
      <c r="AC5" s="91"/>
      <c r="AD5" s="91"/>
      <c r="AE5" s="92"/>
      <c r="AF5" s="90"/>
      <c r="AG5" s="91"/>
      <c r="AH5" s="91"/>
      <c r="AI5" s="92"/>
      <c r="AJ5" s="90"/>
      <c r="AK5" s="91"/>
      <c r="AL5" s="91"/>
      <c r="AM5" s="92"/>
      <c r="AN5" s="90"/>
      <c r="AO5" s="91"/>
      <c r="AP5" s="91"/>
      <c r="AQ5" s="92"/>
      <c r="AR5" s="90"/>
      <c r="AS5" s="91"/>
      <c r="AT5" s="91"/>
      <c r="AU5" s="92"/>
      <c r="AV5" s="90"/>
      <c r="AW5" s="151"/>
      <c r="AX5" s="151"/>
      <c r="AY5" s="92"/>
      <c r="AZ5" s="93">
        <f t="shared" ref="AZ5:AZ11" si="0">SUMIF($D$3:$AY$3,AZ$2,$D5:$AY5)</f>
        <v>253336.12</v>
      </c>
      <c r="BA5" s="92"/>
      <c r="BB5" s="93">
        <f t="shared" ref="BB5:BB11" si="1">SUMIF($D$4:$AY$4,BB$2,$D5:$AY5)</f>
        <v>253336.12</v>
      </c>
      <c r="BC5" s="92"/>
      <c r="BD5" s="94">
        <f t="shared" ref="BD5:BD11" si="2">SUMIF($D$2:$AY$2,$BD$2,$D5:$AY5)</f>
        <v>253336.12</v>
      </c>
    </row>
    <row r="6" spans="1:56" ht="12.75" customHeight="1">
      <c r="A6" s="89" t="s">
        <v>138</v>
      </c>
      <c r="C6" s="61"/>
      <c r="D6" s="90">
        <v>0</v>
      </c>
      <c r="E6" s="91" t="s">
        <v>322</v>
      </c>
      <c r="F6" s="91"/>
      <c r="G6" s="92"/>
      <c r="H6" s="90">
        <v>0</v>
      </c>
      <c r="I6" s="91" t="s">
        <v>317</v>
      </c>
      <c r="J6" s="91"/>
      <c r="K6" s="92"/>
      <c r="L6" s="90">
        <v>0</v>
      </c>
      <c r="M6" s="91" t="s">
        <v>317</v>
      </c>
      <c r="N6" s="91"/>
      <c r="O6" s="92"/>
      <c r="P6" s="90">
        <v>0</v>
      </c>
      <c r="Q6" s="91"/>
      <c r="R6" s="91"/>
      <c r="S6" s="92"/>
      <c r="T6" s="90">
        <v>0</v>
      </c>
      <c r="U6" s="91"/>
      <c r="V6" s="91"/>
      <c r="W6" s="92"/>
      <c r="X6" s="90">
        <v>0</v>
      </c>
      <c r="Y6" s="91"/>
      <c r="Z6" s="91"/>
      <c r="AA6" s="92"/>
      <c r="AB6" s="90">
        <v>0</v>
      </c>
      <c r="AC6" s="91"/>
      <c r="AD6" s="91"/>
      <c r="AE6" s="92"/>
      <c r="AF6" s="90">
        <v>0</v>
      </c>
      <c r="AG6" s="91"/>
      <c r="AH6" s="91"/>
      <c r="AI6" s="92"/>
      <c r="AJ6" s="90">
        <v>0</v>
      </c>
      <c r="AK6" s="91"/>
      <c r="AL6" s="91"/>
      <c r="AM6" s="92"/>
      <c r="AN6" s="90">
        <v>0</v>
      </c>
      <c r="AO6" s="91"/>
      <c r="AP6" s="91"/>
      <c r="AQ6" s="92"/>
      <c r="AR6" s="90">
        <v>0</v>
      </c>
      <c r="AS6" s="91"/>
      <c r="AT6" s="91"/>
      <c r="AU6" s="92"/>
      <c r="AV6" s="90">
        <v>0</v>
      </c>
      <c r="AW6" s="91"/>
      <c r="AX6" s="91"/>
      <c r="AY6" s="92"/>
      <c r="AZ6" s="93">
        <f t="shared" si="0"/>
        <v>0</v>
      </c>
      <c r="BA6" s="92"/>
      <c r="BB6" s="93">
        <f t="shared" si="1"/>
        <v>0</v>
      </c>
      <c r="BC6" s="92"/>
      <c r="BD6" s="94">
        <f t="shared" si="2"/>
        <v>0</v>
      </c>
    </row>
    <row r="7" spans="1:56" ht="12.75" customHeight="1">
      <c r="A7" s="89" t="s">
        <v>143</v>
      </c>
      <c r="B7" s="99">
        <v>12500</v>
      </c>
      <c r="C7" s="61"/>
      <c r="D7" s="100">
        <f>'PS Model 2016 Q1'!ColinSalary</f>
        <v>12500</v>
      </c>
      <c r="E7" s="91"/>
      <c r="F7" s="91"/>
      <c r="G7" s="92"/>
      <c r="H7" s="100">
        <f>'PS Model 2016 Q1'!ColinSalary</f>
        <v>12500</v>
      </c>
      <c r="I7" s="91"/>
      <c r="J7" s="91"/>
      <c r="K7" s="92"/>
      <c r="L7" s="100">
        <f>'PS Model 2016 Q1'!ColinSalary</f>
        <v>12500</v>
      </c>
      <c r="M7" s="91"/>
      <c r="N7" s="91"/>
      <c r="O7" s="92"/>
      <c r="P7" s="100">
        <f>'PS Model 2016 Q1'!ColinSalary</f>
        <v>12500</v>
      </c>
      <c r="Q7" s="91"/>
      <c r="R7" s="91"/>
      <c r="S7" s="92"/>
      <c r="T7" s="100">
        <f>'PS Model 2016 Q1'!ColinSalary</f>
        <v>12500</v>
      </c>
      <c r="U7" s="91"/>
      <c r="V7" s="91"/>
      <c r="W7" s="92"/>
      <c r="X7" s="100">
        <f>'PS Model 2016 Q1'!ColinSalary</f>
        <v>12500</v>
      </c>
      <c r="Y7" s="91"/>
      <c r="Z7" s="91"/>
      <c r="AA7" s="92"/>
      <c r="AB7" s="100">
        <f>'PS Model 2016 Q1'!ColinSalary</f>
        <v>12500</v>
      </c>
      <c r="AC7" s="91"/>
      <c r="AD7" s="91"/>
      <c r="AE7" s="92"/>
      <c r="AF7" s="100">
        <f>'PS Model 2016 Q1'!ColinSalary</f>
        <v>12500</v>
      </c>
      <c r="AG7" s="91"/>
      <c r="AH7" s="91"/>
      <c r="AI7" s="92"/>
      <c r="AJ7" s="100">
        <f>'PS Model 2016 Q1'!ColinSalary</f>
        <v>12500</v>
      </c>
      <c r="AK7" s="91"/>
      <c r="AL7" s="91"/>
      <c r="AM7" s="92"/>
      <c r="AN7" s="100">
        <f>'PS Model 2016 Q1'!ColinSalary</f>
        <v>12500</v>
      </c>
      <c r="AO7" s="91"/>
      <c r="AP7" s="91"/>
      <c r="AQ7" s="92"/>
      <c r="AR7" s="100">
        <f>'PS Model 2016 Q1'!ColinSalary</f>
        <v>12500</v>
      </c>
      <c r="AS7" s="91"/>
      <c r="AT7" s="91"/>
      <c r="AU7" s="92"/>
      <c r="AV7" s="100">
        <f>'PS Model 2016 Q1'!ColinSalary</f>
        <v>12500</v>
      </c>
      <c r="AW7" s="91"/>
      <c r="AX7" s="91"/>
      <c r="AY7" s="92"/>
      <c r="AZ7" s="93">
        <f t="shared" si="0"/>
        <v>37500</v>
      </c>
      <c r="BA7" s="92"/>
      <c r="BB7" s="93">
        <f t="shared" si="1"/>
        <v>75000</v>
      </c>
      <c r="BC7" s="92"/>
      <c r="BD7" s="94">
        <f t="shared" si="2"/>
        <v>150000</v>
      </c>
    </row>
    <row r="8" spans="1:56" ht="12.75" customHeight="1">
      <c r="A8" s="89" t="s">
        <v>145</v>
      </c>
      <c r="B8" s="101"/>
      <c r="C8" s="102"/>
      <c r="D8" s="104">
        <f>SUM(F14:F18)</f>
        <v>2382.56</v>
      </c>
      <c r="E8" s="91"/>
      <c r="F8" s="91"/>
      <c r="G8" s="92"/>
      <c r="H8" s="104">
        <f>SUM(J14:J18)</f>
        <v>2196.2800000000002</v>
      </c>
      <c r="I8" s="91"/>
      <c r="J8" s="91"/>
      <c r="K8" s="92"/>
      <c r="L8" s="104">
        <f>SUM(N14:N18)</f>
        <v>1987.95</v>
      </c>
      <c r="M8" s="91"/>
      <c r="N8" s="91"/>
      <c r="O8" s="92"/>
      <c r="P8" s="104">
        <f>SUM(R14:R18)</f>
        <v>0</v>
      </c>
      <c r="Q8" s="91"/>
      <c r="R8" s="91"/>
      <c r="S8" s="92"/>
      <c r="T8" s="104">
        <f>SUM(V14:V18)</f>
        <v>0</v>
      </c>
      <c r="U8" s="91"/>
      <c r="V8" s="91"/>
      <c r="W8" s="92"/>
      <c r="X8" s="104">
        <f>SUM(Z14:Z18)</f>
        <v>0</v>
      </c>
      <c r="Y8" s="91"/>
      <c r="Z8" s="91"/>
      <c r="AA8" s="92"/>
      <c r="AB8" s="104">
        <f>SUM(AD14:AD18)</f>
        <v>0</v>
      </c>
      <c r="AC8" s="91"/>
      <c r="AD8" s="91"/>
      <c r="AE8" s="92"/>
      <c r="AF8" s="104">
        <f>SUM(AH14:AH18)</f>
        <v>0</v>
      </c>
      <c r="AG8" s="91"/>
      <c r="AH8" s="91"/>
      <c r="AI8" s="92"/>
      <c r="AJ8" s="104">
        <f>SUM(AL14:AL18)</f>
        <v>0</v>
      </c>
      <c r="AK8" s="91"/>
      <c r="AL8" s="91"/>
      <c r="AM8" s="92"/>
      <c r="AN8" s="104">
        <f>SUM(AP14:AP18)</f>
        <v>0</v>
      </c>
      <c r="AO8" s="91"/>
      <c r="AP8" s="91"/>
      <c r="AQ8" s="92"/>
      <c r="AR8" s="104">
        <f>SUM(AT14:AT18)</f>
        <v>0</v>
      </c>
      <c r="AS8" s="91"/>
      <c r="AT8" s="91"/>
      <c r="AU8" s="92"/>
      <c r="AV8" s="104">
        <f>SUM(AX14:AX18)</f>
        <v>0</v>
      </c>
      <c r="AW8" s="91"/>
      <c r="AX8" s="91"/>
      <c r="AY8" s="92"/>
      <c r="AZ8" s="93">
        <f t="shared" si="0"/>
        <v>6566.79</v>
      </c>
      <c r="BA8" s="92"/>
      <c r="BB8" s="93">
        <f t="shared" si="1"/>
        <v>6566.79</v>
      </c>
      <c r="BC8" s="92"/>
      <c r="BD8" s="94">
        <f t="shared" si="2"/>
        <v>6566.79</v>
      </c>
    </row>
    <row r="9" spans="1:56" ht="12.75" customHeight="1">
      <c r="A9" s="89" t="s">
        <v>146</v>
      </c>
      <c r="C9" s="61"/>
      <c r="D9" s="104">
        <f>D5-D6-D7+D8</f>
        <v>63986.130000000005</v>
      </c>
      <c r="E9" s="91"/>
      <c r="F9" s="91"/>
      <c r="G9" s="92"/>
      <c r="H9" s="104">
        <f>H5-H6-H7+H8</f>
        <v>67862.19</v>
      </c>
      <c r="I9" s="91"/>
      <c r="J9" s="91"/>
      <c r="K9" s="92"/>
      <c r="L9" s="104">
        <f>L5-L6-L7+L8</f>
        <v>90554.59</v>
      </c>
      <c r="M9" s="91"/>
      <c r="N9" s="91"/>
      <c r="O9" s="92"/>
      <c r="P9" s="104">
        <f>P5-P6-P7+P8+800</f>
        <v>-11700</v>
      </c>
      <c r="Q9" s="91" t="s">
        <v>318</v>
      </c>
      <c r="R9" s="91"/>
      <c r="S9" s="92"/>
      <c r="T9" s="104">
        <f>T5-T6-T7+T8</f>
        <v>-12500</v>
      </c>
      <c r="U9" s="91"/>
      <c r="V9" s="91"/>
      <c r="W9" s="92"/>
      <c r="X9" s="104">
        <f>X5-X6-X7+X8</f>
        <v>-12500</v>
      </c>
      <c r="Y9" s="91"/>
      <c r="Z9" s="91"/>
      <c r="AA9" s="92"/>
      <c r="AB9" s="104">
        <f>AB5-AB6-AB7+AB8</f>
        <v>-12500</v>
      </c>
      <c r="AC9" s="91"/>
      <c r="AD9" s="91"/>
      <c r="AE9" s="92"/>
      <c r="AF9" s="104">
        <f>AF5-AF6-AF7+AF8</f>
        <v>-12500</v>
      </c>
      <c r="AG9" s="91"/>
      <c r="AH9" s="91"/>
      <c r="AI9" s="92"/>
      <c r="AJ9" s="104">
        <f>AJ5-AJ6-AJ7+AJ8</f>
        <v>-12500</v>
      </c>
      <c r="AK9" s="91"/>
      <c r="AL9" s="91"/>
      <c r="AM9" s="92"/>
      <c r="AN9" s="104">
        <f>AN5-AN6-AN7+AN8</f>
        <v>-12500</v>
      </c>
      <c r="AO9" s="91"/>
      <c r="AP9" s="91"/>
      <c r="AQ9" s="92"/>
      <c r="AR9" s="104">
        <f>AR5-AR6-AR7+AR8</f>
        <v>-12500</v>
      </c>
      <c r="AS9" s="91"/>
      <c r="AT9" s="91"/>
      <c r="AU9" s="92"/>
      <c r="AV9" s="104">
        <f>AV5-AV6-AV7+AV8</f>
        <v>-12500</v>
      </c>
      <c r="AW9" s="91"/>
      <c r="AX9" s="91"/>
      <c r="AY9" s="92"/>
      <c r="AZ9" s="93">
        <f t="shared" si="0"/>
        <v>222402.91</v>
      </c>
      <c r="BA9" s="92"/>
      <c r="BB9" s="93">
        <f t="shared" si="1"/>
        <v>185702.91</v>
      </c>
      <c r="BC9" s="92"/>
      <c r="BD9" s="94">
        <f t="shared" si="2"/>
        <v>110702.91</v>
      </c>
    </row>
    <row r="10" spans="1:56" ht="12.75" customHeight="1">
      <c r="A10" s="89" t="s">
        <v>147</v>
      </c>
      <c r="C10" s="61"/>
      <c r="D10" s="90">
        <f>32500+15000+7000+402.95</f>
        <v>54902.95</v>
      </c>
      <c r="E10" s="91"/>
      <c r="F10" s="91"/>
      <c r="G10" s="92"/>
      <c r="H10" s="90">
        <v>50000</v>
      </c>
      <c r="I10" s="91"/>
      <c r="J10" s="91"/>
      <c r="K10" s="92"/>
      <c r="L10" s="90">
        <v>0</v>
      </c>
      <c r="M10" s="91"/>
      <c r="N10" s="91"/>
      <c r="O10" s="92"/>
      <c r="P10" s="90">
        <f>12500+25000+15000+10000</f>
        <v>62500</v>
      </c>
      <c r="Q10" s="91"/>
      <c r="R10" s="91"/>
      <c r="S10" s="92"/>
      <c r="T10" s="90">
        <v>12500</v>
      </c>
      <c r="U10" s="91"/>
      <c r="V10" s="91"/>
      <c r="W10" s="92"/>
      <c r="X10" s="90"/>
      <c r="Y10" s="91"/>
      <c r="Z10" s="91"/>
      <c r="AA10" s="92"/>
      <c r="AB10" s="90"/>
      <c r="AC10" s="91"/>
      <c r="AD10" s="91"/>
      <c r="AE10" s="92"/>
      <c r="AF10" s="90"/>
      <c r="AG10" s="91"/>
      <c r="AH10" s="91"/>
      <c r="AI10" s="92"/>
      <c r="AJ10" s="90"/>
      <c r="AK10" s="91"/>
      <c r="AL10" s="91"/>
      <c r="AM10" s="92"/>
      <c r="AN10" s="90"/>
      <c r="AO10" s="91"/>
      <c r="AP10" s="91"/>
      <c r="AQ10" s="92"/>
      <c r="AR10" s="90"/>
      <c r="AS10" s="91"/>
      <c r="AT10" s="91"/>
      <c r="AU10" s="92"/>
      <c r="AV10" s="90"/>
      <c r="AW10" s="91"/>
      <c r="AX10" s="91"/>
      <c r="AY10" s="92"/>
      <c r="AZ10" s="93">
        <f t="shared" si="0"/>
        <v>104902.95</v>
      </c>
      <c r="BA10" s="92"/>
      <c r="BB10" s="93">
        <f t="shared" si="1"/>
        <v>179902.95</v>
      </c>
      <c r="BC10" s="92"/>
      <c r="BD10" s="94">
        <f t="shared" si="2"/>
        <v>179902.95</v>
      </c>
    </row>
    <row r="11" spans="1:56" ht="12.75" customHeight="1">
      <c r="A11" s="5" t="s">
        <v>151</v>
      </c>
      <c r="C11" s="61"/>
      <c r="D11" s="100">
        <f>D10-D7</f>
        <v>42402.95</v>
      </c>
      <c r="E11" s="91"/>
      <c r="F11" s="91"/>
      <c r="G11" s="92"/>
      <c r="H11" s="100">
        <f>H10-H7</f>
        <v>37500</v>
      </c>
      <c r="I11" s="91"/>
      <c r="J11" s="91"/>
      <c r="K11" s="92"/>
      <c r="L11" s="100">
        <f>L10-L7</f>
        <v>-12500</v>
      </c>
      <c r="M11" s="91"/>
      <c r="N11" s="91"/>
      <c r="O11" s="92"/>
      <c r="P11" s="100">
        <f>P10-P7</f>
        <v>50000</v>
      </c>
      <c r="Q11" s="91"/>
      <c r="R11" s="91"/>
      <c r="S11" s="92"/>
      <c r="T11" s="100">
        <f>T10-T7</f>
        <v>0</v>
      </c>
      <c r="U11" s="91"/>
      <c r="V11" s="91"/>
      <c r="W11" s="92"/>
      <c r="X11" s="100">
        <f>X10-X7</f>
        <v>-12500</v>
      </c>
      <c r="Y11" s="91"/>
      <c r="Z11" s="91"/>
      <c r="AA11" s="92"/>
      <c r="AB11" s="100">
        <f>AB10-AB7</f>
        <v>-12500</v>
      </c>
      <c r="AC11" s="91"/>
      <c r="AD11" s="91"/>
      <c r="AE11" s="92"/>
      <c r="AF11" s="100">
        <f>AF10-AF7</f>
        <v>-12500</v>
      </c>
      <c r="AG11" s="91"/>
      <c r="AH11" s="91"/>
      <c r="AI11" s="92"/>
      <c r="AJ11" s="100">
        <f>AJ10-AJ7</f>
        <v>-12500</v>
      </c>
      <c r="AK11" s="91"/>
      <c r="AL11" s="91"/>
      <c r="AM11" s="92"/>
      <c r="AN11" s="100">
        <f>AN10-AN7</f>
        <v>-12500</v>
      </c>
      <c r="AO11" s="91"/>
      <c r="AP11" s="91"/>
      <c r="AQ11" s="92"/>
      <c r="AR11" s="100">
        <f>AR10-AR7</f>
        <v>-12500</v>
      </c>
      <c r="AS11" s="91"/>
      <c r="AT11" s="91"/>
      <c r="AU11" s="92"/>
      <c r="AV11" s="100">
        <f>AV10-AV7</f>
        <v>-12500</v>
      </c>
      <c r="AW11" s="91"/>
      <c r="AX11" s="91"/>
      <c r="AY11" s="92"/>
      <c r="AZ11" s="93">
        <f t="shared" si="0"/>
        <v>67402.95</v>
      </c>
      <c r="BA11" s="92"/>
      <c r="BB11" s="93">
        <f t="shared" si="1"/>
        <v>104902.95</v>
      </c>
      <c r="BC11" s="92"/>
      <c r="BD11" s="94">
        <f t="shared" si="2"/>
        <v>29902.949999999997</v>
      </c>
    </row>
    <row r="12" spans="1:56" ht="12.75" customHeight="1">
      <c r="A12" s="5"/>
      <c r="C12" s="61"/>
      <c r="D12" s="100"/>
      <c r="E12" s="91"/>
      <c r="F12" s="91"/>
      <c r="G12" s="92"/>
      <c r="H12" s="100"/>
      <c r="I12" s="91"/>
      <c r="J12" s="91"/>
      <c r="K12" s="92"/>
      <c r="L12" s="100"/>
      <c r="M12" s="91"/>
      <c r="N12" s="91"/>
      <c r="O12" s="92"/>
      <c r="P12" s="100"/>
      <c r="Q12" s="91"/>
      <c r="R12" s="91"/>
      <c r="S12" s="92"/>
      <c r="T12" s="100"/>
      <c r="U12" s="91"/>
      <c r="V12" s="91"/>
      <c r="W12" s="92"/>
      <c r="X12" s="100"/>
      <c r="Y12" s="91"/>
      <c r="Z12" s="91"/>
      <c r="AA12" s="92"/>
      <c r="AB12" s="100"/>
      <c r="AC12" s="91"/>
      <c r="AD12" s="91"/>
      <c r="AE12" s="92"/>
      <c r="AF12" s="100"/>
      <c r="AG12" s="91"/>
      <c r="AH12" s="91"/>
      <c r="AI12" s="92"/>
      <c r="AJ12" s="100"/>
      <c r="AK12" s="91"/>
      <c r="AL12" s="91"/>
      <c r="AM12" s="92"/>
      <c r="AN12" s="100"/>
      <c r="AO12" s="91"/>
      <c r="AP12" s="91"/>
      <c r="AQ12" s="92"/>
      <c r="AR12" s="100"/>
      <c r="AS12" s="91"/>
      <c r="AT12" s="91"/>
      <c r="AU12" s="92"/>
      <c r="AV12" s="100"/>
      <c r="AW12" s="91"/>
      <c r="AX12" s="91"/>
      <c r="AY12" s="92"/>
      <c r="AZ12" s="100"/>
      <c r="BA12" s="92"/>
      <c r="BB12" s="100"/>
      <c r="BC12" s="92"/>
      <c r="BD12" s="91"/>
    </row>
    <row r="13" spans="1:56" ht="12.75" customHeight="1">
      <c r="A13" s="5"/>
      <c r="B13" s="5"/>
      <c r="C13" s="5"/>
      <c r="D13" s="117" t="s">
        <v>152</v>
      </c>
      <c r="E13" s="118" t="s">
        <v>153</v>
      </c>
      <c r="F13" s="118" t="s">
        <v>154</v>
      </c>
      <c r="G13" s="118" t="s">
        <v>155</v>
      </c>
      <c r="H13" s="117" t="s">
        <v>152</v>
      </c>
      <c r="I13" s="118" t="s">
        <v>153</v>
      </c>
      <c r="J13" s="118" t="s">
        <v>154</v>
      </c>
      <c r="K13" s="118" t="s">
        <v>155</v>
      </c>
      <c r="L13" s="117" t="s">
        <v>152</v>
      </c>
      <c r="M13" s="118" t="s">
        <v>153</v>
      </c>
      <c r="N13" s="118" t="s">
        <v>154</v>
      </c>
      <c r="O13" s="118" t="s">
        <v>155</v>
      </c>
      <c r="P13" s="117" t="s">
        <v>152</v>
      </c>
      <c r="Q13" s="118" t="s">
        <v>153</v>
      </c>
      <c r="R13" s="118" t="s">
        <v>154</v>
      </c>
      <c r="S13" s="118" t="s">
        <v>155</v>
      </c>
      <c r="T13" s="117" t="s">
        <v>152</v>
      </c>
      <c r="U13" s="118" t="s">
        <v>153</v>
      </c>
      <c r="V13" s="118" t="s">
        <v>154</v>
      </c>
      <c r="W13" s="118" t="s">
        <v>155</v>
      </c>
      <c r="X13" s="117" t="s">
        <v>152</v>
      </c>
      <c r="Y13" s="118" t="s">
        <v>153</v>
      </c>
      <c r="Z13" s="118" t="s">
        <v>154</v>
      </c>
      <c r="AA13" s="118" t="s">
        <v>155</v>
      </c>
      <c r="AB13" s="117" t="s">
        <v>152</v>
      </c>
      <c r="AC13" s="118" t="s">
        <v>153</v>
      </c>
      <c r="AD13" s="118" t="s">
        <v>154</v>
      </c>
      <c r="AE13" s="118" t="s">
        <v>155</v>
      </c>
      <c r="AF13" s="117" t="s">
        <v>152</v>
      </c>
      <c r="AG13" s="118" t="s">
        <v>153</v>
      </c>
      <c r="AH13" s="118" t="s">
        <v>154</v>
      </c>
      <c r="AI13" s="118" t="s">
        <v>155</v>
      </c>
      <c r="AJ13" s="117" t="s">
        <v>152</v>
      </c>
      <c r="AK13" s="118" t="s">
        <v>153</v>
      </c>
      <c r="AL13" s="118" t="s">
        <v>154</v>
      </c>
      <c r="AM13" s="118" t="s">
        <v>155</v>
      </c>
      <c r="AN13" s="117" t="s">
        <v>152</v>
      </c>
      <c r="AO13" s="118" t="s">
        <v>153</v>
      </c>
      <c r="AP13" s="118" t="s">
        <v>154</v>
      </c>
      <c r="AQ13" s="118" t="s">
        <v>155</v>
      </c>
      <c r="AR13" s="117" t="s">
        <v>152</v>
      </c>
      <c r="AS13" s="118" t="s">
        <v>153</v>
      </c>
      <c r="AT13" s="118" t="s">
        <v>154</v>
      </c>
      <c r="AU13" s="118" t="s">
        <v>155</v>
      </c>
      <c r="AV13" s="117" t="s">
        <v>152</v>
      </c>
      <c r="AW13" s="118" t="s">
        <v>153</v>
      </c>
      <c r="AX13" s="118" t="s">
        <v>154</v>
      </c>
      <c r="AY13" s="118" t="s">
        <v>155</v>
      </c>
      <c r="AZ13" s="100"/>
      <c r="BA13" s="92"/>
      <c r="BB13" s="100"/>
      <c r="BC13" s="92"/>
      <c r="BD13" s="91"/>
    </row>
    <row r="14" spans="1:56" ht="12.75" customHeight="1">
      <c r="A14" s="89" t="s">
        <v>83</v>
      </c>
      <c r="B14" s="265"/>
      <c r="C14" s="121">
        <f>'Copy of Revised PS Model 2015'!BB20</f>
        <v>506752.66261627898</v>
      </c>
      <c r="D14" s="53">
        <v>300</v>
      </c>
      <c r="E14" s="123">
        <f t="shared" ref="E14:E18" si="3">D$9*D14/D$19</f>
        <v>44641.486046511629</v>
      </c>
      <c r="F14" s="124">
        <v>2382.56</v>
      </c>
      <c r="G14" s="123">
        <f t="shared" ref="G14:G18" si="4">E14-F14</f>
        <v>42258.926046511631</v>
      </c>
      <c r="H14" s="214">
        <v>300</v>
      </c>
      <c r="I14" s="123">
        <f t="shared" ref="I14:I18" si="5">H$9*H14/H$19</f>
        <v>47345.713953488375</v>
      </c>
      <c r="J14" s="124">
        <v>2196.2800000000002</v>
      </c>
      <c r="K14" s="123">
        <f t="shared" ref="K14:K18" si="6">I14-J14</f>
        <v>45149.433953488377</v>
      </c>
      <c r="L14" s="214">
        <v>300</v>
      </c>
      <c r="M14" s="123">
        <f t="shared" ref="M14:M18" si="7">L$9*L14/L$19</f>
        <v>63177.620930232559</v>
      </c>
      <c r="N14" s="124">
        <v>1187.95</v>
      </c>
      <c r="O14" s="123">
        <f t="shared" ref="O14:O18" si="8">M14-N14</f>
        <v>61989.670930232562</v>
      </c>
      <c r="P14" s="214">
        <v>300</v>
      </c>
      <c r="Q14" s="123">
        <f t="shared" ref="Q14:Q18" si="9">P$9*P14/P$19</f>
        <v>-8357.1428571428569</v>
      </c>
      <c r="R14" s="124"/>
      <c r="S14" s="123">
        <f t="shared" ref="S14:S18" si="10">Q14-R14</f>
        <v>-8357.1428571428569</v>
      </c>
      <c r="T14" s="214">
        <v>300</v>
      </c>
      <c r="U14" s="123">
        <f t="shared" ref="U14:U18" si="11">T$9*T14/T$19</f>
        <v>-8928.5714285714294</v>
      </c>
      <c r="V14" s="124"/>
      <c r="W14" s="123">
        <f t="shared" ref="W14:W18" si="12">U14-V14</f>
        <v>-8928.5714285714294</v>
      </c>
      <c r="X14" s="214">
        <v>300</v>
      </c>
      <c r="Y14" s="123">
        <f t="shared" ref="Y14:Y18" si="13">X$9*X14/X$19</f>
        <v>-8928.5714285714294</v>
      </c>
      <c r="Z14" s="124"/>
      <c r="AA14" s="123">
        <f t="shared" ref="AA14:AA18" si="14">Y14-Z14</f>
        <v>-8928.5714285714294</v>
      </c>
      <c r="AB14" s="214">
        <v>300</v>
      </c>
      <c r="AC14" s="123">
        <f t="shared" ref="AC14:AC18" si="15">AB$9*AB14/AB$19</f>
        <v>-8928.5714285714294</v>
      </c>
      <c r="AD14" s="124"/>
      <c r="AE14" s="123">
        <f t="shared" ref="AE14:AE18" si="16">AC14-AD14</f>
        <v>-8928.5714285714294</v>
      </c>
      <c r="AF14" s="214">
        <v>300</v>
      </c>
      <c r="AG14" s="123">
        <f t="shared" ref="AG14:AG18" si="17">AF$9*AF14/AF$19</f>
        <v>-8928.5714285714294</v>
      </c>
      <c r="AH14" s="124"/>
      <c r="AI14" s="123">
        <f t="shared" ref="AI14:AI18" si="18">AG14-AH14</f>
        <v>-8928.5714285714294</v>
      </c>
      <c r="AJ14" s="214">
        <v>300</v>
      </c>
      <c r="AK14" s="123">
        <f t="shared" ref="AK14:AK18" si="19">AJ$9*AJ14/AJ$19</f>
        <v>-8928.5714285714294</v>
      </c>
      <c r="AL14" s="124"/>
      <c r="AM14" s="123">
        <f t="shared" ref="AM14:AM18" si="20">AK14-AL14</f>
        <v>-8928.5714285714294</v>
      </c>
      <c r="AN14" s="214">
        <v>300</v>
      </c>
      <c r="AO14" s="123">
        <f t="shared" ref="AO14:AO18" si="21">AN$9*AN14/AN$19</f>
        <v>-8928.5714285714294</v>
      </c>
      <c r="AP14" s="124"/>
      <c r="AQ14" s="123">
        <f t="shared" ref="AQ14:AQ18" si="22">AO14-AP14</f>
        <v>-8928.5714285714294</v>
      </c>
      <c r="AR14" s="214">
        <v>300</v>
      </c>
      <c r="AS14" s="123">
        <f t="shared" ref="AS14:AS18" si="23">AR$9*AR14/AR$19</f>
        <v>-8928.5714285714294</v>
      </c>
      <c r="AT14" s="124"/>
      <c r="AU14" s="123">
        <f t="shared" ref="AU14:AU18" si="24">AS14-AT14</f>
        <v>-8928.5714285714294</v>
      </c>
      <c r="AV14" s="214">
        <v>300</v>
      </c>
      <c r="AW14" s="123">
        <f t="shared" ref="AW14:AW18" si="25">AV$9*AV14/AV$19</f>
        <v>-8928.5714285714294</v>
      </c>
      <c r="AX14" s="124"/>
      <c r="AY14" s="126">
        <f t="shared" ref="AY14:AY18" si="26">AW14-AX14</f>
        <v>-8928.5714285714294</v>
      </c>
      <c r="AZ14" s="127">
        <f t="shared" ref="AZ14:AZ18" si="27">IF($AV$3="1Q",AY14,0)+IF($AR$3="1Q",AU14,0)+IF($AN$3="1Q",AQ14,0)+IF($AJ$3="1Q",AM14,0)+IF($AF$3="1Q",AI14,0)+IF($AB$3="1Q",AE14,0)+IF($X$3="1Q",AA14,0)+IF($T$3="1Q",W14,0)+IF($P$3="1Q",S14,0)+IF($L$3="1Q",O14,0)+IF($H$3="1Q",K14,0)+IF($D$3="1Q",G14,0)</f>
        <v>149398.03093023258</v>
      </c>
      <c r="BA14" s="128">
        <f>AZ14-AZ11+$C14</f>
        <v>588747.74354651151</v>
      </c>
      <c r="BB14" s="127">
        <f t="shared" ref="BB14:BB18" si="28">IF($AV$4="1H",AY14,0)+IF($AR$4="1H",AU14,0)+IF($AN$4="1H",AQ14,0)+IF($AJ$4="1H",AM14,0)+IF($AF$4="1H",AI14,0)+IF($AB$4="1H",AE14,0)+IF($X$4="1H",AA14,0)+IF($T$4="1H",W14,0)+IF($P$4="1H",S14,0)+IF($L$4="1H",O14,0)+IF($H$4="1H",K14,0)+IF($D$4="1H",G14,0)</f>
        <v>123183.74521594684</v>
      </c>
      <c r="BC14" s="128">
        <f>BB14-BB11+$C14</f>
        <v>525033.45783222583</v>
      </c>
      <c r="BD14" s="127">
        <f>AY14+AU14+AQ14+AM14+AI14+AE14+AA14+W14+S14+O14+K14+G14-BD11</f>
        <v>39709.36664451829</v>
      </c>
    </row>
    <row r="15" spans="1:56" ht="12.75" customHeight="1">
      <c r="A15" s="89" t="s">
        <v>209</v>
      </c>
      <c r="B15" s="265"/>
      <c r="C15" s="121">
        <f>'Copy of Revised PS Model 2015'!BB21</f>
        <v>-861.51662790702903</v>
      </c>
      <c r="D15" s="53">
        <v>100</v>
      </c>
      <c r="E15" s="123">
        <f t="shared" si="3"/>
        <v>14880.495348837208</v>
      </c>
      <c r="F15" s="124"/>
      <c r="G15" s="123">
        <f t="shared" si="4"/>
        <v>14880.495348837208</v>
      </c>
      <c r="H15" s="214">
        <v>100</v>
      </c>
      <c r="I15" s="123">
        <f t="shared" si="5"/>
        <v>15781.904651162791</v>
      </c>
      <c r="J15" s="124"/>
      <c r="K15" s="123">
        <f t="shared" si="6"/>
        <v>15781.904651162791</v>
      </c>
      <c r="L15" s="214">
        <v>100</v>
      </c>
      <c r="M15" s="123">
        <f t="shared" si="7"/>
        <v>21059.206976744186</v>
      </c>
      <c r="N15" s="124"/>
      <c r="O15" s="123">
        <f t="shared" si="8"/>
        <v>21059.206976744186</v>
      </c>
      <c r="P15" s="214">
        <v>100</v>
      </c>
      <c r="Q15" s="123">
        <f t="shared" si="9"/>
        <v>-2785.7142857142858</v>
      </c>
      <c r="R15" s="124"/>
      <c r="S15" s="123">
        <f t="shared" si="10"/>
        <v>-2785.7142857142858</v>
      </c>
      <c r="T15" s="214">
        <v>100</v>
      </c>
      <c r="U15" s="123">
        <f t="shared" si="11"/>
        <v>-2976.1904761904761</v>
      </c>
      <c r="V15" s="124"/>
      <c r="W15" s="123">
        <f t="shared" si="12"/>
        <v>-2976.1904761904761</v>
      </c>
      <c r="X15" s="214">
        <v>100</v>
      </c>
      <c r="Y15" s="123">
        <f t="shared" si="13"/>
        <v>-2976.1904761904761</v>
      </c>
      <c r="Z15" s="124"/>
      <c r="AA15" s="123">
        <f t="shared" si="14"/>
        <v>-2976.1904761904761</v>
      </c>
      <c r="AB15" s="214">
        <v>100</v>
      </c>
      <c r="AC15" s="123">
        <f t="shared" si="15"/>
        <v>-2976.1904761904761</v>
      </c>
      <c r="AD15" s="124"/>
      <c r="AE15" s="123">
        <f t="shared" si="16"/>
        <v>-2976.1904761904761</v>
      </c>
      <c r="AF15" s="214">
        <v>100</v>
      </c>
      <c r="AG15" s="123">
        <f t="shared" si="17"/>
        <v>-2976.1904761904761</v>
      </c>
      <c r="AH15" s="124"/>
      <c r="AI15" s="123">
        <f t="shared" si="18"/>
        <v>-2976.1904761904761</v>
      </c>
      <c r="AJ15" s="214">
        <v>100</v>
      </c>
      <c r="AK15" s="123">
        <f t="shared" si="19"/>
        <v>-2976.1904761904761</v>
      </c>
      <c r="AL15" s="124"/>
      <c r="AM15" s="123">
        <f t="shared" si="20"/>
        <v>-2976.1904761904761</v>
      </c>
      <c r="AN15" s="214">
        <v>100</v>
      </c>
      <c r="AO15" s="123">
        <f t="shared" si="21"/>
        <v>-2976.1904761904761</v>
      </c>
      <c r="AP15" s="124"/>
      <c r="AQ15" s="123">
        <f t="shared" si="22"/>
        <v>-2976.1904761904761</v>
      </c>
      <c r="AR15" s="214">
        <v>100</v>
      </c>
      <c r="AS15" s="123">
        <f t="shared" si="23"/>
        <v>-2976.1904761904761</v>
      </c>
      <c r="AT15" s="124"/>
      <c r="AU15" s="123">
        <f t="shared" si="24"/>
        <v>-2976.1904761904761</v>
      </c>
      <c r="AV15" s="214">
        <v>100</v>
      </c>
      <c r="AW15" s="123">
        <f t="shared" si="25"/>
        <v>-2976.1904761904761</v>
      </c>
      <c r="AX15" s="124"/>
      <c r="AY15" s="126">
        <f t="shared" si="26"/>
        <v>-2976.1904761904761</v>
      </c>
      <c r="AZ15" s="127">
        <f t="shared" si="27"/>
        <v>51721.60697674418</v>
      </c>
      <c r="BA15" s="128">
        <f t="shared" ref="BA15:BA18" si="29">AZ15+$C15</f>
        <v>50860.090348837155</v>
      </c>
      <c r="BB15" s="127">
        <f t="shared" si="28"/>
        <v>42983.511738648944</v>
      </c>
      <c r="BC15" s="128">
        <f t="shared" ref="BC15:BC18" si="30">BB15+$C15</f>
        <v>42121.995110741918</v>
      </c>
      <c r="BD15" s="127">
        <f t="shared" ref="BD15:BD18" si="31">AY15+AU15+AQ15+AM15+AI15+AE15+AA15+W15+S15+O15+K15+G15</f>
        <v>25126.368881506089</v>
      </c>
    </row>
    <row r="16" spans="1:56" ht="12.75" customHeight="1">
      <c r="A16" s="89" t="s">
        <v>319</v>
      </c>
      <c r="B16" s="265"/>
      <c r="C16" s="121">
        <f>'Copy of Revised PS Model 2015'!BB22</f>
        <v>-81.091162790697354</v>
      </c>
      <c r="D16" s="53">
        <v>10</v>
      </c>
      <c r="E16" s="123">
        <f t="shared" si="3"/>
        <v>1488.049534883721</v>
      </c>
      <c r="F16" s="124"/>
      <c r="G16" s="123">
        <f t="shared" si="4"/>
        <v>1488.049534883721</v>
      </c>
      <c r="H16" s="53">
        <v>10</v>
      </c>
      <c r="I16" s="123">
        <f t="shared" si="5"/>
        <v>1578.190465116279</v>
      </c>
      <c r="J16" s="124"/>
      <c r="K16" s="123">
        <f t="shared" si="6"/>
        <v>1578.190465116279</v>
      </c>
      <c r="L16" s="53">
        <v>10</v>
      </c>
      <c r="M16" s="123">
        <f t="shared" si="7"/>
        <v>2105.9206976744185</v>
      </c>
      <c r="N16" s="124">
        <v>800</v>
      </c>
      <c r="O16" s="123">
        <f t="shared" si="8"/>
        <v>1305.9206976744185</v>
      </c>
      <c r="P16" s="214">
        <v>0</v>
      </c>
      <c r="Q16" s="123">
        <f t="shared" si="9"/>
        <v>0</v>
      </c>
      <c r="R16" s="124"/>
      <c r="S16" s="123">
        <f t="shared" si="10"/>
        <v>0</v>
      </c>
      <c r="T16" s="214">
        <v>0</v>
      </c>
      <c r="U16" s="123">
        <f t="shared" si="11"/>
        <v>0</v>
      </c>
      <c r="V16" s="124"/>
      <c r="W16" s="123">
        <f t="shared" si="12"/>
        <v>0</v>
      </c>
      <c r="X16" s="214">
        <v>0</v>
      </c>
      <c r="Y16" s="123">
        <f t="shared" si="13"/>
        <v>0</v>
      </c>
      <c r="Z16" s="124"/>
      <c r="AA16" s="123">
        <f t="shared" si="14"/>
        <v>0</v>
      </c>
      <c r="AB16" s="214">
        <v>0</v>
      </c>
      <c r="AC16" s="123">
        <f t="shared" si="15"/>
        <v>0</v>
      </c>
      <c r="AD16" s="124"/>
      <c r="AE16" s="123">
        <f t="shared" si="16"/>
        <v>0</v>
      </c>
      <c r="AF16" s="214">
        <v>0</v>
      </c>
      <c r="AG16" s="123">
        <f t="shared" si="17"/>
        <v>0</v>
      </c>
      <c r="AH16" s="124"/>
      <c r="AI16" s="123">
        <f t="shared" si="18"/>
        <v>0</v>
      </c>
      <c r="AJ16" s="214">
        <v>0</v>
      </c>
      <c r="AK16" s="123">
        <f t="shared" si="19"/>
        <v>0</v>
      </c>
      <c r="AL16" s="124"/>
      <c r="AM16" s="123">
        <f t="shared" si="20"/>
        <v>0</v>
      </c>
      <c r="AN16" s="214">
        <v>0</v>
      </c>
      <c r="AO16" s="123">
        <f t="shared" si="21"/>
        <v>0</v>
      </c>
      <c r="AP16" s="124"/>
      <c r="AQ16" s="123">
        <f t="shared" si="22"/>
        <v>0</v>
      </c>
      <c r="AR16" s="214">
        <v>0</v>
      </c>
      <c r="AS16" s="123">
        <f t="shared" si="23"/>
        <v>0</v>
      </c>
      <c r="AT16" s="124"/>
      <c r="AU16" s="123">
        <f t="shared" si="24"/>
        <v>0</v>
      </c>
      <c r="AV16" s="214">
        <v>0</v>
      </c>
      <c r="AW16" s="123">
        <f t="shared" si="25"/>
        <v>0</v>
      </c>
      <c r="AX16" s="124"/>
      <c r="AY16" s="126">
        <f t="shared" si="26"/>
        <v>0</v>
      </c>
      <c r="AZ16" s="127">
        <f t="shared" si="27"/>
        <v>4372.1606976744188</v>
      </c>
      <c r="BA16" s="128">
        <f t="shared" si="29"/>
        <v>4291.0695348837216</v>
      </c>
      <c r="BB16" s="127">
        <f t="shared" si="28"/>
        <v>4372.1606976744188</v>
      </c>
      <c r="BC16" s="128">
        <f t="shared" si="30"/>
        <v>4291.0695348837216</v>
      </c>
      <c r="BD16" s="127">
        <f t="shared" si="31"/>
        <v>4372.1606976744188</v>
      </c>
    </row>
    <row r="17" spans="1:56" ht="12.75" customHeight="1">
      <c r="A17" s="89" t="s">
        <v>61</v>
      </c>
      <c r="B17" s="265"/>
      <c r="C17" s="121">
        <f>'Copy of Revised PS Model 2015'!BB23</f>
        <v>-81.091162790697354</v>
      </c>
      <c r="D17" s="53">
        <v>10</v>
      </c>
      <c r="E17" s="123">
        <f t="shared" si="3"/>
        <v>1488.049534883721</v>
      </c>
      <c r="F17" s="124"/>
      <c r="G17" s="123">
        <f t="shared" si="4"/>
        <v>1488.049534883721</v>
      </c>
      <c r="H17" s="53">
        <v>10</v>
      </c>
      <c r="I17" s="123">
        <f t="shared" si="5"/>
        <v>1578.190465116279</v>
      </c>
      <c r="J17" s="124"/>
      <c r="K17" s="123">
        <f t="shared" si="6"/>
        <v>1578.190465116279</v>
      </c>
      <c r="L17" s="53">
        <v>10</v>
      </c>
      <c r="M17" s="123">
        <f t="shared" si="7"/>
        <v>2105.9206976744185</v>
      </c>
      <c r="N17" s="124"/>
      <c r="O17" s="123">
        <f t="shared" si="8"/>
        <v>2105.9206976744185</v>
      </c>
      <c r="P17" s="214">
        <v>10</v>
      </c>
      <c r="Q17" s="123">
        <f t="shared" si="9"/>
        <v>-278.57142857142856</v>
      </c>
      <c r="R17" s="124"/>
      <c r="S17" s="123">
        <f t="shared" si="10"/>
        <v>-278.57142857142856</v>
      </c>
      <c r="T17" s="214">
        <v>10</v>
      </c>
      <c r="U17" s="123">
        <f t="shared" si="11"/>
        <v>-297.61904761904759</v>
      </c>
      <c r="V17" s="124"/>
      <c r="W17" s="123">
        <f t="shared" si="12"/>
        <v>-297.61904761904759</v>
      </c>
      <c r="X17" s="214">
        <v>10</v>
      </c>
      <c r="Y17" s="123">
        <f t="shared" si="13"/>
        <v>-297.61904761904759</v>
      </c>
      <c r="Z17" s="124"/>
      <c r="AA17" s="123">
        <f t="shared" si="14"/>
        <v>-297.61904761904759</v>
      </c>
      <c r="AB17" s="214">
        <v>10</v>
      </c>
      <c r="AC17" s="123">
        <f t="shared" si="15"/>
        <v>-297.61904761904759</v>
      </c>
      <c r="AD17" s="124"/>
      <c r="AE17" s="123">
        <f t="shared" si="16"/>
        <v>-297.61904761904759</v>
      </c>
      <c r="AF17" s="214">
        <v>10</v>
      </c>
      <c r="AG17" s="123">
        <f t="shared" si="17"/>
        <v>-297.61904761904759</v>
      </c>
      <c r="AH17" s="124"/>
      <c r="AI17" s="123">
        <f t="shared" si="18"/>
        <v>-297.61904761904759</v>
      </c>
      <c r="AJ17" s="214">
        <v>10</v>
      </c>
      <c r="AK17" s="123">
        <f t="shared" si="19"/>
        <v>-297.61904761904759</v>
      </c>
      <c r="AL17" s="124"/>
      <c r="AM17" s="123">
        <f t="shared" si="20"/>
        <v>-297.61904761904759</v>
      </c>
      <c r="AN17" s="214">
        <v>10</v>
      </c>
      <c r="AO17" s="123">
        <f t="shared" si="21"/>
        <v>-297.61904761904759</v>
      </c>
      <c r="AP17" s="124"/>
      <c r="AQ17" s="123">
        <f t="shared" si="22"/>
        <v>-297.61904761904759</v>
      </c>
      <c r="AR17" s="214">
        <v>10</v>
      </c>
      <c r="AS17" s="123">
        <f t="shared" si="23"/>
        <v>-297.61904761904759</v>
      </c>
      <c r="AT17" s="124"/>
      <c r="AU17" s="123">
        <f t="shared" si="24"/>
        <v>-297.61904761904759</v>
      </c>
      <c r="AV17" s="214">
        <v>10</v>
      </c>
      <c r="AW17" s="123">
        <f t="shared" si="25"/>
        <v>-297.61904761904759</v>
      </c>
      <c r="AX17" s="124"/>
      <c r="AY17" s="126">
        <f t="shared" si="26"/>
        <v>-297.61904761904759</v>
      </c>
      <c r="AZ17" s="127">
        <f t="shared" si="27"/>
        <v>5172.1606976744188</v>
      </c>
      <c r="BA17" s="128">
        <f t="shared" si="29"/>
        <v>5091.0695348837216</v>
      </c>
      <c r="BB17" s="127">
        <f t="shared" si="28"/>
        <v>4298.3511738648949</v>
      </c>
      <c r="BC17" s="128">
        <f t="shared" si="30"/>
        <v>4217.2600110741978</v>
      </c>
      <c r="BD17" s="127">
        <f t="shared" si="31"/>
        <v>2512.6368881506087</v>
      </c>
    </row>
    <row r="18" spans="1:56" ht="12.75" customHeight="1">
      <c r="A18" s="89" t="s">
        <v>65</v>
      </c>
      <c r="B18" s="265"/>
      <c r="C18" s="121">
        <f>'Copy of Revised PS Model 2015'!BB24</f>
        <v>-81.091162790697354</v>
      </c>
      <c r="D18" s="53">
        <v>10</v>
      </c>
      <c r="E18" s="123">
        <f t="shared" si="3"/>
        <v>1488.049534883721</v>
      </c>
      <c r="F18" s="124"/>
      <c r="G18" s="123">
        <f t="shared" si="4"/>
        <v>1488.049534883721</v>
      </c>
      <c r="H18" s="53">
        <v>10</v>
      </c>
      <c r="I18" s="123">
        <f t="shared" si="5"/>
        <v>1578.190465116279</v>
      </c>
      <c r="J18" s="124"/>
      <c r="K18" s="123">
        <f t="shared" si="6"/>
        <v>1578.190465116279</v>
      </c>
      <c r="L18" s="53">
        <v>10</v>
      </c>
      <c r="M18" s="123">
        <f t="shared" si="7"/>
        <v>2105.9206976744185</v>
      </c>
      <c r="N18" s="124"/>
      <c r="O18" s="123">
        <f t="shared" si="8"/>
        <v>2105.9206976744185</v>
      </c>
      <c r="P18" s="214">
        <v>10</v>
      </c>
      <c r="Q18" s="123">
        <f t="shared" si="9"/>
        <v>-278.57142857142856</v>
      </c>
      <c r="R18" s="124"/>
      <c r="S18" s="123">
        <f t="shared" si="10"/>
        <v>-278.57142857142856</v>
      </c>
      <c r="T18" s="214">
        <v>10</v>
      </c>
      <c r="U18" s="123">
        <f t="shared" si="11"/>
        <v>-297.61904761904759</v>
      </c>
      <c r="V18" s="124"/>
      <c r="W18" s="123">
        <f t="shared" si="12"/>
        <v>-297.61904761904759</v>
      </c>
      <c r="X18" s="214">
        <v>10</v>
      </c>
      <c r="Y18" s="123">
        <f t="shared" si="13"/>
        <v>-297.61904761904759</v>
      </c>
      <c r="Z18" s="124"/>
      <c r="AA18" s="123">
        <f t="shared" si="14"/>
        <v>-297.61904761904759</v>
      </c>
      <c r="AB18" s="214">
        <v>10</v>
      </c>
      <c r="AC18" s="123">
        <f t="shared" si="15"/>
        <v>-297.61904761904759</v>
      </c>
      <c r="AD18" s="124"/>
      <c r="AE18" s="123">
        <f t="shared" si="16"/>
        <v>-297.61904761904759</v>
      </c>
      <c r="AF18" s="214">
        <v>10</v>
      </c>
      <c r="AG18" s="123">
        <f t="shared" si="17"/>
        <v>-297.61904761904759</v>
      </c>
      <c r="AH18" s="124"/>
      <c r="AI18" s="123">
        <f t="shared" si="18"/>
        <v>-297.61904761904759</v>
      </c>
      <c r="AJ18" s="214">
        <v>10</v>
      </c>
      <c r="AK18" s="123">
        <f t="shared" si="19"/>
        <v>-297.61904761904759</v>
      </c>
      <c r="AL18" s="124"/>
      <c r="AM18" s="123">
        <f t="shared" si="20"/>
        <v>-297.61904761904759</v>
      </c>
      <c r="AN18" s="214">
        <v>10</v>
      </c>
      <c r="AO18" s="123">
        <f t="shared" si="21"/>
        <v>-297.61904761904759</v>
      </c>
      <c r="AP18" s="124"/>
      <c r="AQ18" s="123">
        <f t="shared" si="22"/>
        <v>-297.61904761904759</v>
      </c>
      <c r="AR18" s="214">
        <v>10</v>
      </c>
      <c r="AS18" s="123">
        <f t="shared" si="23"/>
        <v>-297.61904761904759</v>
      </c>
      <c r="AT18" s="124"/>
      <c r="AU18" s="123">
        <f t="shared" si="24"/>
        <v>-297.61904761904759</v>
      </c>
      <c r="AV18" s="214">
        <v>10</v>
      </c>
      <c r="AW18" s="123">
        <f t="shared" si="25"/>
        <v>-297.61904761904759</v>
      </c>
      <c r="AX18" s="124"/>
      <c r="AY18" s="126">
        <f t="shared" si="26"/>
        <v>-297.61904761904759</v>
      </c>
      <c r="AZ18" s="127">
        <f t="shared" si="27"/>
        <v>5172.1606976744188</v>
      </c>
      <c r="BA18" s="128">
        <f t="shared" si="29"/>
        <v>5091.0695348837216</v>
      </c>
      <c r="BB18" s="127">
        <f t="shared" si="28"/>
        <v>4298.3511738648949</v>
      </c>
      <c r="BC18" s="128">
        <f t="shared" si="30"/>
        <v>4217.2600110741978</v>
      </c>
      <c r="BD18" s="127">
        <f t="shared" si="31"/>
        <v>2512.6368881506087</v>
      </c>
    </row>
    <row r="19" spans="1:56" ht="12.75" customHeight="1">
      <c r="A19" s="89"/>
      <c r="C19" s="61"/>
      <c r="D19" s="148">
        <f t="shared" ref="D19:E19" si="32">SUM(D14:D18)</f>
        <v>430</v>
      </c>
      <c r="E19" s="149">
        <f t="shared" si="32"/>
        <v>63986.13</v>
      </c>
      <c r="F19" s="91"/>
      <c r="G19" s="91"/>
      <c r="H19" s="148">
        <f t="shared" ref="H19:I19" si="33">SUM(H14:H18)</f>
        <v>430</v>
      </c>
      <c r="I19" s="149">
        <f t="shared" si="33"/>
        <v>67862.19</v>
      </c>
      <c r="J19" s="91"/>
      <c r="K19" s="91"/>
      <c r="L19" s="148">
        <f t="shared" ref="L19:M19" si="34">SUM(L14:L18)</f>
        <v>430</v>
      </c>
      <c r="M19" s="149">
        <f t="shared" si="34"/>
        <v>90554.59</v>
      </c>
      <c r="N19" s="91"/>
      <c r="O19" s="91"/>
      <c r="P19" s="148">
        <f t="shared" ref="P19:Q19" si="35">SUM(P14:P18)</f>
        <v>420</v>
      </c>
      <c r="Q19" s="149">
        <f t="shared" si="35"/>
        <v>-11700.000000000002</v>
      </c>
      <c r="R19" s="91"/>
      <c r="S19" s="91"/>
      <c r="T19" s="148">
        <f t="shared" ref="T19:U19" si="36">SUM(T14:T18)</f>
        <v>420</v>
      </c>
      <c r="U19" s="149">
        <f t="shared" si="36"/>
        <v>-12500</v>
      </c>
      <c r="V19" s="91"/>
      <c r="W19" s="91"/>
      <c r="X19" s="148">
        <f t="shared" ref="X19:Y19" si="37">SUM(X14:X18)</f>
        <v>420</v>
      </c>
      <c r="Y19" s="149">
        <f t="shared" si="37"/>
        <v>-12500</v>
      </c>
      <c r="Z19" s="91"/>
      <c r="AA19" s="91"/>
      <c r="AB19" s="148">
        <f t="shared" ref="AB19:AC19" si="38">SUM(AB14:AB18)</f>
        <v>420</v>
      </c>
      <c r="AC19" s="149">
        <f t="shared" si="38"/>
        <v>-12500</v>
      </c>
      <c r="AD19" s="91"/>
      <c r="AE19" s="91"/>
      <c r="AF19" s="148">
        <f t="shared" ref="AF19:AG19" si="39">SUM(AF14:AF18)</f>
        <v>420</v>
      </c>
      <c r="AG19" s="149">
        <f t="shared" si="39"/>
        <v>-12500</v>
      </c>
      <c r="AH19" s="91"/>
      <c r="AI19" s="91"/>
      <c r="AJ19" s="148">
        <f t="shared" ref="AJ19:AK19" si="40">SUM(AJ14:AJ18)</f>
        <v>420</v>
      </c>
      <c r="AK19" s="149">
        <f t="shared" si="40"/>
        <v>-12500</v>
      </c>
      <c r="AL19" s="91"/>
      <c r="AM19" s="91"/>
      <c r="AN19" s="148">
        <f t="shared" ref="AN19:AO19" si="41">SUM(AN14:AN18)</f>
        <v>420</v>
      </c>
      <c r="AO19" s="149">
        <f t="shared" si="41"/>
        <v>-12500</v>
      </c>
      <c r="AP19" s="91"/>
      <c r="AQ19" s="91"/>
      <c r="AR19" s="148">
        <f t="shared" ref="AR19:AS19" si="42">SUM(AR14:AR18)</f>
        <v>420</v>
      </c>
      <c r="AS19" s="149">
        <f t="shared" si="42"/>
        <v>-12500</v>
      </c>
      <c r="AT19" s="91"/>
      <c r="AU19" s="91"/>
      <c r="AV19" s="148">
        <f t="shared" ref="AV19:AW19" si="43">SUM(AV14:AV18)</f>
        <v>420</v>
      </c>
      <c r="AW19" s="149">
        <f t="shared" si="43"/>
        <v>-12500</v>
      </c>
      <c r="AX19" s="124"/>
      <c r="AY19" s="92"/>
      <c r="AZ19" s="91"/>
      <c r="BA19" s="150"/>
      <c r="BB19" s="91"/>
      <c r="BC19" s="150"/>
    </row>
    <row r="20" spans="1:56" ht="12.75" customHeight="1">
      <c r="A20" s="89"/>
      <c r="B20" s="5"/>
      <c r="C20" s="61"/>
      <c r="D20" s="10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W20" s="151"/>
      <c r="AX20" s="151"/>
      <c r="AY20" s="284"/>
      <c r="AZ20" s="285" t="str">
        <f>"Paid for "&amp;AZ2</f>
        <v>Paid for 1Q</v>
      </c>
      <c r="BA20" s="184"/>
      <c r="BB20" s="285" t="str">
        <f>"Paid for "&amp;BB2</f>
        <v>Paid for 1H</v>
      </c>
      <c r="BC20" s="184"/>
      <c r="BD20" s="91"/>
    </row>
    <row r="21" spans="1:56" ht="12.75" customHeight="1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Y21" s="250" t="s">
        <v>83</v>
      </c>
      <c r="AZ21" s="90" t="s">
        <v>323</v>
      </c>
      <c r="BA21" s="61"/>
      <c r="BB21" s="90" t="s">
        <v>323</v>
      </c>
      <c r="BC21" s="61"/>
      <c r="BD21" s="91">
        <f t="shared" ref="BD21:BD25" si="44">BD14+C14</f>
        <v>546462.02926079731</v>
      </c>
    </row>
    <row r="22" spans="1:56" ht="12.75" customHeight="1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Y22" s="250" t="s">
        <v>209</v>
      </c>
      <c r="AZ22" s="90">
        <v>0</v>
      </c>
      <c r="BA22" s="61"/>
      <c r="BB22" s="90">
        <v>0</v>
      </c>
      <c r="BC22" s="61"/>
      <c r="BD22" s="91">
        <f t="shared" si="44"/>
        <v>24264.85225359906</v>
      </c>
    </row>
    <row r="23" spans="1:56" ht="12.75" customHeight="1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Y23" s="250" t="s">
        <v>319</v>
      </c>
      <c r="AZ23" s="90">
        <v>0</v>
      </c>
      <c r="BA23" s="61"/>
      <c r="BB23" s="90">
        <v>0</v>
      </c>
      <c r="BC23" s="61"/>
      <c r="BD23" s="91">
        <f t="shared" si="44"/>
        <v>4291.0695348837216</v>
      </c>
    </row>
    <row r="24" spans="1:56" ht="12.75" customHeight="1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Y24" s="250" t="s">
        <v>61</v>
      </c>
      <c r="AZ24" s="90">
        <v>0</v>
      </c>
      <c r="BA24" s="61"/>
      <c r="BB24" s="90">
        <v>0</v>
      </c>
      <c r="BC24" s="61"/>
      <c r="BD24" s="91">
        <f t="shared" si="44"/>
        <v>2431.5457253599116</v>
      </c>
    </row>
    <row r="25" spans="1:56" ht="12.75" customHeight="1">
      <c r="A25" s="89"/>
      <c r="B25" s="5"/>
      <c r="C25" s="61"/>
      <c r="D25" s="10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W25" s="151"/>
      <c r="AY25" s="250" t="s">
        <v>65</v>
      </c>
      <c r="AZ25" s="90">
        <v>0</v>
      </c>
      <c r="BA25" s="61"/>
      <c r="BB25" s="90">
        <v>0</v>
      </c>
      <c r="BC25" s="61"/>
      <c r="BD25" s="91">
        <f t="shared" si="44"/>
        <v>2431.5457253599116</v>
      </c>
    </row>
    <row r="26" spans="1:56" ht="12.75" customHeight="1">
      <c r="A26" s="89"/>
      <c r="C26" s="61"/>
      <c r="D26" s="62"/>
      <c r="BC26" s="91"/>
      <c r="BD26" s="91"/>
    </row>
    <row r="27" spans="1:56" ht="12.75" customHeight="1">
      <c r="A27" s="89"/>
      <c r="C27" s="61"/>
      <c r="D27" s="62"/>
      <c r="AZ27" s="230"/>
      <c r="BA27" s="230"/>
      <c r="BB27" s="230"/>
      <c r="BC27" s="91"/>
      <c r="BD27" s="91"/>
    </row>
    <row r="28" spans="1:56" ht="12.75" customHeight="1">
      <c r="A28" s="89"/>
      <c r="C28" s="61"/>
      <c r="D28" s="62"/>
      <c r="AZ28" s="152"/>
      <c r="BA28" s="152"/>
      <c r="BB28" s="152"/>
      <c r="BC28" s="91"/>
      <c r="BD28" s="91"/>
    </row>
    <row r="29" spans="1:56" ht="12.75" customHeight="1">
      <c r="A29" s="89" t="s">
        <v>201</v>
      </c>
      <c r="C29" s="61"/>
      <c r="D29" s="62"/>
      <c r="AN29" s="1" t="s">
        <v>148</v>
      </c>
      <c r="AZ29" s="152"/>
      <c r="BA29" s="152"/>
      <c r="BB29" s="152"/>
      <c r="BC29" s="91"/>
      <c r="BD29" s="91"/>
    </row>
    <row r="30" spans="1:56" ht="12.75" customHeight="1">
      <c r="A30" s="89"/>
      <c r="C30" s="61"/>
      <c r="D30" s="62"/>
      <c r="BC30" s="91"/>
    </row>
    <row r="31" spans="1:56" ht="12.75" customHeight="1">
      <c r="A31" s="89"/>
      <c r="C31" s="61"/>
      <c r="D31" s="62"/>
    </row>
    <row r="32" spans="1:56" ht="12.75" customHeight="1">
      <c r="A32" s="89"/>
      <c r="C32" s="61"/>
      <c r="D32" s="62"/>
    </row>
    <row r="33" spans="1:4" ht="12.75" customHeight="1">
      <c r="A33" s="89"/>
      <c r="C33" s="61"/>
      <c r="D33" s="62"/>
    </row>
    <row r="34" spans="1:4" ht="12.75" customHeight="1">
      <c r="A34" s="89"/>
      <c r="C34" s="61"/>
      <c r="D34" s="62"/>
    </row>
    <row r="35" spans="1:4" ht="12.75" customHeight="1">
      <c r="A35" s="89"/>
      <c r="C35" s="61"/>
      <c r="D35" s="62"/>
    </row>
    <row r="36" spans="1:4" ht="12.75" customHeight="1">
      <c r="A36" s="89"/>
      <c r="C36" s="61"/>
      <c r="D36" s="62"/>
    </row>
    <row r="37" spans="1:4" ht="12.75" customHeight="1">
      <c r="A37" s="89"/>
      <c r="C37" s="61"/>
      <c r="D37" s="62"/>
    </row>
    <row r="38" spans="1:4" ht="12.75" customHeight="1">
      <c r="A38" s="89"/>
      <c r="C38" s="61"/>
      <c r="D38" s="62"/>
    </row>
    <row r="39" spans="1:4" ht="12.75" customHeight="1">
      <c r="A39" s="89"/>
      <c r="C39" s="61"/>
      <c r="D39" s="62"/>
    </row>
    <row r="40" spans="1:4" ht="12.75" customHeight="1">
      <c r="A40" s="89"/>
      <c r="C40" s="61"/>
      <c r="D40" s="62"/>
    </row>
    <row r="41" spans="1:4" ht="12.75" customHeight="1">
      <c r="A41" s="89"/>
      <c r="C41" s="61"/>
      <c r="D41" s="62"/>
    </row>
    <row r="42" spans="1:4" ht="12.75" customHeight="1">
      <c r="A42" s="89"/>
      <c r="C42" s="61"/>
      <c r="D42" s="6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BB41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2" width="15.1640625" customWidth="1"/>
    <col min="13" max="14" width="9.33203125" customWidth="1"/>
    <col min="15" max="16" width="15.1640625" customWidth="1"/>
    <col min="17" max="18" width="11.1640625" customWidth="1"/>
    <col min="19" max="48" width="15.1640625" customWidth="1"/>
    <col min="49" max="50" width="10.5" customWidth="1"/>
    <col min="51" max="51" width="10.83203125" customWidth="1"/>
    <col min="52" max="54" width="15.1640625" customWidth="1"/>
  </cols>
  <sheetData>
    <row r="1" spans="1:54" ht="12.75" customHeight="1">
      <c r="A1" s="5" t="s">
        <v>148</v>
      </c>
      <c r="C1" s="61" t="s">
        <v>131</v>
      </c>
      <c r="D1" s="59">
        <v>42035</v>
      </c>
      <c r="E1" s="60"/>
      <c r="F1" s="60"/>
      <c r="G1" s="61"/>
      <c r="H1" s="59">
        <v>42063</v>
      </c>
      <c r="I1" s="60"/>
      <c r="J1" s="60"/>
      <c r="K1" s="61"/>
      <c r="L1" s="59">
        <v>42094</v>
      </c>
      <c r="M1" s="60"/>
      <c r="N1" s="60"/>
      <c r="O1" s="61"/>
      <c r="P1" s="59">
        <v>42124</v>
      </c>
      <c r="Q1" s="60"/>
      <c r="R1" s="60"/>
      <c r="S1" s="61"/>
      <c r="T1" s="59">
        <v>42155</v>
      </c>
      <c r="U1" s="60"/>
      <c r="V1" s="60"/>
      <c r="W1" s="61"/>
      <c r="X1" s="59">
        <v>42185</v>
      </c>
      <c r="Y1" s="60"/>
      <c r="Z1" s="60"/>
      <c r="AA1" s="61"/>
      <c r="AB1" s="59">
        <v>42216</v>
      </c>
      <c r="AC1" s="60"/>
      <c r="AD1" s="60"/>
      <c r="AE1" s="61"/>
      <c r="AF1" s="59">
        <v>42247</v>
      </c>
      <c r="AG1" s="60"/>
      <c r="AH1" s="60"/>
      <c r="AI1" s="61"/>
      <c r="AJ1" s="59">
        <v>42277</v>
      </c>
      <c r="AK1" s="60"/>
      <c r="AL1" s="60"/>
      <c r="AM1" s="61"/>
      <c r="AN1" s="59">
        <v>42308</v>
      </c>
      <c r="AO1" s="60"/>
      <c r="AP1" s="60"/>
      <c r="AQ1" s="61"/>
      <c r="AR1" s="59">
        <v>42338</v>
      </c>
      <c r="AS1" s="60"/>
      <c r="AT1" s="60"/>
      <c r="AU1" s="61"/>
      <c r="AV1" s="59">
        <v>42369</v>
      </c>
      <c r="AW1" s="60"/>
      <c r="AX1" s="60"/>
      <c r="AZ1" s="62"/>
      <c r="BA1" s="61"/>
    </row>
    <row r="2" spans="1:54" ht="12.75" customHeight="1">
      <c r="A2" s="5"/>
      <c r="C2" s="61"/>
      <c r="D2" s="62">
        <f>YEAR(D1)</f>
        <v>2015</v>
      </c>
      <c r="G2" s="61"/>
      <c r="H2" s="62">
        <f>YEAR(H1)</f>
        <v>2015</v>
      </c>
      <c r="K2" s="61"/>
      <c r="L2" s="62">
        <f>YEAR(L1)</f>
        <v>2015</v>
      </c>
      <c r="O2" s="61"/>
      <c r="P2" s="62">
        <f>YEAR(P1)</f>
        <v>2015</v>
      </c>
      <c r="S2" s="61"/>
      <c r="T2" s="62">
        <f>YEAR(T1)</f>
        <v>2015</v>
      </c>
      <c r="W2" s="61"/>
      <c r="X2" s="62">
        <f>YEAR(X1)</f>
        <v>2015</v>
      </c>
      <c r="AA2" s="61"/>
      <c r="AB2" s="62">
        <f>YEAR(AB1)</f>
        <v>2015</v>
      </c>
      <c r="AE2" s="61"/>
      <c r="AF2" s="62">
        <f>YEAR(AF1)</f>
        <v>2015</v>
      </c>
      <c r="AI2" s="61"/>
      <c r="AJ2" s="62">
        <f>YEAR(AJ1)</f>
        <v>2015</v>
      </c>
      <c r="AM2" s="61"/>
      <c r="AN2" s="62">
        <f>YEAR(AN1)</f>
        <v>2015</v>
      </c>
      <c r="AQ2" s="61"/>
      <c r="AR2" s="62">
        <f>YEAR(AR1)</f>
        <v>2015</v>
      </c>
      <c r="AU2" s="61"/>
      <c r="AV2" s="62">
        <f>YEAR(AV1)</f>
        <v>2015</v>
      </c>
      <c r="AY2" s="61"/>
      <c r="AZ2" s="209" t="s">
        <v>247</v>
      </c>
      <c r="BA2" s="61"/>
      <c r="BB2" s="67">
        <v>2015</v>
      </c>
    </row>
    <row r="3" spans="1:54" ht="12.75" customHeight="1">
      <c r="A3" s="5"/>
      <c r="C3" s="61"/>
      <c r="D3" s="69" t="str">
        <f>IF(MONTH(D1)&lt;7,"1H","2H")</f>
        <v>1H</v>
      </c>
      <c r="G3" s="61"/>
      <c r="H3" s="69" t="str">
        <f>IF(MONTH(H1)&lt;7,"1H","2H")</f>
        <v>1H</v>
      </c>
      <c r="K3" s="61"/>
      <c r="L3" s="69" t="str">
        <f>IF(MONTH(L1)&lt;7,"1H","2H")</f>
        <v>1H</v>
      </c>
      <c r="O3" s="61"/>
      <c r="P3" s="69" t="str">
        <f>IF(MONTH(P1)&lt;7,"1H","2H")</f>
        <v>1H</v>
      </c>
      <c r="S3" s="61"/>
      <c r="T3" s="69" t="str">
        <f>IF(MONTH(T1)&lt;7,"1H","2H")</f>
        <v>1H</v>
      </c>
      <c r="W3" s="61"/>
      <c r="X3" s="69" t="str">
        <f>IF(MONTH(X1)&lt;7,"1H","2H")</f>
        <v>1H</v>
      </c>
      <c r="AA3" s="61"/>
      <c r="AB3" s="69" t="str">
        <f>IF(MONTH(AB1)&lt;7,"1H","2H")</f>
        <v>2H</v>
      </c>
      <c r="AE3" s="61"/>
      <c r="AF3" s="69" t="str">
        <f>IF(MONTH(AF1)&lt;7,"1H","2H")</f>
        <v>2H</v>
      </c>
      <c r="AI3" s="61"/>
      <c r="AJ3" s="69" t="str">
        <f>IF(MONTH(AJ1)&lt;7,"1H","2H")</f>
        <v>2H</v>
      </c>
      <c r="AM3" s="61"/>
      <c r="AN3" s="69" t="str">
        <f>IF(MONTH(AN1)&lt;7,"1H","2H")</f>
        <v>2H</v>
      </c>
      <c r="AQ3" s="61"/>
      <c r="AR3" s="69" t="str">
        <f>IF(MONTH(AR1)&lt;7,"1H","2H")</f>
        <v>2H</v>
      </c>
      <c r="AU3" s="61"/>
      <c r="AV3" s="69" t="str">
        <f>IF(MONTH(AV1)&lt;7,"1H","2H")</f>
        <v>2H</v>
      </c>
      <c r="AY3" s="61"/>
      <c r="AZ3" s="71"/>
      <c r="BA3" s="61"/>
      <c r="BB3" s="72"/>
    </row>
    <row r="4" spans="1:54" ht="12.75" customHeight="1">
      <c r="A4" s="89" t="s">
        <v>136</v>
      </c>
      <c r="C4" s="61"/>
      <c r="D4" s="90">
        <v>65859.72</v>
      </c>
      <c r="E4" s="91"/>
      <c r="F4" s="91"/>
      <c r="G4" s="92"/>
      <c r="H4" s="90">
        <v>82790.78</v>
      </c>
      <c r="I4" s="91"/>
      <c r="J4" s="91"/>
      <c r="K4" s="92"/>
      <c r="L4" s="90">
        <v>83491.37</v>
      </c>
      <c r="M4" s="91"/>
      <c r="N4" s="91"/>
      <c r="O4" s="92"/>
      <c r="P4" s="90">
        <v>69271.09</v>
      </c>
      <c r="Q4" s="91"/>
      <c r="R4" s="91"/>
      <c r="S4" s="92"/>
      <c r="T4" s="90">
        <v>71647.570000000007</v>
      </c>
      <c r="U4" s="91"/>
      <c r="V4" s="91"/>
      <c r="W4" s="92"/>
      <c r="X4" s="90">
        <v>64811.5</v>
      </c>
      <c r="Y4" s="91"/>
      <c r="Z4" s="91"/>
      <c r="AA4" s="92"/>
      <c r="AB4" s="90">
        <v>78578.81</v>
      </c>
      <c r="AC4" s="91"/>
      <c r="AD4" s="91"/>
      <c r="AE4" s="92"/>
      <c r="AF4" s="90">
        <v>69378.89</v>
      </c>
      <c r="AG4" s="91"/>
      <c r="AH4" s="91"/>
      <c r="AI4" s="92"/>
      <c r="AJ4" s="90">
        <v>92231.67</v>
      </c>
      <c r="AK4" s="91"/>
      <c r="AL4" s="91"/>
      <c r="AM4" s="92"/>
      <c r="AN4" s="90">
        <v>80237.66</v>
      </c>
      <c r="AO4" s="91"/>
      <c r="AP4" s="91"/>
      <c r="AQ4" s="92"/>
      <c r="AR4" s="90">
        <v>76176.639999999999</v>
      </c>
      <c r="AS4" s="91"/>
      <c r="AT4" s="91"/>
      <c r="AU4" s="92"/>
      <c r="AV4" s="90">
        <v>-116447.59</v>
      </c>
      <c r="AW4" s="151"/>
      <c r="AX4" s="151"/>
      <c r="AY4" s="92"/>
      <c r="AZ4" s="93">
        <f t="shared" ref="AZ4:AZ10" si="0">SUMIF($D$3:$AY$3,AZ$2,$D4:$AY4)</f>
        <v>437872.02999999997</v>
      </c>
      <c r="BA4" s="92"/>
      <c r="BB4" s="94">
        <f t="shared" ref="BB4:BB10" si="1">SUMIF($D$2:$AY$2,$BB$2,$D4:$AY4)</f>
        <v>718028.1100000001</v>
      </c>
    </row>
    <row r="5" spans="1:54" ht="12.75" customHeight="1">
      <c r="A5" s="89" t="s">
        <v>138</v>
      </c>
      <c r="C5" s="61"/>
      <c r="D5" s="90">
        <v>0</v>
      </c>
      <c r="E5" s="91"/>
      <c r="F5" s="91"/>
      <c r="G5" s="92"/>
      <c r="H5" s="90">
        <v>0</v>
      </c>
      <c r="I5" s="91"/>
      <c r="J5" s="91"/>
      <c r="K5" s="92"/>
      <c r="L5" s="90">
        <v>0</v>
      </c>
      <c r="M5" s="91"/>
      <c r="N5" s="91"/>
      <c r="O5" s="92"/>
      <c r="P5" s="90">
        <v>0</v>
      </c>
      <c r="Q5" s="91"/>
      <c r="R5" s="91"/>
      <c r="S5" s="92"/>
      <c r="T5" s="90">
        <v>0</v>
      </c>
      <c r="U5" s="91"/>
      <c r="V5" s="91"/>
      <c r="W5" s="92"/>
      <c r="X5" s="90">
        <v>0</v>
      </c>
      <c r="Y5" s="91"/>
      <c r="Z5" s="91"/>
      <c r="AA5" s="92"/>
      <c r="AB5" s="90">
        <v>0</v>
      </c>
      <c r="AC5" s="91"/>
      <c r="AD5" s="91"/>
      <c r="AE5" s="92"/>
      <c r="AF5" s="90">
        <v>0</v>
      </c>
      <c r="AG5" s="91"/>
      <c r="AH5" s="91"/>
      <c r="AI5" s="92"/>
      <c r="AJ5" s="90">
        <v>0</v>
      </c>
      <c r="AK5" s="91"/>
      <c r="AL5" s="91"/>
      <c r="AM5" s="92"/>
      <c r="AN5" s="90">
        <v>0</v>
      </c>
      <c r="AO5" s="91"/>
      <c r="AP5" s="91"/>
      <c r="AQ5" s="92"/>
      <c r="AR5" s="90">
        <v>0</v>
      </c>
      <c r="AS5" s="91"/>
      <c r="AT5" s="91"/>
      <c r="AU5" s="92"/>
      <c r="AV5" s="90">
        <v>0</v>
      </c>
      <c r="AW5" s="91"/>
      <c r="AX5" s="91"/>
      <c r="AY5" s="92"/>
      <c r="AZ5" s="93">
        <f t="shared" si="0"/>
        <v>0</v>
      </c>
      <c r="BA5" s="92"/>
      <c r="BB5" s="94">
        <f t="shared" si="1"/>
        <v>0</v>
      </c>
    </row>
    <row r="6" spans="1:54" ht="12.75" customHeight="1">
      <c r="A6" s="89" t="s">
        <v>143</v>
      </c>
      <c r="B6" s="99">
        <v>12500</v>
      </c>
      <c r="C6" s="61"/>
      <c r="D6" s="100">
        <f>'Revised PS Model 2015'!ColinSalary</f>
        <v>12500</v>
      </c>
      <c r="E6" s="91"/>
      <c r="F6" s="91"/>
      <c r="G6" s="92"/>
      <c r="H6" s="100">
        <f>'Revised PS Model 2015'!ColinSalary</f>
        <v>12500</v>
      </c>
      <c r="I6" s="91"/>
      <c r="J6" s="91"/>
      <c r="K6" s="92"/>
      <c r="L6" s="100">
        <f>'Revised PS Model 2015'!ColinSalary</f>
        <v>12500</v>
      </c>
      <c r="M6" s="91"/>
      <c r="N6" s="91"/>
      <c r="O6" s="92"/>
      <c r="P6" s="100">
        <f>'Revised PS Model 2015'!ColinSalary</f>
        <v>12500</v>
      </c>
      <c r="Q6" s="91"/>
      <c r="R6" s="91"/>
      <c r="S6" s="92"/>
      <c r="T6" s="100">
        <f>'Revised PS Model 2015'!ColinSalary</f>
        <v>12500</v>
      </c>
      <c r="U6" s="91"/>
      <c r="V6" s="91"/>
      <c r="W6" s="92"/>
      <c r="X6" s="100">
        <f>'Revised PS Model 2015'!ColinSalary</f>
        <v>12500</v>
      </c>
      <c r="Y6" s="91"/>
      <c r="Z6" s="91"/>
      <c r="AA6" s="92"/>
      <c r="AB6" s="100">
        <f>'Revised PS Model 2015'!ColinSalary</f>
        <v>12500</v>
      </c>
      <c r="AC6" s="91"/>
      <c r="AD6" s="91"/>
      <c r="AE6" s="92"/>
      <c r="AF6" s="100">
        <f>'Revised PS Model 2015'!ColinSalary</f>
        <v>12500</v>
      </c>
      <c r="AG6" s="91"/>
      <c r="AH6" s="91"/>
      <c r="AI6" s="92"/>
      <c r="AJ6" s="100">
        <f>'Revised PS Model 2015'!ColinSalary</f>
        <v>12500</v>
      </c>
      <c r="AK6" s="91"/>
      <c r="AL6" s="91"/>
      <c r="AM6" s="92"/>
      <c r="AN6" s="100">
        <f>'Revised PS Model 2015'!ColinSalary</f>
        <v>12500</v>
      </c>
      <c r="AO6" s="91"/>
      <c r="AP6" s="91"/>
      <c r="AQ6" s="92"/>
      <c r="AR6" s="100">
        <f>'Revised PS Model 2015'!ColinSalary</f>
        <v>12500</v>
      </c>
      <c r="AS6" s="91"/>
      <c r="AT6" s="91"/>
      <c r="AU6" s="92"/>
      <c r="AV6" s="100">
        <f>'Revised PS Model 2015'!ColinSalary</f>
        <v>12500</v>
      </c>
      <c r="AW6" s="91"/>
      <c r="AX6" s="91"/>
      <c r="AY6" s="92"/>
      <c r="AZ6" s="93">
        <f t="shared" si="0"/>
        <v>75000</v>
      </c>
      <c r="BA6" s="92"/>
      <c r="BB6" s="94">
        <f t="shared" si="1"/>
        <v>150000</v>
      </c>
    </row>
    <row r="7" spans="1:54" ht="12.75" customHeight="1">
      <c r="A7" s="89" t="s">
        <v>145</v>
      </c>
      <c r="B7" s="101"/>
      <c r="C7" s="102"/>
      <c r="D7" s="104">
        <f>SUM(F13:F17)</f>
        <v>1976.3700000000026</v>
      </c>
      <c r="E7" s="91"/>
      <c r="F7" s="91"/>
      <c r="G7" s="92"/>
      <c r="H7" s="104">
        <f>SUM(J13:J17)</f>
        <v>934.15</v>
      </c>
      <c r="I7" s="91"/>
      <c r="J7" s="91"/>
      <c r="K7" s="92"/>
      <c r="L7" s="104">
        <f>SUM(N13:N17)</f>
        <v>1499.65</v>
      </c>
      <c r="M7" s="91"/>
      <c r="N7" s="91"/>
      <c r="O7" s="92"/>
      <c r="P7" s="104">
        <f>SUM(R13:R17)</f>
        <v>1010.9100000000035</v>
      </c>
      <c r="Q7" s="91"/>
      <c r="R7" s="91"/>
      <c r="S7" s="92"/>
      <c r="T7" s="104">
        <f>SUM(V13:V17)</f>
        <v>1223.52</v>
      </c>
      <c r="U7" s="91"/>
      <c r="V7" s="91"/>
      <c r="W7" s="92"/>
      <c r="X7" s="104">
        <f>SUM(Z13:Z17)</f>
        <v>1177.9000000000001</v>
      </c>
      <c r="Y7" s="91"/>
      <c r="Z7" s="91"/>
      <c r="AA7" s="92"/>
      <c r="AB7" s="104">
        <f>SUM(AD13:AD17)</f>
        <v>1121.06</v>
      </c>
      <c r="AC7" s="91"/>
      <c r="AD7" s="91"/>
      <c r="AE7" s="92"/>
      <c r="AF7" s="104">
        <f>SUM(AH13:AH17)</f>
        <v>4254.09</v>
      </c>
      <c r="AG7" s="91"/>
      <c r="AH7" s="91"/>
      <c r="AI7" s="92"/>
      <c r="AJ7" s="104">
        <f>SUM(AL13:AL17)</f>
        <v>2057.3200000000002</v>
      </c>
      <c r="AK7" s="91"/>
      <c r="AL7" s="91"/>
      <c r="AM7" s="92"/>
      <c r="AN7" s="104">
        <f>SUM(AP13:AP17)</f>
        <v>1053.26</v>
      </c>
      <c r="AO7" s="91"/>
      <c r="AP7" s="91"/>
      <c r="AQ7" s="92"/>
      <c r="AR7" s="104">
        <f>SUM(AT13:AT17)</f>
        <v>2739.41</v>
      </c>
      <c r="AS7" s="91"/>
      <c r="AT7" s="91"/>
      <c r="AU7" s="92"/>
      <c r="AV7" s="104">
        <f>SUM(AX13:AX17)</f>
        <v>172233.57</v>
      </c>
      <c r="AW7" s="91"/>
      <c r="AX7" s="91"/>
      <c r="AY7" s="92"/>
      <c r="AZ7" s="93">
        <f t="shared" si="0"/>
        <v>7822.5000000000055</v>
      </c>
      <c r="BA7" s="92"/>
      <c r="BB7" s="94">
        <f t="shared" si="1"/>
        <v>191281.21000000002</v>
      </c>
    </row>
    <row r="8" spans="1:54" ht="12.75" customHeight="1">
      <c r="A8" s="89" t="s">
        <v>146</v>
      </c>
      <c r="C8" s="61"/>
      <c r="D8" s="104">
        <f>D4-D5-D6+D7</f>
        <v>55336.090000000004</v>
      </c>
      <c r="E8" s="91"/>
      <c r="F8" s="91"/>
      <c r="G8" s="92"/>
      <c r="H8" s="104">
        <f>H4-H5-H6+H7</f>
        <v>71224.929999999993</v>
      </c>
      <c r="I8" s="91"/>
      <c r="J8" s="91"/>
      <c r="K8" s="92"/>
      <c r="L8" s="104">
        <f>L4-L5-L6+L7</f>
        <v>72491.01999999999</v>
      </c>
      <c r="M8" s="91"/>
      <c r="N8" s="91"/>
      <c r="O8" s="92"/>
      <c r="P8" s="104">
        <f>P4-P5-P6+P7</f>
        <v>57782</v>
      </c>
      <c r="Q8" s="91"/>
      <c r="R8" s="91"/>
      <c r="S8" s="92"/>
      <c r="T8" s="104">
        <f>T4-T5-T6+T7</f>
        <v>60371.090000000004</v>
      </c>
      <c r="U8" s="91"/>
      <c r="V8" s="91"/>
      <c r="W8" s="92"/>
      <c r="X8" s="104">
        <f>X4-X5-X6+X7</f>
        <v>53489.4</v>
      </c>
      <c r="Y8" s="91"/>
      <c r="Z8" s="91"/>
      <c r="AA8" s="92"/>
      <c r="AB8" s="104">
        <f>AB4-AB5-AB6+AB7</f>
        <v>67199.87</v>
      </c>
      <c r="AC8" s="91"/>
      <c r="AD8" s="91"/>
      <c r="AE8" s="92"/>
      <c r="AF8" s="104">
        <f>AF4-AF5-AF6+AF7</f>
        <v>61132.979999999996</v>
      </c>
      <c r="AG8" s="91"/>
      <c r="AH8" s="91"/>
      <c r="AI8" s="92"/>
      <c r="AJ8" s="104">
        <f>AJ4-AJ5-AJ6+AJ7</f>
        <v>81788.990000000005</v>
      </c>
      <c r="AK8" s="91"/>
      <c r="AL8" s="91"/>
      <c r="AM8" s="92"/>
      <c r="AN8" s="104">
        <f>AN4-AN5-AN6+AN7</f>
        <v>68790.92</v>
      </c>
      <c r="AO8" s="91"/>
      <c r="AP8" s="91"/>
      <c r="AQ8" s="92"/>
      <c r="AR8" s="104">
        <f>AR4-AR5-AR6+AR7</f>
        <v>66416.05</v>
      </c>
      <c r="AS8" s="91"/>
      <c r="AT8" s="91"/>
      <c r="AU8" s="92"/>
      <c r="AV8" s="104">
        <f>AV4-AV5-AV6+AV7</f>
        <v>43285.98000000001</v>
      </c>
      <c r="AW8" s="91"/>
      <c r="AX8" s="91"/>
      <c r="AY8" s="92"/>
      <c r="AZ8" s="93">
        <f t="shared" si="0"/>
        <v>370694.53</v>
      </c>
      <c r="BA8" s="92"/>
      <c r="BB8" s="94">
        <f t="shared" si="1"/>
        <v>759309.32000000007</v>
      </c>
    </row>
    <row r="9" spans="1:54" ht="12.75" customHeight="1">
      <c r="A9" s="89" t="s">
        <v>324</v>
      </c>
      <c r="C9" s="61"/>
      <c r="D9" s="90">
        <f>12500+5000+30000</f>
        <v>47500</v>
      </c>
      <c r="E9" s="91"/>
      <c r="F9" s="91"/>
      <c r="G9" s="92"/>
      <c r="H9" s="90">
        <v>87500</v>
      </c>
      <c r="I9" s="91"/>
      <c r="J9" s="91"/>
      <c r="K9" s="92"/>
      <c r="L9" s="90">
        <v>25500</v>
      </c>
      <c r="M9" s="91"/>
      <c r="N9" s="91"/>
      <c r="O9" s="92"/>
      <c r="P9" s="90">
        <f>12500+20000+35000</f>
        <v>67500</v>
      </c>
      <c r="Q9" s="91"/>
      <c r="R9" s="91"/>
      <c r="S9" s="92"/>
      <c r="T9" s="90">
        <v>27500</v>
      </c>
      <c r="U9" s="91"/>
      <c r="V9" s="91"/>
      <c r="W9" s="92"/>
      <c r="X9" s="90">
        <v>43500</v>
      </c>
      <c r="Y9" s="91"/>
      <c r="Z9" s="91"/>
      <c r="AA9" s="92"/>
      <c r="AB9" s="90">
        <v>12500</v>
      </c>
      <c r="AC9" s="91"/>
      <c r="AD9" s="91"/>
      <c r="AE9" s="92"/>
      <c r="AF9" s="90">
        <v>50000</v>
      </c>
      <c r="AG9" s="91"/>
      <c r="AH9" s="91"/>
      <c r="AI9" s="92"/>
      <c r="AJ9" s="90">
        <f>72500+80000</f>
        <v>152500</v>
      </c>
      <c r="AK9" s="91"/>
      <c r="AL9" s="91"/>
      <c r="AM9" s="92"/>
      <c r="AN9" s="90">
        <v>37500</v>
      </c>
      <c r="AO9" s="91"/>
      <c r="AP9" s="91"/>
      <c r="AQ9" s="92"/>
      <c r="AR9" s="90">
        <v>12500</v>
      </c>
      <c r="AS9" s="91"/>
      <c r="AT9" s="91"/>
      <c r="AU9" s="92"/>
      <c r="AV9" s="90">
        <f>12500+100000</f>
        <v>112500</v>
      </c>
      <c r="AW9" s="91"/>
      <c r="AX9" s="91"/>
      <c r="AY9" s="92"/>
      <c r="AZ9" s="93">
        <f t="shared" si="0"/>
        <v>299000</v>
      </c>
      <c r="BA9" s="92"/>
      <c r="BB9" s="94">
        <f t="shared" si="1"/>
        <v>676500</v>
      </c>
    </row>
    <row r="10" spans="1:54" ht="12.75" customHeight="1">
      <c r="A10" s="5" t="s">
        <v>151</v>
      </c>
      <c r="C10" s="61"/>
      <c r="D10" s="100">
        <f>D9-D6</f>
        <v>35000</v>
      </c>
      <c r="E10" s="91"/>
      <c r="F10" s="91"/>
      <c r="G10" s="92"/>
      <c r="H10" s="100">
        <f>H9-H6</f>
        <v>75000</v>
      </c>
      <c r="I10" s="91"/>
      <c r="J10" s="91"/>
      <c r="K10" s="92"/>
      <c r="L10" s="100">
        <f>L9-L6</f>
        <v>13000</v>
      </c>
      <c r="M10" s="91"/>
      <c r="N10" s="91"/>
      <c r="O10" s="92"/>
      <c r="P10" s="100">
        <f>P9-P6</f>
        <v>55000</v>
      </c>
      <c r="Q10" s="91"/>
      <c r="R10" s="91"/>
      <c r="S10" s="92"/>
      <c r="T10" s="100">
        <f>T9-T6</f>
        <v>15000</v>
      </c>
      <c r="U10" s="91"/>
      <c r="V10" s="91"/>
      <c r="W10" s="92"/>
      <c r="X10" s="100">
        <f>X9-X6</f>
        <v>31000</v>
      </c>
      <c r="Y10" s="91"/>
      <c r="Z10" s="91"/>
      <c r="AA10" s="92"/>
      <c r="AB10" s="100">
        <f>AB9-AB6</f>
        <v>0</v>
      </c>
      <c r="AC10" s="91"/>
      <c r="AD10" s="91"/>
      <c r="AE10" s="92"/>
      <c r="AF10" s="100">
        <f>AF9-AF6</f>
        <v>37500</v>
      </c>
      <c r="AG10" s="91"/>
      <c r="AH10" s="91"/>
      <c r="AI10" s="92"/>
      <c r="AJ10" s="100">
        <f>AJ9-AJ6</f>
        <v>140000</v>
      </c>
      <c r="AK10" s="91"/>
      <c r="AL10" s="91"/>
      <c r="AM10" s="92"/>
      <c r="AN10" s="100">
        <f>AN9-AN6</f>
        <v>25000</v>
      </c>
      <c r="AO10" s="91"/>
      <c r="AP10" s="91"/>
      <c r="AQ10" s="92"/>
      <c r="AR10" s="100">
        <f>AR9-AR6</f>
        <v>0</v>
      </c>
      <c r="AS10" s="91"/>
      <c r="AT10" s="91"/>
      <c r="AU10" s="92"/>
      <c r="AV10" s="100">
        <f>AV9-AV6</f>
        <v>100000</v>
      </c>
      <c r="AW10" s="91"/>
      <c r="AX10" s="91"/>
      <c r="AY10" s="92"/>
      <c r="AZ10" s="93">
        <f t="shared" si="0"/>
        <v>224000</v>
      </c>
      <c r="BA10" s="92"/>
      <c r="BB10" s="94">
        <f t="shared" si="1"/>
        <v>526500</v>
      </c>
    </row>
    <row r="11" spans="1:54" ht="12.75" customHeight="1">
      <c r="A11" s="5"/>
      <c r="C11" s="61"/>
      <c r="D11" s="100"/>
      <c r="E11" s="91"/>
      <c r="F11" s="91"/>
      <c r="G11" s="92"/>
      <c r="H11" s="100"/>
      <c r="I11" s="91"/>
      <c r="J11" s="91"/>
      <c r="K11" s="92"/>
      <c r="L11" s="100"/>
      <c r="M11" s="91"/>
      <c r="N11" s="91"/>
      <c r="O11" s="92"/>
      <c r="P11" s="100"/>
      <c r="Q11" s="91"/>
      <c r="R11" s="91"/>
      <c r="S11" s="92"/>
      <c r="T11" s="100"/>
      <c r="U11" s="91"/>
      <c r="V11" s="91"/>
      <c r="W11" s="92"/>
      <c r="X11" s="100"/>
      <c r="Y11" s="91"/>
      <c r="Z11" s="91"/>
      <c r="AA11" s="92"/>
      <c r="AB11" s="100"/>
      <c r="AC11" s="91"/>
      <c r="AD11" s="91"/>
      <c r="AE11" s="92"/>
      <c r="AF11" s="100"/>
      <c r="AG11" s="91"/>
      <c r="AH11" s="91"/>
      <c r="AI11" s="92"/>
      <c r="AJ11" s="100"/>
      <c r="AK11" s="91"/>
      <c r="AL11" s="91"/>
      <c r="AM11" s="92"/>
      <c r="AN11" s="100"/>
      <c r="AO11" s="91"/>
      <c r="AP11" s="91"/>
      <c r="AQ11" s="92"/>
      <c r="AR11" s="100"/>
      <c r="AS11" s="91"/>
      <c r="AT11" s="91"/>
      <c r="AU11" s="92"/>
      <c r="AV11" s="100"/>
      <c r="AW11" s="91"/>
      <c r="AX11" s="91"/>
      <c r="AY11" s="92"/>
      <c r="AZ11" s="100"/>
      <c r="BA11" s="92"/>
      <c r="BB11" s="91"/>
    </row>
    <row r="12" spans="1:54" ht="12.75" customHeight="1">
      <c r="A12" s="5"/>
      <c r="B12" s="5"/>
      <c r="C12" s="5"/>
      <c r="D12" s="117" t="s">
        <v>152</v>
      </c>
      <c r="E12" s="118" t="s">
        <v>153</v>
      </c>
      <c r="F12" s="118" t="s">
        <v>154</v>
      </c>
      <c r="G12" s="118" t="s">
        <v>155</v>
      </c>
      <c r="H12" s="117" t="s">
        <v>152</v>
      </c>
      <c r="I12" s="118" t="s">
        <v>153</v>
      </c>
      <c r="J12" s="118" t="s">
        <v>154</v>
      </c>
      <c r="K12" s="118" t="s">
        <v>155</v>
      </c>
      <c r="L12" s="117" t="s">
        <v>152</v>
      </c>
      <c r="M12" s="118" t="s">
        <v>153</v>
      </c>
      <c r="N12" s="118" t="s">
        <v>154</v>
      </c>
      <c r="O12" s="118" t="s">
        <v>155</v>
      </c>
      <c r="P12" s="117" t="s">
        <v>152</v>
      </c>
      <c r="Q12" s="118" t="s">
        <v>153</v>
      </c>
      <c r="R12" s="118" t="s">
        <v>154</v>
      </c>
      <c r="S12" s="118" t="s">
        <v>155</v>
      </c>
      <c r="T12" s="117" t="s">
        <v>152</v>
      </c>
      <c r="U12" s="118" t="s">
        <v>153</v>
      </c>
      <c r="V12" s="118" t="s">
        <v>154</v>
      </c>
      <c r="W12" s="118" t="s">
        <v>155</v>
      </c>
      <c r="X12" s="117" t="s">
        <v>152</v>
      </c>
      <c r="Y12" s="118" t="s">
        <v>153</v>
      </c>
      <c r="Z12" s="118" t="s">
        <v>154</v>
      </c>
      <c r="AA12" s="118" t="s">
        <v>155</v>
      </c>
      <c r="AB12" s="117" t="s">
        <v>152</v>
      </c>
      <c r="AC12" s="118" t="s">
        <v>153</v>
      </c>
      <c r="AD12" s="118" t="s">
        <v>154</v>
      </c>
      <c r="AE12" s="118" t="s">
        <v>155</v>
      </c>
      <c r="AF12" s="117" t="s">
        <v>152</v>
      </c>
      <c r="AG12" s="118" t="s">
        <v>153</v>
      </c>
      <c r="AH12" s="118" t="s">
        <v>154</v>
      </c>
      <c r="AI12" s="118" t="s">
        <v>155</v>
      </c>
      <c r="AJ12" s="117" t="s">
        <v>152</v>
      </c>
      <c r="AK12" s="118" t="s">
        <v>153</v>
      </c>
      <c r="AL12" s="118" t="s">
        <v>154</v>
      </c>
      <c r="AM12" s="118" t="s">
        <v>155</v>
      </c>
      <c r="AN12" s="117" t="s">
        <v>152</v>
      </c>
      <c r="AO12" s="118" t="s">
        <v>153</v>
      </c>
      <c r="AP12" s="118" t="s">
        <v>154</v>
      </c>
      <c r="AQ12" s="118" t="s">
        <v>155</v>
      </c>
      <c r="AR12" s="117" t="s">
        <v>152</v>
      </c>
      <c r="AS12" s="118" t="s">
        <v>153</v>
      </c>
      <c r="AT12" s="118" t="s">
        <v>154</v>
      </c>
      <c r="AU12" s="118" t="s">
        <v>155</v>
      </c>
      <c r="AV12" s="117" t="s">
        <v>152</v>
      </c>
      <c r="AW12" s="118" t="s">
        <v>153</v>
      </c>
      <c r="AX12" s="118" t="s">
        <v>154</v>
      </c>
      <c r="AY12" s="118" t="s">
        <v>155</v>
      </c>
      <c r="AZ12" s="100"/>
      <c r="BA12" s="92"/>
      <c r="BB12" s="91"/>
    </row>
    <row r="13" spans="1:54" ht="12.75" customHeight="1">
      <c r="A13" s="89" t="s">
        <v>83</v>
      </c>
      <c r="B13" s="265"/>
      <c r="C13" s="121">
        <f>'Revised PS Model 2014'!AP17</f>
        <v>414524.44999999995</v>
      </c>
      <c r="D13" s="53">
        <v>300</v>
      </c>
      <c r="E13" s="123">
        <f t="shared" ref="E13:E17" si="2">D$8*D13/D$18</f>
        <v>41502.067500000005</v>
      </c>
      <c r="F13" s="124">
        <f>36976.37-35000</f>
        <v>1976.3700000000026</v>
      </c>
      <c r="G13" s="123">
        <f t="shared" ref="G13:G17" si="3">E13-F13</f>
        <v>39525.697500000002</v>
      </c>
      <c r="H13" s="214">
        <v>300</v>
      </c>
      <c r="I13" s="123">
        <f t="shared" ref="I13:I17" si="4">H$8*H13/H$18</f>
        <v>53418.697499999987</v>
      </c>
      <c r="J13" s="124">
        <v>934.15</v>
      </c>
      <c r="K13" s="123">
        <f t="shared" ref="K13:K17" si="5">I13-J13</f>
        <v>52484.547499999986</v>
      </c>
      <c r="L13" s="214">
        <v>300</v>
      </c>
      <c r="M13" s="123">
        <f t="shared" ref="M13:M17" si="6">L$8*L13/L$18</f>
        <v>54368.264999999992</v>
      </c>
      <c r="N13" s="124">
        <v>1499.65</v>
      </c>
      <c r="O13" s="123">
        <f t="shared" ref="O13:O17" si="7">M13-N13</f>
        <v>52868.614999999991</v>
      </c>
      <c r="P13" s="214">
        <v>300</v>
      </c>
      <c r="Q13" s="123">
        <f t="shared" ref="Q13:Q17" si="8">P$8*P13/P$18</f>
        <v>43336.5</v>
      </c>
      <c r="R13" s="124">
        <f>56010.91-55000</f>
        <v>1010.9100000000035</v>
      </c>
      <c r="S13" s="123">
        <f t="shared" ref="S13:S17" si="9">Q13-R13</f>
        <v>42325.59</v>
      </c>
      <c r="T13" s="214">
        <v>300</v>
      </c>
      <c r="U13" s="123">
        <f t="shared" ref="U13:U17" si="10">T$8*T13/T$18</f>
        <v>45278.317499999997</v>
      </c>
      <c r="V13" s="124">
        <v>1223.52</v>
      </c>
      <c r="W13" s="123">
        <f t="shared" ref="W13:W17" si="11">U13-V13</f>
        <v>44054.797500000001</v>
      </c>
      <c r="X13" s="214">
        <v>300</v>
      </c>
      <c r="Y13" s="123">
        <f t="shared" ref="Y13:Y17" si="12">X$8*X13/X$18</f>
        <v>40117.050000000003</v>
      </c>
      <c r="Z13" s="124">
        <v>1177.9000000000001</v>
      </c>
      <c r="AA13" s="123">
        <f t="shared" ref="AA13:AA17" si="13">Y13-Z13</f>
        <v>38939.15</v>
      </c>
      <c r="AB13" s="214">
        <v>300</v>
      </c>
      <c r="AC13" s="123">
        <f t="shared" ref="AC13:AC17" si="14">AB$8*AB13/AB$18</f>
        <v>50399.902499999997</v>
      </c>
      <c r="AD13" s="124">
        <v>1121.06</v>
      </c>
      <c r="AE13" s="123">
        <f t="shared" ref="AE13:AE17" si="15">AC13-AD13</f>
        <v>49278.842499999999</v>
      </c>
      <c r="AF13" s="214">
        <v>300</v>
      </c>
      <c r="AG13" s="123">
        <f t="shared" ref="AG13:AG17" si="16">AF$8*AF13/AF$18</f>
        <v>45849.735000000001</v>
      </c>
      <c r="AH13" s="124">
        <v>4254.09</v>
      </c>
      <c r="AI13" s="123">
        <f t="shared" ref="AI13:AI17" si="17">AG13-AH13</f>
        <v>41595.645000000004</v>
      </c>
      <c r="AJ13" s="214">
        <v>300</v>
      </c>
      <c r="AK13" s="123">
        <f t="shared" ref="AK13:AK17" si="18">AJ$8*AJ13/AJ$18</f>
        <v>61341.7425</v>
      </c>
      <c r="AL13" s="124">
        <v>2057.3200000000002</v>
      </c>
      <c r="AM13" s="123">
        <f t="shared" ref="AM13:AM17" si="19">AK13-AL13</f>
        <v>59284.422500000001</v>
      </c>
      <c r="AN13" s="214">
        <v>300</v>
      </c>
      <c r="AO13" s="123">
        <f t="shared" ref="AO13:AO17" si="20">AN$8*AN13/AN$18</f>
        <v>47993.665116279073</v>
      </c>
      <c r="AP13" s="124">
        <v>1053.26</v>
      </c>
      <c r="AQ13" s="123">
        <f t="shared" ref="AQ13:AQ17" si="21">AO13-AP13</f>
        <v>46940.405116279071</v>
      </c>
      <c r="AR13" s="214">
        <v>300</v>
      </c>
      <c r="AS13" s="123">
        <f t="shared" ref="AS13:AS17" si="22">AR$8*AR13/AR$18</f>
        <v>46336.779069767443</v>
      </c>
      <c r="AT13" s="124">
        <v>2739.41</v>
      </c>
      <c r="AU13" s="123">
        <f t="shared" ref="AU13:AU17" si="23">AS13-AT13</f>
        <v>43597.369069767446</v>
      </c>
      <c r="AV13" s="214">
        <v>300</v>
      </c>
      <c r="AW13" s="123">
        <f t="shared" ref="AW13:AW17" si="24">AV$8*AV13/AV$18</f>
        <v>30199.520930232567</v>
      </c>
      <c r="AX13" s="124">
        <v>2366.39</v>
      </c>
      <c r="AY13" s="126">
        <f t="shared" ref="AY13:AY17" si="25">AW13-AX13</f>
        <v>27833.130930232568</v>
      </c>
      <c r="AZ13" s="127">
        <f t="shared" ref="AZ13:AZ17" si="26">IF(AV$3="1H",AY13,0)+IF(AR$3="1H",AU13,0)+IF(AN$3="1H",AQ13,0)+IF(AJ$3="1H",AM13,0)+IF(AF$3="1H",AI13,0)+IF(AB$3="1H",AE13,0)+IF(X$3="1H",AA13,0)+IF(T$3="1H",W13,0)+IF(P$3="1H",S13,0)+IF(L$3="1H",O13,0)+IF(H$3="1H",K13,0)+IF(D$3="1H",G13,0)</f>
        <v>270198.39749999996</v>
      </c>
      <c r="BA13" s="128">
        <f>AZ13-AZ10+C13</f>
        <v>460722.84749999992</v>
      </c>
      <c r="BB13" s="127">
        <f>AY13+AU13+AQ13+AM13+AI13+AE13+AA13+W13+S13+O13+K13+G13-BB10</f>
        <v>12228.212616279023</v>
      </c>
    </row>
    <row r="14" spans="1:54" ht="12.75" customHeight="1">
      <c r="A14" s="89" t="s">
        <v>209</v>
      </c>
      <c r="B14" s="265"/>
      <c r="C14" s="121">
        <f>'Revised PS Model 2014'!AP18</f>
        <v>-30404.687500000033</v>
      </c>
      <c r="D14" s="53">
        <v>100</v>
      </c>
      <c r="E14" s="123">
        <f t="shared" si="2"/>
        <v>13834.022499999999</v>
      </c>
      <c r="F14" s="124"/>
      <c r="G14" s="123">
        <f t="shared" si="3"/>
        <v>13834.022499999999</v>
      </c>
      <c r="H14" s="214">
        <v>100</v>
      </c>
      <c r="I14" s="123">
        <f t="shared" si="4"/>
        <v>17806.232499999998</v>
      </c>
      <c r="J14" s="124"/>
      <c r="K14" s="123">
        <f t="shared" si="5"/>
        <v>17806.232499999998</v>
      </c>
      <c r="L14" s="214">
        <v>100</v>
      </c>
      <c r="M14" s="123">
        <f t="shared" si="6"/>
        <v>18122.754999999997</v>
      </c>
      <c r="N14" s="124"/>
      <c r="O14" s="123">
        <f t="shared" si="7"/>
        <v>18122.754999999997</v>
      </c>
      <c r="P14" s="214">
        <v>100</v>
      </c>
      <c r="Q14" s="123">
        <f t="shared" si="8"/>
        <v>14445.5</v>
      </c>
      <c r="R14" s="124"/>
      <c r="S14" s="123">
        <f t="shared" si="9"/>
        <v>14445.5</v>
      </c>
      <c r="T14" s="214">
        <v>100</v>
      </c>
      <c r="U14" s="123">
        <f t="shared" si="10"/>
        <v>15092.772499999999</v>
      </c>
      <c r="V14" s="124"/>
      <c r="W14" s="123">
        <f t="shared" si="11"/>
        <v>15092.772499999999</v>
      </c>
      <c r="X14" s="214">
        <v>100</v>
      </c>
      <c r="Y14" s="123">
        <f t="shared" si="12"/>
        <v>13372.35</v>
      </c>
      <c r="Z14" s="124"/>
      <c r="AA14" s="123">
        <f t="shared" si="13"/>
        <v>13372.35</v>
      </c>
      <c r="AB14" s="214">
        <v>100</v>
      </c>
      <c r="AC14" s="123">
        <f t="shared" si="14"/>
        <v>16799.967499999999</v>
      </c>
      <c r="AD14" s="124"/>
      <c r="AE14" s="123">
        <f t="shared" si="15"/>
        <v>16799.967499999999</v>
      </c>
      <c r="AF14" s="214">
        <v>100</v>
      </c>
      <c r="AG14" s="123">
        <f t="shared" si="16"/>
        <v>15283.245000000001</v>
      </c>
      <c r="AH14" s="124"/>
      <c r="AI14" s="123">
        <f t="shared" si="17"/>
        <v>15283.245000000001</v>
      </c>
      <c r="AJ14" s="214">
        <v>100</v>
      </c>
      <c r="AK14" s="123">
        <f t="shared" si="18"/>
        <v>20447.247500000001</v>
      </c>
      <c r="AL14" s="124"/>
      <c r="AM14" s="123">
        <f t="shared" si="19"/>
        <v>20447.247500000001</v>
      </c>
      <c r="AN14" s="214">
        <v>100</v>
      </c>
      <c r="AO14" s="123">
        <f t="shared" si="20"/>
        <v>15997.888372093023</v>
      </c>
      <c r="AP14" s="124"/>
      <c r="AQ14" s="123">
        <f t="shared" si="21"/>
        <v>15997.888372093023</v>
      </c>
      <c r="AR14" s="214">
        <v>100</v>
      </c>
      <c r="AS14" s="123">
        <f t="shared" si="22"/>
        <v>15445.593023255815</v>
      </c>
      <c r="AT14" s="124"/>
      <c r="AU14" s="123">
        <f t="shared" si="23"/>
        <v>15445.593023255815</v>
      </c>
      <c r="AV14" s="214">
        <v>100</v>
      </c>
      <c r="AW14" s="123">
        <f t="shared" si="24"/>
        <v>10066.506976744187</v>
      </c>
      <c r="AX14" s="124">
        <v>157170.91</v>
      </c>
      <c r="AY14" s="126">
        <f t="shared" si="25"/>
        <v>-147104.40302325581</v>
      </c>
      <c r="AZ14" s="127">
        <f t="shared" si="26"/>
        <v>92673.632499999978</v>
      </c>
      <c r="BA14" s="128">
        <f t="shared" ref="BA14:BA17" si="27">AZ14+C14</f>
        <v>62268.944999999949</v>
      </c>
      <c r="BB14" s="127">
        <f t="shared" ref="BB14:BB17" si="28">AY14+AU14+AQ14+AM14+AI14+AE14+AA14+W14+S14+O14+K14+G14</f>
        <v>29543.170872093004</v>
      </c>
    </row>
    <row r="15" spans="1:54" ht="12.75" customHeight="1">
      <c r="A15" s="89" t="s">
        <v>319</v>
      </c>
      <c r="B15" s="265"/>
      <c r="C15" s="121">
        <f>'Revised PS Model 2014'!AP19</f>
        <v>0</v>
      </c>
      <c r="D15" s="53">
        <v>0</v>
      </c>
      <c r="E15" s="123">
        <f t="shared" si="2"/>
        <v>0</v>
      </c>
      <c r="F15" s="124"/>
      <c r="G15" s="123">
        <f t="shared" si="3"/>
        <v>0</v>
      </c>
      <c r="H15" s="214">
        <v>0</v>
      </c>
      <c r="I15" s="123">
        <f t="shared" si="4"/>
        <v>0</v>
      </c>
      <c r="J15" s="124"/>
      <c r="K15" s="123">
        <f t="shared" si="5"/>
        <v>0</v>
      </c>
      <c r="L15" s="214">
        <v>0</v>
      </c>
      <c r="M15" s="123">
        <f t="shared" si="6"/>
        <v>0</v>
      </c>
      <c r="N15" s="124"/>
      <c r="O15" s="123">
        <f t="shared" si="7"/>
        <v>0</v>
      </c>
      <c r="P15" s="214">
        <v>0</v>
      </c>
      <c r="Q15" s="123">
        <f t="shared" si="8"/>
        <v>0</v>
      </c>
      <c r="R15" s="124"/>
      <c r="S15" s="123">
        <f t="shared" si="9"/>
        <v>0</v>
      </c>
      <c r="T15" s="214">
        <v>0</v>
      </c>
      <c r="U15" s="123">
        <f t="shared" si="10"/>
        <v>0</v>
      </c>
      <c r="V15" s="124"/>
      <c r="W15" s="123">
        <f t="shared" si="11"/>
        <v>0</v>
      </c>
      <c r="X15" s="214">
        <v>0</v>
      </c>
      <c r="Y15" s="123">
        <f t="shared" si="12"/>
        <v>0</v>
      </c>
      <c r="Z15" s="124"/>
      <c r="AA15" s="123">
        <f t="shared" si="13"/>
        <v>0</v>
      </c>
      <c r="AB15" s="214">
        <v>0</v>
      </c>
      <c r="AC15" s="123">
        <f t="shared" si="14"/>
        <v>0</v>
      </c>
      <c r="AD15" s="124"/>
      <c r="AE15" s="123">
        <f t="shared" si="15"/>
        <v>0</v>
      </c>
      <c r="AF15" s="214">
        <v>0</v>
      </c>
      <c r="AG15" s="123">
        <f t="shared" si="16"/>
        <v>0</v>
      </c>
      <c r="AH15" s="124"/>
      <c r="AI15" s="123">
        <f t="shared" si="17"/>
        <v>0</v>
      </c>
      <c r="AJ15" s="214">
        <v>0</v>
      </c>
      <c r="AK15" s="123">
        <f t="shared" si="18"/>
        <v>0</v>
      </c>
      <c r="AL15" s="124"/>
      <c r="AM15" s="123">
        <f t="shared" si="19"/>
        <v>0</v>
      </c>
      <c r="AN15" s="214">
        <v>10</v>
      </c>
      <c r="AO15" s="123">
        <f t="shared" si="20"/>
        <v>1599.7888372093023</v>
      </c>
      <c r="AP15" s="124"/>
      <c r="AQ15" s="123">
        <f t="shared" si="21"/>
        <v>1599.7888372093023</v>
      </c>
      <c r="AR15" s="214">
        <v>10</v>
      </c>
      <c r="AS15" s="123">
        <f t="shared" si="22"/>
        <v>1544.5593023255815</v>
      </c>
      <c r="AT15" s="124"/>
      <c r="AU15" s="123">
        <f t="shared" si="23"/>
        <v>1544.5593023255815</v>
      </c>
      <c r="AV15" s="214">
        <v>10</v>
      </c>
      <c r="AW15" s="123">
        <f t="shared" si="24"/>
        <v>1006.6506976744189</v>
      </c>
      <c r="AX15" s="124">
        <v>4232.09</v>
      </c>
      <c r="AY15" s="126">
        <f t="shared" si="25"/>
        <v>-3225.4393023255811</v>
      </c>
      <c r="AZ15" s="127">
        <f t="shared" si="26"/>
        <v>0</v>
      </c>
      <c r="BA15" s="128">
        <f t="shared" si="27"/>
        <v>0</v>
      </c>
      <c r="BB15" s="127">
        <f t="shared" si="28"/>
        <v>-81.091162790697354</v>
      </c>
    </row>
    <row r="16" spans="1:54" ht="12.75" customHeight="1">
      <c r="A16" s="89" t="s">
        <v>61</v>
      </c>
      <c r="B16" s="265"/>
      <c r="C16" s="121">
        <f>'Revised PS Model 2014'!AP20</f>
        <v>0</v>
      </c>
      <c r="D16" s="53">
        <v>0</v>
      </c>
      <c r="E16" s="123">
        <f t="shared" si="2"/>
        <v>0</v>
      </c>
      <c r="F16" s="124"/>
      <c r="G16" s="123">
        <f t="shared" si="3"/>
        <v>0</v>
      </c>
      <c r="H16" s="214">
        <v>0</v>
      </c>
      <c r="I16" s="123">
        <f t="shared" si="4"/>
        <v>0</v>
      </c>
      <c r="J16" s="124"/>
      <c r="K16" s="123">
        <f t="shared" si="5"/>
        <v>0</v>
      </c>
      <c r="L16" s="214">
        <v>0</v>
      </c>
      <c r="M16" s="123">
        <f t="shared" si="6"/>
        <v>0</v>
      </c>
      <c r="N16" s="124"/>
      <c r="O16" s="123">
        <f t="shared" si="7"/>
        <v>0</v>
      </c>
      <c r="P16" s="214">
        <v>0</v>
      </c>
      <c r="Q16" s="123">
        <f t="shared" si="8"/>
        <v>0</v>
      </c>
      <c r="R16" s="124"/>
      <c r="S16" s="123">
        <f t="shared" si="9"/>
        <v>0</v>
      </c>
      <c r="T16" s="214">
        <v>0</v>
      </c>
      <c r="U16" s="123">
        <f t="shared" si="10"/>
        <v>0</v>
      </c>
      <c r="V16" s="124"/>
      <c r="W16" s="123">
        <f t="shared" si="11"/>
        <v>0</v>
      </c>
      <c r="X16" s="214">
        <v>0</v>
      </c>
      <c r="Y16" s="123">
        <f t="shared" si="12"/>
        <v>0</v>
      </c>
      <c r="Z16" s="124"/>
      <c r="AA16" s="123">
        <f t="shared" si="13"/>
        <v>0</v>
      </c>
      <c r="AB16" s="214">
        <v>0</v>
      </c>
      <c r="AC16" s="123">
        <f t="shared" si="14"/>
        <v>0</v>
      </c>
      <c r="AD16" s="124"/>
      <c r="AE16" s="123">
        <f t="shared" si="15"/>
        <v>0</v>
      </c>
      <c r="AF16" s="214">
        <v>0</v>
      </c>
      <c r="AG16" s="123">
        <f t="shared" si="16"/>
        <v>0</v>
      </c>
      <c r="AH16" s="124"/>
      <c r="AI16" s="123">
        <f t="shared" si="17"/>
        <v>0</v>
      </c>
      <c r="AJ16" s="214">
        <v>0</v>
      </c>
      <c r="AK16" s="123">
        <f t="shared" si="18"/>
        <v>0</v>
      </c>
      <c r="AL16" s="124"/>
      <c r="AM16" s="123">
        <f t="shared" si="19"/>
        <v>0</v>
      </c>
      <c r="AN16" s="214">
        <v>10</v>
      </c>
      <c r="AO16" s="123">
        <f t="shared" si="20"/>
        <v>1599.7888372093023</v>
      </c>
      <c r="AP16" s="124"/>
      <c r="AQ16" s="123">
        <f t="shared" si="21"/>
        <v>1599.7888372093023</v>
      </c>
      <c r="AR16" s="214">
        <v>10</v>
      </c>
      <c r="AS16" s="123">
        <f t="shared" si="22"/>
        <v>1544.5593023255815</v>
      </c>
      <c r="AT16" s="124"/>
      <c r="AU16" s="123">
        <f t="shared" si="23"/>
        <v>1544.5593023255815</v>
      </c>
      <c r="AV16" s="214">
        <v>10</v>
      </c>
      <c r="AW16" s="123">
        <f t="shared" si="24"/>
        <v>1006.6506976744189</v>
      </c>
      <c r="AX16" s="124">
        <v>4232.09</v>
      </c>
      <c r="AY16" s="126">
        <f t="shared" si="25"/>
        <v>-3225.4393023255811</v>
      </c>
      <c r="AZ16" s="127">
        <f t="shared" si="26"/>
        <v>0</v>
      </c>
      <c r="BA16" s="128">
        <f t="shared" si="27"/>
        <v>0</v>
      </c>
      <c r="BB16" s="127">
        <f t="shared" si="28"/>
        <v>-81.091162790697354</v>
      </c>
    </row>
    <row r="17" spans="1:54" ht="12.75" customHeight="1">
      <c r="A17" s="89" t="s">
        <v>65</v>
      </c>
      <c r="B17" s="265"/>
      <c r="C17" s="121">
        <f>'Revised PS Model 2014'!AP21</f>
        <v>0</v>
      </c>
      <c r="D17" s="53">
        <v>0</v>
      </c>
      <c r="E17" s="123">
        <f t="shared" si="2"/>
        <v>0</v>
      </c>
      <c r="F17" s="124"/>
      <c r="G17" s="123">
        <f t="shared" si="3"/>
        <v>0</v>
      </c>
      <c r="H17" s="214">
        <v>0</v>
      </c>
      <c r="I17" s="123">
        <f t="shared" si="4"/>
        <v>0</v>
      </c>
      <c r="J17" s="124"/>
      <c r="K17" s="123">
        <f t="shared" si="5"/>
        <v>0</v>
      </c>
      <c r="L17" s="214">
        <v>0</v>
      </c>
      <c r="M17" s="123">
        <f t="shared" si="6"/>
        <v>0</v>
      </c>
      <c r="N17" s="124"/>
      <c r="O17" s="123">
        <f t="shared" si="7"/>
        <v>0</v>
      </c>
      <c r="P17" s="214">
        <v>0</v>
      </c>
      <c r="Q17" s="123">
        <f t="shared" si="8"/>
        <v>0</v>
      </c>
      <c r="R17" s="124"/>
      <c r="S17" s="123">
        <f t="shared" si="9"/>
        <v>0</v>
      </c>
      <c r="T17" s="214">
        <v>0</v>
      </c>
      <c r="U17" s="123">
        <f t="shared" si="10"/>
        <v>0</v>
      </c>
      <c r="V17" s="124"/>
      <c r="W17" s="123">
        <f t="shared" si="11"/>
        <v>0</v>
      </c>
      <c r="X17" s="214">
        <v>0</v>
      </c>
      <c r="Y17" s="123">
        <f t="shared" si="12"/>
        <v>0</v>
      </c>
      <c r="Z17" s="124"/>
      <c r="AA17" s="123">
        <f t="shared" si="13"/>
        <v>0</v>
      </c>
      <c r="AB17" s="214">
        <v>0</v>
      </c>
      <c r="AC17" s="123">
        <f t="shared" si="14"/>
        <v>0</v>
      </c>
      <c r="AD17" s="124"/>
      <c r="AE17" s="123">
        <f t="shared" si="15"/>
        <v>0</v>
      </c>
      <c r="AF17" s="214">
        <v>0</v>
      </c>
      <c r="AG17" s="123">
        <f t="shared" si="16"/>
        <v>0</v>
      </c>
      <c r="AH17" s="124"/>
      <c r="AI17" s="123">
        <f t="shared" si="17"/>
        <v>0</v>
      </c>
      <c r="AJ17" s="214">
        <v>0</v>
      </c>
      <c r="AK17" s="123">
        <f t="shared" si="18"/>
        <v>0</v>
      </c>
      <c r="AL17" s="124"/>
      <c r="AM17" s="123">
        <f t="shared" si="19"/>
        <v>0</v>
      </c>
      <c r="AN17" s="214">
        <v>10</v>
      </c>
      <c r="AO17" s="123">
        <f t="shared" si="20"/>
        <v>1599.7888372093023</v>
      </c>
      <c r="AP17" s="124"/>
      <c r="AQ17" s="123">
        <f t="shared" si="21"/>
        <v>1599.7888372093023</v>
      </c>
      <c r="AR17" s="214">
        <v>10</v>
      </c>
      <c r="AS17" s="123">
        <f t="shared" si="22"/>
        <v>1544.5593023255815</v>
      </c>
      <c r="AT17" s="124"/>
      <c r="AU17" s="123">
        <f t="shared" si="23"/>
        <v>1544.5593023255815</v>
      </c>
      <c r="AV17" s="214">
        <v>10</v>
      </c>
      <c r="AW17" s="123">
        <f t="shared" si="24"/>
        <v>1006.6506976744189</v>
      </c>
      <c r="AX17" s="124">
        <v>4232.09</v>
      </c>
      <c r="AY17" s="126">
        <f t="shared" si="25"/>
        <v>-3225.4393023255811</v>
      </c>
      <c r="AZ17" s="127">
        <f t="shared" si="26"/>
        <v>0</v>
      </c>
      <c r="BA17" s="128">
        <f t="shared" si="27"/>
        <v>0</v>
      </c>
      <c r="BB17" s="127">
        <f t="shared" si="28"/>
        <v>-81.091162790697354</v>
      </c>
    </row>
    <row r="18" spans="1:54" ht="12.75" customHeight="1">
      <c r="A18" s="89"/>
      <c r="C18" s="61"/>
      <c r="D18" s="148">
        <f t="shared" ref="D18:E18" si="29">SUM(D13:D17)</f>
        <v>400</v>
      </c>
      <c r="E18" s="149">
        <f t="shared" si="29"/>
        <v>55336.090000000004</v>
      </c>
      <c r="F18" s="91"/>
      <c r="G18" s="91"/>
      <c r="H18" s="148">
        <f t="shared" ref="H18:I18" si="30">SUM(H13:H17)</f>
        <v>400</v>
      </c>
      <c r="I18" s="149">
        <f t="shared" si="30"/>
        <v>71224.929999999993</v>
      </c>
      <c r="J18" s="91"/>
      <c r="K18" s="91"/>
      <c r="L18" s="148">
        <f t="shared" ref="L18:M18" si="31">SUM(L13:L17)</f>
        <v>400</v>
      </c>
      <c r="M18" s="149">
        <f t="shared" si="31"/>
        <v>72491.01999999999</v>
      </c>
      <c r="N18" s="91"/>
      <c r="O18" s="91"/>
      <c r="P18" s="148">
        <f t="shared" ref="P18:Q18" si="32">SUM(P13:P17)</f>
        <v>400</v>
      </c>
      <c r="Q18" s="149">
        <f t="shared" si="32"/>
        <v>57782</v>
      </c>
      <c r="R18" s="91"/>
      <c r="S18" s="91"/>
      <c r="T18" s="148">
        <f t="shared" ref="T18:U18" si="33">SUM(T13:T17)</f>
        <v>400</v>
      </c>
      <c r="U18" s="149">
        <f t="shared" si="33"/>
        <v>60371.09</v>
      </c>
      <c r="V18" s="91"/>
      <c r="W18" s="91"/>
      <c r="X18" s="148">
        <f t="shared" ref="X18:Y18" si="34">SUM(X13:X17)</f>
        <v>400</v>
      </c>
      <c r="Y18" s="149">
        <f t="shared" si="34"/>
        <v>53489.4</v>
      </c>
      <c r="Z18" s="91"/>
      <c r="AA18" s="91"/>
      <c r="AB18" s="148">
        <f t="shared" ref="AB18:AC18" si="35">SUM(AB13:AB17)</f>
        <v>400</v>
      </c>
      <c r="AC18" s="149">
        <f t="shared" si="35"/>
        <v>67199.87</v>
      </c>
      <c r="AD18" s="91"/>
      <c r="AE18" s="91"/>
      <c r="AF18" s="148">
        <f t="shared" ref="AF18:AG18" si="36">SUM(AF13:AF17)</f>
        <v>400</v>
      </c>
      <c r="AG18" s="149">
        <f t="shared" si="36"/>
        <v>61132.98</v>
      </c>
      <c r="AH18" s="91"/>
      <c r="AI18" s="91"/>
      <c r="AJ18" s="148">
        <f t="shared" ref="AJ18:AK18" si="37">SUM(AJ13:AJ17)</f>
        <v>400</v>
      </c>
      <c r="AK18" s="149">
        <f t="shared" si="37"/>
        <v>81788.990000000005</v>
      </c>
      <c r="AL18" s="91"/>
      <c r="AM18" s="91"/>
      <c r="AN18" s="148">
        <f t="shared" ref="AN18:AO18" si="38">SUM(AN13:AN17)</f>
        <v>430</v>
      </c>
      <c r="AO18" s="149">
        <f t="shared" si="38"/>
        <v>68790.92</v>
      </c>
      <c r="AP18" s="91"/>
      <c r="AQ18" s="91"/>
      <c r="AR18" s="148">
        <f t="shared" ref="AR18:AS18" si="39">SUM(AR13:AR17)</f>
        <v>430</v>
      </c>
      <c r="AS18" s="149">
        <f t="shared" si="39"/>
        <v>66416.05</v>
      </c>
      <c r="AT18" s="91"/>
      <c r="AU18" s="91"/>
      <c r="AV18" s="148">
        <f t="shared" ref="AV18:AW18" si="40">SUM(AV13:AV17)</f>
        <v>430</v>
      </c>
      <c r="AW18" s="149">
        <f t="shared" si="40"/>
        <v>43285.980000000018</v>
      </c>
      <c r="AX18" s="124"/>
      <c r="AY18" s="92"/>
      <c r="AZ18" s="91"/>
      <c r="BA18" s="150"/>
    </row>
    <row r="19" spans="1:54" ht="12.75" customHeight="1">
      <c r="A19" s="89"/>
      <c r="B19" s="5"/>
      <c r="C19" s="61"/>
      <c r="D19" s="100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W19" s="151"/>
      <c r="AX19" s="151"/>
      <c r="AY19" s="92"/>
      <c r="AZ19" s="124"/>
      <c r="BA19" s="61"/>
      <c r="BB19" s="91"/>
    </row>
    <row r="20" spans="1:54" ht="12.75" customHeight="1">
      <c r="A20" s="89"/>
      <c r="B20" s="5"/>
      <c r="C20" s="61"/>
      <c r="D20" s="10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W20" s="151"/>
      <c r="AX20" s="89" t="s">
        <v>83</v>
      </c>
      <c r="AY20" s="92" t="s">
        <v>325</v>
      </c>
      <c r="AZ20" s="90" t="s">
        <v>323</v>
      </c>
      <c r="BA20" s="61"/>
      <c r="BB20" s="91">
        <f t="shared" ref="BB20:BB24" si="41">BB13+C13</f>
        <v>426752.66261627898</v>
      </c>
    </row>
    <row r="21" spans="1:54" ht="12.75" customHeight="1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X21" s="89" t="s">
        <v>209</v>
      </c>
      <c r="AY21" s="92" t="s">
        <v>325</v>
      </c>
      <c r="AZ21" s="90">
        <v>0</v>
      </c>
      <c r="BA21" s="61"/>
      <c r="BB21" s="91">
        <f t="shared" si="41"/>
        <v>-861.51662790702903</v>
      </c>
    </row>
    <row r="22" spans="1:54" ht="12.75" customHeight="1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X22" s="89" t="s">
        <v>319</v>
      </c>
      <c r="AY22" s="92" t="s">
        <v>325</v>
      </c>
      <c r="AZ22" s="90">
        <v>0</v>
      </c>
      <c r="BA22" s="61"/>
      <c r="BB22" s="91">
        <f t="shared" si="41"/>
        <v>-81.091162790697354</v>
      </c>
    </row>
    <row r="23" spans="1:54" ht="12.75" customHeight="1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X23" s="89" t="s">
        <v>61</v>
      </c>
      <c r="AY23" s="92" t="s">
        <v>325</v>
      </c>
      <c r="AZ23" s="90">
        <v>0</v>
      </c>
      <c r="BA23" s="61"/>
      <c r="BB23" s="91">
        <f t="shared" si="41"/>
        <v>-81.091162790697354</v>
      </c>
    </row>
    <row r="24" spans="1:54" ht="12.75" customHeight="1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X24" s="89" t="s">
        <v>65</v>
      </c>
      <c r="AY24" s="92" t="s">
        <v>325</v>
      </c>
      <c r="AZ24" s="90">
        <v>0</v>
      </c>
      <c r="BA24" s="61"/>
      <c r="BB24" s="91">
        <f t="shared" si="41"/>
        <v>-81.091162790697354</v>
      </c>
    </row>
    <row r="25" spans="1:54" ht="12.75" customHeight="1">
      <c r="A25" s="89"/>
      <c r="C25" s="61"/>
      <c r="D25" s="62"/>
      <c r="BA25" s="91"/>
      <c r="BB25" s="91"/>
    </row>
    <row r="26" spans="1:54" ht="12.75" customHeight="1">
      <c r="A26" s="89"/>
      <c r="C26" s="61"/>
      <c r="D26" s="62"/>
      <c r="AZ26" s="230"/>
      <c r="BA26" s="91"/>
      <c r="BB26" s="91"/>
    </row>
    <row r="27" spans="1:54" ht="12.75" customHeight="1">
      <c r="A27" s="89"/>
      <c r="C27" s="61"/>
      <c r="D27" s="62"/>
      <c r="AZ27" s="152"/>
      <c r="BA27" s="91"/>
      <c r="BB27" s="91"/>
    </row>
    <row r="28" spans="1:54" ht="12.75" customHeight="1">
      <c r="A28" s="89" t="s">
        <v>201</v>
      </c>
      <c r="C28" s="61"/>
      <c r="D28" s="62"/>
      <c r="AN28" s="1" t="s">
        <v>148</v>
      </c>
      <c r="AZ28" s="152"/>
      <c r="BA28" s="91"/>
      <c r="BB28" s="91"/>
    </row>
    <row r="29" spans="1:54" ht="12.75" customHeight="1">
      <c r="A29" s="89"/>
      <c r="C29" s="61"/>
      <c r="D29" s="62"/>
      <c r="BA29" s="91"/>
    </row>
    <row r="30" spans="1:54" ht="12.75" customHeight="1">
      <c r="A30" s="89"/>
      <c r="C30" s="61"/>
      <c r="D30" s="62"/>
    </row>
    <row r="31" spans="1:54" ht="12.75" customHeight="1">
      <c r="A31" s="89"/>
      <c r="C31" s="61"/>
      <c r="D31" s="62"/>
    </row>
    <row r="32" spans="1:54" ht="12.75" customHeight="1">
      <c r="A32" s="89"/>
      <c r="C32" s="61"/>
      <c r="D32" s="62"/>
    </row>
    <row r="33" spans="1:4" ht="12.75" customHeight="1">
      <c r="A33" s="89"/>
      <c r="C33" s="61"/>
      <c r="D33" s="62"/>
    </row>
    <row r="34" spans="1:4" ht="12.75" customHeight="1">
      <c r="A34" s="89"/>
      <c r="C34" s="61"/>
      <c r="D34" s="62"/>
    </row>
    <row r="35" spans="1:4" ht="12.75" customHeight="1">
      <c r="A35" s="89"/>
      <c r="C35" s="61"/>
      <c r="D35" s="62"/>
    </row>
    <row r="36" spans="1:4" ht="12.75" customHeight="1">
      <c r="A36" s="89"/>
      <c r="C36" s="61"/>
      <c r="D36" s="62"/>
    </row>
    <row r="37" spans="1:4" ht="12.75" customHeight="1">
      <c r="A37" s="89"/>
      <c r="C37" s="61"/>
      <c r="D37" s="62"/>
    </row>
    <row r="38" spans="1:4" ht="12.75" customHeight="1">
      <c r="A38" s="89"/>
      <c r="C38" s="61"/>
      <c r="D38" s="62"/>
    </row>
    <row r="39" spans="1:4" ht="12.75" customHeight="1">
      <c r="A39" s="89"/>
      <c r="C39" s="61"/>
      <c r="D39" s="62"/>
    </row>
    <row r="40" spans="1:4" ht="12.75" customHeight="1">
      <c r="A40" s="89"/>
      <c r="C40" s="61"/>
      <c r="D40" s="62"/>
    </row>
    <row r="41" spans="1:4" ht="12.75" customHeight="1">
      <c r="A41" s="89"/>
      <c r="C41" s="61"/>
      <c r="D41" s="6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BB41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2" width="15.1640625" customWidth="1"/>
    <col min="13" max="14" width="9.33203125" customWidth="1"/>
    <col min="15" max="16" width="15.1640625" customWidth="1"/>
    <col min="17" max="18" width="11.1640625" customWidth="1"/>
    <col min="19" max="48" width="15.1640625" customWidth="1"/>
    <col min="49" max="50" width="10.5" customWidth="1"/>
    <col min="51" max="51" width="10.83203125" customWidth="1"/>
    <col min="52" max="54" width="15.1640625" customWidth="1"/>
  </cols>
  <sheetData>
    <row r="1" spans="1:54" ht="12.75" customHeight="1">
      <c r="A1" s="5" t="s">
        <v>148</v>
      </c>
      <c r="C1" s="61" t="s">
        <v>131</v>
      </c>
      <c r="D1" s="59">
        <v>42035</v>
      </c>
      <c r="E1" s="60"/>
      <c r="F1" s="60"/>
      <c r="G1" s="61"/>
      <c r="H1" s="59">
        <v>42063</v>
      </c>
      <c r="I1" s="60"/>
      <c r="J1" s="60"/>
      <c r="K1" s="61"/>
      <c r="L1" s="59">
        <v>42094</v>
      </c>
      <c r="M1" s="60"/>
      <c r="N1" s="60"/>
      <c r="O1" s="61"/>
      <c r="P1" s="59">
        <v>42124</v>
      </c>
      <c r="Q1" s="60"/>
      <c r="R1" s="60"/>
      <c r="S1" s="61"/>
      <c r="T1" s="59">
        <v>42155</v>
      </c>
      <c r="U1" s="60"/>
      <c r="V1" s="60"/>
      <c r="W1" s="61"/>
      <c r="X1" s="59">
        <v>42185</v>
      </c>
      <c r="Y1" s="60"/>
      <c r="Z1" s="60"/>
      <c r="AA1" s="61"/>
      <c r="AB1" s="59">
        <v>42216</v>
      </c>
      <c r="AC1" s="60"/>
      <c r="AD1" s="60"/>
      <c r="AE1" s="61"/>
      <c r="AF1" s="59">
        <v>42247</v>
      </c>
      <c r="AG1" s="60"/>
      <c r="AH1" s="60"/>
      <c r="AI1" s="61"/>
      <c r="AJ1" s="59">
        <v>42277</v>
      </c>
      <c r="AK1" s="60"/>
      <c r="AL1" s="60"/>
      <c r="AM1" s="61"/>
      <c r="AN1" s="59">
        <v>42308</v>
      </c>
      <c r="AO1" s="60"/>
      <c r="AP1" s="60"/>
      <c r="AQ1" s="61"/>
      <c r="AR1" s="59">
        <v>42338</v>
      </c>
      <c r="AS1" s="60"/>
      <c r="AT1" s="60"/>
      <c r="AU1" s="61"/>
      <c r="AV1" s="59">
        <v>42369</v>
      </c>
      <c r="AW1" s="60"/>
      <c r="AX1" s="60"/>
      <c r="AZ1" s="62"/>
      <c r="BA1" s="61"/>
    </row>
    <row r="2" spans="1:54" ht="12.75" customHeight="1">
      <c r="A2" s="5"/>
      <c r="C2" s="61"/>
      <c r="D2" s="62">
        <f>YEAR(D1)</f>
        <v>2015</v>
      </c>
      <c r="G2" s="61"/>
      <c r="H2" s="62">
        <f>YEAR(H1)</f>
        <v>2015</v>
      </c>
      <c r="K2" s="61"/>
      <c r="L2" s="62">
        <f>YEAR(L1)</f>
        <v>2015</v>
      </c>
      <c r="O2" s="61"/>
      <c r="P2" s="62">
        <f>YEAR(P1)</f>
        <v>2015</v>
      </c>
      <c r="S2" s="61"/>
      <c r="T2" s="62">
        <f>YEAR(T1)</f>
        <v>2015</v>
      </c>
      <c r="W2" s="61"/>
      <c r="X2" s="62">
        <f>YEAR(X1)</f>
        <v>2015</v>
      </c>
      <c r="AA2" s="61"/>
      <c r="AB2" s="62">
        <f>YEAR(AB1)</f>
        <v>2015</v>
      </c>
      <c r="AE2" s="61"/>
      <c r="AF2" s="62">
        <f>YEAR(AF1)</f>
        <v>2015</v>
      </c>
      <c r="AI2" s="61"/>
      <c r="AJ2" s="62">
        <f>YEAR(AJ1)</f>
        <v>2015</v>
      </c>
      <c r="AM2" s="61"/>
      <c r="AN2" s="62">
        <f>YEAR(AN1)</f>
        <v>2015</v>
      </c>
      <c r="AQ2" s="61"/>
      <c r="AR2" s="62">
        <f>YEAR(AR1)</f>
        <v>2015</v>
      </c>
      <c r="AU2" s="61"/>
      <c r="AV2" s="62">
        <f>YEAR(AV1)</f>
        <v>2015</v>
      </c>
      <c r="AY2" s="61"/>
      <c r="AZ2" s="209" t="s">
        <v>247</v>
      </c>
      <c r="BA2" s="61"/>
      <c r="BB2" s="67">
        <v>2015</v>
      </c>
    </row>
    <row r="3" spans="1:54" ht="12.75" customHeight="1">
      <c r="A3" s="5"/>
      <c r="C3" s="61"/>
      <c r="D3" s="69" t="str">
        <f>IF(MONTH(D1)&lt;7,"1H","2H")</f>
        <v>1H</v>
      </c>
      <c r="G3" s="61"/>
      <c r="H3" s="69" t="str">
        <f>IF(MONTH(H1)&lt;7,"1H","2H")</f>
        <v>1H</v>
      </c>
      <c r="K3" s="61"/>
      <c r="L3" s="69" t="str">
        <f>IF(MONTH(L1)&lt;7,"1H","2H")</f>
        <v>1H</v>
      </c>
      <c r="O3" s="61"/>
      <c r="P3" s="69" t="str">
        <f>IF(MONTH(P1)&lt;7,"1H","2H")</f>
        <v>1H</v>
      </c>
      <c r="S3" s="61"/>
      <c r="T3" s="69" t="str">
        <f>IF(MONTH(T1)&lt;7,"1H","2H")</f>
        <v>1H</v>
      </c>
      <c r="W3" s="61"/>
      <c r="X3" s="69" t="str">
        <f>IF(MONTH(X1)&lt;7,"1H","2H")</f>
        <v>1H</v>
      </c>
      <c r="AA3" s="61"/>
      <c r="AB3" s="69" t="str">
        <f>IF(MONTH(AB1)&lt;7,"1H","2H")</f>
        <v>2H</v>
      </c>
      <c r="AE3" s="61"/>
      <c r="AF3" s="69" t="str">
        <f>IF(MONTH(AF1)&lt;7,"1H","2H")</f>
        <v>2H</v>
      </c>
      <c r="AI3" s="61"/>
      <c r="AJ3" s="69" t="str">
        <f>IF(MONTH(AJ1)&lt;7,"1H","2H")</f>
        <v>2H</v>
      </c>
      <c r="AM3" s="61"/>
      <c r="AN3" s="69" t="str">
        <f>IF(MONTH(AN1)&lt;7,"1H","2H")</f>
        <v>2H</v>
      </c>
      <c r="AQ3" s="61"/>
      <c r="AR3" s="69" t="str">
        <f>IF(MONTH(AR1)&lt;7,"1H","2H")</f>
        <v>2H</v>
      </c>
      <c r="AU3" s="61"/>
      <c r="AV3" s="69" t="str">
        <f>IF(MONTH(AV1)&lt;7,"1H","2H")</f>
        <v>2H</v>
      </c>
      <c r="AY3" s="61"/>
      <c r="AZ3" s="71"/>
      <c r="BA3" s="61"/>
      <c r="BB3" s="72"/>
    </row>
    <row r="4" spans="1:54" ht="12.75" customHeight="1">
      <c r="A4" s="89" t="s">
        <v>136</v>
      </c>
      <c r="C4" s="61"/>
      <c r="D4" s="90">
        <v>65859.72</v>
      </c>
      <c r="E4" s="91"/>
      <c r="F4" s="91"/>
      <c r="G4" s="92"/>
      <c r="H4" s="90">
        <v>82790.78</v>
      </c>
      <c r="I4" s="91"/>
      <c r="J4" s="91"/>
      <c r="K4" s="92"/>
      <c r="L4" s="90">
        <v>83491.37</v>
      </c>
      <c r="M4" s="91"/>
      <c r="N4" s="91"/>
      <c r="O4" s="92"/>
      <c r="P4" s="90">
        <v>69271.09</v>
      </c>
      <c r="Q4" s="91"/>
      <c r="R4" s="91"/>
      <c r="S4" s="92"/>
      <c r="T4" s="90">
        <v>71647.570000000007</v>
      </c>
      <c r="U4" s="91"/>
      <c r="V4" s="91"/>
      <c r="W4" s="92"/>
      <c r="X4" s="90">
        <v>64811.5</v>
      </c>
      <c r="Y4" s="91"/>
      <c r="Z4" s="91"/>
      <c r="AA4" s="92"/>
      <c r="AB4" s="90">
        <v>78578.81</v>
      </c>
      <c r="AC4" s="91"/>
      <c r="AD4" s="91"/>
      <c r="AE4" s="92"/>
      <c r="AF4" s="90">
        <v>69378.89</v>
      </c>
      <c r="AG4" s="91"/>
      <c r="AH4" s="91"/>
      <c r="AI4" s="92"/>
      <c r="AJ4" s="90">
        <v>92231.67</v>
      </c>
      <c r="AK4" s="91"/>
      <c r="AL4" s="91"/>
      <c r="AM4" s="92"/>
      <c r="AN4" s="90">
        <v>80237.66</v>
      </c>
      <c r="AO4" s="91"/>
      <c r="AP4" s="91"/>
      <c r="AQ4" s="92"/>
      <c r="AR4" s="90">
        <v>76176.639999999999</v>
      </c>
      <c r="AS4" s="91"/>
      <c r="AT4" s="91"/>
      <c r="AU4" s="92"/>
      <c r="AV4" s="90">
        <v>-116447.59</v>
      </c>
      <c r="AW4" s="151"/>
      <c r="AX4" s="151"/>
      <c r="AY4" s="92"/>
      <c r="AZ4" s="93">
        <f t="shared" ref="AZ4:AZ10" si="0">SUMIF($D$3:$AY$3,AZ$2,$D4:$AY4)</f>
        <v>437872.02999999997</v>
      </c>
      <c r="BA4" s="92"/>
      <c r="BB4" s="94">
        <f t="shared" ref="BB4:BB10" si="1">SUMIF($D$2:$AY$2,$BB$2,$D4:$AY4)</f>
        <v>718028.1100000001</v>
      </c>
    </row>
    <row r="5" spans="1:54" ht="12.75" customHeight="1">
      <c r="A5" s="89" t="s">
        <v>138</v>
      </c>
      <c r="C5" s="61"/>
      <c r="D5" s="90">
        <v>0</v>
      </c>
      <c r="E5" s="91"/>
      <c r="F5" s="91"/>
      <c r="G5" s="92"/>
      <c r="H5" s="90">
        <v>0</v>
      </c>
      <c r="I5" s="91"/>
      <c r="J5" s="91"/>
      <c r="K5" s="92"/>
      <c r="L5" s="90">
        <v>0</v>
      </c>
      <c r="M5" s="91"/>
      <c r="N5" s="91"/>
      <c r="O5" s="92"/>
      <c r="P5" s="90">
        <v>0</v>
      </c>
      <c r="Q5" s="91"/>
      <c r="R5" s="91"/>
      <c r="S5" s="92"/>
      <c r="T5" s="90">
        <v>0</v>
      </c>
      <c r="U5" s="91"/>
      <c r="V5" s="91"/>
      <c r="W5" s="92"/>
      <c r="X5" s="90">
        <v>0</v>
      </c>
      <c r="Y5" s="91" t="s">
        <v>322</v>
      </c>
      <c r="Z5" s="91"/>
      <c r="AA5" s="92"/>
      <c r="AB5" s="90">
        <v>0</v>
      </c>
      <c r="AC5" s="91" t="s">
        <v>322</v>
      </c>
      <c r="AD5" s="91"/>
      <c r="AE5" s="92"/>
      <c r="AF5" s="90">
        <v>0</v>
      </c>
      <c r="AG5" s="91" t="s">
        <v>322</v>
      </c>
      <c r="AH5" s="91"/>
      <c r="AI5" s="92"/>
      <c r="AJ5" s="90">
        <v>0</v>
      </c>
      <c r="AK5" s="91" t="s">
        <v>322</v>
      </c>
      <c r="AL5" s="91"/>
      <c r="AM5" s="92"/>
      <c r="AN5" s="90">
        <v>0</v>
      </c>
      <c r="AO5" s="91" t="s">
        <v>322</v>
      </c>
      <c r="AP5" s="91"/>
      <c r="AQ5" s="92"/>
      <c r="AR5" s="90">
        <v>0</v>
      </c>
      <c r="AS5" s="91" t="s">
        <v>322</v>
      </c>
      <c r="AT5" s="91"/>
      <c r="AU5" s="92"/>
      <c r="AV5" s="90">
        <v>0</v>
      </c>
      <c r="AW5" s="91" t="s">
        <v>322</v>
      </c>
      <c r="AX5" s="91"/>
      <c r="AY5" s="92"/>
      <c r="AZ5" s="93">
        <f t="shared" si="0"/>
        <v>0</v>
      </c>
      <c r="BA5" s="92"/>
      <c r="BB5" s="94">
        <f t="shared" si="1"/>
        <v>0</v>
      </c>
    </row>
    <row r="6" spans="1:54" ht="12.75" customHeight="1">
      <c r="A6" s="89" t="s">
        <v>143</v>
      </c>
      <c r="B6" s="99">
        <v>12500</v>
      </c>
      <c r="C6" s="61"/>
      <c r="D6" s="100">
        <f>'Copy of Revised PS Model 2015'!ColinSalary</f>
        <v>12500</v>
      </c>
      <c r="E6" s="91"/>
      <c r="F6" s="91"/>
      <c r="G6" s="92"/>
      <c r="H6" s="100">
        <f>'Copy of Revised PS Model 2015'!ColinSalary</f>
        <v>12500</v>
      </c>
      <c r="I6" s="91"/>
      <c r="J6" s="91"/>
      <c r="K6" s="92"/>
      <c r="L6" s="100">
        <f>'Copy of Revised PS Model 2015'!ColinSalary</f>
        <v>12500</v>
      </c>
      <c r="M6" s="91"/>
      <c r="N6" s="91"/>
      <c r="O6" s="92"/>
      <c r="P6" s="100">
        <f>'Copy of Revised PS Model 2015'!ColinSalary</f>
        <v>12500</v>
      </c>
      <c r="Q6" s="91"/>
      <c r="R6" s="91"/>
      <c r="S6" s="92"/>
      <c r="T6" s="100">
        <f>'Copy of Revised PS Model 2015'!ColinSalary</f>
        <v>12500</v>
      </c>
      <c r="U6" s="91"/>
      <c r="V6" s="91"/>
      <c r="W6" s="92"/>
      <c r="X6" s="100">
        <f>'Copy of Revised PS Model 2015'!ColinSalary</f>
        <v>12500</v>
      </c>
      <c r="Y6" s="91"/>
      <c r="Z6" s="91"/>
      <c r="AA6" s="92"/>
      <c r="AB6" s="100">
        <f>'Copy of Revised PS Model 2015'!ColinSalary</f>
        <v>12500</v>
      </c>
      <c r="AC6" s="91"/>
      <c r="AD6" s="91"/>
      <c r="AE6" s="92"/>
      <c r="AF6" s="100">
        <f>'Copy of Revised PS Model 2015'!ColinSalary</f>
        <v>12500</v>
      </c>
      <c r="AG6" s="91"/>
      <c r="AH6" s="91"/>
      <c r="AI6" s="92"/>
      <c r="AJ6" s="100">
        <f>'Copy of Revised PS Model 2015'!ColinSalary</f>
        <v>12500</v>
      </c>
      <c r="AK6" s="91"/>
      <c r="AL6" s="91"/>
      <c r="AM6" s="92"/>
      <c r="AN6" s="100">
        <f>'Copy of Revised PS Model 2015'!ColinSalary</f>
        <v>12500</v>
      </c>
      <c r="AO6" s="91"/>
      <c r="AP6" s="91"/>
      <c r="AQ6" s="92"/>
      <c r="AR6" s="100">
        <f>'Copy of Revised PS Model 2015'!ColinSalary</f>
        <v>12500</v>
      </c>
      <c r="AS6" s="91"/>
      <c r="AT6" s="91"/>
      <c r="AU6" s="92"/>
      <c r="AV6" s="100">
        <f>'Copy of Revised PS Model 2015'!ColinSalary</f>
        <v>12500</v>
      </c>
      <c r="AW6" s="91"/>
      <c r="AX6" s="91"/>
      <c r="AY6" s="92"/>
      <c r="AZ6" s="93">
        <f t="shared" si="0"/>
        <v>75000</v>
      </c>
      <c r="BA6" s="92"/>
      <c r="BB6" s="94">
        <f t="shared" si="1"/>
        <v>150000</v>
      </c>
    </row>
    <row r="7" spans="1:54" ht="12.75" customHeight="1">
      <c r="A7" s="89" t="s">
        <v>145</v>
      </c>
      <c r="B7" s="101"/>
      <c r="C7" s="102"/>
      <c r="D7" s="104">
        <f>SUM(F13:F17)</f>
        <v>1976.3700000000026</v>
      </c>
      <c r="E7" s="91"/>
      <c r="F7" s="91"/>
      <c r="G7" s="92"/>
      <c r="H7" s="104">
        <f>SUM(J13:J17)</f>
        <v>934.15</v>
      </c>
      <c r="I7" s="91"/>
      <c r="J7" s="91"/>
      <c r="K7" s="92"/>
      <c r="L7" s="104">
        <f>SUM(N13:N17)</f>
        <v>1499.65</v>
      </c>
      <c r="M7" s="91"/>
      <c r="N7" s="91"/>
      <c r="O7" s="92"/>
      <c r="P7" s="104">
        <f>SUM(R13:R17)</f>
        <v>1010.9100000000035</v>
      </c>
      <c r="Q7" s="91"/>
      <c r="R7" s="91"/>
      <c r="S7" s="92"/>
      <c r="T7" s="104">
        <f>SUM(V13:V17)</f>
        <v>1223.52</v>
      </c>
      <c r="U7" s="91"/>
      <c r="V7" s="91"/>
      <c r="W7" s="92"/>
      <c r="X7" s="104">
        <f>SUM(Z13:Z17)</f>
        <v>1177.9000000000001</v>
      </c>
      <c r="Y7" s="91"/>
      <c r="Z7" s="91"/>
      <c r="AA7" s="92"/>
      <c r="AB7" s="104">
        <f>SUM(AD13:AD17)</f>
        <v>1121.06</v>
      </c>
      <c r="AC7" s="91"/>
      <c r="AD7" s="91"/>
      <c r="AE7" s="92"/>
      <c r="AF7" s="104">
        <f>SUM(AH13:AH17)</f>
        <v>4254.09</v>
      </c>
      <c r="AG7" s="91"/>
      <c r="AH7" s="91"/>
      <c r="AI7" s="92"/>
      <c r="AJ7" s="104">
        <f>SUM(AL13:AL17)</f>
        <v>2057.3200000000002</v>
      </c>
      <c r="AK7" s="91"/>
      <c r="AL7" s="91"/>
      <c r="AM7" s="92"/>
      <c r="AN7" s="104">
        <f>SUM(AP13:AP17)</f>
        <v>1053.26</v>
      </c>
      <c r="AO7" s="91"/>
      <c r="AP7" s="91"/>
      <c r="AQ7" s="92"/>
      <c r="AR7" s="104">
        <f>SUM(AT13:AT17)</f>
        <v>2739.41</v>
      </c>
      <c r="AS7" s="91"/>
      <c r="AT7" s="91"/>
      <c r="AU7" s="92"/>
      <c r="AV7" s="104">
        <f>SUM(AX13:AX17)</f>
        <v>172233.57</v>
      </c>
      <c r="AW7" s="91"/>
      <c r="AX7" s="91"/>
      <c r="AY7" s="92"/>
      <c r="AZ7" s="93">
        <f t="shared" si="0"/>
        <v>7822.5000000000055</v>
      </c>
      <c r="BA7" s="92"/>
      <c r="BB7" s="94">
        <f t="shared" si="1"/>
        <v>191281.21000000002</v>
      </c>
    </row>
    <row r="8" spans="1:54" ht="12.75" customHeight="1">
      <c r="A8" s="89" t="s">
        <v>146</v>
      </c>
      <c r="C8" s="61"/>
      <c r="D8" s="104">
        <f>D4-D5-D6+D7</f>
        <v>55336.090000000004</v>
      </c>
      <c r="E8" s="91"/>
      <c r="F8" s="91"/>
      <c r="G8" s="92"/>
      <c r="H8" s="104">
        <f>H4-H5-H6+H7</f>
        <v>71224.929999999993</v>
      </c>
      <c r="I8" s="91"/>
      <c r="J8" s="91"/>
      <c r="K8" s="92"/>
      <c r="L8" s="104">
        <f>L4-L5-L6+L7</f>
        <v>72491.01999999999</v>
      </c>
      <c r="M8" s="91"/>
      <c r="N8" s="91"/>
      <c r="O8" s="92"/>
      <c r="P8" s="104">
        <f>P4-P5-P6+P7</f>
        <v>57782</v>
      </c>
      <c r="Q8" s="91"/>
      <c r="R8" s="91"/>
      <c r="S8" s="92"/>
      <c r="T8" s="104">
        <f>T4-T5-T6+T7</f>
        <v>60371.090000000004</v>
      </c>
      <c r="U8" s="91"/>
      <c r="V8" s="91"/>
      <c r="W8" s="92"/>
      <c r="X8" s="104">
        <f>X4-X5-X6+X7</f>
        <v>53489.4</v>
      </c>
      <c r="Y8" s="91"/>
      <c r="Z8" s="91"/>
      <c r="AA8" s="92"/>
      <c r="AB8" s="104">
        <f>AB4-AB5-AB6+AB7</f>
        <v>67199.87</v>
      </c>
      <c r="AC8" s="91"/>
      <c r="AD8" s="91"/>
      <c r="AE8" s="92"/>
      <c r="AF8" s="104">
        <f>AF4-AF5-AF6+AF7</f>
        <v>61132.979999999996</v>
      </c>
      <c r="AG8" s="91"/>
      <c r="AH8" s="91"/>
      <c r="AI8" s="92"/>
      <c r="AJ8" s="104">
        <f>AJ4-AJ5-AJ6+AJ7</f>
        <v>81788.990000000005</v>
      </c>
      <c r="AK8" s="91"/>
      <c r="AL8" s="91"/>
      <c r="AM8" s="92"/>
      <c r="AN8" s="104">
        <f>AN4-AN5-AN6+AN7</f>
        <v>68790.92</v>
      </c>
      <c r="AO8" s="91"/>
      <c r="AP8" s="91"/>
      <c r="AQ8" s="92"/>
      <c r="AR8" s="104">
        <f>AR4-AR5-AR6+AR7</f>
        <v>66416.05</v>
      </c>
      <c r="AS8" s="91"/>
      <c r="AT8" s="91"/>
      <c r="AU8" s="92"/>
      <c r="AV8" s="104">
        <f>AV4-AV5-AV6+AV7</f>
        <v>43285.98000000001</v>
      </c>
      <c r="AW8" s="91"/>
      <c r="AX8" s="91"/>
      <c r="AY8" s="92"/>
      <c r="AZ8" s="93">
        <f t="shared" si="0"/>
        <v>370694.53</v>
      </c>
      <c r="BA8" s="92"/>
      <c r="BB8" s="94">
        <f t="shared" si="1"/>
        <v>759309.32000000007</v>
      </c>
    </row>
    <row r="9" spans="1:54" ht="12.75" customHeight="1">
      <c r="A9" s="89" t="s">
        <v>324</v>
      </c>
      <c r="C9" s="61"/>
      <c r="D9" s="90">
        <f>12500+5000+30000</f>
        <v>47500</v>
      </c>
      <c r="E9" s="91"/>
      <c r="F9" s="91"/>
      <c r="G9" s="92"/>
      <c r="H9" s="90">
        <v>87500</v>
      </c>
      <c r="I9" s="91"/>
      <c r="J9" s="91"/>
      <c r="K9" s="92"/>
      <c r="L9" s="90">
        <v>25500</v>
      </c>
      <c r="M9" s="91"/>
      <c r="N9" s="91"/>
      <c r="O9" s="92"/>
      <c r="P9" s="90">
        <f>12500+20000+35000</f>
        <v>67500</v>
      </c>
      <c r="Q9" s="91"/>
      <c r="R9" s="91"/>
      <c r="S9" s="92"/>
      <c r="T9" s="90">
        <v>27500</v>
      </c>
      <c r="U9" s="91"/>
      <c r="V9" s="91"/>
      <c r="W9" s="92"/>
      <c r="X9" s="90">
        <v>43500</v>
      </c>
      <c r="Y9" s="91"/>
      <c r="Z9" s="91"/>
      <c r="AA9" s="92"/>
      <c r="AB9" s="90">
        <v>12500</v>
      </c>
      <c r="AC9" s="91"/>
      <c r="AD9" s="91"/>
      <c r="AE9" s="92"/>
      <c r="AF9" s="90">
        <v>50000</v>
      </c>
      <c r="AG9" s="91"/>
      <c r="AH9" s="91"/>
      <c r="AI9" s="92"/>
      <c r="AJ9" s="90">
        <v>72500</v>
      </c>
      <c r="AK9" s="91"/>
      <c r="AL9" s="91"/>
      <c r="AM9" s="92"/>
      <c r="AN9" s="90">
        <v>37500</v>
      </c>
      <c r="AO9" s="91"/>
      <c r="AP9" s="91"/>
      <c r="AQ9" s="92"/>
      <c r="AR9" s="90">
        <v>12500</v>
      </c>
      <c r="AS9" s="91"/>
      <c r="AT9" s="91"/>
      <c r="AU9" s="92"/>
      <c r="AV9" s="90">
        <f>12500+100000</f>
        <v>112500</v>
      </c>
      <c r="AW9" s="91"/>
      <c r="AX9" s="91"/>
      <c r="AY9" s="92"/>
      <c r="AZ9" s="93">
        <f t="shared" si="0"/>
        <v>299000</v>
      </c>
      <c r="BA9" s="92"/>
      <c r="BB9" s="94">
        <f t="shared" si="1"/>
        <v>596500</v>
      </c>
    </row>
    <row r="10" spans="1:54" ht="12.75" customHeight="1">
      <c r="A10" s="5" t="s">
        <v>151</v>
      </c>
      <c r="C10" s="61"/>
      <c r="D10" s="100">
        <f>D9-D6</f>
        <v>35000</v>
      </c>
      <c r="E10" s="91"/>
      <c r="F10" s="91"/>
      <c r="G10" s="92"/>
      <c r="H10" s="100">
        <f>H9-H6</f>
        <v>75000</v>
      </c>
      <c r="I10" s="91"/>
      <c r="J10" s="91"/>
      <c r="K10" s="92"/>
      <c r="L10" s="100">
        <f>L9-L6</f>
        <v>13000</v>
      </c>
      <c r="M10" s="91"/>
      <c r="N10" s="91"/>
      <c r="O10" s="92"/>
      <c r="P10" s="100">
        <f>P9-P6</f>
        <v>55000</v>
      </c>
      <c r="Q10" s="91"/>
      <c r="R10" s="91"/>
      <c r="S10" s="92"/>
      <c r="T10" s="100">
        <f>T9-T6</f>
        <v>15000</v>
      </c>
      <c r="U10" s="91"/>
      <c r="V10" s="91"/>
      <c r="W10" s="92"/>
      <c r="X10" s="100">
        <f>X9-X6</f>
        <v>31000</v>
      </c>
      <c r="Y10" s="91"/>
      <c r="Z10" s="91"/>
      <c r="AA10" s="92"/>
      <c r="AB10" s="100">
        <f>AB9-AB6</f>
        <v>0</v>
      </c>
      <c r="AC10" s="91"/>
      <c r="AD10" s="91"/>
      <c r="AE10" s="92"/>
      <c r="AF10" s="100">
        <f>AF9-AF6</f>
        <v>37500</v>
      </c>
      <c r="AG10" s="91"/>
      <c r="AH10" s="91"/>
      <c r="AI10" s="92"/>
      <c r="AJ10" s="100">
        <f>AJ9-AJ6</f>
        <v>60000</v>
      </c>
      <c r="AK10" s="91"/>
      <c r="AL10" s="91"/>
      <c r="AM10" s="92"/>
      <c r="AN10" s="100">
        <f>AN9-AN6</f>
        <v>25000</v>
      </c>
      <c r="AO10" s="91"/>
      <c r="AP10" s="91"/>
      <c r="AQ10" s="92"/>
      <c r="AR10" s="100">
        <f>AR9-AR6</f>
        <v>0</v>
      </c>
      <c r="AS10" s="91"/>
      <c r="AT10" s="91"/>
      <c r="AU10" s="92"/>
      <c r="AV10" s="100">
        <f>AV9-AV6</f>
        <v>100000</v>
      </c>
      <c r="AW10" s="91"/>
      <c r="AX10" s="91"/>
      <c r="AY10" s="92"/>
      <c r="AZ10" s="93">
        <f t="shared" si="0"/>
        <v>224000</v>
      </c>
      <c r="BA10" s="92"/>
      <c r="BB10" s="94">
        <f t="shared" si="1"/>
        <v>446500</v>
      </c>
    </row>
    <row r="11" spans="1:54" ht="12.75" customHeight="1">
      <c r="A11" s="5"/>
      <c r="C11" s="61"/>
      <c r="D11" s="100"/>
      <c r="E11" s="91"/>
      <c r="F11" s="91"/>
      <c r="G11" s="92"/>
      <c r="H11" s="100"/>
      <c r="I11" s="91"/>
      <c r="J11" s="91"/>
      <c r="K11" s="92"/>
      <c r="L11" s="100"/>
      <c r="M11" s="91"/>
      <c r="N11" s="91"/>
      <c r="O11" s="92"/>
      <c r="P11" s="100"/>
      <c r="Q11" s="91"/>
      <c r="R11" s="91"/>
      <c r="S11" s="92"/>
      <c r="T11" s="100"/>
      <c r="U11" s="91"/>
      <c r="V11" s="91"/>
      <c r="W11" s="92"/>
      <c r="X11" s="100"/>
      <c r="Y11" s="91"/>
      <c r="Z11" s="91"/>
      <c r="AA11" s="92"/>
      <c r="AB11" s="100"/>
      <c r="AC11" s="91"/>
      <c r="AD11" s="91"/>
      <c r="AE11" s="92"/>
      <c r="AF11" s="100"/>
      <c r="AG11" s="91"/>
      <c r="AH11" s="91"/>
      <c r="AI11" s="92"/>
      <c r="AJ11" s="100"/>
      <c r="AK11" s="91"/>
      <c r="AL11" s="91"/>
      <c r="AM11" s="92"/>
      <c r="AN11" s="100"/>
      <c r="AO11" s="91"/>
      <c r="AP11" s="91"/>
      <c r="AQ11" s="92"/>
      <c r="AR11" s="100"/>
      <c r="AS11" s="91"/>
      <c r="AT11" s="91"/>
      <c r="AU11" s="92"/>
      <c r="AV11" s="100"/>
      <c r="AW11" s="91"/>
      <c r="AX11" s="91"/>
      <c r="AY11" s="92"/>
      <c r="AZ11" s="100"/>
      <c r="BA11" s="92"/>
      <c r="BB11" s="91"/>
    </row>
    <row r="12" spans="1:54" ht="12.75" customHeight="1">
      <c r="A12" s="5"/>
      <c r="B12" s="5"/>
      <c r="C12" s="5"/>
      <c r="D12" s="117" t="s">
        <v>152</v>
      </c>
      <c r="E12" s="118" t="s">
        <v>153</v>
      </c>
      <c r="F12" s="118" t="s">
        <v>154</v>
      </c>
      <c r="G12" s="118" t="s">
        <v>155</v>
      </c>
      <c r="H12" s="117" t="s">
        <v>152</v>
      </c>
      <c r="I12" s="118" t="s">
        <v>153</v>
      </c>
      <c r="J12" s="118" t="s">
        <v>154</v>
      </c>
      <c r="K12" s="118" t="s">
        <v>155</v>
      </c>
      <c r="L12" s="117" t="s">
        <v>152</v>
      </c>
      <c r="M12" s="118" t="s">
        <v>153</v>
      </c>
      <c r="N12" s="118" t="s">
        <v>154</v>
      </c>
      <c r="O12" s="118" t="s">
        <v>155</v>
      </c>
      <c r="P12" s="117" t="s">
        <v>152</v>
      </c>
      <c r="Q12" s="118" t="s">
        <v>153</v>
      </c>
      <c r="R12" s="118" t="s">
        <v>154</v>
      </c>
      <c r="S12" s="118" t="s">
        <v>155</v>
      </c>
      <c r="T12" s="117" t="s">
        <v>152</v>
      </c>
      <c r="U12" s="118" t="s">
        <v>153</v>
      </c>
      <c r="V12" s="118" t="s">
        <v>154</v>
      </c>
      <c r="W12" s="118" t="s">
        <v>155</v>
      </c>
      <c r="X12" s="117" t="s">
        <v>152</v>
      </c>
      <c r="Y12" s="118" t="s">
        <v>153</v>
      </c>
      <c r="Z12" s="118" t="s">
        <v>154</v>
      </c>
      <c r="AA12" s="118" t="s">
        <v>155</v>
      </c>
      <c r="AB12" s="117" t="s">
        <v>152</v>
      </c>
      <c r="AC12" s="118" t="s">
        <v>153</v>
      </c>
      <c r="AD12" s="118" t="s">
        <v>154</v>
      </c>
      <c r="AE12" s="118" t="s">
        <v>155</v>
      </c>
      <c r="AF12" s="117" t="s">
        <v>152</v>
      </c>
      <c r="AG12" s="118" t="s">
        <v>153</v>
      </c>
      <c r="AH12" s="118" t="s">
        <v>154</v>
      </c>
      <c r="AI12" s="118" t="s">
        <v>155</v>
      </c>
      <c r="AJ12" s="117" t="s">
        <v>152</v>
      </c>
      <c r="AK12" s="118" t="s">
        <v>153</v>
      </c>
      <c r="AL12" s="118" t="s">
        <v>154</v>
      </c>
      <c r="AM12" s="118" t="s">
        <v>155</v>
      </c>
      <c r="AN12" s="117" t="s">
        <v>152</v>
      </c>
      <c r="AO12" s="118" t="s">
        <v>153</v>
      </c>
      <c r="AP12" s="118" t="s">
        <v>154</v>
      </c>
      <c r="AQ12" s="118" t="s">
        <v>155</v>
      </c>
      <c r="AR12" s="117" t="s">
        <v>152</v>
      </c>
      <c r="AS12" s="118" t="s">
        <v>153</v>
      </c>
      <c r="AT12" s="118" t="s">
        <v>154</v>
      </c>
      <c r="AU12" s="118" t="s">
        <v>155</v>
      </c>
      <c r="AV12" s="117" t="s">
        <v>152</v>
      </c>
      <c r="AW12" s="118" t="s">
        <v>153</v>
      </c>
      <c r="AX12" s="118" t="s">
        <v>154</v>
      </c>
      <c r="AY12" s="118" t="s">
        <v>155</v>
      </c>
      <c r="AZ12" s="100"/>
      <c r="BA12" s="92"/>
      <c r="BB12" s="91"/>
    </row>
    <row r="13" spans="1:54" ht="12.75" customHeight="1">
      <c r="A13" s="89" t="s">
        <v>83</v>
      </c>
      <c r="B13" s="265"/>
      <c r="C13" s="121">
        <f>'Revised PS Model 2014'!AP17</f>
        <v>414524.44999999995</v>
      </c>
      <c r="D13" s="53">
        <v>300</v>
      </c>
      <c r="E13" s="123">
        <f t="shared" ref="E13:E17" si="2">D$8*D13/D$18</f>
        <v>41502.067500000005</v>
      </c>
      <c r="F13" s="124">
        <f>36976.37-35000</f>
        <v>1976.3700000000026</v>
      </c>
      <c r="G13" s="123">
        <f t="shared" ref="G13:G17" si="3">E13-F13</f>
        <v>39525.697500000002</v>
      </c>
      <c r="H13" s="214">
        <v>300</v>
      </c>
      <c r="I13" s="123">
        <f t="shared" ref="I13:I17" si="4">H$8*H13/H$18</f>
        <v>53418.697499999987</v>
      </c>
      <c r="J13" s="124">
        <v>934.15</v>
      </c>
      <c r="K13" s="123">
        <f t="shared" ref="K13:K17" si="5">I13-J13</f>
        <v>52484.547499999986</v>
      </c>
      <c r="L13" s="214">
        <v>300</v>
      </c>
      <c r="M13" s="123">
        <f t="shared" ref="M13:M17" si="6">L$8*L13/L$18</f>
        <v>54368.264999999992</v>
      </c>
      <c r="N13" s="124">
        <v>1499.65</v>
      </c>
      <c r="O13" s="123">
        <f t="shared" ref="O13:O17" si="7">M13-N13</f>
        <v>52868.614999999991</v>
      </c>
      <c r="P13" s="214">
        <v>300</v>
      </c>
      <c r="Q13" s="123">
        <f t="shared" ref="Q13:Q17" si="8">P$8*P13/P$18</f>
        <v>43336.5</v>
      </c>
      <c r="R13" s="124">
        <f>56010.91-55000</f>
        <v>1010.9100000000035</v>
      </c>
      <c r="S13" s="123">
        <f t="shared" ref="S13:S17" si="9">Q13-R13</f>
        <v>42325.59</v>
      </c>
      <c r="T13" s="214">
        <v>300</v>
      </c>
      <c r="U13" s="123">
        <f t="shared" ref="U13:U17" si="10">T$8*T13/T$18</f>
        <v>45278.317499999997</v>
      </c>
      <c r="V13" s="124">
        <v>1223.52</v>
      </c>
      <c r="W13" s="123">
        <f t="shared" ref="W13:W17" si="11">U13-V13</f>
        <v>44054.797500000001</v>
      </c>
      <c r="X13" s="214">
        <v>300</v>
      </c>
      <c r="Y13" s="123">
        <f t="shared" ref="Y13:Y17" si="12">X$8*X13/X$18</f>
        <v>40117.050000000003</v>
      </c>
      <c r="Z13" s="124">
        <v>1177.9000000000001</v>
      </c>
      <c r="AA13" s="123">
        <f t="shared" ref="AA13:AA17" si="13">Y13-Z13</f>
        <v>38939.15</v>
      </c>
      <c r="AB13" s="214">
        <v>300</v>
      </c>
      <c r="AC13" s="123">
        <f t="shared" ref="AC13:AC17" si="14">AB$8*AB13/AB$18</f>
        <v>50399.902499999997</v>
      </c>
      <c r="AD13" s="124">
        <v>1121.06</v>
      </c>
      <c r="AE13" s="123">
        <f t="shared" ref="AE13:AE17" si="15">AC13-AD13</f>
        <v>49278.842499999999</v>
      </c>
      <c r="AF13" s="214">
        <v>300</v>
      </c>
      <c r="AG13" s="123">
        <f t="shared" ref="AG13:AG17" si="16">AF$8*AF13/AF$18</f>
        <v>45849.735000000001</v>
      </c>
      <c r="AH13" s="124">
        <v>4254.09</v>
      </c>
      <c r="AI13" s="123">
        <f t="shared" ref="AI13:AI17" si="17">AG13-AH13</f>
        <v>41595.645000000004</v>
      </c>
      <c r="AJ13" s="214">
        <v>300</v>
      </c>
      <c r="AK13" s="123">
        <f t="shared" ref="AK13:AK17" si="18">AJ$8*AJ13/AJ$18</f>
        <v>61341.7425</v>
      </c>
      <c r="AL13" s="124">
        <v>2057.3200000000002</v>
      </c>
      <c r="AM13" s="123">
        <f t="shared" ref="AM13:AM17" si="19">AK13-AL13</f>
        <v>59284.422500000001</v>
      </c>
      <c r="AN13" s="214">
        <v>300</v>
      </c>
      <c r="AO13" s="123">
        <f t="shared" ref="AO13:AO17" si="20">AN$8*AN13/AN$18</f>
        <v>47993.665116279073</v>
      </c>
      <c r="AP13" s="124">
        <v>1053.26</v>
      </c>
      <c r="AQ13" s="123">
        <f t="shared" ref="AQ13:AQ17" si="21">AO13-AP13</f>
        <v>46940.405116279071</v>
      </c>
      <c r="AR13" s="214">
        <v>300</v>
      </c>
      <c r="AS13" s="123">
        <f t="shared" ref="AS13:AS17" si="22">AR$8*AR13/AR$18</f>
        <v>46336.779069767443</v>
      </c>
      <c r="AT13" s="124">
        <v>2739.41</v>
      </c>
      <c r="AU13" s="123">
        <f t="shared" ref="AU13:AU17" si="23">AS13-AT13</f>
        <v>43597.369069767446</v>
      </c>
      <c r="AV13" s="214">
        <v>300</v>
      </c>
      <c r="AW13" s="123">
        <f t="shared" ref="AW13:AW17" si="24">AV$8*AV13/AV$18</f>
        <v>30199.520930232567</v>
      </c>
      <c r="AX13" s="124">
        <v>2366.39</v>
      </c>
      <c r="AY13" s="126">
        <f t="shared" ref="AY13:AY17" si="25">AW13-AX13</f>
        <v>27833.130930232568</v>
      </c>
      <c r="AZ13" s="127">
        <f t="shared" ref="AZ13:AZ17" si="26">IF(AV$3="1H",AY13,0)+IF(AR$3="1H",AU13,0)+IF(AN$3="1H",AQ13,0)+IF(AJ$3="1H",AM13,0)+IF(AF$3="1H",AI13,0)+IF(AB$3="1H",AE13,0)+IF(X$3="1H",AA13,0)+IF(T$3="1H",W13,0)+IF(P$3="1H",S13,0)+IF(L$3="1H",O13,0)+IF(H$3="1H",K13,0)+IF(D$3="1H",G13,0)</f>
        <v>270198.39749999996</v>
      </c>
      <c r="BA13" s="128">
        <f>AZ13-AZ10+C13</f>
        <v>460722.84749999992</v>
      </c>
      <c r="BB13" s="127">
        <f>AY13+AU13+AQ13+AM13+AI13+AE13+AA13+W13+S13+O13+K13+G13-BB10</f>
        <v>92228.212616279023</v>
      </c>
    </row>
    <row r="14" spans="1:54" ht="12.75" customHeight="1">
      <c r="A14" s="89" t="s">
        <v>209</v>
      </c>
      <c r="B14" s="265"/>
      <c r="C14" s="121">
        <f>'Revised PS Model 2014'!AP18</f>
        <v>-30404.687500000033</v>
      </c>
      <c r="D14" s="53">
        <v>100</v>
      </c>
      <c r="E14" s="123">
        <f t="shared" si="2"/>
        <v>13834.022499999999</v>
      </c>
      <c r="F14" s="124"/>
      <c r="G14" s="123">
        <f t="shared" si="3"/>
        <v>13834.022499999999</v>
      </c>
      <c r="H14" s="214">
        <v>100</v>
      </c>
      <c r="I14" s="123">
        <f t="shared" si="4"/>
        <v>17806.232499999998</v>
      </c>
      <c r="J14" s="124"/>
      <c r="K14" s="123">
        <f t="shared" si="5"/>
        <v>17806.232499999998</v>
      </c>
      <c r="L14" s="214">
        <v>100</v>
      </c>
      <c r="M14" s="123">
        <f t="shared" si="6"/>
        <v>18122.754999999997</v>
      </c>
      <c r="N14" s="124"/>
      <c r="O14" s="123">
        <f t="shared" si="7"/>
        <v>18122.754999999997</v>
      </c>
      <c r="P14" s="214">
        <v>100</v>
      </c>
      <c r="Q14" s="123">
        <f t="shared" si="8"/>
        <v>14445.5</v>
      </c>
      <c r="R14" s="124"/>
      <c r="S14" s="123">
        <f t="shared" si="9"/>
        <v>14445.5</v>
      </c>
      <c r="T14" s="214">
        <v>100</v>
      </c>
      <c r="U14" s="123">
        <f t="shared" si="10"/>
        <v>15092.772499999999</v>
      </c>
      <c r="V14" s="124"/>
      <c r="W14" s="123">
        <f t="shared" si="11"/>
        <v>15092.772499999999</v>
      </c>
      <c r="X14" s="214">
        <v>100</v>
      </c>
      <c r="Y14" s="123">
        <f t="shared" si="12"/>
        <v>13372.35</v>
      </c>
      <c r="Z14" s="124"/>
      <c r="AA14" s="123">
        <f t="shared" si="13"/>
        <v>13372.35</v>
      </c>
      <c r="AB14" s="214">
        <v>100</v>
      </c>
      <c r="AC14" s="123">
        <f t="shared" si="14"/>
        <v>16799.967499999999</v>
      </c>
      <c r="AD14" s="124"/>
      <c r="AE14" s="123">
        <f t="shared" si="15"/>
        <v>16799.967499999999</v>
      </c>
      <c r="AF14" s="214">
        <v>100</v>
      </c>
      <c r="AG14" s="123">
        <f t="shared" si="16"/>
        <v>15283.245000000001</v>
      </c>
      <c r="AH14" s="124"/>
      <c r="AI14" s="123">
        <f t="shared" si="17"/>
        <v>15283.245000000001</v>
      </c>
      <c r="AJ14" s="214">
        <v>100</v>
      </c>
      <c r="AK14" s="123">
        <f t="shared" si="18"/>
        <v>20447.247500000001</v>
      </c>
      <c r="AL14" s="124"/>
      <c r="AM14" s="123">
        <f t="shared" si="19"/>
        <v>20447.247500000001</v>
      </c>
      <c r="AN14" s="214">
        <v>100</v>
      </c>
      <c r="AO14" s="123">
        <f t="shared" si="20"/>
        <v>15997.888372093023</v>
      </c>
      <c r="AP14" s="124"/>
      <c r="AQ14" s="123">
        <f t="shared" si="21"/>
        <v>15997.888372093023</v>
      </c>
      <c r="AR14" s="214">
        <v>100</v>
      </c>
      <c r="AS14" s="123">
        <f t="shared" si="22"/>
        <v>15445.593023255815</v>
      </c>
      <c r="AT14" s="124"/>
      <c r="AU14" s="123">
        <f t="shared" si="23"/>
        <v>15445.593023255815</v>
      </c>
      <c r="AV14" s="214">
        <v>100</v>
      </c>
      <c r="AW14" s="123">
        <f t="shared" si="24"/>
        <v>10066.506976744187</v>
      </c>
      <c r="AX14" s="124">
        <v>157170.91</v>
      </c>
      <c r="AY14" s="126">
        <f t="shared" si="25"/>
        <v>-147104.40302325581</v>
      </c>
      <c r="AZ14" s="127">
        <f t="shared" si="26"/>
        <v>92673.632499999978</v>
      </c>
      <c r="BA14" s="128">
        <f t="shared" ref="BA14:BA17" si="27">AZ14+C14</f>
        <v>62268.944999999949</v>
      </c>
      <c r="BB14" s="127">
        <f t="shared" ref="BB14:BB17" si="28">AY14+AU14+AQ14+AM14+AI14+AE14+AA14+W14+S14+O14+K14+G14</f>
        <v>29543.170872093004</v>
      </c>
    </row>
    <row r="15" spans="1:54" ht="12.75" customHeight="1">
      <c r="A15" s="89" t="s">
        <v>319</v>
      </c>
      <c r="B15" s="265"/>
      <c r="C15" s="121">
        <f>'Revised PS Model 2014'!AP19</f>
        <v>0</v>
      </c>
      <c r="D15" s="53">
        <v>0</v>
      </c>
      <c r="E15" s="123">
        <f t="shared" si="2"/>
        <v>0</v>
      </c>
      <c r="F15" s="124"/>
      <c r="G15" s="123">
        <f t="shared" si="3"/>
        <v>0</v>
      </c>
      <c r="H15" s="214">
        <v>0</v>
      </c>
      <c r="I15" s="123">
        <f t="shared" si="4"/>
        <v>0</v>
      </c>
      <c r="J15" s="124"/>
      <c r="K15" s="123">
        <f t="shared" si="5"/>
        <v>0</v>
      </c>
      <c r="L15" s="214">
        <v>0</v>
      </c>
      <c r="M15" s="123">
        <f t="shared" si="6"/>
        <v>0</v>
      </c>
      <c r="N15" s="124"/>
      <c r="O15" s="123">
        <f t="shared" si="7"/>
        <v>0</v>
      </c>
      <c r="P15" s="214">
        <v>0</v>
      </c>
      <c r="Q15" s="123">
        <f t="shared" si="8"/>
        <v>0</v>
      </c>
      <c r="R15" s="124"/>
      <c r="S15" s="123">
        <f t="shared" si="9"/>
        <v>0</v>
      </c>
      <c r="T15" s="214">
        <v>0</v>
      </c>
      <c r="U15" s="123">
        <f t="shared" si="10"/>
        <v>0</v>
      </c>
      <c r="V15" s="124"/>
      <c r="W15" s="123">
        <f t="shared" si="11"/>
        <v>0</v>
      </c>
      <c r="X15" s="214">
        <v>0</v>
      </c>
      <c r="Y15" s="123">
        <f t="shared" si="12"/>
        <v>0</v>
      </c>
      <c r="Z15" s="124"/>
      <c r="AA15" s="123">
        <f t="shared" si="13"/>
        <v>0</v>
      </c>
      <c r="AB15" s="214">
        <v>0</v>
      </c>
      <c r="AC15" s="123">
        <f t="shared" si="14"/>
        <v>0</v>
      </c>
      <c r="AD15" s="124"/>
      <c r="AE15" s="123">
        <f t="shared" si="15"/>
        <v>0</v>
      </c>
      <c r="AF15" s="214">
        <v>0</v>
      </c>
      <c r="AG15" s="123">
        <f t="shared" si="16"/>
        <v>0</v>
      </c>
      <c r="AH15" s="124"/>
      <c r="AI15" s="123">
        <f t="shared" si="17"/>
        <v>0</v>
      </c>
      <c r="AJ15" s="214">
        <v>0</v>
      </c>
      <c r="AK15" s="123">
        <f t="shared" si="18"/>
        <v>0</v>
      </c>
      <c r="AL15" s="124"/>
      <c r="AM15" s="123">
        <f t="shared" si="19"/>
        <v>0</v>
      </c>
      <c r="AN15" s="214">
        <v>10</v>
      </c>
      <c r="AO15" s="123">
        <f t="shared" si="20"/>
        <v>1599.7888372093023</v>
      </c>
      <c r="AP15" s="124"/>
      <c r="AQ15" s="123">
        <f t="shared" si="21"/>
        <v>1599.7888372093023</v>
      </c>
      <c r="AR15" s="214">
        <v>10</v>
      </c>
      <c r="AS15" s="123">
        <f t="shared" si="22"/>
        <v>1544.5593023255815</v>
      </c>
      <c r="AT15" s="124"/>
      <c r="AU15" s="123">
        <f t="shared" si="23"/>
        <v>1544.5593023255815</v>
      </c>
      <c r="AV15" s="214">
        <v>10</v>
      </c>
      <c r="AW15" s="123">
        <f t="shared" si="24"/>
        <v>1006.6506976744189</v>
      </c>
      <c r="AX15" s="124">
        <v>4232.09</v>
      </c>
      <c r="AY15" s="126">
        <f t="shared" si="25"/>
        <v>-3225.4393023255811</v>
      </c>
      <c r="AZ15" s="127">
        <f t="shared" si="26"/>
        <v>0</v>
      </c>
      <c r="BA15" s="128">
        <f t="shared" si="27"/>
        <v>0</v>
      </c>
      <c r="BB15" s="127">
        <f t="shared" si="28"/>
        <v>-81.091162790697354</v>
      </c>
    </row>
    <row r="16" spans="1:54" ht="12.75" customHeight="1">
      <c r="A16" s="89" t="s">
        <v>61</v>
      </c>
      <c r="B16" s="265"/>
      <c r="C16" s="121">
        <f>'Revised PS Model 2014'!AP20</f>
        <v>0</v>
      </c>
      <c r="D16" s="53">
        <v>0</v>
      </c>
      <c r="E16" s="123">
        <f t="shared" si="2"/>
        <v>0</v>
      </c>
      <c r="F16" s="124"/>
      <c r="G16" s="123">
        <f t="shared" si="3"/>
        <v>0</v>
      </c>
      <c r="H16" s="214">
        <v>0</v>
      </c>
      <c r="I16" s="123">
        <f t="shared" si="4"/>
        <v>0</v>
      </c>
      <c r="J16" s="124"/>
      <c r="K16" s="123">
        <f t="shared" si="5"/>
        <v>0</v>
      </c>
      <c r="L16" s="214">
        <v>0</v>
      </c>
      <c r="M16" s="123">
        <f t="shared" si="6"/>
        <v>0</v>
      </c>
      <c r="N16" s="124"/>
      <c r="O16" s="123">
        <f t="shared" si="7"/>
        <v>0</v>
      </c>
      <c r="P16" s="214">
        <v>0</v>
      </c>
      <c r="Q16" s="123">
        <f t="shared" si="8"/>
        <v>0</v>
      </c>
      <c r="R16" s="124"/>
      <c r="S16" s="123">
        <f t="shared" si="9"/>
        <v>0</v>
      </c>
      <c r="T16" s="214">
        <v>0</v>
      </c>
      <c r="U16" s="123">
        <f t="shared" si="10"/>
        <v>0</v>
      </c>
      <c r="V16" s="124"/>
      <c r="W16" s="123">
        <f t="shared" si="11"/>
        <v>0</v>
      </c>
      <c r="X16" s="214">
        <v>0</v>
      </c>
      <c r="Y16" s="123">
        <f t="shared" si="12"/>
        <v>0</v>
      </c>
      <c r="Z16" s="124"/>
      <c r="AA16" s="123">
        <f t="shared" si="13"/>
        <v>0</v>
      </c>
      <c r="AB16" s="214">
        <v>0</v>
      </c>
      <c r="AC16" s="123">
        <f t="shared" si="14"/>
        <v>0</v>
      </c>
      <c r="AD16" s="124"/>
      <c r="AE16" s="123">
        <f t="shared" si="15"/>
        <v>0</v>
      </c>
      <c r="AF16" s="214">
        <v>0</v>
      </c>
      <c r="AG16" s="123">
        <f t="shared" si="16"/>
        <v>0</v>
      </c>
      <c r="AH16" s="124"/>
      <c r="AI16" s="123">
        <f t="shared" si="17"/>
        <v>0</v>
      </c>
      <c r="AJ16" s="214">
        <v>0</v>
      </c>
      <c r="AK16" s="123">
        <f t="shared" si="18"/>
        <v>0</v>
      </c>
      <c r="AL16" s="124"/>
      <c r="AM16" s="123">
        <f t="shared" si="19"/>
        <v>0</v>
      </c>
      <c r="AN16" s="214">
        <v>10</v>
      </c>
      <c r="AO16" s="123">
        <f t="shared" si="20"/>
        <v>1599.7888372093023</v>
      </c>
      <c r="AP16" s="124"/>
      <c r="AQ16" s="123">
        <f t="shared" si="21"/>
        <v>1599.7888372093023</v>
      </c>
      <c r="AR16" s="214">
        <v>10</v>
      </c>
      <c r="AS16" s="123">
        <f t="shared" si="22"/>
        <v>1544.5593023255815</v>
      </c>
      <c r="AT16" s="124"/>
      <c r="AU16" s="123">
        <f t="shared" si="23"/>
        <v>1544.5593023255815</v>
      </c>
      <c r="AV16" s="214">
        <v>10</v>
      </c>
      <c r="AW16" s="123">
        <f t="shared" si="24"/>
        <v>1006.6506976744189</v>
      </c>
      <c r="AX16" s="124">
        <v>4232.09</v>
      </c>
      <c r="AY16" s="126">
        <f t="shared" si="25"/>
        <v>-3225.4393023255811</v>
      </c>
      <c r="AZ16" s="127">
        <f t="shared" si="26"/>
        <v>0</v>
      </c>
      <c r="BA16" s="128">
        <f t="shared" si="27"/>
        <v>0</v>
      </c>
      <c r="BB16" s="127">
        <f t="shared" si="28"/>
        <v>-81.091162790697354</v>
      </c>
    </row>
    <row r="17" spans="1:54" ht="12.75" customHeight="1">
      <c r="A17" s="89" t="s">
        <v>65</v>
      </c>
      <c r="B17" s="265"/>
      <c r="C17" s="121">
        <f>'Revised PS Model 2014'!AP21</f>
        <v>0</v>
      </c>
      <c r="D17" s="53">
        <v>0</v>
      </c>
      <c r="E17" s="123">
        <f t="shared" si="2"/>
        <v>0</v>
      </c>
      <c r="F17" s="124"/>
      <c r="G17" s="123">
        <f t="shared" si="3"/>
        <v>0</v>
      </c>
      <c r="H17" s="214">
        <v>0</v>
      </c>
      <c r="I17" s="123">
        <f t="shared" si="4"/>
        <v>0</v>
      </c>
      <c r="J17" s="124"/>
      <c r="K17" s="123">
        <f t="shared" si="5"/>
        <v>0</v>
      </c>
      <c r="L17" s="214">
        <v>0</v>
      </c>
      <c r="M17" s="123">
        <f t="shared" si="6"/>
        <v>0</v>
      </c>
      <c r="N17" s="124"/>
      <c r="O17" s="123">
        <f t="shared" si="7"/>
        <v>0</v>
      </c>
      <c r="P17" s="214">
        <v>0</v>
      </c>
      <c r="Q17" s="123">
        <f t="shared" si="8"/>
        <v>0</v>
      </c>
      <c r="R17" s="124"/>
      <c r="S17" s="123">
        <f t="shared" si="9"/>
        <v>0</v>
      </c>
      <c r="T17" s="214">
        <v>0</v>
      </c>
      <c r="U17" s="123">
        <f t="shared" si="10"/>
        <v>0</v>
      </c>
      <c r="V17" s="124"/>
      <c r="W17" s="123">
        <f t="shared" si="11"/>
        <v>0</v>
      </c>
      <c r="X17" s="214">
        <v>0</v>
      </c>
      <c r="Y17" s="123">
        <f t="shared" si="12"/>
        <v>0</v>
      </c>
      <c r="Z17" s="124"/>
      <c r="AA17" s="123">
        <f t="shared" si="13"/>
        <v>0</v>
      </c>
      <c r="AB17" s="214">
        <v>0</v>
      </c>
      <c r="AC17" s="123">
        <f t="shared" si="14"/>
        <v>0</v>
      </c>
      <c r="AD17" s="124"/>
      <c r="AE17" s="123">
        <f t="shared" si="15"/>
        <v>0</v>
      </c>
      <c r="AF17" s="214">
        <v>0</v>
      </c>
      <c r="AG17" s="123">
        <f t="shared" si="16"/>
        <v>0</v>
      </c>
      <c r="AH17" s="124"/>
      <c r="AI17" s="123">
        <f t="shared" si="17"/>
        <v>0</v>
      </c>
      <c r="AJ17" s="214">
        <v>0</v>
      </c>
      <c r="AK17" s="123">
        <f t="shared" si="18"/>
        <v>0</v>
      </c>
      <c r="AL17" s="124"/>
      <c r="AM17" s="123">
        <f t="shared" si="19"/>
        <v>0</v>
      </c>
      <c r="AN17" s="214">
        <v>10</v>
      </c>
      <c r="AO17" s="123">
        <f t="shared" si="20"/>
        <v>1599.7888372093023</v>
      </c>
      <c r="AP17" s="124"/>
      <c r="AQ17" s="123">
        <f t="shared" si="21"/>
        <v>1599.7888372093023</v>
      </c>
      <c r="AR17" s="214">
        <v>10</v>
      </c>
      <c r="AS17" s="123">
        <f t="shared" si="22"/>
        <v>1544.5593023255815</v>
      </c>
      <c r="AT17" s="124"/>
      <c r="AU17" s="123">
        <f t="shared" si="23"/>
        <v>1544.5593023255815</v>
      </c>
      <c r="AV17" s="214">
        <v>10</v>
      </c>
      <c r="AW17" s="123">
        <f t="shared" si="24"/>
        <v>1006.6506976744189</v>
      </c>
      <c r="AX17" s="124">
        <v>4232.09</v>
      </c>
      <c r="AY17" s="126">
        <f t="shared" si="25"/>
        <v>-3225.4393023255811</v>
      </c>
      <c r="AZ17" s="127">
        <f t="shared" si="26"/>
        <v>0</v>
      </c>
      <c r="BA17" s="128">
        <f t="shared" si="27"/>
        <v>0</v>
      </c>
      <c r="BB17" s="127">
        <f t="shared" si="28"/>
        <v>-81.091162790697354</v>
      </c>
    </row>
    <row r="18" spans="1:54" ht="12.75" customHeight="1">
      <c r="A18" s="89"/>
      <c r="C18" s="61"/>
      <c r="D18" s="148">
        <f t="shared" ref="D18:E18" si="29">SUM(D13:D17)</f>
        <v>400</v>
      </c>
      <c r="E18" s="149">
        <f t="shared" si="29"/>
        <v>55336.090000000004</v>
      </c>
      <c r="F18" s="91"/>
      <c r="G18" s="91"/>
      <c r="H18" s="148">
        <f t="shared" ref="H18:I18" si="30">SUM(H13:H17)</f>
        <v>400</v>
      </c>
      <c r="I18" s="149">
        <f t="shared" si="30"/>
        <v>71224.929999999993</v>
      </c>
      <c r="J18" s="91"/>
      <c r="K18" s="91"/>
      <c r="L18" s="148">
        <f t="shared" ref="L18:M18" si="31">SUM(L13:L17)</f>
        <v>400</v>
      </c>
      <c r="M18" s="149">
        <f t="shared" si="31"/>
        <v>72491.01999999999</v>
      </c>
      <c r="N18" s="91"/>
      <c r="O18" s="91"/>
      <c r="P18" s="148">
        <f t="shared" ref="P18:Q18" si="32">SUM(P13:P17)</f>
        <v>400</v>
      </c>
      <c r="Q18" s="149">
        <f t="shared" si="32"/>
        <v>57782</v>
      </c>
      <c r="R18" s="91"/>
      <c r="S18" s="91"/>
      <c r="T18" s="148">
        <f t="shared" ref="T18:U18" si="33">SUM(T13:T17)</f>
        <v>400</v>
      </c>
      <c r="U18" s="149">
        <f t="shared" si="33"/>
        <v>60371.09</v>
      </c>
      <c r="V18" s="91"/>
      <c r="W18" s="91"/>
      <c r="X18" s="148">
        <f t="shared" ref="X18:Y18" si="34">SUM(X13:X17)</f>
        <v>400</v>
      </c>
      <c r="Y18" s="149">
        <f t="shared" si="34"/>
        <v>53489.4</v>
      </c>
      <c r="Z18" s="91"/>
      <c r="AA18" s="91"/>
      <c r="AB18" s="148">
        <f t="shared" ref="AB18:AC18" si="35">SUM(AB13:AB17)</f>
        <v>400</v>
      </c>
      <c r="AC18" s="149">
        <f t="shared" si="35"/>
        <v>67199.87</v>
      </c>
      <c r="AD18" s="91"/>
      <c r="AE18" s="91"/>
      <c r="AF18" s="148">
        <f t="shared" ref="AF18:AG18" si="36">SUM(AF13:AF17)</f>
        <v>400</v>
      </c>
      <c r="AG18" s="149">
        <f t="shared" si="36"/>
        <v>61132.98</v>
      </c>
      <c r="AH18" s="91"/>
      <c r="AI18" s="91"/>
      <c r="AJ18" s="148">
        <f t="shared" ref="AJ18:AK18" si="37">SUM(AJ13:AJ17)</f>
        <v>400</v>
      </c>
      <c r="AK18" s="149">
        <f t="shared" si="37"/>
        <v>81788.990000000005</v>
      </c>
      <c r="AL18" s="91"/>
      <c r="AM18" s="91"/>
      <c r="AN18" s="148">
        <f t="shared" ref="AN18:AO18" si="38">SUM(AN13:AN17)</f>
        <v>430</v>
      </c>
      <c r="AO18" s="149">
        <f t="shared" si="38"/>
        <v>68790.92</v>
      </c>
      <c r="AP18" s="91"/>
      <c r="AQ18" s="91"/>
      <c r="AR18" s="148">
        <f t="shared" ref="AR18:AS18" si="39">SUM(AR13:AR17)</f>
        <v>430</v>
      </c>
      <c r="AS18" s="149">
        <f t="shared" si="39"/>
        <v>66416.05</v>
      </c>
      <c r="AT18" s="91"/>
      <c r="AU18" s="91"/>
      <c r="AV18" s="148">
        <f t="shared" ref="AV18:AW18" si="40">SUM(AV13:AV17)</f>
        <v>430</v>
      </c>
      <c r="AW18" s="149">
        <f t="shared" si="40"/>
        <v>43285.980000000018</v>
      </c>
      <c r="AX18" s="124"/>
      <c r="AY18" s="92"/>
      <c r="AZ18" s="91"/>
      <c r="BA18" s="150"/>
    </row>
    <row r="19" spans="1:54" ht="12.75" customHeight="1">
      <c r="A19" s="89"/>
      <c r="B19" s="5"/>
      <c r="C19" s="61"/>
      <c r="D19" s="100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W19" s="151"/>
      <c r="AX19" s="151"/>
      <c r="AY19" s="92"/>
      <c r="AZ19" s="124"/>
      <c r="BA19" s="61"/>
      <c r="BB19" s="91"/>
    </row>
    <row r="20" spans="1:54" ht="12.75" customHeight="1">
      <c r="A20" s="89"/>
      <c r="B20" s="5"/>
      <c r="C20" s="61"/>
      <c r="D20" s="10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W20" s="151"/>
      <c r="AX20" s="89" t="s">
        <v>83</v>
      </c>
      <c r="AY20" s="92" t="s">
        <v>325</v>
      </c>
      <c r="AZ20" s="90" t="s">
        <v>323</v>
      </c>
      <c r="BA20" s="61"/>
      <c r="BB20" s="91">
        <f t="shared" ref="BB20:BB24" si="41">BB13+C13</f>
        <v>506752.66261627898</v>
      </c>
    </row>
    <row r="21" spans="1:54" ht="12.75" customHeight="1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X21" s="89" t="s">
        <v>209</v>
      </c>
      <c r="AY21" s="92" t="s">
        <v>325</v>
      </c>
      <c r="AZ21" s="90">
        <v>0</v>
      </c>
      <c r="BA21" s="61"/>
      <c r="BB21" s="91">
        <f t="shared" si="41"/>
        <v>-861.51662790702903</v>
      </c>
    </row>
    <row r="22" spans="1:54" ht="12.75" customHeight="1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X22" s="89" t="s">
        <v>319</v>
      </c>
      <c r="AY22" s="92" t="s">
        <v>325</v>
      </c>
      <c r="AZ22" s="90">
        <v>0</v>
      </c>
      <c r="BA22" s="61"/>
      <c r="BB22" s="91">
        <f t="shared" si="41"/>
        <v>-81.091162790697354</v>
      </c>
    </row>
    <row r="23" spans="1:54" ht="12.75" customHeight="1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X23" s="89" t="s">
        <v>61</v>
      </c>
      <c r="AY23" s="92" t="s">
        <v>325</v>
      </c>
      <c r="AZ23" s="90">
        <v>0</v>
      </c>
      <c r="BA23" s="61"/>
      <c r="BB23" s="91">
        <f t="shared" si="41"/>
        <v>-81.091162790697354</v>
      </c>
    </row>
    <row r="24" spans="1:54" ht="12.75" customHeight="1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X24" s="89" t="s">
        <v>65</v>
      </c>
      <c r="AY24" s="92" t="s">
        <v>325</v>
      </c>
      <c r="AZ24" s="90">
        <v>0</v>
      </c>
      <c r="BA24" s="61"/>
      <c r="BB24" s="91">
        <f t="shared" si="41"/>
        <v>-81.091162790697354</v>
      </c>
    </row>
    <row r="25" spans="1:54" ht="12.75" customHeight="1">
      <c r="A25" s="89"/>
      <c r="C25" s="61"/>
      <c r="D25" s="62"/>
      <c r="BA25" s="91"/>
      <c r="BB25" s="91"/>
    </row>
    <row r="26" spans="1:54" ht="12.75" customHeight="1">
      <c r="A26" s="89"/>
      <c r="C26" s="61"/>
      <c r="D26" s="62"/>
      <c r="AZ26" s="230"/>
      <c r="BA26" s="91"/>
      <c r="BB26" s="91"/>
    </row>
    <row r="27" spans="1:54" ht="12.75" customHeight="1">
      <c r="A27" s="89"/>
      <c r="C27" s="61"/>
      <c r="D27" s="62"/>
      <c r="AZ27" s="152"/>
      <c r="BA27" s="91"/>
      <c r="BB27" s="91"/>
    </row>
    <row r="28" spans="1:54" ht="12.75" customHeight="1">
      <c r="A28" s="89" t="s">
        <v>201</v>
      </c>
      <c r="C28" s="61"/>
      <c r="D28" s="62"/>
      <c r="AN28" s="1" t="s">
        <v>148</v>
      </c>
      <c r="AZ28" s="152"/>
      <c r="BA28" s="91"/>
      <c r="BB28" s="91"/>
    </row>
    <row r="29" spans="1:54" ht="12.75" customHeight="1">
      <c r="A29" s="89"/>
      <c r="C29" s="61"/>
      <c r="D29" s="62"/>
      <c r="BA29" s="91"/>
    </row>
    <row r="30" spans="1:54" ht="12.75" customHeight="1">
      <c r="A30" s="89"/>
      <c r="C30" s="61"/>
      <c r="D30" s="62"/>
    </row>
    <row r="31" spans="1:54" ht="12.75" customHeight="1">
      <c r="A31" s="89"/>
      <c r="C31" s="61"/>
      <c r="D31" s="62"/>
    </row>
    <row r="32" spans="1:54" ht="12.75" customHeight="1">
      <c r="A32" s="89"/>
      <c r="C32" s="61"/>
      <c r="D32" s="62"/>
    </row>
    <row r="33" spans="1:4" ht="12.75" customHeight="1">
      <c r="A33" s="89"/>
      <c r="C33" s="61"/>
      <c r="D33" s="62"/>
    </row>
    <row r="34" spans="1:4" ht="12.75" customHeight="1">
      <c r="A34" s="89"/>
      <c r="C34" s="61"/>
      <c r="D34" s="62"/>
    </row>
    <row r="35" spans="1:4" ht="12.75" customHeight="1">
      <c r="A35" s="89"/>
      <c r="C35" s="61"/>
      <c r="D35" s="62"/>
    </row>
    <row r="36" spans="1:4" ht="12.75" customHeight="1">
      <c r="A36" s="89"/>
      <c r="C36" s="61"/>
      <c r="D36" s="62"/>
    </row>
    <row r="37" spans="1:4" ht="12.75" customHeight="1">
      <c r="A37" s="89"/>
      <c r="C37" s="61"/>
      <c r="D37" s="62"/>
    </row>
    <row r="38" spans="1:4" ht="12.75" customHeight="1">
      <c r="A38" s="89"/>
      <c r="C38" s="61"/>
      <c r="D38" s="62"/>
    </row>
    <row r="39" spans="1:4" ht="12.75" customHeight="1">
      <c r="A39" s="89"/>
      <c r="C39" s="61"/>
      <c r="D39" s="62"/>
    </row>
    <row r="40" spans="1:4" ht="12.75" customHeight="1">
      <c r="A40" s="89"/>
      <c r="C40" s="61"/>
      <c r="D40" s="62"/>
    </row>
    <row r="41" spans="1:4" ht="12.75" customHeight="1">
      <c r="A41" s="89"/>
      <c r="C41" s="61"/>
      <c r="D41" s="6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Q35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5" width="8.6640625" customWidth="1"/>
    <col min="6" max="7" width="15.1640625" customWidth="1"/>
    <col min="8" max="8" width="11" customWidth="1"/>
    <col min="9" max="10" width="15.1640625" customWidth="1"/>
    <col min="11" max="11" width="9.33203125" customWidth="1"/>
    <col min="12" max="13" width="15.1640625" customWidth="1"/>
    <col min="14" max="14" width="11.1640625" customWidth="1"/>
    <col min="15" max="37" width="15.1640625" customWidth="1"/>
    <col min="38" max="38" width="10.5" customWidth="1"/>
    <col min="39" max="39" width="10.83203125" customWidth="1"/>
    <col min="40" max="43" width="15.1640625" customWidth="1"/>
  </cols>
  <sheetData>
    <row r="1" spans="1:43" ht="12.75" customHeight="1">
      <c r="A1" s="5" t="s">
        <v>148</v>
      </c>
      <c r="C1" s="61" t="s">
        <v>131</v>
      </c>
      <c r="D1" s="59">
        <v>41670</v>
      </c>
      <c r="E1" s="60"/>
      <c r="F1" s="61"/>
      <c r="G1" s="59">
        <v>41698</v>
      </c>
      <c r="H1" s="60"/>
      <c r="I1" s="61"/>
      <c r="J1" s="59">
        <v>41729</v>
      </c>
      <c r="K1" s="60"/>
      <c r="L1" s="61"/>
      <c r="M1" s="59">
        <v>41759</v>
      </c>
      <c r="N1" s="60"/>
      <c r="O1" s="61"/>
      <c r="P1" s="59">
        <v>41790</v>
      </c>
      <c r="Q1" s="60"/>
      <c r="R1" s="61"/>
      <c r="S1" s="59">
        <v>41820</v>
      </c>
      <c r="T1" s="60"/>
      <c r="U1" s="61"/>
      <c r="V1" s="59">
        <v>41851</v>
      </c>
      <c r="W1" s="60"/>
      <c r="X1" s="61"/>
      <c r="Y1" s="59">
        <v>41882</v>
      </c>
      <c r="Z1" s="60"/>
      <c r="AA1" s="61"/>
      <c r="AB1" s="59">
        <v>41912</v>
      </c>
      <c r="AC1" s="60"/>
      <c r="AD1" s="61"/>
      <c r="AE1" s="59">
        <v>41943</v>
      </c>
      <c r="AF1" s="60"/>
      <c r="AG1" s="61"/>
      <c r="AH1" s="59">
        <v>41973</v>
      </c>
      <c r="AI1" s="60"/>
      <c r="AJ1" s="61"/>
      <c r="AK1" s="59">
        <v>42004</v>
      </c>
      <c r="AL1" s="60"/>
      <c r="AN1" s="61"/>
      <c r="AO1" s="62"/>
    </row>
    <row r="2" spans="1:43" ht="12.75" customHeight="1">
      <c r="A2" s="5"/>
      <c r="C2" s="61"/>
      <c r="D2" s="62">
        <f>YEAR(D1)</f>
        <v>2014</v>
      </c>
      <c r="F2" s="61"/>
      <c r="G2" s="62">
        <f>YEAR(G1)</f>
        <v>2014</v>
      </c>
      <c r="I2" s="61"/>
      <c r="J2" s="62">
        <f>YEAR(J1)</f>
        <v>2014</v>
      </c>
      <c r="L2" s="61"/>
      <c r="M2" s="62">
        <f>YEAR(M1)</f>
        <v>2014</v>
      </c>
      <c r="O2" s="61"/>
      <c r="P2" s="62">
        <f>YEAR(P1)</f>
        <v>2014</v>
      </c>
      <c r="R2" s="61"/>
      <c r="S2" s="62">
        <f>YEAR(S1)</f>
        <v>2014</v>
      </c>
      <c r="U2" s="61"/>
      <c r="V2" s="62">
        <f>YEAR(V1)</f>
        <v>2014</v>
      </c>
      <c r="X2" s="61"/>
      <c r="Y2" s="62">
        <f>YEAR(Y1)</f>
        <v>2014</v>
      </c>
      <c r="AA2" s="61"/>
      <c r="AB2" s="62">
        <f>YEAR(AB1)</f>
        <v>2014</v>
      </c>
      <c r="AD2" s="61"/>
      <c r="AE2" s="62">
        <f>YEAR(AE1)</f>
        <v>2014</v>
      </c>
      <c r="AG2" s="61"/>
      <c r="AH2" s="62">
        <f>YEAR(AH1)</f>
        <v>2014</v>
      </c>
      <c r="AJ2" s="61"/>
      <c r="AK2" s="62">
        <f>YEAR(AK1)</f>
        <v>2014</v>
      </c>
      <c r="AM2" s="61"/>
      <c r="AN2" s="286" t="s">
        <v>247</v>
      </c>
      <c r="AO2" s="287"/>
      <c r="AP2" s="288">
        <v>2014</v>
      </c>
    </row>
    <row r="3" spans="1:43" ht="12.75" customHeight="1">
      <c r="A3" s="5"/>
      <c r="C3" s="61"/>
      <c r="D3" s="69" t="str">
        <f>IF(MONTH(D1)&lt;7,"1H","2H")</f>
        <v>1H</v>
      </c>
      <c r="F3" s="61"/>
      <c r="G3" s="69" t="str">
        <f>IF(MONTH(G1)&lt;7,"1H","2H")</f>
        <v>1H</v>
      </c>
      <c r="I3" s="61"/>
      <c r="J3" s="69" t="str">
        <f>IF(MONTH(J1)&lt;7,"1H","2H")</f>
        <v>1H</v>
      </c>
      <c r="L3" s="61"/>
      <c r="M3" s="69" t="str">
        <f>IF(MONTH(M1)&lt;7,"1H","2H")</f>
        <v>1H</v>
      </c>
      <c r="O3" s="61"/>
      <c r="P3" s="69" t="str">
        <f>IF(MONTH(P1)&lt;7,"1H","2H")</f>
        <v>1H</v>
      </c>
      <c r="R3" s="61"/>
      <c r="S3" s="69" t="str">
        <f>IF(MONTH(S1)&lt;7,"1H","2H")</f>
        <v>1H</v>
      </c>
      <c r="U3" s="61"/>
      <c r="V3" s="69" t="str">
        <f>IF(MONTH(V1)&lt;7,"1H","2H")</f>
        <v>2H</v>
      </c>
      <c r="X3" s="61"/>
      <c r="Y3" s="69" t="str">
        <f>IF(MONTH(Y1)&lt;7,"1H","2H")</f>
        <v>2H</v>
      </c>
      <c r="AA3" s="61"/>
      <c r="AB3" s="69" t="str">
        <f>IF(MONTH(AB1)&lt;7,"1H","2H")</f>
        <v>2H</v>
      </c>
      <c r="AD3" s="61"/>
      <c r="AE3" s="69" t="str">
        <f>IF(MONTH(AE1)&lt;7,"1H","2H")</f>
        <v>2H</v>
      </c>
      <c r="AG3" s="61"/>
      <c r="AH3" s="69" t="str">
        <f>IF(MONTH(AH1)&lt;7,"1H","2H")</f>
        <v>2H</v>
      </c>
      <c r="AJ3" s="61"/>
      <c r="AK3" s="69" t="str">
        <f>IF(MONTH(AK1)&lt;7,"1H","2H")</f>
        <v>2H</v>
      </c>
      <c r="AM3" s="61"/>
      <c r="AN3" s="289"/>
      <c r="AO3" s="287"/>
      <c r="AP3" s="290"/>
    </row>
    <row r="4" spans="1:43" ht="12.75" customHeight="1">
      <c r="A4" s="89" t="s">
        <v>136</v>
      </c>
      <c r="C4" s="61"/>
      <c r="D4" s="90">
        <v>58119.31</v>
      </c>
      <c r="E4" s="91"/>
      <c r="F4" s="92"/>
      <c r="G4" s="90">
        <v>58994.17</v>
      </c>
      <c r="H4" s="91"/>
      <c r="I4" s="92"/>
      <c r="J4" s="90">
        <v>59954.37</v>
      </c>
      <c r="K4" s="91"/>
      <c r="L4" s="92"/>
      <c r="M4" s="90">
        <v>50667.53</v>
      </c>
      <c r="N4" s="91"/>
      <c r="O4" s="92"/>
      <c r="P4" s="90">
        <v>54174.34</v>
      </c>
      <c r="Q4" s="91"/>
      <c r="R4" s="92"/>
      <c r="S4" s="90">
        <v>1240.33</v>
      </c>
      <c r="T4" s="91"/>
      <c r="U4" s="92"/>
      <c r="V4" s="90">
        <v>55237.15</v>
      </c>
      <c r="W4" s="91"/>
      <c r="X4" s="92"/>
      <c r="Y4" s="90">
        <v>58029.64</v>
      </c>
      <c r="Z4" s="91"/>
      <c r="AA4" s="92"/>
      <c r="AB4" s="90">
        <v>46583.62</v>
      </c>
      <c r="AC4" s="91"/>
      <c r="AD4" s="92"/>
      <c r="AE4" s="90">
        <v>76523.25</v>
      </c>
      <c r="AF4" s="91"/>
      <c r="AG4" s="92"/>
      <c r="AH4" s="90">
        <v>51259.83</v>
      </c>
      <c r="AI4" s="91"/>
      <c r="AJ4" s="92"/>
      <c r="AK4" s="90">
        <v>-21325.13</v>
      </c>
      <c r="AL4" s="151"/>
      <c r="AM4" s="92"/>
      <c r="AN4" s="93">
        <f t="shared" ref="AN4:AN10" si="0">SUMIF($D$3:$AM$3,"=1H",$D4:$AM4)</f>
        <v>283150.05</v>
      </c>
      <c r="AO4" s="91"/>
      <c r="AP4" s="94">
        <f t="shared" ref="AP4:AP10" si="1">SUMIF($D$2:$AM$2,$AP$2,$D4:$AM4)</f>
        <v>549458.41</v>
      </c>
    </row>
    <row r="5" spans="1:43" ht="12.75" customHeight="1">
      <c r="A5" s="89" t="s">
        <v>138</v>
      </c>
      <c r="C5" s="61"/>
      <c r="D5" s="90">
        <v>0</v>
      </c>
      <c r="E5" s="91"/>
      <c r="F5" s="92"/>
      <c r="G5" s="90">
        <v>0</v>
      </c>
      <c r="H5" s="91"/>
      <c r="I5" s="92"/>
      <c r="J5" s="90">
        <v>0</v>
      </c>
      <c r="K5" s="91"/>
      <c r="L5" s="92"/>
      <c r="M5" s="90"/>
      <c r="N5" s="91"/>
      <c r="O5" s="92"/>
      <c r="P5" s="90"/>
      <c r="Q5" s="91"/>
      <c r="R5" s="92"/>
      <c r="S5" s="90"/>
      <c r="T5" s="91"/>
      <c r="U5" s="92"/>
      <c r="V5" s="90"/>
      <c r="W5" s="91"/>
      <c r="X5" s="92"/>
      <c r="Y5" s="90"/>
      <c r="Z5" s="91"/>
      <c r="AA5" s="92"/>
      <c r="AB5" s="90"/>
      <c r="AC5" s="91"/>
      <c r="AD5" s="92"/>
      <c r="AE5" s="90"/>
      <c r="AF5" s="91"/>
      <c r="AG5" s="92"/>
      <c r="AH5" s="90"/>
      <c r="AI5" s="91"/>
      <c r="AJ5" s="92"/>
      <c r="AK5" s="90"/>
      <c r="AL5" s="91"/>
      <c r="AM5" s="92"/>
      <c r="AN5" s="93">
        <f t="shared" si="0"/>
        <v>0</v>
      </c>
      <c r="AO5" s="91"/>
      <c r="AP5" s="94">
        <f t="shared" si="1"/>
        <v>0</v>
      </c>
    </row>
    <row r="6" spans="1:43" ht="12.75" customHeight="1">
      <c r="A6" s="89" t="s">
        <v>143</v>
      </c>
      <c r="B6" s="99">
        <v>12500</v>
      </c>
      <c r="C6" s="61"/>
      <c r="D6" s="100">
        <f>'Revised PS Model 2014'!ColinSalary</f>
        <v>12500</v>
      </c>
      <c r="E6" s="91"/>
      <c r="F6" s="92"/>
      <c r="G6" s="100">
        <f>'Revised PS Model 2014'!ColinSalary</f>
        <v>12500</v>
      </c>
      <c r="H6" s="91"/>
      <c r="I6" s="92"/>
      <c r="J6" s="100">
        <f>'Revised PS Model 2014'!ColinSalary</f>
        <v>12500</v>
      </c>
      <c r="K6" s="91"/>
      <c r="L6" s="92"/>
      <c r="M6" s="100">
        <f>'Revised PS Model 2014'!ColinSalary</f>
        <v>12500</v>
      </c>
      <c r="N6" s="91"/>
      <c r="O6" s="92"/>
      <c r="P6" s="100">
        <f>'Revised PS Model 2014'!ColinSalary</f>
        <v>12500</v>
      </c>
      <c r="Q6" s="91"/>
      <c r="R6" s="92"/>
      <c r="S6" s="100">
        <f>'Revised PS Model 2014'!ColinSalary</f>
        <v>12500</v>
      </c>
      <c r="T6" s="91"/>
      <c r="U6" s="92"/>
      <c r="V6" s="100">
        <f>'Revised PS Model 2014'!ColinSalary</f>
        <v>12500</v>
      </c>
      <c r="W6" s="91"/>
      <c r="X6" s="92"/>
      <c r="Y6" s="100">
        <f>'Revised PS Model 2014'!ColinSalary</f>
        <v>12500</v>
      </c>
      <c r="Z6" s="91"/>
      <c r="AA6" s="92"/>
      <c r="AB6" s="100">
        <f>'Revised PS Model 2014'!ColinSalary</f>
        <v>12500</v>
      </c>
      <c r="AC6" s="91"/>
      <c r="AD6" s="92"/>
      <c r="AE6" s="100">
        <f>'Revised PS Model 2014'!ColinSalary</f>
        <v>12500</v>
      </c>
      <c r="AF6" s="91"/>
      <c r="AG6" s="92"/>
      <c r="AH6" s="100">
        <f>'Revised PS Model 2014'!ColinSalary</f>
        <v>12500</v>
      </c>
      <c r="AI6" s="91"/>
      <c r="AJ6" s="92"/>
      <c r="AK6" s="100">
        <f>'Revised PS Model 2014'!ColinSalary</f>
        <v>12500</v>
      </c>
      <c r="AL6" s="91"/>
      <c r="AM6" s="92"/>
      <c r="AN6" s="93">
        <f t="shared" si="0"/>
        <v>75000</v>
      </c>
      <c r="AO6" s="91"/>
      <c r="AP6" s="94">
        <f t="shared" si="1"/>
        <v>150000</v>
      </c>
    </row>
    <row r="7" spans="1:43" ht="12.75" customHeight="1">
      <c r="A7" s="89" t="s">
        <v>145</v>
      </c>
      <c r="B7" s="101"/>
      <c r="C7" s="102"/>
      <c r="D7" s="104">
        <f>SUM(E14:E15)</f>
        <v>4150.63</v>
      </c>
      <c r="E7" s="91"/>
      <c r="F7" s="92"/>
      <c r="G7" s="104">
        <f>SUM(H14:H15)</f>
        <v>3685.39</v>
      </c>
      <c r="H7" s="91"/>
      <c r="I7" s="92"/>
      <c r="J7" s="104">
        <f>SUM(K14:K15)</f>
        <v>1574.94</v>
      </c>
      <c r="K7" s="91"/>
      <c r="L7" s="92"/>
      <c r="M7" s="104">
        <f>SUM(N14:N15)</f>
        <v>1417.6</v>
      </c>
      <c r="N7" s="91"/>
      <c r="O7" s="92"/>
      <c r="P7" s="104">
        <f>SUM(Q14:Q15)</f>
        <v>1315.83</v>
      </c>
      <c r="Q7" s="91"/>
      <c r="R7" s="92"/>
      <c r="S7" s="104">
        <f>SUM(T14:T15)</f>
        <v>39207.58</v>
      </c>
      <c r="T7" s="91"/>
      <c r="U7" s="92"/>
      <c r="V7" s="104">
        <f>SUM(W14:W15)</f>
        <v>542.6</v>
      </c>
      <c r="W7" s="91"/>
      <c r="X7" s="92"/>
      <c r="Y7" s="104">
        <f>SUM(Z14:Z15)</f>
        <v>2738.47</v>
      </c>
      <c r="Z7" s="91"/>
      <c r="AA7" s="92"/>
      <c r="AB7" s="104">
        <f>SUM(AC14:AC15)</f>
        <v>4734.4799999999996</v>
      </c>
      <c r="AC7" s="91"/>
      <c r="AD7" s="92"/>
      <c r="AE7" s="104">
        <f>SUM(AF14:AF15)</f>
        <v>746.25</v>
      </c>
      <c r="AF7" s="91"/>
      <c r="AG7" s="92"/>
      <c r="AH7" s="104">
        <f>SUM(AI14:AI15)</f>
        <v>1678.08</v>
      </c>
      <c r="AI7" s="91"/>
      <c r="AJ7" s="92"/>
      <c r="AK7" s="104">
        <f>SUM(AL14:AL15)</f>
        <v>144777.71000000002</v>
      </c>
      <c r="AL7" s="91"/>
      <c r="AM7" s="92"/>
      <c r="AN7" s="93">
        <f t="shared" si="0"/>
        <v>51351.97</v>
      </c>
      <c r="AO7" s="91"/>
      <c r="AP7" s="94">
        <f t="shared" si="1"/>
        <v>206569.56000000003</v>
      </c>
    </row>
    <row r="8" spans="1:43" ht="12.75" customHeight="1">
      <c r="A8" s="89" t="s">
        <v>146</v>
      </c>
      <c r="C8" s="61"/>
      <c r="D8" s="104">
        <f>D4-D5-D6+D7</f>
        <v>49769.939999999995</v>
      </c>
      <c r="E8" s="91"/>
      <c r="F8" s="92"/>
      <c r="G8" s="104">
        <f>G4-G5-G6+G7</f>
        <v>50179.56</v>
      </c>
      <c r="H8" s="91"/>
      <c r="I8" s="92"/>
      <c r="J8" s="104">
        <f>J4-J5-J6+J7</f>
        <v>49029.310000000005</v>
      </c>
      <c r="K8" s="91"/>
      <c r="L8" s="92"/>
      <c r="M8" s="104">
        <f>M4-M5-M6+M7</f>
        <v>39585.129999999997</v>
      </c>
      <c r="N8" s="91"/>
      <c r="O8" s="92"/>
      <c r="P8" s="104">
        <f>P4-P5-P6+P7</f>
        <v>42990.17</v>
      </c>
      <c r="Q8" s="91"/>
      <c r="R8" s="92"/>
      <c r="S8" s="104">
        <f>S4-S5-S6+S7</f>
        <v>27947.910000000003</v>
      </c>
      <c r="T8" s="91"/>
      <c r="U8" s="92"/>
      <c r="V8" s="104">
        <f>V4-V5-V6+V7</f>
        <v>43279.75</v>
      </c>
      <c r="W8" s="91"/>
      <c r="X8" s="92"/>
      <c r="Y8" s="104">
        <f>Y4-Y5-Y6+Y7</f>
        <v>48268.11</v>
      </c>
      <c r="Z8" s="91"/>
      <c r="AA8" s="92"/>
      <c r="AB8" s="104">
        <f>AB4-AB5-AB6+AB7</f>
        <v>38818.100000000006</v>
      </c>
      <c r="AC8" s="91"/>
      <c r="AD8" s="92"/>
      <c r="AE8" s="104">
        <f>AE4-AE5-AE6+AE7</f>
        <v>64769.5</v>
      </c>
      <c r="AF8" s="91"/>
      <c r="AG8" s="92"/>
      <c r="AH8" s="104">
        <f>AH4-AH5-AH6+AH7</f>
        <v>40437.910000000003</v>
      </c>
      <c r="AI8" s="91"/>
      <c r="AJ8" s="92"/>
      <c r="AK8" s="104">
        <f>AK4-AK5-AK6+AK7</f>
        <v>110952.58000000002</v>
      </c>
      <c r="AL8" s="91"/>
      <c r="AM8" s="92"/>
      <c r="AN8" s="93">
        <f t="shared" si="0"/>
        <v>259502.02</v>
      </c>
      <c r="AO8" s="91"/>
      <c r="AP8" s="94">
        <f t="shared" si="1"/>
        <v>606027.97</v>
      </c>
    </row>
    <row r="9" spans="1:43" ht="12.75" customHeight="1">
      <c r="A9" s="89" t="s">
        <v>324</v>
      </c>
      <c r="C9" s="61"/>
      <c r="D9" s="90">
        <v>175000</v>
      </c>
      <c r="E9" s="90">
        <f>20000+159150.63</f>
        <v>179150.63</v>
      </c>
      <c r="F9" s="92"/>
      <c r="G9" s="90">
        <v>15500</v>
      </c>
      <c r="H9" s="91"/>
      <c r="I9" s="92"/>
      <c r="J9" s="90">
        <v>12500</v>
      </c>
      <c r="K9" s="91"/>
      <c r="L9" s="92"/>
      <c r="M9" s="90">
        <v>52500</v>
      </c>
      <c r="N9" s="91"/>
      <c r="O9" s="92"/>
      <c r="P9" s="90">
        <v>12500</v>
      </c>
      <c r="Q9" s="91"/>
      <c r="R9" s="92"/>
      <c r="S9" s="90">
        <v>12500</v>
      </c>
      <c r="T9" s="91"/>
      <c r="U9" s="92"/>
      <c r="V9" s="90">
        <v>12500</v>
      </c>
      <c r="W9" s="91"/>
      <c r="X9" s="92"/>
      <c r="Y9" s="90">
        <v>12500</v>
      </c>
      <c r="Z9" s="91"/>
      <c r="AA9" s="92"/>
      <c r="AB9" s="90">
        <f>12500+5000+40000+80000</f>
        <v>137500</v>
      </c>
      <c r="AC9" s="91"/>
      <c r="AD9" s="92"/>
      <c r="AE9" s="90">
        <v>12500</v>
      </c>
      <c r="AF9" s="91"/>
      <c r="AG9" s="92"/>
      <c r="AH9" s="90">
        <v>37500</v>
      </c>
      <c r="AI9" s="91"/>
      <c r="AJ9" s="92"/>
      <c r="AK9" s="90">
        <v>12500</v>
      </c>
      <c r="AL9" s="91"/>
      <c r="AM9" s="92"/>
      <c r="AN9" s="93">
        <f t="shared" si="0"/>
        <v>280500</v>
      </c>
      <c r="AO9" s="91"/>
      <c r="AP9" s="94">
        <f t="shared" si="1"/>
        <v>505500</v>
      </c>
    </row>
    <row r="10" spans="1:43" ht="12.75" customHeight="1">
      <c r="A10" s="5" t="s">
        <v>326</v>
      </c>
      <c r="C10" s="61"/>
      <c r="D10" s="100">
        <f>D9-D6</f>
        <v>162500</v>
      </c>
      <c r="E10" s="91"/>
      <c r="F10" s="92"/>
      <c r="G10" s="100">
        <f>G9-G6</f>
        <v>3000</v>
      </c>
      <c r="H10" s="91"/>
      <c r="I10" s="92"/>
      <c r="J10" s="100">
        <f>J9-J6</f>
        <v>0</v>
      </c>
      <c r="K10" s="91"/>
      <c r="L10" s="92"/>
      <c r="M10" s="100">
        <f>M9-M6</f>
        <v>40000</v>
      </c>
      <c r="N10" s="91"/>
      <c r="O10" s="92"/>
      <c r="P10" s="100">
        <f>P9-P6</f>
        <v>0</v>
      </c>
      <c r="Q10" s="91"/>
      <c r="R10" s="92"/>
      <c r="S10" s="100">
        <f>S9-S6</f>
        <v>0</v>
      </c>
      <c r="T10" s="91"/>
      <c r="U10" s="92"/>
      <c r="V10" s="100">
        <f>V9-V6</f>
        <v>0</v>
      </c>
      <c r="W10" s="91"/>
      <c r="X10" s="92"/>
      <c r="Y10" s="100">
        <f>Y9-Y6</f>
        <v>0</v>
      </c>
      <c r="Z10" s="91"/>
      <c r="AA10" s="92"/>
      <c r="AB10" s="100">
        <f>AB9-AB6</f>
        <v>125000</v>
      </c>
      <c r="AC10" s="91"/>
      <c r="AD10" s="92"/>
      <c r="AE10" s="100">
        <f>AE9-AE6</f>
        <v>0</v>
      </c>
      <c r="AF10" s="91"/>
      <c r="AG10" s="92"/>
      <c r="AH10" s="100">
        <f>AH9-AH6</f>
        <v>25000</v>
      </c>
      <c r="AI10" s="91"/>
      <c r="AJ10" s="92"/>
      <c r="AK10" s="100">
        <f>AK9-AK6</f>
        <v>0</v>
      </c>
      <c r="AL10" s="91"/>
      <c r="AM10" s="92"/>
      <c r="AN10" s="93">
        <f t="shared" si="0"/>
        <v>205500</v>
      </c>
      <c r="AO10" s="91"/>
      <c r="AP10" s="94">
        <f t="shared" si="1"/>
        <v>355500</v>
      </c>
    </row>
    <row r="11" spans="1:43" ht="12.75" customHeight="1">
      <c r="A11" s="5" t="s">
        <v>327</v>
      </c>
      <c r="C11" s="61"/>
      <c r="D11" s="90"/>
      <c r="E11" s="91"/>
      <c r="F11" s="92"/>
      <c r="G11" s="100"/>
      <c r="H11" s="91"/>
      <c r="I11" s="92"/>
      <c r="J11" s="100"/>
      <c r="K11" s="91"/>
      <c r="L11" s="92"/>
      <c r="M11" s="100"/>
      <c r="N11" s="91"/>
      <c r="O11" s="92"/>
      <c r="P11" s="100"/>
      <c r="Q11" s="91"/>
      <c r="R11" s="92"/>
      <c r="S11" s="100"/>
      <c r="T11" s="91"/>
      <c r="U11" s="92"/>
      <c r="V11" s="100"/>
      <c r="W11" s="91"/>
      <c r="X11" s="92"/>
      <c r="Y11" s="100"/>
      <c r="Z11" s="91"/>
      <c r="AA11" s="92"/>
      <c r="AB11" s="100"/>
      <c r="AC11" s="91"/>
      <c r="AD11" s="92"/>
      <c r="AE11" s="100"/>
      <c r="AF11" s="91"/>
      <c r="AG11" s="92"/>
      <c r="AH11" s="100"/>
      <c r="AI11" s="91"/>
      <c r="AJ11" s="92"/>
      <c r="AK11" s="100"/>
      <c r="AL11" s="91"/>
      <c r="AM11" s="92"/>
      <c r="AN11" s="100"/>
      <c r="AO11" s="91"/>
      <c r="AP11" s="91"/>
    </row>
    <row r="12" spans="1:43" ht="12.75" customHeight="1">
      <c r="A12" s="5"/>
      <c r="C12" s="61"/>
      <c r="D12" s="100"/>
      <c r="E12" s="91"/>
      <c r="F12" s="92"/>
      <c r="G12" s="100"/>
      <c r="H12" s="91"/>
      <c r="I12" s="92"/>
      <c r="J12" s="100"/>
      <c r="K12" s="91"/>
      <c r="L12" s="92"/>
      <c r="M12" s="100"/>
      <c r="N12" s="91"/>
      <c r="O12" s="92"/>
      <c r="P12" s="100"/>
      <c r="Q12" s="91"/>
      <c r="R12" s="92"/>
      <c r="S12" s="100"/>
      <c r="T12" s="91"/>
      <c r="U12" s="92"/>
      <c r="V12" s="100"/>
      <c r="W12" s="91"/>
      <c r="X12" s="92"/>
      <c r="Y12" s="100"/>
      <c r="Z12" s="91"/>
      <c r="AA12" s="92"/>
      <c r="AB12" s="100"/>
      <c r="AC12" s="91"/>
      <c r="AD12" s="92"/>
      <c r="AE12" s="100"/>
      <c r="AF12" s="91"/>
      <c r="AG12" s="92"/>
      <c r="AH12" s="100"/>
      <c r="AI12" s="91"/>
      <c r="AJ12" s="92"/>
      <c r="AK12" s="100"/>
      <c r="AL12" s="91"/>
      <c r="AM12" s="92"/>
      <c r="AN12" s="100"/>
      <c r="AO12" s="91"/>
      <c r="AP12" s="91"/>
    </row>
    <row r="13" spans="1:43" ht="12.75" customHeight="1">
      <c r="A13" s="5"/>
      <c r="B13" s="5">
        <f>SUM(B14:B15)</f>
        <v>40</v>
      </c>
      <c r="C13" s="291"/>
      <c r="D13" s="292" t="s">
        <v>153</v>
      </c>
      <c r="E13" s="118" t="s">
        <v>154</v>
      </c>
      <c r="F13" s="293" t="s">
        <v>155</v>
      </c>
      <c r="G13" s="292" t="s">
        <v>153</v>
      </c>
      <c r="H13" s="118" t="s">
        <v>154</v>
      </c>
      <c r="I13" s="293" t="s">
        <v>155</v>
      </c>
      <c r="J13" s="292" t="s">
        <v>153</v>
      </c>
      <c r="K13" s="118" t="s">
        <v>154</v>
      </c>
      <c r="L13" s="293" t="s">
        <v>155</v>
      </c>
      <c r="M13" s="292" t="s">
        <v>153</v>
      </c>
      <c r="N13" s="118" t="s">
        <v>154</v>
      </c>
      <c r="O13" s="293" t="s">
        <v>155</v>
      </c>
      <c r="P13" s="292" t="s">
        <v>153</v>
      </c>
      <c r="Q13" s="118" t="s">
        <v>154</v>
      </c>
      <c r="R13" s="293" t="s">
        <v>155</v>
      </c>
      <c r="S13" s="292" t="s">
        <v>153</v>
      </c>
      <c r="T13" s="118" t="s">
        <v>154</v>
      </c>
      <c r="U13" s="293" t="s">
        <v>155</v>
      </c>
      <c r="V13" s="292" t="s">
        <v>153</v>
      </c>
      <c r="W13" s="118" t="s">
        <v>154</v>
      </c>
      <c r="X13" s="293" t="s">
        <v>155</v>
      </c>
      <c r="Y13" s="292" t="s">
        <v>153</v>
      </c>
      <c r="Z13" s="118" t="s">
        <v>154</v>
      </c>
      <c r="AA13" s="293" t="s">
        <v>155</v>
      </c>
      <c r="AB13" s="292" t="s">
        <v>153</v>
      </c>
      <c r="AC13" s="118" t="s">
        <v>154</v>
      </c>
      <c r="AD13" s="293" t="s">
        <v>155</v>
      </c>
      <c r="AE13" s="292" t="s">
        <v>153</v>
      </c>
      <c r="AF13" s="118" t="s">
        <v>154</v>
      </c>
      <c r="AG13" s="293" t="s">
        <v>155</v>
      </c>
      <c r="AH13" s="292" t="s">
        <v>153</v>
      </c>
      <c r="AI13" s="118" t="s">
        <v>154</v>
      </c>
      <c r="AJ13" s="293" t="s">
        <v>155</v>
      </c>
      <c r="AK13" s="292" t="s">
        <v>153</v>
      </c>
      <c r="AL13" s="118" t="s">
        <v>154</v>
      </c>
      <c r="AM13" s="293" t="s">
        <v>155</v>
      </c>
      <c r="AN13" s="100"/>
      <c r="AO13" s="91"/>
      <c r="AP13" s="91"/>
    </row>
    <row r="14" spans="1:43" ht="12.75" customHeight="1">
      <c r="A14" s="89" t="s">
        <v>83</v>
      </c>
      <c r="B14" s="294">
        <v>30</v>
      </c>
      <c r="C14" s="295">
        <f>'REVISED PS Model 2013'!AO14</f>
        <v>341957.22249999997</v>
      </c>
      <c r="D14" s="123">
        <f t="shared" ref="D14:D15" si="2">D$8*VLOOKUP($A14,$A$17:$B$18,2)</f>
        <v>37327.454999999994</v>
      </c>
      <c r="E14" s="124">
        <v>4150.63</v>
      </c>
      <c r="F14" s="126">
        <f t="shared" ref="F14:F15" si="3">D14-E14</f>
        <v>33176.824999999997</v>
      </c>
      <c r="G14" s="104">
        <f t="shared" ref="G14:G15" si="4">G$8*VLOOKUP($A14,$A$17:$B$18,2)</f>
        <v>37634.67</v>
      </c>
      <c r="H14" s="124">
        <v>3685.39</v>
      </c>
      <c r="I14" s="126">
        <f t="shared" ref="I14:I15" si="5">G14-H14</f>
        <v>33949.279999999999</v>
      </c>
      <c r="J14" s="104">
        <f t="shared" ref="J14:J15" si="6">J$8*VLOOKUP($A14,$A$17:$B$18,2)</f>
        <v>36771.982500000006</v>
      </c>
      <c r="K14" s="124">
        <v>1574.94</v>
      </c>
      <c r="L14" s="126">
        <f t="shared" ref="L14:L15" si="7">J14-K14</f>
        <v>35197.042500000003</v>
      </c>
      <c r="M14" s="104">
        <f t="shared" ref="M14:M15" si="8">M$8*VLOOKUP($A14,$A$17:$B$18,2)</f>
        <v>29688.847499999996</v>
      </c>
      <c r="N14" s="124">
        <v>1417.6</v>
      </c>
      <c r="O14" s="126">
        <f t="shared" ref="O14:O15" si="9">M14-N14</f>
        <v>28271.247499999998</v>
      </c>
      <c r="P14" s="104">
        <f t="shared" ref="P14:P15" si="10">P$8*VLOOKUP($A14,$A$17:$B$18,2)</f>
        <v>32242.627499999999</v>
      </c>
      <c r="Q14" s="124">
        <v>1315.83</v>
      </c>
      <c r="R14" s="126">
        <f t="shared" ref="R14:R15" si="11">P14-Q14</f>
        <v>30926.797500000001</v>
      </c>
      <c r="S14" s="104">
        <f t="shared" ref="S14:S15" si="12">S$8*VLOOKUP($A14,$A$17:$B$18,2)</f>
        <v>20960.932500000003</v>
      </c>
      <c r="T14" s="124">
        <v>1274.54</v>
      </c>
      <c r="U14" s="126">
        <f t="shared" ref="U14:U15" si="13">S14-T14</f>
        <v>19686.392500000002</v>
      </c>
      <c r="V14" s="104">
        <f t="shared" ref="V14:V15" si="14">V$8*VLOOKUP($A14,$A$17:$B$18,2)</f>
        <v>32459.8125</v>
      </c>
      <c r="W14" s="124">
        <v>542.6</v>
      </c>
      <c r="X14" s="126">
        <f t="shared" ref="X14:X15" si="15">V14-W14</f>
        <v>31917.212500000001</v>
      </c>
      <c r="Y14" s="104">
        <f t="shared" ref="Y14:Y15" si="16">Y$8*VLOOKUP($A14,$A$17:$B$18,2)</f>
        <v>36201.082500000004</v>
      </c>
      <c r="Z14" s="124">
        <v>2738.47</v>
      </c>
      <c r="AA14" s="126">
        <f t="shared" ref="AA14:AA15" si="17">Y14-Z14</f>
        <v>33462.612500000003</v>
      </c>
      <c r="AB14" s="104">
        <f t="shared" ref="AB14:AB15" si="18">AB$8*VLOOKUP($A14,$A$17:$B$18,2)</f>
        <v>29113.575000000004</v>
      </c>
      <c r="AC14" s="124">
        <v>4734.4799999999996</v>
      </c>
      <c r="AD14" s="126">
        <f t="shared" ref="AD14:AD15" si="19">AB14-AC14</f>
        <v>24379.095000000005</v>
      </c>
      <c r="AE14" s="104">
        <f t="shared" ref="AE14:AE15" si="20">AE$8*VLOOKUP($A14,$A$17:$B$18,2)</f>
        <v>48577.125</v>
      </c>
      <c r="AF14" s="124">
        <v>746.25</v>
      </c>
      <c r="AG14" s="126">
        <f t="shared" ref="AG14:AG15" si="21">AE14-AF14</f>
        <v>47830.875</v>
      </c>
      <c r="AH14" s="104">
        <f t="shared" ref="AH14:AH15" si="22">AH$8*VLOOKUP($A14,$A$17:$B$18,2)</f>
        <v>30328.432500000003</v>
      </c>
      <c r="AI14" s="124">
        <v>1678.08</v>
      </c>
      <c r="AJ14" s="126">
        <f t="shared" ref="AJ14:AJ15" si="23">AH14-AI14</f>
        <v>28650.352500000001</v>
      </c>
      <c r="AK14" s="104">
        <f t="shared" ref="AK14:AK15" si="24">AK$8*VLOOKUP($A14,$A$17:$B$18,2)</f>
        <v>83214.435000000012</v>
      </c>
      <c r="AL14" s="124">
        <v>2594.94</v>
      </c>
      <c r="AM14" s="123">
        <f t="shared" ref="AM14:AM15" si="25">AK14-AL14</f>
        <v>80619.49500000001</v>
      </c>
      <c r="AN14" s="127">
        <f t="shared" ref="AN14:AN15" si="26">IF(AK$3="1H",AM14,0)+IF(AH$3="1H",AJ14,0)+IF(AE$3="1H",AG14,0)+IF(AB$3="1H",AD14,0)+IF(Y$3="1H",AA14,0)+IF(V$3="1H",X14,0)+IF(S$3="1H",U14,0)+IF(P$3="1H",R14,0)+IF(M$3="1H",O14,0)+IF(J$3="1H",L14,0)+IF(G$3="1H",I14,0)+IF(D$3="1H",F14,0)</f>
        <v>181207.58500000002</v>
      </c>
      <c r="AO14" s="94">
        <f>AN14-AN10</f>
        <v>-24292.414999999979</v>
      </c>
      <c r="AP14" s="127">
        <f>AM14+AJ14+AG14+AD14+AA14+X14+U14+R14+O14+L14+I14+F14-AP10</f>
        <v>72567.227499999979</v>
      </c>
      <c r="AQ14" s="72" t="s">
        <v>328</v>
      </c>
    </row>
    <row r="15" spans="1:43" ht="12.75" customHeight="1">
      <c r="A15" s="89" t="s">
        <v>209</v>
      </c>
      <c r="B15" s="294">
        <v>10</v>
      </c>
      <c r="C15" s="295">
        <v>-1795.87</v>
      </c>
      <c r="D15" s="123">
        <f t="shared" si="2"/>
        <v>12442.484999999999</v>
      </c>
      <c r="E15" s="124"/>
      <c r="F15" s="126">
        <f t="shared" si="3"/>
        <v>12442.484999999999</v>
      </c>
      <c r="G15" s="296">
        <f t="shared" si="4"/>
        <v>12544.89</v>
      </c>
      <c r="H15" s="90"/>
      <c r="I15" s="126">
        <f t="shared" si="5"/>
        <v>12544.89</v>
      </c>
      <c r="J15" s="104">
        <f t="shared" si="6"/>
        <v>12257.327500000001</v>
      </c>
      <c r="K15" s="124"/>
      <c r="L15" s="126">
        <f t="shared" si="7"/>
        <v>12257.327500000001</v>
      </c>
      <c r="M15" s="104">
        <f t="shared" si="8"/>
        <v>9896.2824999999993</v>
      </c>
      <c r="N15" s="124"/>
      <c r="O15" s="126">
        <f t="shared" si="9"/>
        <v>9896.2824999999993</v>
      </c>
      <c r="P15" s="104">
        <f t="shared" si="10"/>
        <v>10747.5425</v>
      </c>
      <c r="Q15" s="124"/>
      <c r="R15" s="126">
        <f t="shared" si="11"/>
        <v>10747.5425</v>
      </c>
      <c r="S15" s="104">
        <f t="shared" si="12"/>
        <v>6986.9775000000009</v>
      </c>
      <c r="T15" s="124">
        <v>37933.040000000001</v>
      </c>
      <c r="U15" s="126">
        <f t="shared" si="13"/>
        <v>-30946.0625</v>
      </c>
      <c r="V15" s="104">
        <f t="shared" si="14"/>
        <v>10819.9375</v>
      </c>
      <c r="W15" s="124"/>
      <c r="X15" s="126">
        <f t="shared" si="15"/>
        <v>10819.9375</v>
      </c>
      <c r="Y15" s="104">
        <f t="shared" si="16"/>
        <v>12067.0275</v>
      </c>
      <c r="Z15" s="124"/>
      <c r="AA15" s="126">
        <f t="shared" si="17"/>
        <v>12067.0275</v>
      </c>
      <c r="AB15" s="104">
        <f t="shared" si="18"/>
        <v>9704.5250000000015</v>
      </c>
      <c r="AC15" s="124"/>
      <c r="AD15" s="126">
        <f t="shared" si="19"/>
        <v>9704.5250000000015</v>
      </c>
      <c r="AE15" s="104">
        <f t="shared" si="20"/>
        <v>16192.375</v>
      </c>
      <c r="AF15" s="124"/>
      <c r="AG15" s="126">
        <f t="shared" si="21"/>
        <v>16192.375</v>
      </c>
      <c r="AH15" s="104">
        <f t="shared" si="22"/>
        <v>10109.477500000001</v>
      </c>
      <c r="AI15" s="124"/>
      <c r="AJ15" s="126">
        <f t="shared" si="23"/>
        <v>10109.477500000001</v>
      </c>
      <c r="AK15" s="104">
        <f t="shared" si="24"/>
        <v>27738.145000000004</v>
      </c>
      <c r="AL15" s="124">
        <f>115048.69+27134.08</f>
        <v>142182.77000000002</v>
      </c>
      <c r="AM15" s="123">
        <f t="shared" si="25"/>
        <v>-114444.62500000001</v>
      </c>
      <c r="AN15" s="127">
        <f t="shared" si="26"/>
        <v>26942.464999999997</v>
      </c>
      <c r="AO15" s="91"/>
      <c r="AP15" s="127">
        <f>AM15+AJ15+AG15+AD15+AA15+X15+U15+R15+O15+L15+I15+F15</f>
        <v>-28608.817500000034</v>
      </c>
      <c r="AQ15" s="72" t="s">
        <v>328</v>
      </c>
    </row>
    <row r="16" spans="1:43" ht="12.75" customHeight="1">
      <c r="A16" s="89"/>
      <c r="C16" s="61"/>
      <c r="D16" s="100"/>
      <c r="E16" s="91"/>
      <c r="F16" s="91"/>
      <c r="G16" s="91">
        <f>SUM(G14:G15)</f>
        <v>50179.56</v>
      </c>
      <c r="H16" s="91"/>
      <c r="I16" s="91">
        <f>SUM(I14:I15)</f>
        <v>46494.17</v>
      </c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124" t="s">
        <v>329</v>
      </c>
      <c r="AM16" s="91"/>
      <c r="AN16" s="92"/>
      <c r="AO16" s="90"/>
    </row>
    <row r="17" spans="1:43" ht="12.75" customHeight="1">
      <c r="A17" s="89" t="s">
        <v>83</v>
      </c>
      <c r="B17" s="5">
        <f>'Revised PS Model 2014'!ColinShares/'Revised PS Model 2014'!TotalShares</f>
        <v>0.75</v>
      </c>
      <c r="C17" s="61"/>
      <c r="D17" s="100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L17" s="121"/>
      <c r="AM17" s="297" t="s">
        <v>325</v>
      </c>
      <c r="AN17" s="90">
        <v>0</v>
      </c>
      <c r="AO17" s="61"/>
      <c r="AP17" s="148">
        <f t="shared" ref="AP17:AP18" si="27">AP14+C14</f>
        <v>414524.44999999995</v>
      </c>
      <c r="AQ17" s="298" t="s">
        <v>330</v>
      </c>
    </row>
    <row r="18" spans="1:43" ht="12.75" customHeight="1">
      <c r="A18" s="89" t="s">
        <v>209</v>
      </c>
      <c r="B18" s="5">
        <f>'Revised PS Model 2014'!FronczykShares/'Revised PS Model 2014'!TotalShares</f>
        <v>0.25</v>
      </c>
      <c r="C18" s="61"/>
      <c r="D18" s="10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L18" s="121"/>
      <c r="AM18" s="297" t="s">
        <v>325</v>
      </c>
      <c r="AN18" s="90">
        <v>37933.040000000001</v>
      </c>
      <c r="AO18" s="61"/>
      <c r="AP18" s="148">
        <f t="shared" si="27"/>
        <v>-30404.687500000033</v>
      </c>
      <c r="AQ18" s="298" t="s">
        <v>330</v>
      </c>
    </row>
    <row r="19" spans="1:43" ht="12.75" customHeight="1">
      <c r="A19" s="89"/>
      <c r="C19" s="61"/>
      <c r="D19" s="62"/>
      <c r="AO19" s="91"/>
      <c r="AP19" s="91"/>
    </row>
    <row r="20" spans="1:43" ht="12.75" customHeight="1">
      <c r="A20" s="89"/>
      <c r="C20" s="61"/>
      <c r="D20" s="62"/>
      <c r="AN20" s="230"/>
      <c r="AO20" s="91"/>
      <c r="AP20" s="91"/>
    </row>
    <row r="21" spans="1:43" ht="12.75" customHeight="1">
      <c r="A21" s="89"/>
      <c r="C21" s="61"/>
      <c r="D21" s="62"/>
      <c r="AN21" s="152"/>
      <c r="AO21" s="91"/>
      <c r="AP21" s="91"/>
    </row>
    <row r="22" spans="1:43" ht="12.75" customHeight="1">
      <c r="A22" s="89" t="s">
        <v>201</v>
      </c>
      <c r="C22" s="61"/>
      <c r="D22" s="62" t="s">
        <v>331</v>
      </c>
      <c r="AE22" s="1" t="s">
        <v>148</v>
      </c>
      <c r="AN22" s="152"/>
      <c r="AO22" s="91"/>
      <c r="AP22" s="91"/>
    </row>
    <row r="23" spans="1:43" ht="12.75" customHeight="1">
      <c r="A23" s="89"/>
      <c r="C23" s="61"/>
      <c r="D23" s="62" t="s">
        <v>332</v>
      </c>
      <c r="AO23" s="91"/>
    </row>
    <row r="24" spans="1:43" ht="12.75" customHeight="1">
      <c r="A24" s="89"/>
      <c r="C24" s="61"/>
      <c r="D24" s="62" t="s">
        <v>333</v>
      </c>
    </row>
    <row r="25" spans="1:43" ht="12.75" customHeight="1">
      <c r="A25" s="89"/>
      <c r="C25" s="61"/>
      <c r="D25" s="62"/>
    </row>
    <row r="26" spans="1:43" ht="12.75" customHeight="1">
      <c r="A26" s="89"/>
      <c r="C26" s="61"/>
      <c r="D26" s="62"/>
    </row>
    <row r="27" spans="1:43" ht="12.75" customHeight="1">
      <c r="A27" s="89"/>
      <c r="C27" s="61"/>
      <c r="D27" s="62"/>
    </row>
    <row r="28" spans="1:43" ht="12.75" customHeight="1">
      <c r="A28" s="89"/>
      <c r="C28" s="61"/>
      <c r="D28" s="62"/>
    </row>
    <row r="29" spans="1:43" ht="12.75" customHeight="1">
      <c r="A29" s="89"/>
      <c r="C29" s="61"/>
      <c r="D29" s="62"/>
    </row>
    <row r="30" spans="1:43" ht="12.75" customHeight="1">
      <c r="A30" s="89"/>
      <c r="C30" s="61"/>
      <c r="D30" s="62"/>
    </row>
    <row r="31" spans="1:43" ht="12.75" customHeight="1">
      <c r="A31" s="89"/>
      <c r="C31" s="61"/>
      <c r="D31" s="62"/>
    </row>
    <row r="32" spans="1:43" ht="12.75" customHeight="1">
      <c r="A32" s="89"/>
      <c r="C32" s="61"/>
      <c r="D32" s="62"/>
    </row>
    <row r="33" spans="1:4" ht="12.75" customHeight="1">
      <c r="A33" s="89"/>
      <c r="C33" s="61"/>
      <c r="D33" s="62"/>
    </row>
    <row r="34" spans="1:4" ht="12.75" customHeight="1">
      <c r="A34" s="89"/>
      <c r="C34" s="61"/>
      <c r="D34" s="62"/>
    </row>
    <row r="35" spans="1:4" ht="12.75" customHeight="1">
      <c r="A35" s="89"/>
      <c r="C35" s="61"/>
      <c r="D35" s="6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O34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3" width="15.1640625" customWidth="1"/>
    <col min="4" max="4" width="8.6640625" customWidth="1"/>
    <col min="5" max="6" width="15.1640625" customWidth="1"/>
    <col min="7" max="7" width="11" customWidth="1"/>
    <col min="8" max="9" width="15.1640625" customWidth="1"/>
    <col min="10" max="10" width="9.33203125" customWidth="1"/>
    <col min="11" max="12" width="15.1640625" customWidth="1"/>
    <col min="13" max="13" width="11.1640625" customWidth="1"/>
    <col min="14" max="36" width="15.1640625" customWidth="1"/>
    <col min="37" max="37" width="10.5" customWidth="1"/>
    <col min="38" max="38" width="10.83203125" customWidth="1"/>
    <col min="39" max="41" width="15.1640625" customWidth="1"/>
  </cols>
  <sheetData>
    <row r="1" spans="1:41" ht="12.75" customHeight="1">
      <c r="A1" s="5" t="s">
        <v>148</v>
      </c>
      <c r="B1" s="5"/>
      <c r="C1" s="299">
        <v>41305</v>
      </c>
      <c r="D1" s="60"/>
      <c r="E1" s="60"/>
      <c r="F1" s="299">
        <v>41333</v>
      </c>
      <c r="G1" s="60"/>
      <c r="H1" s="60"/>
      <c r="I1" s="299">
        <v>41364</v>
      </c>
      <c r="J1" s="60"/>
      <c r="K1" s="60"/>
      <c r="L1" s="299">
        <v>41394</v>
      </c>
      <c r="M1" s="60"/>
      <c r="N1" s="60"/>
      <c r="O1" s="299">
        <v>41425</v>
      </c>
      <c r="P1" s="60"/>
      <c r="Q1" s="60"/>
      <c r="R1" s="299">
        <v>41455</v>
      </c>
      <c r="S1" s="60"/>
      <c r="T1" s="60"/>
      <c r="U1" s="299">
        <v>41486</v>
      </c>
      <c r="V1" s="60"/>
      <c r="W1" s="60"/>
      <c r="X1" s="299">
        <v>41517</v>
      </c>
      <c r="Y1" s="60"/>
      <c r="Z1" s="60"/>
      <c r="AA1" s="299">
        <v>41547</v>
      </c>
      <c r="AB1" s="60"/>
      <c r="AC1" s="60"/>
      <c r="AD1" s="299">
        <v>41578</v>
      </c>
      <c r="AE1" s="60"/>
      <c r="AF1" s="60"/>
      <c r="AG1" s="299">
        <v>41608</v>
      </c>
      <c r="AH1" s="60"/>
      <c r="AI1" s="60"/>
      <c r="AJ1" s="299">
        <v>41639</v>
      </c>
      <c r="AK1" s="60"/>
      <c r="AM1" s="61"/>
      <c r="AN1" s="62"/>
    </row>
    <row r="2" spans="1:41" ht="12.75" customHeight="1">
      <c r="A2" s="5"/>
      <c r="B2" s="61"/>
      <c r="C2" s="62">
        <f>YEAR(C1)</f>
        <v>2013</v>
      </c>
      <c r="E2" s="61"/>
      <c r="F2" s="62">
        <f>YEAR(F1)</f>
        <v>2013</v>
      </c>
      <c r="I2" s="1">
        <f>YEAR(I1)</f>
        <v>2013</v>
      </c>
      <c r="K2" s="61"/>
      <c r="L2" s="62">
        <f>YEAR(L1)</f>
        <v>2013</v>
      </c>
      <c r="N2" s="61"/>
      <c r="O2" s="62">
        <f>YEAR(O1)</f>
        <v>2013</v>
      </c>
      <c r="Q2" s="61"/>
      <c r="R2" s="62">
        <f>YEAR(R1)</f>
        <v>2013</v>
      </c>
      <c r="T2" s="61"/>
      <c r="U2" s="62">
        <f>YEAR(U1)</f>
        <v>2013</v>
      </c>
      <c r="W2" s="61"/>
      <c r="X2" s="62">
        <f>YEAR(X1)</f>
        <v>2013</v>
      </c>
      <c r="Z2" s="61"/>
      <c r="AA2" s="62">
        <f>YEAR(AA1)</f>
        <v>2013</v>
      </c>
      <c r="AC2" s="61"/>
      <c r="AD2" s="62">
        <f>YEAR(AD1)</f>
        <v>2013</v>
      </c>
      <c r="AF2" s="61"/>
      <c r="AG2" s="62">
        <f>YEAR(AG1)</f>
        <v>2013</v>
      </c>
      <c r="AI2" s="61"/>
      <c r="AJ2" s="62">
        <f>YEAR(AJ1)</f>
        <v>2013</v>
      </c>
      <c r="AL2" s="61"/>
      <c r="AM2" s="286" t="s">
        <v>247</v>
      </c>
      <c r="AN2" s="287"/>
      <c r="AO2" s="288">
        <v>2013</v>
      </c>
    </row>
    <row r="3" spans="1:41" ht="12.75" customHeight="1">
      <c r="A3" s="5"/>
      <c r="B3" s="61"/>
      <c r="C3" s="69" t="str">
        <f>IF(MONTH(C1)&lt;7,"1H","2H")</f>
        <v>1H</v>
      </c>
      <c r="E3" s="61"/>
      <c r="F3" s="69" t="str">
        <f>IF(MONTH(F1)&lt;7,"1H","2H")</f>
        <v>1H</v>
      </c>
      <c r="H3" s="61"/>
      <c r="I3" s="69" t="str">
        <f>IF(MONTH(I1)&lt;7,"1H","2H")</f>
        <v>1H</v>
      </c>
      <c r="K3" s="61"/>
      <c r="L3" s="69" t="str">
        <f>IF(MONTH(L1)&lt;7,"1H","2H")</f>
        <v>1H</v>
      </c>
      <c r="N3" s="61"/>
      <c r="O3" s="69" t="str">
        <f>IF(MONTH(O1)&lt;7,"1H","2H")</f>
        <v>1H</v>
      </c>
      <c r="Q3" s="61"/>
      <c r="R3" s="69" t="str">
        <f>IF(MONTH(R1)&lt;7,"1H","2H")</f>
        <v>1H</v>
      </c>
      <c r="T3" s="61"/>
      <c r="U3" s="69" t="str">
        <f>IF(MONTH(U1)&lt;7,"1H","2H")</f>
        <v>2H</v>
      </c>
      <c r="W3" s="61"/>
      <c r="X3" s="69" t="str">
        <f>IF(MONTH(X1)&lt;7,"1H","2H")</f>
        <v>2H</v>
      </c>
      <c r="Z3" s="61"/>
      <c r="AA3" s="69" t="str">
        <f>IF(MONTH(AA1)&lt;7,"1H","2H")</f>
        <v>2H</v>
      </c>
      <c r="AC3" s="61"/>
      <c r="AD3" s="69" t="str">
        <f>IF(MONTH(AD1)&lt;7,"1H","2H")</f>
        <v>2H</v>
      </c>
      <c r="AF3" s="61"/>
      <c r="AG3" s="69" t="str">
        <f>IF(MONTH(AG1)&lt;7,"1H","2H")</f>
        <v>2H</v>
      </c>
      <c r="AI3" s="61"/>
      <c r="AJ3" s="69" t="str">
        <f>IF(MONTH(AJ1)&lt;7,"1H","2H")</f>
        <v>2H</v>
      </c>
      <c r="AL3" s="61"/>
      <c r="AM3" s="289"/>
      <c r="AN3" s="287"/>
      <c r="AO3" s="290"/>
    </row>
    <row r="4" spans="1:41" ht="12.75" customHeight="1">
      <c r="A4" s="89" t="s">
        <v>136</v>
      </c>
      <c r="B4" s="61"/>
      <c r="C4" s="300">
        <v>29855.95</v>
      </c>
      <c r="E4" s="61"/>
      <c r="F4" s="300">
        <v>25953.49</v>
      </c>
      <c r="I4" s="99">
        <v>43960.35</v>
      </c>
      <c r="K4" s="61"/>
      <c r="L4" s="300">
        <v>9784.42</v>
      </c>
      <c r="N4" s="61"/>
      <c r="O4" s="300">
        <v>-1896.62</v>
      </c>
      <c r="P4" s="301"/>
      <c r="Q4" s="61"/>
      <c r="R4" s="300">
        <v>69849.179999999993</v>
      </c>
      <c r="S4" s="301"/>
      <c r="T4" s="61"/>
      <c r="U4" s="300">
        <v>30171.73</v>
      </c>
      <c r="W4" s="61"/>
      <c r="X4" s="300">
        <v>74772.97</v>
      </c>
      <c r="Z4" s="302"/>
      <c r="AA4" s="300">
        <v>55745.24</v>
      </c>
      <c r="AC4" s="61"/>
      <c r="AD4" s="300">
        <v>61730.720000000001</v>
      </c>
      <c r="AF4" s="61"/>
      <c r="AG4" s="300">
        <v>45695.41</v>
      </c>
      <c r="AI4" s="61"/>
      <c r="AJ4" s="300">
        <f>-186991.94+353493.21</f>
        <v>166501.27000000002</v>
      </c>
      <c r="AK4" s="1">
        <v>353493.21</v>
      </c>
      <c r="AL4" s="92"/>
      <c r="AM4" s="93">
        <f t="shared" ref="AM4:AM8" si="0">SUMIF($C$3:$AL$4,"=1H",$C4:$AL5)</f>
        <v>177506.77000000002</v>
      </c>
      <c r="AN4" s="91"/>
      <c r="AO4" s="94">
        <f t="shared" ref="AO4:AO8" si="1">SUMIF($C$2:$AL$2,$AO$2,$C4:$AL5)</f>
        <v>612124.1100000001</v>
      </c>
    </row>
    <row r="5" spans="1:41" ht="12.75" customHeight="1">
      <c r="A5" s="89" t="s">
        <v>138</v>
      </c>
      <c r="B5" s="61"/>
      <c r="C5" s="300">
        <v>0</v>
      </c>
      <c r="E5" s="61"/>
      <c r="F5" s="300">
        <v>0</v>
      </c>
      <c r="I5" s="99">
        <v>0</v>
      </c>
      <c r="K5" s="61"/>
      <c r="L5" s="300"/>
      <c r="N5" s="61"/>
      <c r="O5" s="300"/>
      <c r="Q5" s="61"/>
      <c r="R5" s="300"/>
      <c r="T5" s="61"/>
      <c r="U5" s="300"/>
      <c r="W5" s="61"/>
      <c r="X5" s="300"/>
      <c r="Z5" s="302"/>
      <c r="AA5" s="300"/>
      <c r="AC5" s="61"/>
      <c r="AD5" s="300"/>
      <c r="AF5" s="61"/>
      <c r="AG5" s="300"/>
      <c r="AI5" s="61"/>
      <c r="AJ5" s="300"/>
      <c r="AL5" s="92"/>
      <c r="AM5" s="93">
        <f t="shared" si="0"/>
        <v>0</v>
      </c>
      <c r="AN5" s="91"/>
      <c r="AO5" s="94">
        <f t="shared" si="1"/>
        <v>0</v>
      </c>
    </row>
    <row r="6" spans="1:41" ht="12.75" customHeight="1">
      <c r="A6" s="89" t="s">
        <v>143</v>
      </c>
      <c r="B6" s="303">
        <v>12500</v>
      </c>
      <c r="C6" s="297">
        <f>$B$6</f>
        <v>12500</v>
      </c>
      <c r="D6" s="297"/>
      <c r="E6" s="297"/>
      <c r="F6" s="100">
        <f>$B$6</f>
        <v>12500</v>
      </c>
      <c r="G6" s="92"/>
      <c r="H6" s="297"/>
      <c r="I6" s="100">
        <f>$B$6</f>
        <v>12500</v>
      </c>
      <c r="J6" s="92"/>
      <c r="K6" s="297"/>
      <c r="L6" s="100">
        <f>$B$6</f>
        <v>12500</v>
      </c>
      <c r="M6" s="92"/>
      <c r="N6" s="297"/>
      <c r="O6" s="100">
        <f>$B$6</f>
        <v>12500</v>
      </c>
      <c r="P6" s="92"/>
      <c r="Q6" s="297"/>
      <c r="R6" s="100">
        <f>$B$6</f>
        <v>12500</v>
      </c>
      <c r="S6" s="92"/>
      <c r="T6" s="297"/>
      <c r="U6" s="100">
        <f>$B$6</f>
        <v>12500</v>
      </c>
      <c r="V6" s="92"/>
      <c r="W6" s="297"/>
      <c r="X6" s="100">
        <f>$B$6</f>
        <v>12500</v>
      </c>
      <c r="Y6" s="92"/>
      <c r="Z6" s="297"/>
      <c r="AA6" s="100">
        <f>$B$6</f>
        <v>12500</v>
      </c>
      <c r="AB6" s="92"/>
      <c r="AC6" s="297"/>
      <c r="AD6" s="100">
        <f>$B$6</f>
        <v>12500</v>
      </c>
      <c r="AE6" s="92"/>
      <c r="AF6" s="297"/>
      <c r="AG6" s="100">
        <f>$B$6</f>
        <v>12500</v>
      </c>
      <c r="AH6" s="92"/>
      <c r="AI6" s="297"/>
      <c r="AJ6" s="100">
        <f>$B$6</f>
        <v>12500</v>
      </c>
      <c r="AL6" s="92"/>
      <c r="AM6" s="93">
        <f t="shared" si="0"/>
        <v>75000</v>
      </c>
      <c r="AN6" s="91"/>
      <c r="AO6" s="94">
        <f t="shared" si="1"/>
        <v>150000</v>
      </c>
    </row>
    <row r="7" spans="1:41" ht="12.75" customHeight="1">
      <c r="A7" s="89" t="s">
        <v>334</v>
      </c>
      <c r="B7" s="101"/>
      <c r="C7" s="304">
        <f>SUM(D14:D15)</f>
        <v>61.88</v>
      </c>
      <c r="F7" s="304">
        <f>SUM(G14:G15)</f>
        <v>819.6</v>
      </c>
      <c r="I7" s="304">
        <f>SUM(J14:J15)</f>
        <v>4976.95</v>
      </c>
      <c r="K7" s="61"/>
      <c r="L7" s="305">
        <f>SUM(M14:M15)</f>
        <v>2105.12</v>
      </c>
      <c r="N7" s="61"/>
      <c r="O7" s="305">
        <f>SUM(P14:P15)</f>
        <v>1247.8900000000001</v>
      </c>
      <c r="Q7" s="61"/>
      <c r="R7" s="305">
        <f>SUM(S14:S15)</f>
        <v>914.14</v>
      </c>
      <c r="T7" s="302"/>
      <c r="U7" s="305">
        <f>SUM(V14:V15)</f>
        <v>929.25</v>
      </c>
      <c r="W7" s="61"/>
      <c r="X7" s="305">
        <f>SUM(Y14:Y15)</f>
        <v>1941.7</v>
      </c>
      <c r="Z7" s="302"/>
      <c r="AA7" s="305">
        <f>SUM(AB14:AB15)</f>
        <v>647.82000000000005</v>
      </c>
      <c r="AC7" s="61"/>
      <c r="AD7" s="305">
        <f>SUM(AE14:AE15)</f>
        <v>369.04</v>
      </c>
      <c r="AF7" s="61"/>
      <c r="AG7" s="305">
        <f>SUM(AH14:AH15)</f>
        <v>1126.46</v>
      </c>
      <c r="AI7" s="61"/>
      <c r="AJ7" s="305">
        <f>SUM(AK14:AK15)</f>
        <v>2079.77</v>
      </c>
      <c r="AL7" s="92"/>
      <c r="AM7" s="93">
        <f t="shared" si="0"/>
        <v>10125.58</v>
      </c>
      <c r="AN7" s="91"/>
      <c r="AO7" s="94">
        <f t="shared" si="1"/>
        <v>17219.620000000003</v>
      </c>
    </row>
    <row r="8" spans="1:41" ht="12.75" customHeight="1">
      <c r="A8" s="89" t="s">
        <v>335</v>
      </c>
      <c r="B8" s="102"/>
      <c r="C8" s="305">
        <f>C4-C5-C6+C7+C11</f>
        <v>17417.830000000002</v>
      </c>
      <c r="E8" s="61"/>
      <c r="F8" s="305">
        <f>F4-F5-F6+F7+F11</f>
        <v>14273.090000000002</v>
      </c>
      <c r="I8" s="305">
        <f>I4-I5-I6+I7+I11</f>
        <v>36437.299999999996</v>
      </c>
      <c r="K8" s="61"/>
      <c r="L8" s="305">
        <f>L4-L5-L6+L7+L11</f>
        <v>-610.46</v>
      </c>
      <c r="N8" s="61"/>
      <c r="O8" s="305">
        <f>O4-O5-O6+O7+O11</f>
        <v>-13148.73</v>
      </c>
      <c r="Q8" s="61"/>
      <c r="R8" s="305">
        <f>R4-R5-R6+R7+R11</f>
        <v>58263.319999999992</v>
      </c>
      <c r="T8" s="61"/>
      <c r="U8" s="305">
        <f>U4-U5-U6+U7+U11</f>
        <v>46781.149999999994</v>
      </c>
      <c r="W8" s="61"/>
      <c r="X8" s="305">
        <f>X4-X5-X6+X7+X11</f>
        <v>64214.67</v>
      </c>
      <c r="Z8" s="302"/>
      <c r="AA8" s="305">
        <f>AA4-AA5-AA6+AA7+AA11</f>
        <v>43893.06</v>
      </c>
      <c r="AC8" s="61"/>
      <c r="AD8" s="305">
        <f>AD4-AD5-AD6+AD7+AD11</f>
        <v>49599.76</v>
      </c>
      <c r="AF8" s="61"/>
      <c r="AG8" s="305">
        <f>AG4-AG5-AG6+AG7+AG11</f>
        <v>34321.870000000003</v>
      </c>
      <c r="AI8" s="61"/>
      <c r="AJ8" s="305">
        <f>AJ4-AJ5-AJ6+AJ7+AJ11</f>
        <v>222817.37</v>
      </c>
      <c r="AL8" s="92"/>
      <c r="AM8" s="93">
        <f t="shared" si="0"/>
        <v>112632.34999999999</v>
      </c>
      <c r="AN8" s="91"/>
      <c r="AO8" s="94">
        <f t="shared" si="1"/>
        <v>574260.23</v>
      </c>
    </row>
    <row r="9" spans="1:41" ht="12.75" customHeight="1">
      <c r="A9" s="89" t="s">
        <v>324</v>
      </c>
      <c r="B9" s="61"/>
      <c r="C9" s="90">
        <v>8000</v>
      </c>
      <c r="D9" s="91"/>
      <c r="E9" s="92"/>
      <c r="F9" s="90">
        <v>21018.33</v>
      </c>
      <c r="G9" s="91"/>
      <c r="H9" s="92"/>
      <c r="I9" s="90">
        <v>10000</v>
      </c>
      <c r="J9" s="91"/>
      <c r="K9" s="92"/>
      <c r="L9" s="90">
        <v>10000</v>
      </c>
      <c r="M9" s="91"/>
      <c r="N9" s="92"/>
      <c r="O9" s="90">
        <v>35000</v>
      </c>
      <c r="P9" s="91"/>
      <c r="Q9" s="92"/>
      <c r="R9" s="90">
        <v>10000</v>
      </c>
      <c r="S9" s="91"/>
      <c r="T9" s="92"/>
      <c r="U9" s="90">
        <v>25000</v>
      </c>
      <c r="V9" s="91"/>
      <c r="W9" s="92"/>
      <c r="X9" s="90">
        <v>10000</v>
      </c>
      <c r="Y9" s="91"/>
      <c r="Z9" s="92"/>
      <c r="AA9" s="90">
        <v>15000</v>
      </c>
      <c r="AB9" s="91"/>
      <c r="AC9" s="92"/>
      <c r="AD9" s="90">
        <v>30000</v>
      </c>
      <c r="AE9" s="91"/>
      <c r="AF9" s="92"/>
      <c r="AG9" s="90">
        <v>22500</v>
      </c>
      <c r="AH9" s="91"/>
      <c r="AI9" s="92"/>
      <c r="AJ9" s="90">
        <v>25000</v>
      </c>
      <c r="AK9" s="91"/>
      <c r="AL9" s="92"/>
      <c r="AM9" s="93">
        <f t="shared" ref="AM9:AM10" si="2">SUMIF($C$3:$AL$3,"=1H",$C9:$AL9)</f>
        <v>94018.33</v>
      </c>
      <c r="AN9" s="91"/>
      <c r="AO9" s="94">
        <f t="shared" ref="AO9:AO10" si="3">SUMIF($C$2:$AM$2,$AO$2,$C9:$AM9)</f>
        <v>221518.33000000002</v>
      </c>
    </row>
    <row r="10" spans="1:41" ht="12.75" customHeight="1">
      <c r="A10" s="5" t="s">
        <v>326</v>
      </c>
      <c r="B10" s="61"/>
      <c r="C10" s="100">
        <f>C9-C6</f>
        <v>-4500</v>
      </c>
      <c r="D10" s="91"/>
      <c r="E10" s="92"/>
      <c r="F10" s="100">
        <f>F9-F6</f>
        <v>8518.3300000000017</v>
      </c>
      <c r="G10" s="91"/>
      <c r="H10" s="92"/>
      <c r="I10" s="100">
        <f>I9-I6</f>
        <v>-2500</v>
      </c>
      <c r="J10" s="91"/>
      <c r="K10" s="92"/>
      <c r="L10" s="100">
        <f>L9-L6</f>
        <v>-2500</v>
      </c>
      <c r="M10" s="91"/>
      <c r="N10" s="92"/>
      <c r="O10" s="100">
        <f>O9-O6</f>
        <v>22500</v>
      </c>
      <c r="P10" s="91"/>
      <c r="Q10" s="92"/>
      <c r="R10" s="100">
        <f>R9-R6</f>
        <v>-2500</v>
      </c>
      <c r="S10" s="91"/>
      <c r="T10" s="92"/>
      <c r="U10" s="100">
        <f>U9-U6</f>
        <v>12500</v>
      </c>
      <c r="V10" s="91"/>
      <c r="W10" s="92"/>
      <c r="X10" s="100">
        <f>X9-X6</f>
        <v>-2500</v>
      </c>
      <c r="Y10" s="91"/>
      <c r="Z10" s="92"/>
      <c r="AA10" s="100">
        <f>AA9-AA6</f>
        <v>2500</v>
      </c>
      <c r="AB10" s="91"/>
      <c r="AC10" s="92"/>
      <c r="AD10" s="100">
        <f>AD9-AD6</f>
        <v>17500</v>
      </c>
      <c r="AE10" s="91"/>
      <c r="AF10" s="92"/>
      <c r="AG10" s="100">
        <f>AG9-AG6</f>
        <v>10000</v>
      </c>
      <c r="AH10" s="91"/>
      <c r="AI10" s="92"/>
      <c r="AJ10" s="100">
        <f>AJ9-AJ6</f>
        <v>12500</v>
      </c>
      <c r="AK10" s="91"/>
      <c r="AL10" s="92"/>
      <c r="AM10" s="93">
        <f t="shared" si="2"/>
        <v>19018.330000000002</v>
      </c>
      <c r="AN10" s="91"/>
      <c r="AO10" s="94">
        <f t="shared" si="3"/>
        <v>71518.33</v>
      </c>
    </row>
    <row r="11" spans="1:41" ht="12.75" customHeight="1">
      <c r="A11" s="5" t="s">
        <v>327</v>
      </c>
      <c r="B11" s="61"/>
      <c r="C11" s="62"/>
      <c r="E11" s="61"/>
      <c r="F11" s="62"/>
      <c r="H11" s="61"/>
      <c r="I11" s="62"/>
      <c r="K11" s="61"/>
      <c r="L11" s="62"/>
      <c r="N11" s="61"/>
      <c r="O11" s="90"/>
      <c r="Q11" s="61"/>
      <c r="R11" s="90"/>
      <c r="T11" s="61"/>
      <c r="U11" s="90">
        <v>28180.17</v>
      </c>
      <c r="W11" s="61"/>
      <c r="X11" s="90"/>
      <c r="Z11" s="61"/>
      <c r="AA11" s="90"/>
      <c r="AC11" s="61"/>
      <c r="AD11" s="90"/>
      <c r="AF11" s="61"/>
      <c r="AG11" s="90"/>
      <c r="AI11" s="61"/>
      <c r="AJ11" s="90">
        <v>66736.33</v>
      </c>
      <c r="AL11" s="92"/>
      <c r="AM11" s="100"/>
      <c r="AN11" s="91"/>
      <c r="AO11" s="91"/>
    </row>
    <row r="12" spans="1:41" ht="12.75" customHeight="1">
      <c r="A12" s="5"/>
      <c r="B12" s="61"/>
      <c r="C12" s="62"/>
      <c r="E12" s="61"/>
      <c r="F12" s="62"/>
      <c r="H12" s="61"/>
      <c r="I12" s="62"/>
      <c r="K12" s="61"/>
      <c r="L12" s="62"/>
      <c r="N12" s="61"/>
      <c r="O12" s="62"/>
      <c r="Q12" s="61"/>
      <c r="R12" s="62"/>
      <c r="T12" s="61"/>
      <c r="U12" s="62"/>
      <c r="W12" s="61"/>
      <c r="X12" s="62"/>
      <c r="Z12" s="61"/>
      <c r="AA12" s="62"/>
      <c r="AC12" s="61"/>
      <c r="AD12" s="62"/>
      <c r="AF12" s="61"/>
      <c r="AG12" s="62"/>
      <c r="AI12" s="61"/>
      <c r="AJ12" s="62"/>
      <c r="AL12" s="92"/>
      <c r="AM12" s="100"/>
      <c r="AN12" s="91"/>
      <c r="AO12" s="91"/>
    </row>
    <row r="13" spans="1:41" ht="12.75" customHeight="1">
      <c r="A13" s="5"/>
      <c r="B13" s="291">
        <f>SUM(B14:B15)</f>
        <v>40</v>
      </c>
      <c r="C13" s="292" t="s">
        <v>153</v>
      </c>
      <c r="D13" s="118" t="s">
        <v>154</v>
      </c>
      <c r="E13" s="293" t="s">
        <v>155</v>
      </c>
      <c r="F13" s="292" t="s">
        <v>153</v>
      </c>
      <c r="G13" s="118" t="s">
        <v>154</v>
      </c>
      <c r="H13" s="293" t="s">
        <v>155</v>
      </c>
      <c r="I13" s="292" t="s">
        <v>153</v>
      </c>
      <c r="J13" s="118" t="s">
        <v>154</v>
      </c>
      <c r="K13" s="293" t="s">
        <v>155</v>
      </c>
      <c r="L13" s="292" t="s">
        <v>153</v>
      </c>
      <c r="M13" s="118" t="s">
        <v>154</v>
      </c>
      <c r="N13" s="293" t="s">
        <v>155</v>
      </c>
      <c r="O13" s="292" t="s">
        <v>153</v>
      </c>
      <c r="P13" s="118" t="s">
        <v>154</v>
      </c>
      <c r="Q13" s="293" t="s">
        <v>155</v>
      </c>
      <c r="R13" s="292" t="s">
        <v>153</v>
      </c>
      <c r="S13" s="118" t="s">
        <v>154</v>
      </c>
      <c r="T13" s="293" t="s">
        <v>155</v>
      </c>
      <c r="U13" s="292" t="s">
        <v>153</v>
      </c>
      <c r="V13" s="118" t="s">
        <v>154</v>
      </c>
      <c r="W13" s="293" t="s">
        <v>155</v>
      </c>
      <c r="X13" s="292" t="s">
        <v>153</v>
      </c>
      <c r="Y13" s="118" t="s">
        <v>154</v>
      </c>
      <c r="Z13" s="293" t="s">
        <v>155</v>
      </c>
      <c r="AA13" s="292" t="s">
        <v>153</v>
      </c>
      <c r="AB13" s="118" t="s">
        <v>154</v>
      </c>
      <c r="AC13" s="293" t="s">
        <v>155</v>
      </c>
      <c r="AD13" s="292" t="s">
        <v>153</v>
      </c>
      <c r="AE13" s="118" t="s">
        <v>154</v>
      </c>
      <c r="AF13" s="293" t="s">
        <v>155</v>
      </c>
      <c r="AG13" s="292" t="s">
        <v>153</v>
      </c>
      <c r="AH13" s="118" t="s">
        <v>154</v>
      </c>
      <c r="AI13" s="293" t="s">
        <v>155</v>
      </c>
      <c r="AJ13" s="292" t="s">
        <v>153</v>
      </c>
      <c r="AK13" s="118" t="s">
        <v>154</v>
      </c>
      <c r="AL13" s="293" t="s">
        <v>155</v>
      </c>
      <c r="AM13" s="100"/>
      <c r="AN13" s="91"/>
      <c r="AO13" s="91"/>
    </row>
    <row r="14" spans="1:41" ht="12.75" customHeight="1">
      <c r="A14" s="89" t="s">
        <v>83</v>
      </c>
      <c r="B14" s="294">
        <v>30</v>
      </c>
      <c r="C14" s="104">
        <f t="shared" ref="C14:C15" si="4">C$8*VLOOKUP($A14,$A$17:$B$18,2)</f>
        <v>13063.372500000001</v>
      </c>
      <c r="D14" s="99">
        <v>61.88</v>
      </c>
      <c r="E14" s="126">
        <f t="shared" ref="E14:E15" si="5">C14-D14</f>
        <v>13001.492500000002</v>
      </c>
      <c r="F14" s="104">
        <f t="shared" ref="F14:F15" si="6">F$8*VLOOKUP($A14,$A$17:$B$18,2)</f>
        <v>10704.817500000001</v>
      </c>
      <c r="G14" s="99">
        <v>819.6</v>
      </c>
      <c r="H14" s="126">
        <f t="shared" ref="H14:H15" si="7">F14-G14</f>
        <v>9885.2175000000007</v>
      </c>
      <c r="I14" s="104">
        <f t="shared" ref="I14:I15" si="8">I$8*VLOOKUP($A14,$A$17:$B$18,2)</f>
        <v>27327.974999999999</v>
      </c>
      <c r="J14" s="99">
        <v>4976.95</v>
      </c>
      <c r="K14" s="126">
        <f t="shared" ref="K14:K15" si="9">I14-J14</f>
        <v>22351.024999999998</v>
      </c>
      <c r="L14" s="104">
        <f t="shared" ref="L14:L15" si="10">L$8*VLOOKUP($A14,$A$17:$B$18,2)</f>
        <v>-457.84500000000003</v>
      </c>
      <c r="M14" s="99">
        <v>2105.12</v>
      </c>
      <c r="N14" s="126">
        <f t="shared" ref="N14:N15" si="11">L14-M14</f>
        <v>-2562.9650000000001</v>
      </c>
      <c r="O14" s="104">
        <f t="shared" ref="O14:O15" si="12">O$8*VLOOKUP($A14,$A$17:$B$18,2)</f>
        <v>-9861.5475000000006</v>
      </c>
      <c r="P14" s="99">
        <v>1247.8900000000001</v>
      </c>
      <c r="Q14" s="126">
        <f t="shared" ref="Q14:Q15" si="13">O14-P14</f>
        <v>-11109.4375</v>
      </c>
      <c r="R14" s="104">
        <f t="shared" ref="R14:R15" si="14">R$8*VLOOKUP($A14,$A$17:$B$18,2)</f>
        <v>43697.489999999991</v>
      </c>
      <c r="S14" s="99">
        <v>914.14</v>
      </c>
      <c r="T14" s="126">
        <f t="shared" ref="T14:T15" si="15">R14-S14</f>
        <v>42783.349999999991</v>
      </c>
      <c r="U14" s="104">
        <f t="shared" ref="U14:U15" si="16">U$8*VLOOKUP($A14,$A$17:$B$18,2)</f>
        <v>35085.862499999996</v>
      </c>
      <c r="V14" s="99">
        <v>929.25</v>
      </c>
      <c r="W14" s="126">
        <f t="shared" ref="W14:W15" si="17">U14-V14</f>
        <v>34156.612499999996</v>
      </c>
      <c r="X14" s="104">
        <f t="shared" ref="X14:X15" si="18">X$8*VLOOKUP($A14,$A$17:$B$18,2)</f>
        <v>48161.002500000002</v>
      </c>
      <c r="Y14" s="99">
        <v>1941.7</v>
      </c>
      <c r="Z14" s="126">
        <f t="shared" ref="Z14:Z15" si="19">X14-Y14</f>
        <v>46219.302500000005</v>
      </c>
      <c r="AA14" s="104">
        <f t="shared" ref="AA14:AA15" si="20">AA$8*VLOOKUP($A14,$A$17:$B$18,2)</f>
        <v>32919.794999999998</v>
      </c>
      <c r="AB14" s="99">
        <v>647.82000000000005</v>
      </c>
      <c r="AC14" s="126">
        <f t="shared" ref="AC14:AC15" si="21">AA14-AB14</f>
        <v>32271.974999999999</v>
      </c>
      <c r="AD14" s="104">
        <f t="shared" ref="AD14:AD15" si="22">AD$8*VLOOKUP($A14,$A$17:$B$18,2)</f>
        <v>37199.82</v>
      </c>
      <c r="AE14" s="99">
        <v>369.04</v>
      </c>
      <c r="AF14" s="126">
        <f t="shared" ref="AF14:AF15" si="23">AD14-AE14</f>
        <v>36830.78</v>
      </c>
      <c r="AG14" s="104">
        <f t="shared" ref="AG14:AG15" si="24">AG$8*VLOOKUP($A14,$A$17:$B$18,2)</f>
        <v>25741.402500000004</v>
      </c>
      <c r="AH14" s="99">
        <v>1126.46</v>
      </c>
      <c r="AI14" s="126">
        <f t="shared" ref="AI14:AI15" si="25">AG14-AH14</f>
        <v>24614.942500000005</v>
      </c>
      <c r="AJ14" s="104">
        <f t="shared" ref="AJ14:AJ15" si="26">AJ$8*VLOOKUP($A14,$A$17:$B$18,2)</f>
        <v>167113.0275</v>
      </c>
      <c r="AK14" s="99">
        <v>2079.77</v>
      </c>
      <c r="AL14" s="123">
        <f t="shared" ref="AL14:AL15" si="27">AJ14-AK14</f>
        <v>165033.25750000001</v>
      </c>
      <c r="AM14" s="127">
        <f t="shared" ref="AM14:AM15" si="28">IF(AJ$3="1H",AL14,0)+IF(AG$3="1H",AI14,0)+IF(AD$3="1H",AF14,0)+IF(AA$3="1H",AC14,0)+IF(X$3="1H",Z14,0)+IF(U$3="1H",W14,0)+IF(R$3="1H",T14,0)+IF(O$3="1H",Q14,0)+IF(L$3="1H",N14,0)+IF(I$3="1H",K14,0)+IF(F$3="1H",H14,0)+IF(C$3="1H",E14,0)</f>
        <v>74348.682499999995</v>
      </c>
      <c r="AN14" s="94">
        <f>AM14-AM10</f>
        <v>55330.352499999994</v>
      </c>
      <c r="AO14" s="127">
        <f>AL14+AI14+AF14+AC14+Z14+W14+T14+Q14+N14+K14+H14+E14-AO10</f>
        <v>341957.22249999997</v>
      </c>
    </row>
    <row r="15" spans="1:41" ht="12.75" customHeight="1">
      <c r="A15" s="89" t="s">
        <v>209</v>
      </c>
      <c r="B15" s="294">
        <v>10</v>
      </c>
      <c r="C15" s="104">
        <f t="shared" si="4"/>
        <v>4354.4575000000004</v>
      </c>
      <c r="D15" s="99">
        <v>0</v>
      </c>
      <c r="E15" s="126">
        <f t="shared" si="5"/>
        <v>4354.4575000000004</v>
      </c>
      <c r="F15" s="296">
        <f t="shared" si="6"/>
        <v>3568.2725000000005</v>
      </c>
      <c r="G15" s="90"/>
      <c r="H15" s="126">
        <f t="shared" si="7"/>
        <v>3568.2725000000005</v>
      </c>
      <c r="I15" s="104">
        <f t="shared" si="8"/>
        <v>9109.3249999999989</v>
      </c>
      <c r="J15" s="124"/>
      <c r="K15" s="126">
        <f t="shared" si="9"/>
        <v>9109.3249999999989</v>
      </c>
      <c r="L15" s="104">
        <f t="shared" si="10"/>
        <v>-152.61500000000001</v>
      </c>
      <c r="M15" s="124"/>
      <c r="N15" s="126">
        <f t="shared" si="11"/>
        <v>-152.61500000000001</v>
      </c>
      <c r="O15" s="104">
        <f t="shared" si="12"/>
        <v>-3287.1824999999999</v>
      </c>
      <c r="P15" s="124"/>
      <c r="Q15" s="126">
        <f t="shared" si="13"/>
        <v>-3287.1824999999999</v>
      </c>
      <c r="R15" s="104">
        <f t="shared" si="14"/>
        <v>14565.829999999998</v>
      </c>
      <c r="S15" s="99">
        <v>0</v>
      </c>
      <c r="T15" s="126">
        <f t="shared" si="15"/>
        <v>14565.829999999998</v>
      </c>
      <c r="U15" s="104">
        <f t="shared" si="16"/>
        <v>11695.287499999999</v>
      </c>
      <c r="V15" s="99">
        <v>0</v>
      </c>
      <c r="W15" s="126">
        <f t="shared" si="17"/>
        <v>11695.287499999999</v>
      </c>
      <c r="X15" s="104">
        <f t="shared" si="18"/>
        <v>16053.6675</v>
      </c>
      <c r="Y15" s="99">
        <v>0</v>
      </c>
      <c r="Z15" s="126">
        <f t="shared" si="19"/>
        <v>16053.6675</v>
      </c>
      <c r="AA15" s="104">
        <f t="shared" si="20"/>
        <v>10973.264999999999</v>
      </c>
      <c r="AB15" s="99">
        <v>0</v>
      </c>
      <c r="AC15" s="126">
        <f t="shared" si="21"/>
        <v>10973.264999999999</v>
      </c>
      <c r="AD15" s="104">
        <f t="shared" si="22"/>
        <v>12399.94</v>
      </c>
      <c r="AE15" s="99">
        <v>0</v>
      </c>
      <c r="AF15" s="126">
        <f t="shared" si="23"/>
        <v>12399.94</v>
      </c>
      <c r="AG15" s="104">
        <f t="shared" si="24"/>
        <v>8580.4675000000007</v>
      </c>
      <c r="AH15" s="99">
        <v>0</v>
      </c>
      <c r="AI15" s="126">
        <f t="shared" si="25"/>
        <v>8580.4675000000007</v>
      </c>
      <c r="AJ15" s="104">
        <f t="shared" si="26"/>
        <v>55704.342499999999</v>
      </c>
      <c r="AK15" s="99">
        <v>0</v>
      </c>
      <c r="AL15" s="123">
        <f t="shared" si="27"/>
        <v>55704.342499999999</v>
      </c>
      <c r="AM15" s="127">
        <f t="shared" si="28"/>
        <v>28158.087499999998</v>
      </c>
      <c r="AN15" s="91"/>
      <c r="AO15" s="127">
        <f>AL15+AI15+AF15+AC15+Z15+W15+T15+Q15+N15+K15+H15+E15</f>
        <v>143565.0575</v>
      </c>
    </row>
    <row r="16" spans="1:41" ht="12.75" customHeight="1">
      <c r="A16" s="89"/>
      <c r="B16" s="61"/>
      <c r="C16" s="100"/>
      <c r="D16" s="91"/>
      <c r="E16" s="91"/>
      <c r="F16" s="91">
        <f>SUM(F14:F15)</f>
        <v>14273.090000000002</v>
      </c>
      <c r="G16" s="91"/>
      <c r="H16" s="91">
        <f>SUM(H14:H15)</f>
        <v>13453.490000000002</v>
      </c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2"/>
      <c r="AN16" s="90"/>
    </row>
    <row r="17" spans="1:41" ht="12.75" customHeight="1">
      <c r="A17" s="89" t="s">
        <v>83</v>
      </c>
      <c r="B17" s="291">
        <f t="shared" ref="B17:B18" si="29">B14/$B$13</f>
        <v>0.75</v>
      </c>
      <c r="C17" s="100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2" t="s">
        <v>336</v>
      </c>
      <c r="AM17" s="90">
        <v>0</v>
      </c>
      <c r="AN17" s="121" t="s">
        <v>337</v>
      </c>
      <c r="AO17" s="90"/>
    </row>
    <row r="18" spans="1:41" ht="12.75" customHeight="1">
      <c r="A18" s="89" t="s">
        <v>209</v>
      </c>
      <c r="B18" s="291">
        <f t="shared" si="29"/>
        <v>0.25</v>
      </c>
      <c r="C18" s="100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2" t="s">
        <v>336</v>
      </c>
      <c r="AM18" s="90">
        <v>28180.17</v>
      </c>
      <c r="AN18" s="121" t="s">
        <v>337</v>
      </c>
      <c r="AO18" s="90"/>
    </row>
    <row r="19" spans="1:41" ht="12.75" customHeight="1">
      <c r="A19" s="89"/>
      <c r="B19" s="61"/>
      <c r="C19" s="62"/>
      <c r="AN19" s="91"/>
      <c r="AO19" s="91"/>
    </row>
    <row r="20" spans="1:41" ht="12.75" customHeight="1">
      <c r="A20" s="89"/>
      <c r="B20" s="61"/>
      <c r="C20" s="62"/>
      <c r="AM20" s="230"/>
      <c r="AN20" s="91"/>
      <c r="AO20" s="91"/>
    </row>
    <row r="21" spans="1:41" ht="12.75" customHeight="1">
      <c r="A21" s="89"/>
      <c r="B21" s="61"/>
      <c r="C21" s="62"/>
    </row>
    <row r="22" spans="1:41" ht="12.75" customHeight="1">
      <c r="A22" s="89"/>
      <c r="B22" s="61"/>
      <c r="C22" s="62"/>
    </row>
    <row r="23" spans="1:41" ht="12.75" customHeight="1">
      <c r="A23" s="89"/>
      <c r="B23" s="61"/>
      <c r="C23" s="62"/>
    </row>
    <row r="24" spans="1:41" ht="12.75" customHeight="1">
      <c r="A24" s="89"/>
      <c r="B24" s="61"/>
      <c r="C24" s="62"/>
    </row>
    <row r="25" spans="1:41" ht="12.75" customHeight="1">
      <c r="A25" s="89"/>
      <c r="B25" s="61"/>
      <c r="C25" s="62"/>
    </row>
    <row r="26" spans="1:41" ht="12.75" customHeight="1">
      <c r="A26" s="89"/>
      <c r="B26" s="61"/>
      <c r="C26" s="62"/>
    </row>
    <row r="27" spans="1:41" ht="12.75" customHeight="1">
      <c r="A27" s="89"/>
      <c r="B27" s="61"/>
      <c r="C27" s="62"/>
    </row>
    <row r="28" spans="1:41" ht="12.75" customHeight="1">
      <c r="A28" s="89"/>
      <c r="B28" s="61"/>
      <c r="C28" s="62"/>
    </row>
    <row r="29" spans="1:41" ht="12.75" customHeight="1">
      <c r="A29" s="89"/>
      <c r="B29" s="61"/>
      <c r="C29" s="62"/>
    </row>
    <row r="30" spans="1:41" ht="12.75" customHeight="1">
      <c r="A30" s="89"/>
      <c r="B30" s="61"/>
      <c r="C30" s="62"/>
    </row>
    <row r="31" spans="1:41" ht="12.75" customHeight="1">
      <c r="A31" s="89"/>
      <c r="B31" s="61"/>
      <c r="C31" s="62"/>
    </row>
    <row r="32" spans="1:41" ht="12.75" customHeight="1">
      <c r="A32" s="89"/>
      <c r="B32" s="61"/>
      <c r="C32" s="62"/>
    </row>
    <row r="33" spans="1:3" ht="12.75" customHeight="1">
      <c r="A33" s="89"/>
      <c r="B33" s="61"/>
      <c r="C33" s="62"/>
    </row>
    <row r="34" spans="1:3" ht="12.75" customHeight="1">
      <c r="A34" s="89"/>
      <c r="B34" s="61"/>
      <c r="C34" s="6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S35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1640625" customWidth="1"/>
    <col min="3" max="3" width="15.1640625" customWidth="1"/>
    <col min="4" max="4" width="8.6640625" customWidth="1"/>
    <col min="5" max="6" width="15.1640625" customWidth="1"/>
    <col min="7" max="7" width="11" customWidth="1"/>
    <col min="8" max="9" width="15.1640625" customWidth="1"/>
    <col min="10" max="10" width="9.33203125" customWidth="1"/>
    <col min="11" max="12" width="15.1640625" customWidth="1"/>
    <col min="13" max="13" width="11.1640625" customWidth="1"/>
    <col min="14" max="36" width="15.1640625" customWidth="1"/>
    <col min="37" max="37" width="10.5" customWidth="1"/>
    <col min="38" max="38" width="10.83203125" customWidth="1"/>
    <col min="40" max="41" width="9.33203125" customWidth="1"/>
    <col min="42" max="42" width="15.1640625" customWidth="1"/>
    <col min="43" max="44" width="9.33203125" customWidth="1"/>
    <col min="45" max="45" width="15.1640625" customWidth="1"/>
  </cols>
  <sheetData>
    <row r="1" spans="1:45" ht="12.75" customHeight="1">
      <c r="A1" s="5" t="s">
        <v>148</v>
      </c>
      <c r="B1" s="291"/>
      <c r="C1" s="59">
        <v>40939</v>
      </c>
      <c r="D1" s="60"/>
      <c r="E1" s="60"/>
      <c r="F1" s="299">
        <v>40968</v>
      </c>
      <c r="G1" s="60"/>
      <c r="H1" s="60"/>
      <c r="I1" s="299">
        <v>40999</v>
      </c>
      <c r="J1" s="60"/>
      <c r="K1" s="60"/>
      <c r="L1" s="299">
        <v>41029</v>
      </c>
      <c r="M1" s="60"/>
      <c r="N1" s="60"/>
      <c r="O1" s="299">
        <v>41060</v>
      </c>
      <c r="P1" s="60"/>
      <c r="Q1" s="60"/>
      <c r="R1" s="299">
        <v>41090</v>
      </c>
      <c r="S1" s="60"/>
      <c r="T1" s="60"/>
      <c r="U1" s="299">
        <v>41121</v>
      </c>
      <c r="V1" s="60"/>
      <c r="W1" s="60"/>
      <c r="X1" s="299">
        <v>41152</v>
      </c>
      <c r="Y1" s="60"/>
      <c r="Z1" s="60"/>
      <c r="AA1" s="299">
        <v>41182</v>
      </c>
      <c r="AB1" s="60"/>
      <c r="AC1" s="60"/>
      <c r="AD1" s="299">
        <v>41213</v>
      </c>
      <c r="AE1" s="60"/>
      <c r="AF1" s="60"/>
      <c r="AG1" s="299">
        <v>41243</v>
      </c>
      <c r="AH1" s="60"/>
      <c r="AI1" s="60"/>
      <c r="AJ1" s="299">
        <v>41274</v>
      </c>
      <c r="AK1" s="60"/>
      <c r="AL1" s="60"/>
      <c r="AM1" s="299">
        <v>41305</v>
      </c>
      <c r="AN1" s="60"/>
      <c r="AO1" s="60"/>
      <c r="AP1" s="299">
        <v>41333</v>
      </c>
      <c r="AQ1" s="60"/>
      <c r="AR1" s="60"/>
    </row>
    <row r="2" spans="1:45" ht="12.75" customHeight="1">
      <c r="A2" s="5"/>
      <c r="B2" s="61"/>
      <c r="C2" s="62">
        <f>YEAR(C1)</f>
        <v>2012</v>
      </c>
      <c r="E2" s="61"/>
      <c r="F2" s="62">
        <f>YEAR(F1)</f>
        <v>2012</v>
      </c>
      <c r="H2" s="61"/>
      <c r="I2" s="62">
        <f>YEAR(I1)</f>
        <v>2012</v>
      </c>
      <c r="K2" s="61"/>
      <c r="L2" s="62">
        <f>YEAR(L1)</f>
        <v>2012</v>
      </c>
      <c r="N2" s="61"/>
      <c r="O2" s="62">
        <f>YEAR(O1)</f>
        <v>2012</v>
      </c>
      <c r="Q2" s="61"/>
      <c r="R2" s="62">
        <f>YEAR(R1)</f>
        <v>2012</v>
      </c>
      <c r="T2" s="61"/>
      <c r="U2" s="62">
        <f>YEAR(U1)</f>
        <v>2012</v>
      </c>
      <c r="W2" s="61"/>
      <c r="X2" s="62">
        <f>YEAR(X1)</f>
        <v>2012</v>
      </c>
      <c r="Z2" s="61"/>
      <c r="AA2" s="62">
        <f>YEAR(AA1)</f>
        <v>2012</v>
      </c>
      <c r="AC2" s="61"/>
      <c r="AD2" s="62">
        <f>YEAR(AD1)</f>
        <v>2012</v>
      </c>
      <c r="AF2" s="61"/>
      <c r="AG2" s="62">
        <f>YEAR(AG1)</f>
        <v>2012</v>
      </c>
      <c r="AI2" s="61"/>
      <c r="AJ2" s="62">
        <f>YEAR(AJ1)</f>
        <v>2012</v>
      </c>
      <c r="AL2" s="61"/>
      <c r="AM2" s="62">
        <f>YEAR(AM1)</f>
        <v>2013</v>
      </c>
      <c r="AO2" s="61"/>
      <c r="AP2" s="62">
        <f>YEAR(AP1)</f>
        <v>2013</v>
      </c>
      <c r="AS2" s="67">
        <v>2012</v>
      </c>
    </row>
    <row r="3" spans="1:45" ht="12.75" customHeight="1">
      <c r="A3" s="89" t="s">
        <v>136</v>
      </c>
      <c r="B3" s="61"/>
      <c r="C3" s="300">
        <v>7588.4</v>
      </c>
      <c r="E3" s="61"/>
      <c r="F3" s="300">
        <v>26159.24</v>
      </c>
      <c r="H3" s="61"/>
      <c r="I3" s="300">
        <v>22118.14</v>
      </c>
      <c r="K3" s="61"/>
      <c r="L3" s="300">
        <v>12657.16</v>
      </c>
      <c r="N3" s="61"/>
      <c r="O3" s="300">
        <v>23275.49</v>
      </c>
      <c r="P3" s="301"/>
      <c r="Q3" s="61"/>
      <c r="R3" s="300">
        <v>50665.34</v>
      </c>
      <c r="S3" s="301"/>
      <c r="T3" s="61"/>
      <c r="U3" s="300">
        <v>27821.96</v>
      </c>
      <c r="W3" s="61"/>
      <c r="X3" s="300">
        <v>23253.33</v>
      </c>
      <c r="Z3" s="302"/>
      <c r="AA3" s="300">
        <v>39998.15</v>
      </c>
      <c r="AC3" s="61"/>
      <c r="AD3" s="300">
        <v>44103.01</v>
      </c>
      <c r="AF3" s="61"/>
      <c r="AG3" s="300">
        <v>38026.230000000003</v>
      </c>
      <c r="AI3" s="61"/>
      <c r="AJ3" s="300">
        <f>-16054.14</f>
        <v>-16054.14</v>
      </c>
      <c r="AL3" s="61"/>
      <c r="AM3" s="300">
        <v>30112.13</v>
      </c>
      <c r="AO3" s="61"/>
      <c r="AP3" s="300">
        <v>36183.61</v>
      </c>
      <c r="AS3" s="306">
        <f t="shared" ref="AS3:AS7" si="0">SUMIF($B$2:$AR$2,$AS$2,B3:AR3)</f>
        <v>299612.30999999994</v>
      </c>
    </row>
    <row r="4" spans="1:45" ht="12.75" customHeight="1">
      <c r="A4" s="89" t="s">
        <v>138</v>
      </c>
      <c r="B4" s="61"/>
      <c r="C4" s="300">
        <v>35539</v>
      </c>
      <c r="E4" s="61"/>
      <c r="F4" s="300">
        <v>24758.5</v>
      </c>
      <c r="H4" s="61"/>
      <c r="I4" s="300">
        <v>28124</v>
      </c>
      <c r="K4" s="61"/>
      <c r="L4" s="300">
        <v>7250</v>
      </c>
      <c r="N4" s="61"/>
      <c r="O4" s="300">
        <v>1400</v>
      </c>
      <c r="Q4" s="61"/>
      <c r="R4" s="300">
        <v>0</v>
      </c>
      <c r="T4" s="61"/>
      <c r="U4" s="300">
        <v>0</v>
      </c>
      <c r="W4" s="61"/>
      <c r="X4" s="300">
        <v>0</v>
      </c>
      <c r="Z4" s="302"/>
      <c r="AA4" s="300">
        <v>0</v>
      </c>
      <c r="AC4" s="61"/>
      <c r="AD4" s="300">
        <v>0</v>
      </c>
      <c r="AF4" s="61"/>
      <c r="AG4" s="300">
        <v>0</v>
      </c>
      <c r="AI4" s="61"/>
      <c r="AJ4" s="300">
        <v>0</v>
      </c>
      <c r="AL4" s="61"/>
      <c r="AM4" s="300">
        <v>0</v>
      </c>
      <c r="AO4" s="61"/>
      <c r="AP4" s="300">
        <v>0</v>
      </c>
      <c r="AS4" s="306">
        <f t="shared" si="0"/>
        <v>97071.5</v>
      </c>
    </row>
    <row r="5" spans="1:45" ht="12.75" customHeight="1">
      <c r="A5" s="89" t="s">
        <v>143</v>
      </c>
      <c r="B5" s="303">
        <v>12500</v>
      </c>
      <c r="C5" s="307">
        <f>'REVISED 2012 2H'!ColinSalary</f>
        <v>12500</v>
      </c>
      <c r="E5" s="61"/>
      <c r="F5" s="307">
        <f>'REVISED 2012 2H'!ColinSalary</f>
        <v>12500</v>
      </c>
      <c r="H5" s="61"/>
      <c r="I5" s="307">
        <f>'REVISED 2012 2H'!ColinSalary</f>
        <v>12500</v>
      </c>
      <c r="K5" s="61"/>
      <c r="L5" s="307">
        <f>'REVISED 2012 2H'!ColinSalary</f>
        <v>12500</v>
      </c>
      <c r="N5" s="61"/>
      <c r="O5" s="307">
        <f>'REVISED 2012 2H'!ColinSalary</f>
        <v>12500</v>
      </c>
      <c r="Q5" s="61"/>
      <c r="R5" s="307">
        <f>'REVISED 2012 2H'!ColinSalary</f>
        <v>12500</v>
      </c>
      <c r="T5" s="61"/>
      <c r="U5" s="307">
        <f>'REVISED 2012 2H'!ColinSalary</f>
        <v>12500</v>
      </c>
      <c r="W5" s="61"/>
      <c r="X5" s="307">
        <f>'REVISED 2012 2H'!ColinSalary</f>
        <v>12500</v>
      </c>
      <c r="Z5" s="302"/>
      <c r="AA5" s="307">
        <f>'REVISED 2012 2H'!ColinSalary</f>
        <v>12500</v>
      </c>
      <c r="AC5" s="61"/>
      <c r="AD5" s="307">
        <f>'REVISED 2012 2H'!ColinSalary</f>
        <v>12500</v>
      </c>
      <c r="AF5" s="61"/>
      <c r="AG5" s="307">
        <f>'REVISED 2012 2H'!ColinSalary</f>
        <v>12500</v>
      </c>
      <c r="AI5" s="61"/>
      <c r="AJ5" s="307">
        <f>'REVISED 2012 2H'!ColinSalary</f>
        <v>12500</v>
      </c>
      <c r="AL5" s="61"/>
      <c r="AM5" s="307">
        <f>'REVISED 2012 2H'!ColinSalary</f>
        <v>12500</v>
      </c>
      <c r="AO5" s="61"/>
      <c r="AP5" s="307">
        <f>'REVISED 2012 2H'!ColinSalary</f>
        <v>12500</v>
      </c>
      <c r="AS5" s="306">
        <f t="shared" si="0"/>
        <v>150000</v>
      </c>
    </row>
    <row r="6" spans="1:45" ht="12.75" customHeight="1">
      <c r="A6" s="89" t="s">
        <v>334</v>
      </c>
      <c r="B6" s="102"/>
      <c r="C6" s="305">
        <f>SUM(D14:D15)</f>
        <v>0</v>
      </c>
      <c r="E6" s="61"/>
      <c r="F6" s="305">
        <f>SUM(G14:G15)</f>
        <v>383</v>
      </c>
      <c r="H6" s="61"/>
      <c r="I6" s="305">
        <f>SUM(J14:J15)</f>
        <v>787</v>
      </c>
      <c r="K6" s="61"/>
      <c r="L6" s="305">
        <f>SUM(M14:M15)</f>
        <v>522.69000000000005</v>
      </c>
      <c r="N6" s="61"/>
      <c r="O6" s="305">
        <f>SUM(P14:P15)</f>
        <v>485.41</v>
      </c>
      <c r="Q6" s="61"/>
      <c r="R6" s="305">
        <f>SUM(S14:S15)</f>
        <v>0</v>
      </c>
      <c r="T6" s="302"/>
      <c r="U6" s="305">
        <f>SUM(V14:V15)</f>
        <v>180</v>
      </c>
      <c r="W6" s="61"/>
      <c r="X6" s="305">
        <f>SUM(Y14:Y15)</f>
        <v>1441.3</v>
      </c>
      <c r="Z6" s="302"/>
      <c r="AA6" s="305">
        <f>SUM(AB14:AB15)</f>
        <v>3340.65</v>
      </c>
      <c r="AC6" s="61"/>
      <c r="AD6" s="305">
        <f>SUM(AE14:AE15)</f>
        <v>751.35</v>
      </c>
      <c r="AF6" s="61"/>
      <c r="AG6" s="305">
        <f>SUM(AH14:AH15)</f>
        <v>173.17</v>
      </c>
      <c r="AI6" s="61"/>
      <c r="AJ6" s="305">
        <f>SUM(AK14:AK15)</f>
        <v>1018.01</v>
      </c>
      <c r="AL6" s="61"/>
      <c r="AM6" s="305">
        <f>SUM(AN14:AN15)</f>
        <v>61.88</v>
      </c>
      <c r="AO6" s="61"/>
      <c r="AP6" s="305">
        <f>SUM(AQ14:AQ15)</f>
        <v>1561.37</v>
      </c>
      <c r="AS6" s="306">
        <f t="shared" si="0"/>
        <v>9082.58</v>
      </c>
    </row>
    <row r="7" spans="1:45" ht="12.75" customHeight="1">
      <c r="A7" s="89" t="s">
        <v>335</v>
      </c>
      <c r="B7" s="102"/>
      <c r="C7" s="305">
        <f>C3-C4-C5+C6+C11</f>
        <v>-40450.6</v>
      </c>
      <c r="E7" s="61"/>
      <c r="F7" s="305">
        <f>F3-F4-F5+F6+F11</f>
        <v>-10716.259999999998</v>
      </c>
      <c r="H7" s="61"/>
      <c r="I7" s="305">
        <f>I3-I4-I5+I6+I11</f>
        <v>-17718.86</v>
      </c>
      <c r="K7" s="61"/>
      <c r="L7" s="305">
        <f>L3-L4-L5+L6+L11</f>
        <v>-6570.15</v>
      </c>
      <c r="N7" s="61"/>
      <c r="O7" s="305">
        <f>O3-O4-O5+O6+O11</f>
        <v>9860.9000000000015</v>
      </c>
      <c r="Q7" s="61"/>
      <c r="R7" s="305">
        <f>R3-R4-R5+R6+R11</f>
        <v>38165.339999999997</v>
      </c>
      <c r="T7" s="61"/>
      <c r="U7" s="305">
        <f>U3-U4-U5+U6+U11</f>
        <v>15501.96</v>
      </c>
      <c r="W7" s="61"/>
      <c r="X7" s="305">
        <f>X3-X4-X5+X6+X11</f>
        <v>12194.630000000001</v>
      </c>
      <c r="Z7" s="302"/>
      <c r="AA7" s="305">
        <f>AA3-AA4-AA5+AA6+AA11</f>
        <v>30838.800000000003</v>
      </c>
      <c r="AC7" s="61"/>
      <c r="AD7" s="305">
        <f>AD3-AD4-AD5+AD6+AD11</f>
        <v>32354.36</v>
      </c>
      <c r="AF7" s="61"/>
      <c r="AG7" s="305">
        <f>AG3-AG4-AG5+AG6+AG11</f>
        <v>25699.4</v>
      </c>
      <c r="AI7" s="61"/>
      <c r="AJ7" s="305">
        <f>AJ3-AJ4-AJ5+AJ6+AJ11</f>
        <v>8660.7499999999964</v>
      </c>
      <c r="AL7" s="61"/>
      <c r="AM7" s="305">
        <f>AM3-AM4-AM5+AM6</f>
        <v>17674.010000000002</v>
      </c>
      <c r="AO7" s="61"/>
      <c r="AP7" s="305">
        <f>AP3-AP4-AP5+AP6</f>
        <v>25244.98</v>
      </c>
      <c r="AS7" s="306">
        <f t="shared" si="0"/>
        <v>97820.26999999999</v>
      </c>
    </row>
    <row r="8" spans="1:45" ht="12.75" customHeight="1">
      <c r="A8" s="89" t="s">
        <v>152</v>
      </c>
      <c r="B8" s="61"/>
      <c r="C8" s="308">
        <f>'REVISED 2012 2H'!TotalShares</f>
        <v>40</v>
      </c>
      <c r="E8" s="61"/>
      <c r="F8" s="308">
        <f>'REVISED 2012 2H'!TotalShares</f>
        <v>40</v>
      </c>
      <c r="H8" s="61"/>
      <c r="I8" s="308">
        <f>'REVISED 2012 2H'!TotalShares</f>
        <v>40</v>
      </c>
      <c r="K8" s="61"/>
      <c r="L8" s="308">
        <f>'REVISED 2012 2H'!TotalShares</f>
        <v>40</v>
      </c>
      <c r="N8" s="61"/>
      <c r="O8" s="308">
        <f>'REVISED 2012 2H'!TotalShares</f>
        <v>40</v>
      </c>
      <c r="Q8" s="61"/>
      <c r="R8" s="308">
        <f>'REVISED 2012 2H'!TotalShares</f>
        <v>40</v>
      </c>
      <c r="T8" s="61"/>
      <c r="U8" s="308">
        <f>'REVISED 2012 2H'!TotalShares</f>
        <v>40</v>
      </c>
      <c r="W8" s="61"/>
      <c r="X8" s="308">
        <f>'REVISED 2012 2H'!TotalShares</f>
        <v>40</v>
      </c>
      <c r="Z8" s="61"/>
      <c r="AA8" s="308">
        <f>'REVISED 2012 2H'!TotalShares</f>
        <v>40</v>
      </c>
      <c r="AC8" s="61"/>
      <c r="AD8" s="308">
        <f>'REVISED 2012 2H'!TotalShares</f>
        <v>40</v>
      </c>
      <c r="AF8" s="61"/>
      <c r="AG8" s="308">
        <f>'REVISED 2012 2H'!TotalShares</f>
        <v>40</v>
      </c>
      <c r="AI8" s="61"/>
      <c r="AJ8" s="308">
        <f>'REVISED 2012 2H'!TotalShares</f>
        <v>40</v>
      </c>
      <c r="AL8" s="61"/>
      <c r="AM8" s="308">
        <f>'REVISED 2012 2H'!TotalShares</f>
        <v>40</v>
      </c>
      <c r="AO8" s="61"/>
      <c r="AP8" s="308">
        <f>'REVISED 2012 2H'!TotalShares</f>
        <v>40</v>
      </c>
      <c r="AR8" s="61"/>
      <c r="AS8" s="62"/>
    </row>
    <row r="9" spans="1:45" ht="12.75" customHeight="1">
      <c r="A9" s="89" t="s">
        <v>147</v>
      </c>
      <c r="B9" s="61"/>
      <c r="C9" s="300"/>
      <c r="D9" s="300"/>
      <c r="E9" s="300"/>
      <c r="F9" s="300">
        <v>-180.57</v>
      </c>
      <c r="G9" s="300"/>
      <c r="H9" s="300"/>
      <c r="I9" s="300">
        <v>-21198.37</v>
      </c>
      <c r="J9" s="300"/>
      <c r="K9" s="300"/>
      <c r="L9" s="300">
        <v>5265.05</v>
      </c>
      <c r="M9" s="300"/>
      <c r="N9" s="300"/>
      <c r="O9" s="300">
        <v>-3000</v>
      </c>
      <c r="P9" s="300"/>
      <c r="Q9" s="300"/>
      <c r="R9" s="300">
        <v>11000</v>
      </c>
      <c r="S9" s="300"/>
      <c r="T9" s="300"/>
      <c r="U9" s="300"/>
      <c r="V9" s="300"/>
      <c r="W9" s="300"/>
      <c r="X9" s="300"/>
      <c r="Y9" s="300"/>
      <c r="Z9" s="300"/>
      <c r="AA9" s="300">
        <v>10000</v>
      </c>
      <c r="AB9" s="300"/>
      <c r="AC9" s="300"/>
      <c r="AD9" s="300">
        <v>23654</v>
      </c>
      <c r="AE9" s="300"/>
      <c r="AF9" s="300"/>
      <c r="AG9" s="300"/>
      <c r="AH9" s="300"/>
      <c r="AI9" s="300"/>
      <c r="AJ9" s="300">
        <v>20000</v>
      </c>
      <c r="AK9" s="300"/>
      <c r="AL9" s="300"/>
      <c r="AM9" s="300"/>
      <c r="AN9" s="300"/>
      <c r="AO9" s="300"/>
      <c r="AP9" s="300"/>
      <c r="AQ9" s="300"/>
      <c r="AR9" s="300"/>
      <c r="AS9" s="306">
        <f t="shared" ref="AS9:AS10" si="1">SUMIF($B$2:$AR$2,$AS$2,B9:AR9)</f>
        <v>45540.11</v>
      </c>
    </row>
    <row r="10" spans="1:45" ht="12.75" customHeight="1">
      <c r="A10" s="5" t="s">
        <v>151</v>
      </c>
      <c r="B10" s="61"/>
      <c r="C10" s="307">
        <f>C9-C5</f>
        <v>-12500</v>
      </c>
      <c r="E10" s="61"/>
      <c r="F10" s="300">
        <f>F9-F5</f>
        <v>-12680.57</v>
      </c>
      <c r="H10" s="61"/>
      <c r="I10" s="307">
        <f>I9-I5</f>
        <v>-33698.369999999995</v>
      </c>
      <c r="K10" s="61"/>
      <c r="L10" s="307">
        <f>L9-L5</f>
        <v>-7234.95</v>
      </c>
      <c r="N10" s="61"/>
      <c r="O10" s="307">
        <f>O9-O5</f>
        <v>-15500</v>
      </c>
      <c r="Q10" s="61"/>
      <c r="R10" s="307">
        <f>R9-R5</f>
        <v>-1500</v>
      </c>
      <c r="T10" s="61"/>
      <c r="U10" s="307">
        <f>U9-U5</f>
        <v>-12500</v>
      </c>
      <c r="W10" s="61"/>
      <c r="X10" s="307">
        <f>X9-X5</f>
        <v>-12500</v>
      </c>
      <c r="Z10" s="61"/>
      <c r="AA10" s="307">
        <f>AA9-AA5</f>
        <v>-2500</v>
      </c>
      <c r="AC10" s="61"/>
      <c r="AD10" s="307">
        <f>AD9-AD5</f>
        <v>11154</v>
      </c>
      <c r="AF10" s="61"/>
      <c r="AG10" s="307">
        <f>AG9-AG5</f>
        <v>-12500</v>
      </c>
      <c r="AI10" s="61"/>
      <c r="AJ10" s="307">
        <f>AJ9-AJ5</f>
        <v>7500</v>
      </c>
      <c r="AL10" s="61"/>
      <c r="AM10" s="307">
        <f>AM9-AM5</f>
        <v>-12500</v>
      </c>
      <c r="AO10" s="61"/>
      <c r="AP10" s="307">
        <f>AP9-AP5</f>
        <v>-12500</v>
      </c>
      <c r="AR10" s="61"/>
      <c r="AS10" s="306">
        <f t="shared" si="1"/>
        <v>-104459.89</v>
      </c>
    </row>
    <row r="11" spans="1:45" ht="12.75" customHeight="1">
      <c r="A11" s="5" t="s">
        <v>327</v>
      </c>
      <c r="B11" s="291"/>
      <c r="C11" s="300"/>
      <c r="D11" s="230"/>
      <c r="E11" s="309"/>
      <c r="F11" s="300"/>
      <c r="G11" s="230"/>
      <c r="H11" s="309"/>
      <c r="I11" s="300"/>
      <c r="J11" s="230"/>
      <c r="K11" s="309"/>
      <c r="L11" s="300"/>
      <c r="M11" s="300"/>
      <c r="N11" s="309"/>
      <c r="O11" s="310"/>
      <c r="P11" s="310"/>
      <c r="Q11" s="309"/>
      <c r="R11" s="310"/>
      <c r="S11" s="230"/>
      <c r="T11" s="309"/>
      <c r="U11" s="310"/>
      <c r="V11" s="230"/>
      <c r="W11" s="309"/>
      <c r="X11" s="310"/>
      <c r="Y11" s="230"/>
      <c r="Z11" s="309"/>
      <c r="AA11" s="310"/>
      <c r="AB11" s="230"/>
      <c r="AC11" s="309"/>
      <c r="AD11" s="300"/>
      <c r="AE11" s="230"/>
      <c r="AF11" s="309"/>
      <c r="AG11" s="300"/>
      <c r="AH11" s="230"/>
      <c r="AI11" s="309"/>
      <c r="AJ11" s="300">
        <v>36196.879999999997</v>
      </c>
      <c r="AK11" s="230"/>
      <c r="AL11" s="309"/>
      <c r="AM11" s="310"/>
      <c r="AN11" s="230"/>
      <c r="AO11" s="309"/>
      <c r="AP11" s="310"/>
      <c r="AQ11" s="230"/>
      <c r="AR11" s="309"/>
      <c r="AS11" s="62"/>
    </row>
    <row r="12" spans="1:45" ht="12.75" customHeight="1">
      <c r="A12" s="5"/>
      <c r="B12" s="291"/>
      <c r="C12" s="310"/>
      <c r="D12" s="230"/>
      <c r="E12" s="309"/>
      <c r="F12" s="310"/>
      <c r="G12" s="230"/>
      <c r="H12" s="309"/>
      <c r="I12" s="310"/>
      <c r="J12" s="230"/>
      <c r="K12" s="309"/>
      <c r="L12" s="310"/>
      <c r="M12" s="230"/>
      <c r="N12" s="309"/>
      <c r="O12" s="310"/>
      <c r="P12" s="230"/>
      <c r="Q12" s="309"/>
      <c r="R12" s="310"/>
      <c r="S12" s="230"/>
      <c r="T12" s="309"/>
      <c r="U12" s="310"/>
      <c r="V12" s="230"/>
      <c r="W12" s="309"/>
      <c r="X12" s="310"/>
      <c r="Y12" s="230"/>
      <c r="Z12" s="309"/>
      <c r="AA12" s="310"/>
      <c r="AB12" s="230"/>
      <c r="AC12" s="309"/>
      <c r="AD12" s="310"/>
      <c r="AE12" s="230"/>
      <c r="AF12" s="309"/>
      <c r="AG12" s="310"/>
      <c r="AH12" s="230"/>
      <c r="AI12" s="309"/>
      <c r="AJ12" s="310"/>
      <c r="AK12" s="230"/>
      <c r="AL12" s="309"/>
      <c r="AM12" s="310"/>
      <c r="AN12" s="230"/>
      <c r="AO12" s="309"/>
      <c r="AP12" s="310"/>
      <c r="AQ12" s="230"/>
      <c r="AR12" s="309"/>
      <c r="AS12" s="62"/>
    </row>
    <row r="13" spans="1:45" ht="12.75" customHeight="1">
      <c r="A13" s="5"/>
      <c r="B13" s="291">
        <f>SUM(B14:B15)</f>
        <v>40</v>
      </c>
      <c r="C13" s="310" t="s">
        <v>153</v>
      </c>
      <c r="D13" s="230" t="s">
        <v>154</v>
      </c>
      <c r="E13" s="309" t="s">
        <v>155</v>
      </c>
      <c r="F13" s="310" t="s">
        <v>153</v>
      </c>
      <c r="G13" s="230" t="s">
        <v>154</v>
      </c>
      <c r="H13" s="309" t="s">
        <v>155</v>
      </c>
      <c r="I13" s="310" t="s">
        <v>153</v>
      </c>
      <c r="J13" s="230" t="s">
        <v>154</v>
      </c>
      <c r="K13" s="309" t="s">
        <v>155</v>
      </c>
      <c r="L13" s="310" t="s">
        <v>153</v>
      </c>
      <c r="M13" s="230" t="s">
        <v>154</v>
      </c>
      <c r="N13" s="309" t="s">
        <v>155</v>
      </c>
      <c r="O13" s="310" t="s">
        <v>153</v>
      </c>
      <c r="P13" s="230" t="s">
        <v>154</v>
      </c>
      <c r="Q13" s="309" t="s">
        <v>155</v>
      </c>
      <c r="R13" s="310" t="s">
        <v>153</v>
      </c>
      <c r="S13" s="230" t="s">
        <v>154</v>
      </c>
      <c r="T13" s="309" t="s">
        <v>155</v>
      </c>
      <c r="U13" s="310" t="s">
        <v>153</v>
      </c>
      <c r="V13" s="230" t="s">
        <v>154</v>
      </c>
      <c r="W13" s="309" t="s">
        <v>155</v>
      </c>
      <c r="X13" s="310" t="s">
        <v>153</v>
      </c>
      <c r="Y13" s="230" t="s">
        <v>154</v>
      </c>
      <c r="Z13" s="309" t="s">
        <v>155</v>
      </c>
      <c r="AA13" s="310" t="s">
        <v>153</v>
      </c>
      <c r="AB13" s="230" t="s">
        <v>154</v>
      </c>
      <c r="AC13" s="309" t="s">
        <v>155</v>
      </c>
      <c r="AD13" s="310" t="s">
        <v>153</v>
      </c>
      <c r="AE13" s="230" t="s">
        <v>154</v>
      </c>
      <c r="AF13" s="309" t="s">
        <v>155</v>
      </c>
      <c r="AG13" s="310" t="s">
        <v>153</v>
      </c>
      <c r="AH13" s="230" t="s">
        <v>154</v>
      </c>
      <c r="AI13" s="309" t="s">
        <v>155</v>
      </c>
      <c r="AJ13" s="310" t="s">
        <v>153</v>
      </c>
      <c r="AK13" s="230" t="s">
        <v>154</v>
      </c>
      <c r="AL13" s="309" t="s">
        <v>155</v>
      </c>
      <c r="AM13" s="310" t="s">
        <v>153</v>
      </c>
      <c r="AN13" s="230" t="s">
        <v>154</v>
      </c>
      <c r="AO13" s="309" t="s">
        <v>155</v>
      </c>
      <c r="AP13" s="310" t="s">
        <v>153</v>
      </c>
      <c r="AQ13" s="230" t="s">
        <v>154</v>
      </c>
      <c r="AR13" s="309" t="s">
        <v>155</v>
      </c>
      <c r="AS13" s="62"/>
    </row>
    <row r="14" spans="1:45" ht="12.75" customHeight="1">
      <c r="A14" s="89" t="s">
        <v>83</v>
      </c>
      <c r="B14" s="294">
        <v>30</v>
      </c>
      <c r="C14" s="305">
        <f>C$7*('REVISED 2012 2H'!ColinShares/C$8)</f>
        <v>-30337.949999999997</v>
      </c>
      <c r="D14" s="99">
        <v>0</v>
      </c>
      <c r="E14" s="311">
        <f t="shared" ref="E14:E15" si="2">C14-D14</f>
        <v>-30337.949999999997</v>
      </c>
      <c r="F14" s="305">
        <f>F$7*('REVISED 2012 2H'!ColinShares/F$8)</f>
        <v>-8037.1949999999988</v>
      </c>
      <c r="G14" s="99">
        <v>383</v>
      </c>
      <c r="H14" s="311">
        <f t="shared" ref="H14:H15" si="3">F14-G14</f>
        <v>-8420.1949999999997</v>
      </c>
      <c r="I14" s="305">
        <f>I$7*('REVISED 2012 2H'!ColinShares/I$8)</f>
        <v>-13289.145</v>
      </c>
      <c r="J14" s="99">
        <v>787</v>
      </c>
      <c r="K14" s="311">
        <f t="shared" ref="K14:K15" si="4">I14-J14</f>
        <v>-14076.145</v>
      </c>
      <c r="L14" s="305">
        <f>L$7*('REVISED 2012 2H'!ColinShares/L$8)</f>
        <v>-4927.6124999999993</v>
      </c>
      <c r="M14" s="99">
        <v>522.69000000000005</v>
      </c>
      <c r="N14" s="311">
        <f t="shared" ref="N14:N15" si="5">L14-M14</f>
        <v>-5450.3024999999998</v>
      </c>
      <c r="O14" s="305">
        <f>O$7*('REVISED 2012 2H'!ColinShares/O$8)</f>
        <v>7395.6750000000011</v>
      </c>
      <c r="P14" s="99">
        <v>485.41</v>
      </c>
      <c r="Q14" s="311">
        <f t="shared" ref="Q14:Q15" si="6">O14-P14</f>
        <v>6910.2650000000012</v>
      </c>
      <c r="R14" s="305">
        <f>R$7*('REVISED 2012 2H'!ColinShares/R$8)</f>
        <v>28624.004999999997</v>
      </c>
      <c r="S14" s="99">
        <v>0</v>
      </c>
      <c r="T14" s="311">
        <f t="shared" ref="T14:T15" si="7">R14-S14</f>
        <v>28624.004999999997</v>
      </c>
      <c r="U14" s="305">
        <f>U$7*('REVISED 2012 2H'!ColinShares/U$8)</f>
        <v>11626.47</v>
      </c>
      <c r="V14" s="99">
        <v>180</v>
      </c>
      <c r="W14" s="311">
        <f t="shared" ref="W14:W15" si="8">U14-V14</f>
        <v>11446.47</v>
      </c>
      <c r="X14" s="305">
        <f>X$7*('REVISED 2012 2H'!ColinShares/X$8)</f>
        <v>9145.9724999999999</v>
      </c>
      <c r="Y14" s="99">
        <v>1441.3</v>
      </c>
      <c r="Z14" s="311">
        <f t="shared" ref="Z14:Z15" si="9">X14-Y14</f>
        <v>7704.6724999999997</v>
      </c>
      <c r="AA14" s="305">
        <f>AA$7*('REVISED 2012 2H'!ColinShares/AA$8)</f>
        <v>23129.100000000002</v>
      </c>
      <c r="AB14" s="99">
        <v>3340.65</v>
      </c>
      <c r="AC14" s="311">
        <f t="shared" ref="AC14:AC15" si="10">AA14-AB14</f>
        <v>19788.45</v>
      </c>
      <c r="AD14" s="305">
        <f>AD$7*('REVISED 2012 2H'!ColinShares/AD$8)</f>
        <v>24265.77</v>
      </c>
      <c r="AE14" s="99">
        <v>751.35</v>
      </c>
      <c r="AF14" s="311">
        <f t="shared" ref="AF14:AF15" si="11">AD14-AE14</f>
        <v>23514.420000000002</v>
      </c>
      <c r="AG14" s="305">
        <f>AG$7*('REVISED 2012 2H'!ColinShares/AG$8)</f>
        <v>19274.550000000003</v>
      </c>
      <c r="AH14" s="99">
        <v>173.17</v>
      </c>
      <c r="AI14" s="311">
        <f t="shared" ref="AI14:AI15" si="12">AG14-AH14</f>
        <v>19101.380000000005</v>
      </c>
      <c r="AJ14" s="305">
        <f>AJ$7*('REVISED 2012 2H'!ColinShares/AJ$8)</f>
        <v>6495.5624999999973</v>
      </c>
      <c r="AK14" s="99">
        <v>1018.01</v>
      </c>
      <c r="AL14" s="311">
        <f t="shared" ref="AL14:AL15" si="13">AJ14-AK14</f>
        <v>5477.5524999999971</v>
      </c>
      <c r="AM14" s="305">
        <f>AM$7*('REVISED 2012 2H'!ColinShares/AM$8)</f>
        <v>13255.507500000002</v>
      </c>
      <c r="AN14" s="99">
        <v>61.88</v>
      </c>
      <c r="AO14" s="311">
        <f t="shared" ref="AO14:AO15" si="14">AM14-AN14</f>
        <v>13193.627500000002</v>
      </c>
      <c r="AP14" s="305">
        <f>AP$7*('REVISED 2012 2H'!ColinShares/AP$8)</f>
        <v>18933.735000000001</v>
      </c>
      <c r="AQ14" s="99">
        <v>1561.37</v>
      </c>
      <c r="AR14" s="311">
        <f t="shared" ref="AR14:AR15" si="15">AP14-AQ14</f>
        <v>17372.365000000002</v>
      </c>
      <c r="AS14" s="93">
        <f>'REVISED 2012 2H'!ColinShares/'REVISED 2012 2H'!TotalShares*AS$7</f>
        <v>73365.202499999985</v>
      </c>
    </row>
    <row r="15" spans="1:45" ht="12.75" customHeight="1">
      <c r="A15" s="89" t="s">
        <v>209</v>
      </c>
      <c r="B15" s="294">
        <v>10</v>
      </c>
      <c r="C15" s="305">
        <f>C$7*('REVISED 2012 2H'!FronczykShares/C$8)</f>
        <v>-10112.65</v>
      </c>
      <c r="D15" s="99">
        <v>0</v>
      </c>
      <c r="E15" s="311">
        <f t="shared" si="2"/>
        <v>-10112.65</v>
      </c>
      <c r="F15" s="305">
        <f>F$7*('REVISED 2012 2H'!FronczykShares/F$8)</f>
        <v>-2679.0649999999996</v>
      </c>
      <c r="G15" s="99">
        <v>0</v>
      </c>
      <c r="H15" s="311">
        <f t="shared" si="3"/>
        <v>-2679.0649999999996</v>
      </c>
      <c r="I15" s="305">
        <f>I$7*('REVISED 2012 2H'!FronczykShares/I$8)</f>
        <v>-4429.7150000000001</v>
      </c>
      <c r="J15" s="99">
        <v>0</v>
      </c>
      <c r="K15" s="311">
        <f t="shared" si="4"/>
        <v>-4429.7150000000001</v>
      </c>
      <c r="L15" s="305">
        <f>L$7*('REVISED 2012 2H'!FronczykShares/L$8)</f>
        <v>-1642.5374999999999</v>
      </c>
      <c r="M15" s="99">
        <v>0</v>
      </c>
      <c r="N15" s="311">
        <f t="shared" si="5"/>
        <v>-1642.5374999999999</v>
      </c>
      <c r="O15" s="305">
        <f>O$7*('REVISED 2012 2H'!FronczykShares/O$8)</f>
        <v>2465.2250000000004</v>
      </c>
      <c r="P15" s="99">
        <v>0</v>
      </c>
      <c r="Q15" s="311">
        <f t="shared" si="6"/>
        <v>2465.2250000000004</v>
      </c>
      <c r="R15" s="305">
        <f>R$7*('REVISED 2012 2H'!FronczykShares/R$8)</f>
        <v>9541.3349999999991</v>
      </c>
      <c r="S15" s="99">
        <v>0</v>
      </c>
      <c r="T15" s="311">
        <f t="shared" si="7"/>
        <v>9541.3349999999991</v>
      </c>
      <c r="U15" s="305">
        <f>U$7*('REVISED 2012 2H'!FronczykShares/U$8)</f>
        <v>3875.49</v>
      </c>
      <c r="V15" s="99">
        <v>0</v>
      </c>
      <c r="W15" s="311">
        <f t="shared" si="8"/>
        <v>3875.49</v>
      </c>
      <c r="X15" s="305">
        <f>X$7*('REVISED 2012 2H'!FronczykShares/X$8)</f>
        <v>3048.6575000000003</v>
      </c>
      <c r="Y15" s="99">
        <v>0</v>
      </c>
      <c r="Z15" s="311">
        <f t="shared" si="9"/>
        <v>3048.6575000000003</v>
      </c>
      <c r="AA15" s="305">
        <f>AA$7*('REVISED 2012 2H'!FronczykShares/AA$8)</f>
        <v>7709.7000000000007</v>
      </c>
      <c r="AB15" s="99">
        <v>0</v>
      </c>
      <c r="AC15" s="311">
        <f t="shared" si="10"/>
        <v>7709.7000000000007</v>
      </c>
      <c r="AD15" s="305">
        <f>AD$7*('REVISED 2012 2H'!FronczykShares/AD$8)</f>
        <v>8088.59</v>
      </c>
      <c r="AE15" s="99">
        <v>0</v>
      </c>
      <c r="AF15" s="311">
        <f t="shared" si="11"/>
        <v>8088.59</v>
      </c>
      <c r="AG15" s="305">
        <f>AG$7*('REVISED 2012 2H'!FronczykShares/AG$8)</f>
        <v>6424.85</v>
      </c>
      <c r="AH15" s="99">
        <v>0</v>
      </c>
      <c r="AI15" s="311">
        <f t="shared" si="12"/>
        <v>6424.85</v>
      </c>
      <c r="AJ15" s="305">
        <f>AJ$7*('REVISED 2012 2H'!FronczykShares/AJ$8)</f>
        <v>2165.1874999999991</v>
      </c>
      <c r="AK15" s="99">
        <v>0</v>
      </c>
      <c r="AL15" s="311">
        <f t="shared" si="13"/>
        <v>2165.1874999999991</v>
      </c>
      <c r="AM15" s="305">
        <f>AM$7*('REVISED 2012 2H'!FronczykShares/AM$8)</f>
        <v>4418.5025000000005</v>
      </c>
      <c r="AN15" s="99">
        <v>0</v>
      </c>
      <c r="AO15" s="311">
        <f t="shared" si="14"/>
        <v>4418.5025000000005</v>
      </c>
      <c r="AP15" s="305">
        <f>AP$7*('REVISED 2012 2H'!FronczykShares/AP$8)</f>
        <v>6311.2449999999999</v>
      </c>
      <c r="AQ15" s="99">
        <v>0</v>
      </c>
      <c r="AR15" s="311">
        <f t="shared" si="15"/>
        <v>6311.2449999999999</v>
      </c>
      <c r="AS15" s="93">
        <f>'REVISED 2012 2H'!FronczykShares/'REVISED 2012 2H'!TotalShares*AS$7</f>
        <v>24455.067499999997</v>
      </c>
    </row>
    <row r="16" spans="1:45" ht="12.75" customHeight="1">
      <c r="A16" s="89"/>
      <c r="B16" s="61"/>
      <c r="C16" s="62"/>
    </row>
    <row r="17" spans="1:45" ht="12.75" customHeight="1">
      <c r="A17" s="89"/>
      <c r="B17" s="61"/>
      <c r="C17" s="62"/>
      <c r="AQ17" s="298" t="s">
        <v>338</v>
      </c>
      <c r="AR17" s="298" t="str">
        <f t="shared" ref="AR17:AR18" si="16">$A14</f>
        <v>Colin</v>
      </c>
      <c r="AS17" s="312">
        <f>E14+H14+K14+N14+Q14+T14+W14+Z14+AC14+AF14+AI14+AL14-AS10</f>
        <v>168742.51250000001</v>
      </c>
    </row>
    <row r="18" spans="1:45" ht="12.75" customHeight="1">
      <c r="A18" s="89"/>
      <c r="B18" s="61"/>
      <c r="C18" s="62"/>
      <c r="AQ18" s="298"/>
      <c r="AR18" s="298" t="str">
        <f t="shared" si="16"/>
        <v>Fronczyk</v>
      </c>
      <c r="AS18" s="312">
        <f>E15+H15+K15+N15+Q15+T15+W15+Z15+AC15+AF15+AI15+AL15</f>
        <v>24455.067499999997</v>
      </c>
    </row>
    <row r="19" spans="1:45" ht="12.75" customHeight="1">
      <c r="A19" s="89"/>
      <c r="B19" s="61"/>
      <c r="C19" s="62"/>
    </row>
    <row r="20" spans="1:45" ht="12.75" customHeight="1">
      <c r="A20" s="89"/>
      <c r="B20" s="61"/>
      <c r="C20" s="62"/>
      <c r="AQ20" s="1" t="s">
        <v>339</v>
      </c>
      <c r="AR20" s="1" t="str">
        <f t="shared" ref="AR20:AR21" si="17">$A14</f>
        <v>Colin</v>
      </c>
      <c r="AS20" s="99">
        <v>0</v>
      </c>
    </row>
    <row r="21" spans="1:45" ht="12.75" customHeight="1">
      <c r="A21" s="89"/>
      <c r="B21" s="61"/>
      <c r="C21" s="62"/>
      <c r="AR21" t="str">
        <f t="shared" si="17"/>
        <v>Fronczyk</v>
      </c>
      <c r="AS21" s="99">
        <v>36196.879999999997</v>
      </c>
    </row>
    <row r="22" spans="1:45" ht="12.75" customHeight="1">
      <c r="A22" s="89"/>
      <c r="B22" s="61"/>
      <c r="C22" s="62"/>
    </row>
    <row r="23" spans="1:45" ht="12.75" customHeight="1">
      <c r="A23" s="89"/>
      <c r="B23" s="61"/>
      <c r="C23" s="62"/>
      <c r="AQ23" s="298" t="s">
        <v>340</v>
      </c>
      <c r="AR23" s="298" t="str">
        <f t="shared" ref="AR23:AR24" si="18">$A14</f>
        <v>Colin</v>
      </c>
      <c r="AS23" s="312">
        <f t="shared" ref="AS23:AS24" si="19">AS17-AS20</f>
        <v>168742.51250000001</v>
      </c>
    </row>
    <row r="24" spans="1:45" ht="12.75" customHeight="1">
      <c r="A24" s="89"/>
      <c r="B24" s="61"/>
      <c r="C24" s="62"/>
      <c r="AQ24" s="298"/>
      <c r="AR24" s="298" t="str">
        <f t="shared" si="18"/>
        <v>Fronczyk</v>
      </c>
      <c r="AS24" s="312">
        <f t="shared" si="19"/>
        <v>-11741.8125</v>
      </c>
    </row>
    <row r="25" spans="1:45" ht="12.75" customHeight="1">
      <c r="A25" s="89"/>
      <c r="B25" s="61"/>
      <c r="C25" s="62"/>
    </row>
    <row r="26" spans="1:45" ht="12.75" customHeight="1">
      <c r="A26" s="89"/>
      <c r="B26" s="61"/>
      <c r="C26" s="62"/>
    </row>
    <row r="27" spans="1:45" ht="12.75" customHeight="1">
      <c r="A27" s="89"/>
      <c r="B27" s="61"/>
      <c r="C27" s="62"/>
    </row>
    <row r="28" spans="1:45" ht="12.75" customHeight="1">
      <c r="A28" s="89"/>
      <c r="B28" s="61"/>
      <c r="C28" s="62"/>
    </row>
    <row r="29" spans="1:45" ht="12.75" customHeight="1">
      <c r="A29" s="89"/>
      <c r="B29" s="61"/>
      <c r="C29" s="62"/>
    </row>
    <row r="30" spans="1:45" ht="12.75" customHeight="1">
      <c r="A30" s="89"/>
      <c r="B30" s="61"/>
      <c r="C30" s="62"/>
    </row>
    <row r="31" spans="1:45" ht="12.75" customHeight="1">
      <c r="A31" s="89"/>
      <c r="B31" s="61"/>
      <c r="C31" s="62"/>
    </row>
    <row r="32" spans="1:45" ht="12.75" customHeight="1">
      <c r="A32" s="89"/>
      <c r="B32" s="61"/>
      <c r="C32" s="62"/>
    </row>
    <row r="33" spans="1:3" ht="12.75" customHeight="1">
      <c r="A33" s="89"/>
      <c r="B33" s="61"/>
      <c r="C33" s="62"/>
    </row>
    <row r="34" spans="1:3" ht="12.75" customHeight="1">
      <c r="A34" s="89"/>
      <c r="B34" s="61"/>
      <c r="C34" s="62"/>
    </row>
    <row r="35" spans="1:3" ht="12.75" customHeight="1">
      <c r="A35" s="89"/>
      <c r="B35" s="61"/>
      <c r="C35" s="6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B41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6" width="8.6640625" customWidth="1"/>
    <col min="7" max="8" width="15.1640625" customWidth="1"/>
    <col min="9" max="10" width="11" customWidth="1"/>
    <col min="11" max="12" width="15.1640625" customWidth="1"/>
    <col min="13" max="14" width="9.33203125" customWidth="1"/>
    <col min="15" max="16" width="15.1640625" customWidth="1"/>
    <col min="17" max="18" width="11.1640625" customWidth="1"/>
    <col min="19" max="48" width="15.1640625" customWidth="1"/>
    <col min="49" max="50" width="10.5" customWidth="1"/>
    <col min="51" max="51" width="10.83203125" customWidth="1"/>
    <col min="52" max="54" width="15.1640625" customWidth="1"/>
  </cols>
  <sheetData>
    <row r="1" spans="1:54" ht="12.75" customHeight="1">
      <c r="A1" s="5" t="s">
        <v>148</v>
      </c>
      <c r="C1" s="61" t="s">
        <v>131</v>
      </c>
      <c r="D1" s="59">
        <v>42035</v>
      </c>
      <c r="E1" s="60"/>
      <c r="F1" s="60"/>
      <c r="G1" s="61"/>
      <c r="H1" s="59">
        <v>42063</v>
      </c>
      <c r="I1" s="60"/>
      <c r="J1" s="60"/>
      <c r="K1" s="61"/>
      <c r="L1" s="59">
        <v>42094</v>
      </c>
      <c r="M1" s="60"/>
      <c r="N1" s="60"/>
      <c r="O1" s="61"/>
      <c r="P1" s="59">
        <v>42124</v>
      </c>
      <c r="Q1" s="60"/>
      <c r="R1" s="60"/>
      <c r="S1" s="61"/>
      <c r="T1" s="59">
        <v>42155</v>
      </c>
      <c r="U1" s="60"/>
      <c r="V1" s="60"/>
      <c r="W1" s="61"/>
      <c r="X1" s="59">
        <v>42185</v>
      </c>
      <c r="Y1" s="60"/>
      <c r="Z1" s="60"/>
      <c r="AA1" s="61"/>
      <c r="AB1" s="59">
        <v>42216</v>
      </c>
      <c r="AC1" s="60"/>
      <c r="AD1" s="60"/>
      <c r="AE1" s="61"/>
      <c r="AF1" s="59">
        <v>42247</v>
      </c>
      <c r="AG1" s="60"/>
      <c r="AH1" s="60"/>
      <c r="AI1" s="61"/>
      <c r="AJ1" s="59">
        <v>42277</v>
      </c>
      <c r="AK1" s="60"/>
      <c r="AL1" s="60"/>
      <c r="AM1" s="61"/>
      <c r="AN1" s="59">
        <v>42308</v>
      </c>
      <c r="AO1" s="60"/>
      <c r="AP1" s="60"/>
      <c r="AQ1" s="61"/>
      <c r="AR1" s="59">
        <v>42338</v>
      </c>
      <c r="AS1" s="60"/>
      <c r="AT1" s="60"/>
      <c r="AU1" s="61"/>
      <c r="AV1" s="59">
        <v>42369</v>
      </c>
      <c r="AW1" s="60"/>
      <c r="AX1" s="60"/>
      <c r="AZ1" s="62"/>
      <c r="BA1" s="61"/>
    </row>
    <row r="2" spans="1:54" ht="12.75" customHeight="1">
      <c r="A2" s="5"/>
      <c r="C2" s="61"/>
      <c r="D2" s="62">
        <f>YEAR(D1)</f>
        <v>2015</v>
      </c>
      <c r="G2" s="61"/>
      <c r="H2" s="62">
        <f>YEAR(H1)</f>
        <v>2015</v>
      </c>
      <c r="K2" s="61"/>
      <c r="L2" s="62">
        <f>YEAR(L1)</f>
        <v>2015</v>
      </c>
      <c r="O2" s="61"/>
      <c r="P2" s="62">
        <f>YEAR(P1)</f>
        <v>2015</v>
      </c>
      <c r="S2" s="61"/>
      <c r="T2" s="62">
        <f>YEAR(T1)</f>
        <v>2015</v>
      </c>
      <c r="W2" s="61"/>
      <c r="X2" s="62">
        <f>YEAR(X1)</f>
        <v>2015</v>
      </c>
      <c r="AA2" s="61"/>
      <c r="AB2" s="62">
        <f>YEAR(AB1)</f>
        <v>2015</v>
      </c>
      <c r="AE2" s="61"/>
      <c r="AF2" s="62">
        <f>YEAR(AF1)</f>
        <v>2015</v>
      </c>
      <c r="AI2" s="61"/>
      <c r="AJ2" s="62">
        <f>YEAR(AJ1)</f>
        <v>2015</v>
      </c>
      <c r="AM2" s="61"/>
      <c r="AN2" s="62">
        <f>YEAR(AN1)</f>
        <v>2015</v>
      </c>
      <c r="AQ2" s="61"/>
      <c r="AR2" s="62">
        <f>YEAR(AR1)</f>
        <v>2015</v>
      </c>
      <c r="AU2" s="61"/>
      <c r="AV2" s="62">
        <f>YEAR(AV1)</f>
        <v>2015</v>
      </c>
      <c r="AY2" s="61"/>
      <c r="AZ2" s="209" t="s">
        <v>247</v>
      </c>
      <c r="BA2" s="61"/>
      <c r="BB2" s="67">
        <v>2015</v>
      </c>
    </row>
    <row r="3" spans="1:54" ht="12.75" customHeight="1">
      <c r="A3" s="5"/>
      <c r="C3" s="61"/>
      <c r="D3" s="69" t="str">
        <f>IF(MONTH(D1)&lt;7,"1H","2H")</f>
        <v>1H</v>
      </c>
      <c r="G3" s="61"/>
      <c r="H3" s="69" t="str">
        <f>IF(MONTH(H1)&lt;7,"1H","2H")</f>
        <v>1H</v>
      </c>
      <c r="K3" s="61"/>
      <c r="L3" s="69" t="str">
        <f>IF(MONTH(L1)&lt;7,"1H","2H")</f>
        <v>1H</v>
      </c>
      <c r="O3" s="61"/>
      <c r="P3" s="69" t="str">
        <f>IF(MONTH(P1)&lt;7,"1H","2H")</f>
        <v>1H</v>
      </c>
      <c r="S3" s="61"/>
      <c r="T3" s="69" t="str">
        <f>IF(MONTH(T1)&lt;7,"1H","2H")</f>
        <v>1H</v>
      </c>
      <c r="W3" s="61"/>
      <c r="X3" s="69" t="str">
        <f>IF(MONTH(X1)&lt;7,"1H","2H")</f>
        <v>1H</v>
      </c>
      <c r="AA3" s="61"/>
      <c r="AB3" s="69" t="str">
        <f>IF(MONTH(AB1)&lt;7,"1H","2H")</f>
        <v>2H</v>
      </c>
      <c r="AE3" s="61"/>
      <c r="AF3" s="69" t="str">
        <f>IF(MONTH(AF1)&lt;7,"1H","2H")</f>
        <v>2H</v>
      </c>
      <c r="AI3" s="61"/>
      <c r="AJ3" s="69" t="str">
        <f>IF(MONTH(AJ1)&lt;7,"1H","2H")</f>
        <v>2H</v>
      </c>
      <c r="AM3" s="61"/>
      <c r="AN3" s="69" t="str">
        <f>IF(MONTH(AN1)&lt;7,"1H","2H")</f>
        <v>2H</v>
      </c>
      <c r="AQ3" s="61"/>
      <c r="AR3" s="69" t="str">
        <f>IF(MONTH(AR1)&lt;7,"1H","2H")</f>
        <v>2H</v>
      </c>
      <c r="AU3" s="61"/>
      <c r="AV3" s="69" t="str">
        <f>IF(MONTH(AV1)&lt;7,"1H","2H")</f>
        <v>2H</v>
      </c>
      <c r="AY3" s="61"/>
      <c r="AZ3" s="71"/>
      <c r="BA3" s="61"/>
      <c r="BB3" s="72"/>
    </row>
    <row r="4" spans="1:54" ht="12.75" customHeight="1">
      <c r="A4" s="89" t="s">
        <v>136</v>
      </c>
      <c r="C4" s="61"/>
      <c r="D4" s="90">
        <v>66062.05</v>
      </c>
      <c r="E4" s="91"/>
      <c r="F4" s="91"/>
      <c r="G4" s="92"/>
      <c r="H4" s="90">
        <v>82790.78</v>
      </c>
      <c r="I4" s="91"/>
      <c r="J4" s="91"/>
      <c r="K4" s="92"/>
      <c r="L4" s="90">
        <v>83491.37</v>
      </c>
      <c r="M4" s="91"/>
      <c r="N4" s="91"/>
      <c r="O4" s="92"/>
      <c r="P4" s="90">
        <v>69271.09</v>
      </c>
      <c r="Q4" s="91"/>
      <c r="R4" s="91"/>
      <c r="S4" s="92"/>
      <c r="T4" s="90">
        <v>71647.570000000007</v>
      </c>
      <c r="U4" s="91"/>
      <c r="V4" s="91"/>
      <c r="W4" s="92"/>
      <c r="X4" s="90">
        <v>64811.5</v>
      </c>
      <c r="Y4" s="91"/>
      <c r="Z4" s="91"/>
      <c r="AA4" s="92"/>
      <c r="AB4" s="90">
        <v>78578.81</v>
      </c>
      <c r="AC4" s="91"/>
      <c r="AD4" s="91"/>
      <c r="AE4" s="92"/>
      <c r="AF4" s="90">
        <v>69378.89</v>
      </c>
      <c r="AG4" s="91"/>
      <c r="AH4" s="91"/>
      <c r="AI4" s="92"/>
      <c r="AJ4" s="90">
        <v>92231.67</v>
      </c>
      <c r="AK4" s="91"/>
      <c r="AL4" s="91"/>
      <c r="AM4" s="92"/>
      <c r="AN4" s="90">
        <v>80237.66</v>
      </c>
      <c r="AO4" s="91"/>
      <c r="AP4" s="91"/>
      <c r="AQ4" s="92"/>
      <c r="AR4" s="90">
        <v>76176.639999999999</v>
      </c>
      <c r="AS4" s="91"/>
      <c r="AT4" s="91"/>
      <c r="AU4" s="92"/>
      <c r="AV4" s="90">
        <v>-112044.12</v>
      </c>
      <c r="AW4" s="151"/>
      <c r="AX4" s="151"/>
      <c r="AY4" s="92"/>
      <c r="AZ4" s="93">
        <f t="shared" ref="AZ4:AZ10" si="0">SUMIF($D$3:$AY$3,AZ$2,$D4:$AY4)</f>
        <v>438074.36000000004</v>
      </c>
      <c r="BA4" s="92"/>
      <c r="BB4" s="94">
        <f t="shared" ref="BB4:BB10" si="1">SUMIF($D$2:$AY$2,$BB$2,$D4:$AY4)</f>
        <v>722633.91000000015</v>
      </c>
    </row>
    <row r="5" spans="1:54" ht="12.75" customHeight="1">
      <c r="A5" s="89" t="s">
        <v>138</v>
      </c>
      <c r="C5" s="61"/>
      <c r="D5" s="90">
        <v>0</v>
      </c>
      <c r="E5" s="91"/>
      <c r="F5" s="91"/>
      <c r="G5" s="92"/>
      <c r="H5" s="90">
        <v>0</v>
      </c>
      <c r="I5" s="91"/>
      <c r="J5" s="91"/>
      <c r="K5" s="92"/>
      <c r="L5" s="90">
        <v>0</v>
      </c>
      <c r="M5" s="91"/>
      <c r="N5" s="91"/>
      <c r="O5" s="92"/>
      <c r="P5" s="90">
        <v>0</v>
      </c>
      <c r="Q5" s="91"/>
      <c r="R5" s="91"/>
      <c r="S5" s="92"/>
      <c r="T5" s="90">
        <v>0</v>
      </c>
      <c r="U5" s="91"/>
      <c r="V5" s="91"/>
      <c r="W5" s="92"/>
      <c r="X5" s="90">
        <v>0</v>
      </c>
      <c r="Y5" s="91"/>
      <c r="Z5" s="91"/>
      <c r="AA5" s="92"/>
      <c r="AB5" s="90"/>
      <c r="AC5" s="91"/>
      <c r="AD5" s="91"/>
      <c r="AE5" s="92"/>
      <c r="AF5" s="90"/>
      <c r="AG5" s="91"/>
      <c r="AH5" s="91"/>
      <c r="AI5" s="92"/>
      <c r="AJ5" s="90"/>
      <c r="AK5" s="91"/>
      <c r="AL5" s="91"/>
      <c r="AM5" s="92"/>
      <c r="AN5" s="90"/>
      <c r="AO5" s="91"/>
      <c r="AP5" s="91"/>
      <c r="AQ5" s="92"/>
      <c r="AR5" s="90"/>
      <c r="AS5" s="91"/>
      <c r="AT5" s="91"/>
      <c r="AU5" s="92"/>
      <c r="AV5" s="90"/>
      <c r="AW5" s="91"/>
      <c r="AX5" s="91"/>
      <c r="AY5" s="92"/>
      <c r="AZ5" s="93">
        <f t="shared" si="0"/>
        <v>0</v>
      </c>
      <c r="BA5" s="92"/>
      <c r="BB5" s="94">
        <f t="shared" si="1"/>
        <v>0</v>
      </c>
    </row>
    <row r="6" spans="1:54" ht="12.75" customHeight="1">
      <c r="A6" s="89" t="s">
        <v>143</v>
      </c>
      <c r="B6" s="99">
        <v>12500</v>
      </c>
      <c r="C6" s="61"/>
      <c r="D6" s="100">
        <f>'PS Model 2015'!ColinSalary</f>
        <v>12500</v>
      </c>
      <c r="E6" s="91"/>
      <c r="F6" s="91"/>
      <c r="G6" s="92"/>
      <c r="H6" s="100">
        <f>'PS Model 2015'!ColinSalary</f>
        <v>12500</v>
      </c>
      <c r="I6" s="91"/>
      <c r="J6" s="91"/>
      <c r="K6" s="92"/>
      <c r="L6" s="100">
        <f>'PS Model 2015'!ColinSalary</f>
        <v>12500</v>
      </c>
      <c r="M6" s="91"/>
      <c r="N6" s="91"/>
      <c r="O6" s="92"/>
      <c r="P6" s="100">
        <f>'PS Model 2015'!ColinSalary</f>
        <v>12500</v>
      </c>
      <c r="Q6" s="91"/>
      <c r="R6" s="91"/>
      <c r="S6" s="92"/>
      <c r="T6" s="100">
        <f>'PS Model 2015'!ColinSalary</f>
        <v>12500</v>
      </c>
      <c r="U6" s="91"/>
      <c r="V6" s="91"/>
      <c r="W6" s="92"/>
      <c r="X6" s="100">
        <f>'PS Model 2015'!ColinSalary</f>
        <v>12500</v>
      </c>
      <c r="Y6" s="91"/>
      <c r="Z6" s="91"/>
      <c r="AA6" s="92"/>
      <c r="AB6" s="100">
        <f>'PS Model 2015'!ColinSalary</f>
        <v>12500</v>
      </c>
      <c r="AC6" s="91"/>
      <c r="AD6" s="91"/>
      <c r="AE6" s="92"/>
      <c r="AF6" s="100">
        <f>'PS Model 2015'!ColinSalary</f>
        <v>12500</v>
      </c>
      <c r="AG6" s="91"/>
      <c r="AH6" s="91"/>
      <c r="AI6" s="92"/>
      <c r="AJ6" s="100">
        <f>'PS Model 2015'!ColinSalary</f>
        <v>12500</v>
      </c>
      <c r="AK6" s="91"/>
      <c r="AL6" s="91"/>
      <c r="AM6" s="92"/>
      <c r="AN6" s="100">
        <f>'PS Model 2015'!ColinSalary</f>
        <v>12500</v>
      </c>
      <c r="AO6" s="91"/>
      <c r="AP6" s="91"/>
      <c r="AQ6" s="92"/>
      <c r="AR6" s="100">
        <f>'PS Model 2015'!ColinSalary</f>
        <v>12500</v>
      </c>
      <c r="AS6" s="91"/>
      <c r="AT6" s="91"/>
      <c r="AU6" s="92"/>
      <c r="AV6" s="100">
        <f>'PS Model 2015'!ColinSalary</f>
        <v>12500</v>
      </c>
      <c r="AW6" s="91"/>
      <c r="AX6" s="91"/>
      <c r="AY6" s="92"/>
      <c r="AZ6" s="93">
        <f t="shared" si="0"/>
        <v>75000</v>
      </c>
      <c r="BA6" s="92"/>
      <c r="BB6" s="94">
        <f t="shared" si="1"/>
        <v>150000</v>
      </c>
    </row>
    <row r="7" spans="1:54" ht="12.75" customHeight="1">
      <c r="A7" s="89" t="s">
        <v>145</v>
      </c>
      <c r="B7" s="101"/>
      <c r="C7" s="102"/>
      <c r="D7" s="104">
        <f>SUM(F13:F17)</f>
        <v>1976.3700000000026</v>
      </c>
      <c r="E7" s="91"/>
      <c r="F7" s="91"/>
      <c r="G7" s="92"/>
      <c r="H7" s="104">
        <f>SUM(J13:J17)</f>
        <v>934.15</v>
      </c>
      <c r="I7" s="91"/>
      <c r="J7" s="91"/>
      <c r="K7" s="92"/>
      <c r="L7" s="104">
        <f>SUM(N13:N17)</f>
        <v>1499.65</v>
      </c>
      <c r="M7" s="91"/>
      <c r="N7" s="91"/>
      <c r="O7" s="92"/>
      <c r="P7" s="104">
        <f>SUM(R13:R17)</f>
        <v>1010.9100000000035</v>
      </c>
      <c r="Q7" s="91"/>
      <c r="R7" s="91"/>
      <c r="S7" s="92"/>
      <c r="T7" s="104">
        <f>SUM(V13:V17)</f>
        <v>1223.52</v>
      </c>
      <c r="U7" s="91"/>
      <c r="V7" s="91"/>
      <c r="W7" s="92"/>
      <c r="X7" s="104">
        <f>SUM(Z13:Z17)</f>
        <v>1177.9000000000001</v>
      </c>
      <c r="Y7" s="91"/>
      <c r="Z7" s="91"/>
      <c r="AA7" s="92"/>
      <c r="AB7" s="104">
        <f>SUM(AD13:AD17)</f>
        <v>1121.06</v>
      </c>
      <c r="AC7" s="91"/>
      <c r="AD7" s="91"/>
      <c r="AE7" s="92"/>
      <c r="AF7" s="104">
        <f>SUM(AH13:AH17)</f>
        <v>4254.09</v>
      </c>
      <c r="AG7" s="91"/>
      <c r="AH7" s="91"/>
      <c r="AI7" s="92"/>
      <c r="AJ7" s="104">
        <f>SUM(AL13:AL17)</f>
        <v>2057.3200000000002</v>
      </c>
      <c r="AK7" s="91"/>
      <c r="AL7" s="91"/>
      <c r="AM7" s="92"/>
      <c r="AN7" s="104">
        <f>SUM(AP13:AP17)</f>
        <v>1053.26</v>
      </c>
      <c r="AO7" s="91"/>
      <c r="AP7" s="91"/>
      <c r="AQ7" s="92"/>
      <c r="AR7" s="104">
        <f>SUM(AT13:AT17)</f>
        <v>2739.41</v>
      </c>
      <c r="AS7" s="91"/>
      <c r="AT7" s="91"/>
      <c r="AU7" s="92"/>
      <c r="AV7" s="104">
        <f>SUM(AX13:AX17)</f>
        <v>171321.1</v>
      </c>
      <c r="AW7" s="91"/>
      <c r="AX7" s="91"/>
      <c r="AY7" s="92"/>
      <c r="AZ7" s="93">
        <f t="shared" si="0"/>
        <v>7822.5000000000055</v>
      </c>
      <c r="BA7" s="92"/>
      <c r="BB7" s="94">
        <f t="shared" si="1"/>
        <v>190368.74000000002</v>
      </c>
    </row>
    <row r="8" spans="1:54" ht="12.75" customHeight="1">
      <c r="A8" s="89" t="s">
        <v>146</v>
      </c>
      <c r="C8" s="61"/>
      <c r="D8" s="104">
        <f>D4-D5-D6+D7</f>
        <v>55538.420000000006</v>
      </c>
      <c r="E8" s="91"/>
      <c r="F8" s="91"/>
      <c r="G8" s="92"/>
      <c r="H8" s="104">
        <f>H4-H5-H6+H7</f>
        <v>71224.929999999993</v>
      </c>
      <c r="I8" s="91"/>
      <c r="J8" s="91"/>
      <c r="K8" s="92"/>
      <c r="L8" s="104">
        <f>L4-L5-L6+L7</f>
        <v>72491.01999999999</v>
      </c>
      <c r="M8" s="91"/>
      <c r="N8" s="91"/>
      <c r="O8" s="92"/>
      <c r="P8" s="104">
        <f>P4-P5-P6+P7</f>
        <v>57782</v>
      </c>
      <c r="Q8" s="91"/>
      <c r="R8" s="91"/>
      <c r="S8" s="92"/>
      <c r="T8" s="104">
        <f>T4-T5-T6+T7</f>
        <v>60371.090000000004</v>
      </c>
      <c r="U8" s="91"/>
      <c r="V8" s="91"/>
      <c r="W8" s="92"/>
      <c r="X8" s="104">
        <f>X4-X5-X6+X7</f>
        <v>53489.4</v>
      </c>
      <c r="Y8" s="91"/>
      <c r="Z8" s="91"/>
      <c r="AA8" s="92"/>
      <c r="AB8" s="104">
        <f>AB4-AB5-AB6+AB7</f>
        <v>67199.87</v>
      </c>
      <c r="AC8" s="91"/>
      <c r="AD8" s="91"/>
      <c r="AE8" s="92"/>
      <c r="AF8" s="104">
        <f>AF4-AF5-AF6+AF7</f>
        <v>61132.979999999996</v>
      </c>
      <c r="AG8" s="91"/>
      <c r="AH8" s="91"/>
      <c r="AI8" s="92"/>
      <c r="AJ8" s="104">
        <f>AJ4-AJ5-AJ6+AJ7</f>
        <v>81788.990000000005</v>
      </c>
      <c r="AK8" s="91"/>
      <c r="AL8" s="91"/>
      <c r="AM8" s="92"/>
      <c r="AN8" s="104">
        <f>AN4-AN5-AN6+AN7</f>
        <v>68790.92</v>
      </c>
      <c r="AO8" s="91"/>
      <c r="AP8" s="91"/>
      <c r="AQ8" s="92"/>
      <c r="AR8" s="104">
        <f>AR4-AR5-AR6+AR7</f>
        <v>66416.05</v>
      </c>
      <c r="AS8" s="91"/>
      <c r="AT8" s="91"/>
      <c r="AU8" s="92"/>
      <c r="AV8" s="104">
        <f>AV4-AV5-AV6+AV7</f>
        <v>46776.98000000001</v>
      </c>
      <c r="AW8" s="91"/>
      <c r="AX8" s="91"/>
      <c r="AY8" s="92"/>
      <c r="AZ8" s="93">
        <f t="shared" si="0"/>
        <v>370896.86000000004</v>
      </c>
      <c r="BA8" s="92"/>
      <c r="BB8" s="94">
        <f t="shared" si="1"/>
        <v>763002.65000000014</v>
      </c>
    </row>
    <row r="9" spans="1:54" ht="12.75" customHeight="1">
      <c r="A9" s="89" t="s">
        <v>324</v>
      </c>
      <c r="C9" s="61"/>
      <c r="D9" s="90">
        <f>12500+5000+30000</f>
        <v>47500</v>
      </c>
      <c r="E9" s="91"/>
      <c r="F9" s="91"/>
      <c r="G9" s="92"/>
      <c r="H9" s="90">
        <v>87500</v>
      </c>
      <c r="I9" s="91"/>
      <c r="J9" s="91"/>
      <c r="K9" s="92"/>
      <c r="L9" s="90">
        <v>25500</v>
      </c>
      <c r="M9" s="91"/>
      <c r="N9" s="91"/>
      <c r="O9" s="92"/>
      <c r="P9" s="90">
        <f>12500+20000+35000</f>
        <v>67500</v>
      </c>
      <c r="Q9" s="91"/>
      <c r="R9" s="91"/>
      <c r="S9" s="92"/>
      <c r="T9" s="90">
        <v>27500</v>
      </c>
      <c r="U9" s="91"/>
      <c r="V9" s="91"/>
      <c r="W9" s="92"/>
      <c r="X9" s="90">
        <v>43500</v>
      </c>
      <c r="Y9" s="91"/>
      <c r="Z9" s="91"/>
      <c r="AA9" s="92"/>
      <c r="AB9" s="90">
        <v>12500</v>
      </c>
      <c r="AC9" s="91"/>
      <c r="AD9" s="91"/>
      <c r="AE9" s="92"/>
      <c r="AF9" s="90">
        <v>50000</v>
      </c>
      <c r="AG9" s="91"/>
      <c r="AH9" s="91"/>
      <c r="AI9" s="92"/>
      <c r="AJ9" s="90">
        <v>72500</v>
      </c>
      <c r="AK9" s="91"/>
      <c r="AL9" s="91"/>
      <c r="AM9" s="92"/>
      <c r="AN9" s="90">
        <v>37500</v>
      </c>
      <c r="AO9" s="91"/>
      <c r="AP9" s="91"/>
      <c r="AQ9" s="92"/>
      <c r="AR9" s="90">
        <v>12500</v>
      </c>
      <c r="AS9" s="91"/>
      <c r="AT9" s="91"/>
      <c r="AU9" s="92"/>
      <c r="AV9" s="90">
        <v>12500</v>
      </c>
      <c r="AW9" s="91"/>
      <c r="AX9" s="91"/>
      <c r="AY9" s="92"/>
      <c r="AZ9" s="93">
        <f t="shared" si="0"/>
        <v>299000</v>
      </c>
      <c r="BA9" s="92"/>
      <c r="BB9" s="94">
        <f t="shared" si="1"/>
        <v>496500</v>
      </c>
    </row>
    <row r="10" spans="1:54" ht="12.75" customHeight="1">
      <c r="A10" s="5" t="s">
        <v>151</v>
      </c>
      <c r="C10" s="61"/>
      <c r="D10" s="100">
        <f>D9-D6</f>
        <v>35000</v>
      </c>
      <c r="E10" s="91"/>
      <c r="F10" s="91"/>
      <c r="G10" s="92"/>
      <c r="H10" s="100">
        <f>H9-H6</f>
        <v>75000</v>
      </c>
      <c r="I10" s="91"/>
      <c r="J10" s="91"/>
      <c r="K10" s="92"/>
      <c r="L10" s="100">
        <f>L9-L6</f>
        <v>13000</v>
      </c>
      <c r="M10" s="91"/>
      <c r="N10" s="91"/>
      <c r="O10" s="92"/>
      <c r="P10" s="100">
        <f>P9-P6</f>
        <v>55000</v>
      </c>
      <c r="Q10" s="91"/>
      <c r="R10" s="91"/>
      <c r="S10" s="92"/>
      <c r="T10" s="100">
        <f>T9-T6</f>
        <v>15000</v>
      </c>
      <c r="U10" s="91"/>
      <c r="V10" s="91"/>
      <c r="W10" s="92"/>
      <c r="X10" s="100">
        <f>X9-X6</f>
        <v>31000</v>
      </c>
      <c r="Y10" s="91"/>
      <c r="Z10" s="91"/>
      <c r="AA10" s="92"/>
      <c r="AB10" s="100">
        <f>AB9-AB6</f>
        <v>0</v>
      </c>
      <c r="AC10" s="91"/>
      <c r="AD10" s="91"/>
      <c r="AE10" s="92"/>
      <c r="AF10" s="100">
        <f>AF9-AF6</f>
        <v>37500</v>
      </c>
      <c r="AG10" s="91"/>
      <c r="AH10" s="91"/>
      <c r="AI10" s="92"/>
      <c r="AJ10" s="100">
        <f>AJ9-AJ6</f>
        <v>60000</v>
      </c>
      <c r="AK10" s="91"/>
      <c r="AL10" s="91"/>
      <c r="AM10" s="92"/>
      <c r="AN10" s="100">
        <f>AN9-AN6</f>
        <v>25000</v>
      </c>
      <c r="AO10" s="91"/>
      <c r="AP10" s="91"/>
      <c r="AQ10" s="92"/>
      <c r="AR10" s="100">
        <f>AR9-AR6</f>
        <v>0</v>
      </c>
      <c r="AS10" s="91"/>
      <c r="AT10" s="91"/>
      <c r="AU10" s="92"/>
      <c r="AV10" s="100">
        <f>AV9-AV6</f>
        <v>0</v>
      </c>
      <c r="AW10" s="91"/>
      <c r="AX10" s="91"/>
      <c r="AY10" s="92"/>
      <c r="AZ10" s="93">
        <f t="shared" si="0"/>
        <v>224000</v>
      </c>
      <c r="BA10" s="92"/>
      <c r="BB10" s="94">
        <f t="shared" si="1"/>
        <v>346500</v>
      </c>
    </row>
    <row r="11" spans="1:54" ht="12.75" customHeight="1">
      <c r="A11" s="5"/>
      <c r="C11" s="61"/>
      <c r="D11" s="100"/>
      <c r="E11" s="91"/>
      <c r="F11" s="91"/>
      <c r="G11" s="92"/>
      <c r="H11" s="100"/>
      <c r="I11" s="91"/>
      <c r="J11" s="91"/>
      <c r="K11" s="92"/>
      <c r="L11" s="100"/>
      <c r="M11" s="91"/>
      <c r="N11" s="91"/>
      <c r="O11" s="92"/>
      <c r="P11" s="100"/>
      <c r="Q11" s="91"/>
      <c r="R11" s="91"/>
      <c r="S11" s="92"/>
      <c r="T11" s="100"/>
      <c r="U11" s="91"/>
      <c r="V11" s="91"/>
      <c r="W11" s="92"/>
      <c r="X11" s="100"/>
      <c r="Y11" s="91"/>
      <c r="Z11" s="91"/>
      <c r="AA11" s="92"/>
      <c r="AB11" s="100"/>
      <c r="AC11" s="91"/>
      <c r="AD11" s="91"/>
      <c r="AE11" s="92"/>
      <c r="AF11" s="100"/>
      <c r="AG11" s="91"/>
      <c r="AH11" s="91"/>
      <c r="AI11" s="92"/>
      <c r="AJ11" s="100"/>
      <c r="AK11" s="91"/>
      <c r="AL11" s="91"/>
      <c r="AM11" s="92"/>
      <c r="AN11" s="100"/>
      <c r="AO11" s="91"/>
      <c r="AP11" s="91"/>
      <c r="AQ11" s="92"/>
      <c r="AR11" s="100"/>
      <c r="AS11" s="91"/>
      <c r="AT11" s="91"/>
      <c r="AU11" s="92"/>
      <c r="AV11" s="100"/>
      <c r="AW11" s="91"/>
      <c r="AX11" s="91"/>
      <c r="AY11" s="92"/>
      <c r="AZ11" s="100"/>
      <c r="BA11" s="92"/>
      <c r="BB11" s="91"/>
    </row>
    <row r="12" spans="1:54" ht="12.75" customHeight="1">
      <c r="A12" s="5"/>
      <c r="B12" s="5"/>
      <c r="C12" s="5"/>
      <c r="D12" s="117" t="s">
        <v>152</v>
      </c>
      <c r="E12" s="118" t="s">
        <v>153</v>
      </c>
      <c r="F12" s="118" t="s">
        <v>154</v>
      </c>
      <c r="G12" s="118" t="s">
        <v>155</v>
      </c>
      <c r="H12" s="117" t="s">
        <v>152</v>
      </c>
      <c r="I12" s="118" t="s">
        <v>153</v>
      </c>
      <c r="J12" s="118" t="s">
        <v>154</v>
      </c>
      <c r="K12" s="118" t="s">
        <v>155</v>
      </c>
      <c r="L12" s="117" t="s">
        <v>152</v>
      </c>
      <c r="M12" s="118" t="s">
        <v>153</v>
      </c>
      <c r="N12" s="118" t="s">
        <v>154</v>
      </c>
      <c r="O12" s="118" t="s">
        <v>155</v>
      </c>
      <c r="P12" s="117" t="s">
        <v>152</v>
      </c>
      <c r="Q12" s="118" t="s">
        <v>153</v>
      </c>
      <c r="R12" s="118" t="s">
        <v>154</v>
      </c>
      <c r="S12" s="118" t="s">
        <v>155</v>
      </c>
      <c r="T12" s="117" t="s">
        <v>152</v>
      </c>
      <c r="U12" s="118" t="s">
        <v>153</v>
      </c>
      <c r="V12" s="118" t="s">
        <v>154</v>
      </c>
      <c r="W12" s="118" t="s">
        <v>155</v>
      </c>
      <c r="X12" s="117" t="s">
        <v>152</v>
      </c>
      <c r="Y12" s="118" t="s">
        <v>153</v>
      </c>
      <c r="Z12" s="118" t="s">
        <v>154</v>
      </c>
      <c r="AA12" s="118" t="s">
        <v>155</v>
      </c>
      <c r="AB12" s="117" t="s">
        <v>152</v>
      </c>
      <c r="AC12" s="118" t="s">
        <v>153</v>
      </c>
      <c r="AD12" s="118" t="s">
        <v>154</v>
      </c>
      <c r="AE12" s="118" t="s">
        <v>155</v>
      </c>
      <c r="AF12" s="117" t="s">
        <v>152</v>
      </c>
      <c r="AG12" s="118" t="s">
        <v>153</v>
      </c>
      <c r="AH12" s="118" t="s">
        <v>154</v>
      </c>
      <c r="AI12" s="118" t="s">
        <v>155</v>
      </c>
      <c r="AJ12" s="117" t="s">
        <v>152</v>
      </c>
      <c r="AK12" s="118" t="s">
        <v>153</v>
      </c>
      <c r="AL12" s="118" t="s">
        <v>154</v>
      </c>
      <c r="AM12" s="118" t="s">
        <v>155</v>
      </c>
      <c r="AN12" s="117" t="s">
        <v>152</v>
      </c>
      <c r="AO12" s="118" t="s">
        <v>153</v>
      </c>
      <c r="AP12" s="118" t="s">
        <v>154</v>
      </c>
      <c r="AQ12" s="118" t="s">
        <v>155</v>
      </c>
      <c r="AR12" s="117" t="s">
        <v>152</v>
      </c>
      <c r="AS12" s="118" t="s">
        <v>153</v>
      </c>
      <c r="AT12" s="118" t="s">
        <v>154</v>
      </c>
      <c r="AU12" s="118" t="s">
        <v>155</v>
      </c>
      <c r="AV12" s="117" t="s">
        <v>152</v>
      </c>
      <c r="AW12" s="118" t="s">
        <v>153</v>
      </c>
      <c r="AX12" s="118" t="s">
        <v>154</v>
      </c>
      <c r="AY12" s="118" t="s">
        <v>155</v>
      </c>
      <c r="AZ12" s="100"/>
      <c r="BA12" s="92"/>
      <c r="BB12" s="91"/>
    </row>
    <row r="13" spans="1:54" ht="12.75" customHeight="1">
      <c r="A13" s="89" t="s">
        <v>83</v>
      </c>
      <c r="B13" s="265"/>
      <c r="C13" s="121">
        <f>'Revised PS Model 2014'!AP17</f>
        <v>414524.44999999995</v>
      </c>
      <c r="D13" s="53">
        <v>300</v>
      </c>
      <c r="E13" s="123">
        <f t="shared" ref="E13:E17" si="2">D$8*D13/D$18</f>
        <v>41653.815000000002</v>
      </c>
      <c r="F13" s="124">
        <f>36976.37-35000</f>
        <v>1976.3700000000026</v>
      </c>
      <c r="G13" s="123">
        <f t="shared" ref="G13:G17" si="3">E13-F13</f>
        <v>39677.445</v>
      </c>
      <c r="H13" s="214">
        <v>300</v>
      </c>
      <c r="I13" s="123">
        <f t="shared" ref="I13:I17" si="4">H$8*H13/H$18</f>
        <v>53418.697499999987</v>
      </c>
      <c r="J13" s="124">
        <v>934.15</v>
      </c>
      <c r="K13" s="123">
        <f t="shared" ref="K13:K17" si="5">I13-J13</f>
        <v>52484.547499999986</v>
      </c>
      <c r="L13" s="214">
        <v>300</v>
      </c>
      <c r="M13" s="123">
        <f t="shared" ref="M13:M17" si="6">L$8*L13/L$18</f>
        <v>54368.264999999992</v>
      </c>
      <c r="N13" s="124">
        <v>1499.65</v>
      </c>
      <c r="O13" s="123">
        <f t="shared" ref="O13:O17" si="7">M13-N13</f>
        <v>52868.614999999991</v>
      </c>
      <c r="P13" s="214">
        <v>300</v>
      </c>
      <c r="Q13" s="123">
        <f t="shared" ref="Q13:Q17" si="8">P$8*P13/P$18</f>
        <v>43336.5</v>
      </c>
      <c r="R13" s="124">
        <f>56010.91-55000</f>
        <v>1010.9100000000035</v>
      </c>
      <c r="S13" s="123">
        <f t="shared" ref="S13:S17" si="9">Q13-R13</f>
        <v>42325.59</v>
      </c>
      <c r="T13" s="214">
        <v>300</v>
      </c>
      <c r="U13" s="123">
        <f t="shared" ref="U13:U17" si="10">T$8*T13/T$18</f>
        <v>45278.317499999997</v>
      </c>
      <c r="V13" s="124">
        <v>1223.52</v>
      </c>
      <c r="W13" s="123">
        <f t="shared" ref="W13:W17" si="11">U13-V13</f>
        <v>44054.797500000001</v>
      </c>
      <c r="X13" s="214">
        <v>300</v>
      </c>
      <c r="Y13" s="123">
        <f t="shared" ref="Y13:Y17" si="12">X$8*X13/X$18</f>
        <v>40117.050000000003</v>
      </c>
      <c r="Z13" s="124">
        <v>1177.9000000000001</v>
      </c>
      <c r="AA13" s="123">
        <f t="shared" ref="AA13:AA17" si="13">Y13-Z13</f>
        <v>38939.15</v>
      </c>
      <c r="AB13" s="214">
        <v>300</v>
      </c>
      <c r="AC13" s="123">
        <f t="shared" ref="AC13:AC17" si="14">AB$8*AB13/AB$18</f>
        <v>50399.902499999997</v>
      </c>
      <c r="AD13" s="124">
        <v>1121.06</v>
      </c>
      <c r="AE13" s="123">
        <f t="shared" ref="AE13:AE17" si="15">AC13-AD13</f>
        <v>49278.842499999999</v>
      </c>
      <c r="AF13" s="214">
        <v>300</v>
      </c>
      <c r="AG13" s="123">
        <f t="shared" ref="AG13:AG17" si="16">AF$8*AF13/AF$18</f>
        <v>45849.735000000001</v>
      </c>
      <c r="AH13" s="124">
        <v>4254.09</v>
      </c>
      <c r="AI13" s="123">
        <f t="shared" ref="AI13:AI17" si="17">AG13-AH13</f>
        <v>41595.645000000004</v>
      </c>
      <c r="AJ13" s="214">
        <v>300</v>
      </c>
      <c r="AK13" s="123">
        <f t="shared" ref="AK13:AK17" si="18">AJ$8*AJ13/AJ$18</f>
        <v>61341.7425</v>
      </c>
      <c r="AL13" s="124">
        <v>2057.3200000000002</v>
      </c>
      <c r="AM13" s="123">
        <f t="shared" ref="AM13:AM17" si="19">AK13-AL13</f>
        <v>59284.422500000001</v>
      </c>
      <c r="AN13" s="214">
        <v>300</v>
      </c>
      <c r="AO13" s="123">
        <f t="shared" ref="AO13:AO17" si="20">AN$8*AN13/AN$18</f>
        <v>47993.665116279073</v>
      </c>
      <c r="AP13" s="124">
        <v>1053.26</v>
      </c>
      <c r="AQ13" s="123">
        <f t="shared" ref="AQ13:AQ17" si="21">AO13-AP13</f>
        <v>46940.405116279071</v>
      </c>
      <c r="AR13" s="214">
        <v>300</v>
      </c>
      <c r="AS13" s="123">
        <f t="shared" ref="AS13:AS17" si="22">AR$8*AR13/AR$18</f>
        <v>46336.779069767443</v>
      </c>
      <c r="AT13" s="124">
        <v>2739.41</v>
      </c>
      <c r="AU13" s="123">
        <f t="shared" ref="AU13:AU17" si="23">AS13-AT13</f>
        <v>43597.369069767446</v>
      </c>
      <c r="AV13" s="214">
        <v>300</v>
      </c>
      <c r="AW13" s="123">
        <f t="shared" ref="AW13:AW17" si="24">AV$8*AV13/AV$18</f>
        <v>32635.102325581403</v>
      </c>
      <c r="AX13" s="124">
        <v>1453.92</v>
      </c>
      <c r="AY13" s="126">
        <f t="shared" ref="AY13:AY17" si="25">AW13-AX13</f>
        <v>31181.182325581402</v>
      </c>
      <c r="AZ13" s="127">
        <f t="shared" ref="AZ13:AZ17" si="26">IF(AV$3="1H",AY13,0)+IF(AR$3="1H",AU13,0)+IF(AN$3="1H",AQ13,0)+IF(AJ$3="1H",AM13,0)+IF(AF$3="1H",AI13,0)+IF(AB$3="1H",AE13,0)+IF(X$3="1H",AA13,0)+IF(T$3="1H",W13,0)+IF(P$3="1H",S13,0)+IF(L$3="1H",O13,0)+IF(H$3="1H",K13,0)+IF(D$3="1H",G13,0)</f>
        <v>270350.14499999996</v>
      </c>
      <c r="BA13" s="128">
        <f>AZ13-AZ10+C13</f>
        <v>460874.59499999991</v>
      </c>
      <c r="BB13" s="127">
        <f>AY13+AU13+AQ13+AM13+AI13+AE13+AA13+W13+S13+O13+K13+G13-BB10</f>
        <v>195728.01151162782</v>
      </c>
    </row>
    <row r="14" spans="1:54" ht="12.75" customHeight="1">
      <c r="A14" s="89" t="s">
        <v>209</v>
      </c>
      <c r="B14" s="265"/>
      <c r="C14" s="121">
        <f>'Revised PS Model 2014'!AP18</f>
        <v>-30404.687500000033</v>
      </c>
      <c r="D14" s="53">
        <v>100</v>
      </c>
      <c r="E14" s="123">
        <f t="shared" si="2"/>
        <v>13884.605000000003</v>
      </c>
      <c r="F14" s="124"/>
      <c r="G14" s="123">
        <f t="shared" si="3"/>
        <v>13884.605000000003</v>
      </c>
      <c r="H14" s="214">
        <v>100</v>
      </c>
      <c r="I14" s="123">
        <f t="shared" si="4"/>
        <v>17806.232499999998</v>
      </c>
      <c r="J14" s="124"/>
      <c r="K14" s="123">
        <f t="shared" si="5"/>
        <v>17806.232499999998</v>
      </c>
      <c r="L14" s="214">
        <v>100</v>
      </c>
      <c r="M14" s="123">
        <f t="shared" si="6"/>
        <v>18122.754999999997</v>
      </c>
      <c r="N14" s="124"/>
      <c r="O14" s="123">
        <f t="shared" si="7"/>
        <v>18122.754999999997</v>
      </c>
      <c r="P14" s="214">
        <v>100</v>
      </c>
      <c r="Q14" s="123">
        <f t="shared" si="8"/>
        <v>14445.5</v>
      </c>
      <c r="R14" s="124"/>
      <c r="S14" s="123">
        <f t="shared" si="9"/>
        <v>14445.5</v>
      </c>
      <c r="T14" s="214">
        <v>100</v>
      </c>
      <c r="U14" s="123">
        <f t="shared" si="10"/>
        <v>15092.772499999999</v>
      </c>
      <c r="V14" s="124"/>
      <c r="W14" s="123">
        <f t="shared" si="11"/>
        <v>15092.772499999999</v>
      </c>
      <c r="X14" s="214">
        <v>100</v>
      </c>
      <c r="Y14" s="123">
        <f t="shared" si="12"/>
        <v>13372.35</v>
      </c>
      <c r="Z14" s="124"/>
      <c r="AA14" s="123">
        <f t="shared" si="13"/>
        <v>13372.35</v>
      </c>
      <c r="AB14" s="214">
        <v>100</v>
      </c>
      <c r="AC14" s="123">
        <f t="shared" si="14"/>
        <v>16799.967499999999</v>
      </c>
      <c r="AD14" s="124"/>
      <c r="AE14" s="123">
        <f t="shared" si="15"/>
        <v>16799.967499999999</v>
      </c>
      <c r="AF14" s="214">
        <v>100</v>
      </c>
      <c r="AG14" s="123">
        <f t="shared" si="16"/>
        <v>15283.245000000001</v>
      </c>
      <c r="AH14" s="124"/>
      <c r="AI14" s="123">
        <f t="shared" si="17"/>
        <v>15283.245000000001</v>
      </c>
      <c r="AJ14" s="214">
        <v>100</v>
      </c>
      <c r="AK14" s="123">
        <f t="shared" si="18"/>
        <v>20447.247500000001</v>
      </c>
      <c r="AL14" s="124"/>
      <c r="AM14" s="123">
        <f t="shared" si="19"/>
        <v>20447.247500000001</v>
      </c>
      <c r="AN14" s="214">
        <v>100</v>
      </c>
      <c r="AO14" s="123">
        <f t="shared" si="20"/>
        <v>15997.888372093023</v>
      </c>
      <c r="AP14" s="124"/>
      <c r="AQ14" s="123">
        <f t="shared" si="21"/>
        <v>15997.888372093023</v>
      </c>
      <c r="AR14" s="214">
        <v>100</v>
      </c>
      <c r="AS14" s="123">
        <f t="shared" si="22"/>
        <v>15445.593023255815</v>
      </c>
      <c r="AT14" s="124"/>
      <c r="AU14" s="123">
        <f t="shared" si="23"/>
        <v>15445.593023255815</v>
      </c>
      <c r="AV14" s="214">
        <v>100</v>
      </c>
      <c r="AW14" s="123">
        <f t="shared" si="24"/>
        <v>10878.367441860468</v>
      </c>
      <c r="AX14" s="124">
        <v>157170.91</v>
      </c>
      <c r="AY14" s="126">
        <f t="shared" si="25"/>
        <v>-146292.54255813954</v>
      </c>
      <c r="AZ14" s="127">
        <f t="shared" si="26"/>
        <v>92724.214999999997</v>
      </c>
      <c r="BA14" s="128">
        <f t="shared" ref="BA14:BA17" si="27">AZ14+C14</f>
        <v>62319.527499999967</v>
      </c>
      <c r="BB14" s="127">
        <f t="shared" ref="BB14:BB17" si="28">AY14+AU14+AQ14+AM14+AI14+AE14+AA14+W14+S14+O14+K14+G14</f>
        <v>30405.613837209283</v>
      </c>
    </row>
    <row r="15" spans="1:54" ht="12.75" customHeight="1">
      <c r="A15" s="89" t="s">
        <v>319</v>
      </c>
      <c r="B15" s="265"/>
      <c r="C15" s="121">
        <f>'Revised PS Model 2014'!AP19</f>
        <v>0</v>
      </c>
      <c r="D15" s="53">
        <v>0</v>
      </c>
      <c r="E15" s="123">
        <f t="shared" si="2"/>
        <v>0</v>
      </c>
      <c r="F15" s="124"/>
      <c r="G15" s="123">
        <f t="shared" si="3"/>
        <v>0</v>
      </c>
      <c r="H15" s="214">
        <v>0</v>
      </c>
      <c r="I15" s="123">
        <f t="shared" si="4"/>
        <v>0</v>
      </c>
      <c r="J15" s="124"/>
      <c r="K15" s="123">
        <f t="shared" si="5"/>
        <v>0</v>
      </c>
      <c r="L15" s="214">
        <v>0</v>
      </c>
      <c r="M15" s="123">
        <f t="shared" si="6"/>
        <v>0</v>
      </c>
      <c r="N15" s="124"/>
      <c r="O15" s="123">
        <f t="shared" si="7"/>
        <v>0</v>
      </c>
      <c r="P15" s="214">
        <v>0</v>
      </c>
      <c r="Q15" s="123">
        <f t="shared" si="8"/>
        <v>0</v>
      </c>
      <c r="R15" s="124"/>
      <c r="S15" s="123">
        <f t="shared" si="9"/>
        <v>0</v>
      </c>
      <c r="T15" s="214">
        <v>0</v>
      </c>
      <c r="U15" s="123">
        <f t="shared" si="10"/>
        <v>0</v>
      </c>
      <c r="V15" s="124"/>
      <c r="W15" s="123">
        <f t="shared" si="11"/>
        <v>0</v>
      </c>
      <c r="X15" s="214">
        <v>0</v>
      </c>
      <c r="Y15" s="123">
        <f t="shared" si="12"/>
        <v>0</v>
      </c>
      <c r="Z15" s="124"/>
      <c r="AA15" s="123">
        <f t="shared" si="13"/>
        <v>0</v>
      </c>
      <c r="AB15" s="214">
        <v>0</v>
      </c>
      <c r="AC15" s="123">
        <f t="shared" si="14"/>
        <v>0</v>
      </c>
      <c r="AD15" s="124"/>
      <c r="AE15" s="123">
        <f t="shared" si="15"/>
        <v>0</v>
      </c>
      <c r="AF15" s="214">
        <v>0</v>
      </c>
      <c r="AG15" s="123">
        <f t="shared" si="16"/>
        <v>0</v>
      </c>
      <c r="AH15" s="124"/>
      <c r="AI15" s="123">
        <f t="shared" si="17"/>
        <v>0</v>
      </c>
      <c r="AJ15" s="214">
        <v>0</v>
      </c>
      <c r="AK15" s="123">
        <f t="shared" si="18"/>
        <v>0</v>
      </c>
      <c r="AL15" s="124"/>
      <c r="AM15" s="123">
        <f t="shared" si="19"/>
        <v>0</v>
      </c>
      <c r="AN15" s="214">
        <v>10</v>
      </c>
      <c r="AO15" s="123">
        <f t="shared" si="20"/>
        <v>1599.7888372093023</v>
      </c>
      <c r="AP15" s="124"/>
      <c r="AQ15" s="123">
        <f t="shared" si="21"/>
        <v>1599.7888372093023</v>
      </c>
      <c r="AR15" s="214">
        <v>10</v>
      </c>
      <c r="AS15" s="123">
        <f t="shared" si="22"/>
        <v>1544.5593023255815</v>
      </c>
      <c r="AT15" s="124"/>
      <c r="AU15" s="123">
        <f t="shared" si="23"/>
        <v>1544.5593023255815</v>
      </c>
      <c r="AV15" s="214">
        <v>10</v>
      </c>
      <c r="AW15" s="123">
        <f t="shared" si="24"/>
        <v>1087.8367441860466</v>
      </c>
      <c r="AX15" s="124">
        <v>4232.09</v>
      </c>
      <c r="AY15" s="126">
        <f t="shared" si="25"/>
        <v>-3144.2532558139537</v>
      </c>
      <c r="AZ15" s="127">
        <f t="shared" si="26"/>
        <v>0</v>
      </c>
      <c r="BA15" s="128">
        <f t="shared" si="27"/>
        <v>0</v>
      </c>
      <c r="BB15" s="127">
        <f t="shared" si="28"/>
        <v>9.488372093005637E-2</v>
      </c>
    </row>
    <row r="16" spans="1:54" ht="12.75" customHeight="1">
      <c r="A16" s="89" t="s">
        <v>61</v>
      </c>
      <c r="B16" s="265"/>
      <c r="C16" s="121">
        <f>'Revised PS Model 2014'!AP20</f>
        <v>0</v>
      </c>
      <c r="D16" s="53">
        <v>0</v>
      </c>
      <c r="E16" s="123">
        <f t="shared" si="2"/>
        <v>0</v>
      </c>
      <c r="F16" s="124"/>
      <c r="G16" s="123">
        <f t="shared" si="3"/>
        <v>0</v>
      </c>
      <c r="H16" s="214">
        <v>0</v>
      </c>
      <c r="I16" s="123">
        <f t="shared" si="4"/>
        <v>0</v>
      </c>
      <c r="J16" s="124"/>
      <c r="K16" s="123">
        <f t="shared" si="5"/>
        <v>0</v>
      </c>
      <c r="L16" s="214">
        <v>0</v>
      </c>
      <c r="M16" s="123">
        <f t="shared" si="6"/>
        <v>0</v>
      </c>
      <c r="N16" s="124"/>
      <c r="O16" s="123">
        <f t="shared" si="7"/>
        <v>0</v>
      </c>
      <c r="P16" s="214">
        <v>0</v>
      </c>
      <c r="Q16" s="123">
        <f t="shared" si="8"/>
        <v>0</v>
      </c>
      <c r="R16" s="124"/>
      <c r="S16" s="123">
        <f t="shared" si="9"/>
        <v>0</v>
      </c>
      <c r="T16" s="214">
        <v>0</v>
      </c>
      <c r="U16" s="123">
        <f t="shared" si="10"/>
        <v>0</v>
      </c>
      <c r="V16" s="124"/>
      <c r="W16" s="123">
        <f t="shared" si="11"/>
        <v>0</v>
      </c>
      <c r="X16" s="214">
        <v>0</v>
      </c>
      <c r="Y16" s="123">
        <f t="shared" si="12"/>
        <v>0</v>
      </c>
      <c r="Z16" s="124"/>
      <c r="AA16" s="123">
        <f t="shared" si="13"/>
        <v>0</v>
      </c>
      <c r="AB16" s="214">
        <v>0</v>
      </c>
      <c r="AC16" s="123">
        <f t="shared" si="14"/>
        <v>0</v>
      </c>
      <c r="AD16" s="124"/>
      <c r="AE16" s="123">
        <f t="shared" si="15"/>
        <v>0</v>
      </c>
      <c r="AF16" s="214">
        <v>0</v>
      </c>
      <c r="AG16" s="123">
        <f t="shared" si="16"/>
        <v>0</v>
      </c>
      <c r="AH16" s="124"/>
      <c r="AI16" s="123">
        <f t="shared" si="17"/>
        <v>0</v>
      </c>
      <c r="AJ16" s="214">
        <v>0</v>
      </c>
      <c r="AK16" s="123">
        <f t="shared" si="18"/>
        <v>0</v>
      </c>
      <c r="AL16" s="124"/>
      <c r="AM16" s="123">
        <f t="shared" si="19"/>
        <v>0</v>
      </c>
      <c r="AN16" s="214">
        <v>10</v>
      </c>
      <c r="AO16" s="123">
        <f t="shared" si="20"/>
        <v>1599.7888372093023</v>
      </c>
      <c r="AP16" s="124"/>
      <c r="AQ16" s="123">
        <f t="shared" si="21"/>
        <v>1599.7888372093023</v>
      </c>
      <c r="AR16" s="214">
        <v>10</v>
      </c>
      <c r="AS16" s="123">
        <f t="shared" si="22"/>
        <v>1544.5593023255815</v>
      </c>
      <c r="AT16" s="124"/>
      <c r="AU16" s="123">
        <f t="shared" si="23"/>
        <v>1544.5593023255815</v>
      </c>
      <c r="AV16" s="214">
        <v>10</v>
      </c>
      <c r="AW16" s="123">
        <f t="shared" si="24"/>
        <v>1087.8367441860466</v>
      </c>
      <c r="AX16" s="124">
        <v>4232.09</v>
      </c>
      <c r="AY16" s="126">
        <f t="shared" si="25"/>
        <v>-3144.2532558139537</v>
      </c>
      <c r="AZ16" s="127">
        <f t="shared" si="26"/>
        <v>0</v>
      </c>
      <c r="BA16" s="128">
        <f t="shared" si="27"/>
        <v>0</v>
      </c>
      <c r="BB16" s="127">
        <f t="shared" si="28"/>
        <v>9.488372093005637E-2</v>
      </c>
    </row>
    <row r="17" spans="1:54" ht="12.75" customHeight="1">
      <c r="A17" s="89" t="s">
        <v>65</v>
      </c>
      <c r="B17" s="265"/>
      <c r="C17" s="121">
        <f>'Revised PS Model 2014'!AP21</f>
        <v>0</v>
      </c>
      <c r="D17" s="53">
        <v>0</v>
      </c>
      <c r="E17" s="123">
        <f t="shared" si="2"/>
        <v>0</v>
      </c>
      <c r="F17" s="124"/>
      <c r="G17" s="123">
        <f t="shared" si="3"/>
        <v>0</v>
      </c>
      <c r="H17" s="214">
        <v>0</v>
      </c>
      <c r="I17" s="123">
        <f t="shared" si="4"/>
        <v>0</v>
      </c>
      <c r="J17" s="124"/>
      <c r="K17" s="123">
        <f t="shared" si="5"/>
        <v>0</v>
      </c>
      <c r="L17" s="214">
        <v>0</v>
      </c>
      <c r="M17" s="123">
        <f t="shared" si="6"/>
        <v>0</v>
      </c>
      <c r="N17" s="124"/>
      <c r="O17" s="123">
        <f t="shared" si="7"/>
        <v>0</v>
      </c>
      <c r="P17" s="214">
        <v>0</v>
      </c>
      <c r="Q17" s="123">
        <f t="shared" si="8"/>
        <v>0</v>
      </c>
      <c r="R17" s="124"/>
      <c r="S17" s="123">
        <f t="shared" si="9"/>
        <v>0</v>
      </c>
      <c r="T17" s="214">
        <v>0</v>
      </c>
      <c r="U17" s="123">
        <f t="shared" si="10"/>
        <v>0</v>
      </c>
      <c r="V17" s="124"/>
      <c r="W17" s="123">
        <f t="shared" si="11"/>
        <v>0</v>
      </c>
      <c r="X17" s="214">
        <v>0</v>
      </c>
      <c r="Y17" s="123">
        <f t="shared" si="12"/>
        <v>0</v>
      </c>
      <c r="Z17" s="124"/>
      <c r="AA17" s="123">
        <f t="shared" si="13"/>
        <v>0</v>
      </c>
      <c r="AB17" s="214">
        <v>0</v>
      </c>
      <c r="AC17" s="123">
        <f t="shared" si="14"/>
        <v>0</v>
      </c>
      <c r="AD17" s="124"/>
      <c r="AE17" s="123">
        <f t="shared" si="15"/>
        <v>0</v>
      </c>
      <c r="AF17" s="214">
        <v>0</v>
      </c>
      <c r="AG17" s="123">
        <f t="shared" si="16"/>
        <v>0</v>
      </c>
      <c r="AH17" s="124"/>
      <c r="AI17" s="123">
        <f t="shared" si="17"/>
        <v>0</v>
      </c>
      <c r="AJ17" s="214">
        <v>0</v>
      </c>
      <c r="AK17" s="123">
        <f t="shared" si="18"/>
        <v>0</v>
      </c>
      <c r="AL17" s="124"/>
      <c r="AM17" s="123">
        <f t="shared" si="19"/>
        <v>0</v>
      </c>
      <c r="AN17" s="214">
        <v>10</v>
      </c>
      <c r="AO17" s="123">
        <f t="shared" si="20"/>
        <v>1599.7888372093023</v>
      </c>
      <c r="AP17" s="124"/>
      <c r="AQ17" s="123">
        <f t="shared" si="21"/>
        <v>1599.7888372093023</v>
      </c>
      <c r="AR17" s="214">
        <v>10</v>
      </c>
      <c r="AS17" s="123">
        <f t="shared" si="22"/>
        <v>1544.5593023255815</v>
      </c>
      <c r="AT17" s="124"/>
      <c r="AU17" s="123">
        <f t="shared" si="23"/>
        <v>1544.5593023255815</v>
      </c>
      <c r="AV17" s="214">
        <v>10</v>
      </c>
      <c r="AW17" s="123">
        <f t="shared" si="24"/>
        <v>1087.8367441860466</v>
      </c>
      <c r="AX17" s="124">
        <v>4232.09</v>
      </c>
      <c r="AY17" s="126">
        <f t="shared" si="25"/>
        <v>-3144.2532558139537</v>
      </c>
      <c r="AZ17" s="127">
        <f t="shared" si="26"/>
        <v>0</v>
      </c>
      <c r="BA17" s="128">
        <f t="shared" si="27"/>
        <v>0</v>
      </c>
      <c r="BB17" s="127">
        <f t="shared" si="28"/>
        <v>9.488372093005637E-2</v>
      </c>
    </row>
    <row r="18" spans="1:54" ht="12.75" customHeight="1">
      <c r="A18" s="89"/>
      <c r="C18" s="61"/>
      <c r="D18" s="148">
        <f t="shared" ref="D18:E18" si="29">SUM(D13:D17)</f>
        <v>400</v>
      </c>
      <c r="E18" s="149">
        <f t="shared" si="29"/>
        <v>55538.420000000006</v>
      </c>
      <c r="F18" s="91"/>
      <c r="G18" s="91"/>
      <c r="H18" s="148">
        <f t="shared" ref="H18:I18" si="30">SUM(H13:H17)</f>
        <v>400</v>
      </c>
      <c r="I18" s="149">
        <f t="shared" si="30"/>
        <v>71224.929999999993</v>
      </c>
      <c r="J18" s="91"/>
      <c r="K18" s="91"/>
      <c r="L18" s="148">
        <f t="shared" ref="L18:M18" si="31">SUM(L13:L17)</f>
        <v>400</v>
      </c>
      <c r="M18" s="149">
        <f t="shared" si="31"/>
        <v>72491.01999999999</v>
      </c>
      <c r="N18" s="91"/>
      <c r="O18" s="91"/>
      <c r="P18" s="148">
        <f t="shared" ref="P18:Q18" si="32">SUM(P13:P17)</f>
        <v>400</v>
      </c>
      <c r="Q18" s="149">
        <f t="shared" si="32"/>
        <v>57782</v>
      </c>
      <c r="R18" s="91"/>
      <c r="S18" s="91"/>
      <c r="T18" s="148">
        <f t="shared" ref="T18:U18" si="33">SUM(T13:T17)</f>
        <v>400</v>
      </c>
      <c r="U18" s="149">
        <f t="shared" si="33"/>
        <v>60371.09</v>
      </c>
      <c r="V18" s="91"/>
      <c r="W18" s="91"/>
      <c r="X18" s="148">
        <f t="shared" ref="X18:Y18" si="34">SUM(X13:X17)</f>
        <v>400</v>
      </c>
      <c r="Y18" s="149">
        <f t="shared" si="34"/>
        <v>53489.4</v>
      </c>
      <c r="Z18" s="91"/>
      <c r="AA18" s="91"/>
      <c r="AB18" s="148">
        <f t="shared" ref="AB18:AC18" si="35">SUM(AB13:AB17)</f>
        <v>400</v>
      </c>
      <c r="AC18" s="149">
        <f t="shared" si="35"/>
        <v>67199.87</v>
      </c>
      <c r="AD18" s="91"/>
      <c r="AE18" s="91"/>
      <c r="AF18" s="148">
        <f t="shared" ref="AF18:AG18" si="36">SUM(AF13:AF17)</f>
        <v>400</v>
      </c>
      <c r="AG18" s="149">
        <f t="shared" si="36"/>
        <v>61132.98</v>
      </c>
      <c r="AH18" s="91"/>
      <c r="AI18" s="91"/>
      <c r="AJ18" s="148">
        <f t="shared" ref="AJ18:AK18" si="37">SUM(AJ13:AJ17)</f>
        <v>400</v>
      </c>
      <c r="AK18" s="149">
        <f t="shared" si="37"/>
        <v>81788.990000000005</v>
      </c>
      <c r="AL18" s="91"/>
      <c r="AM18" s="91"/>
      <c r="AN18" s="148">
        <f t="shared" ref="AN18:AO18" si="38">SUM(AN13:AN17)</f>
        <v>430</v>
      </c>
      <c r="AO18" s="149">
        <f t="shared" si="38"/>
        <v>68790.92</v>
      </c>
      <c r="AP18" s="91"/>
      <c r="AQ18" s="91"/>
      <c r="AR18" s="148">
        <f t="shared" ref="AR18:AS18" si="39">SUM(AR13:AR17)</f>
        <v>430</v>
      </c>
      <c r="AS18" s="149">
        <f t="shared" si="39"/>
        <v>66416.05</v>
      </c>
      <c r="AT18" s="91"/>
      <c r="AU18" s="91"/>
      <c r="AV18" s="148">
        <f t="shared" ref="AV18:AW18" si="40">SUM(AV13:AV17)</f>
        <v>430</v>
      </c>
      <c r="AW18" s="149">
        <f t="shared" si="40"/>
        <v>46776.98000000001</v>
      </c>
      <c r="AX18" s="124"/>
      <c r="AY18" s="92"/>
      <c r="AZ18" s="91"/>
      <c r="BA18" s="150"/>
    </row>
    <row r="19" spans="1:54" ht="12.75" customHeight="1">
      <c r="A19" s="89"/>
      <c r="B19" s="5"/>
      <c r="C19" s="61"/>
      <c r="D19" s="100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W19" s="151"/>
      <c r="AX19" s="151"/>
      <c r="AY19" s="92"/>
      <c r="AZ19" s="124"/>
      <c r="BA19" s="61"/>
      <c r="BB19" s="91"/>
    </row>
    <row r="20" spans="1:54" ht="12.75" customHeight="1">
      <c r="A20" s="89"/>
      <c r="B20" s="5"/>
      <c r="C20" s="61"/>
      <c r="D20" s="10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W20" s="151"/>
      <c r="AX20" s="89" t="s">
        <v>83</v>
      </c>
      <c r="AY20" s="92" t="s">
        <v>325</v>
      </c>
      <c r="AZ20" s="90" t="s">
        <v>323</v>
      </c>
      <c r="BA20" s="61"/>
      <c r="BB20" s="91">
        <f t="shared" ref="BB20:BB24" si="41">BB13+C13</f>
        <v>610252.46151162777</v>
      </c>
    </row>
    <row r="21" spans="1:54" ht="12.75" customHeight="1">
      <c r="A21" s="89"/>
      <c r="B21" s="5"/>
      <c r="C21" s="61"/>
      <c r="D21" s="10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W21" s="151"/>
      <c r="AX21" s="89" t="s">
        <v>209</v>
      </c>
      <c r="AY21" s="92" t="s">
        <v>325</v>
      </c>
      <c r="AZ21" s="90">
        <v>0</v>
      </c>
      <c r="BA21" s="61"/>
      <c r="BB21" s="91">
        <f t="shared" si="41"/>
        <v>0.92633720925005036</v>
      </c>
    </row>
    <row r="22" spans="1:54" ht="12.75" customHeight="1">
      <c r="A22" s="89"/>
      <c r="B22" s="5"/>
      <c r="C22" s="61"/>
      <c r="D22" s="10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W22" s="151"/>
      <c r="AX22" s="89" t="s">
        <v>319</v>
      </c>
      <c r="AY22" s="92" t="s">
        <v>325</v>
      </c>
      <c r="AZ22" s="90">
        <v>0</v>
      </c>
      <c r="BA22" s="61"/>
      <c r="BB22" s="91">
        <f t="shared" si="41"/>
        <v>9.488372093005637E-2</v>
      </c>
    </row>
    <row r="23" spans="1:54" ht="12.75" customHeight="1">
      <c r="A23" s="89"/>
      <c r="B23" s="5"/>
      <c r="C23" s="61"/>
      <c r="D23" s="100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W23" s="151"/>
      <c r="AX23" s="89" t="s">
        <v>61</v>
      </c>
      <c r="AY23" s="92" t="s">
        <v>325</v>
      </c>
      <c r="AZ23" s="90">
        <v>0</v>
      </c>
      <c r="BA23" s="61"/>
      <c r="BB23" s="91">
        <f t="shared" si="41"/>
        <v>9.488372093005637E-2</v>
      </c>
    </row>
    <row r="24" spans="1:54" ht="12.75" customHeight="1">
      <c r="A24" s="89"/>
      <c r="B24" s="5"/>
      <c r="C24" s="61"/>
      <c r="D24" s="10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W24" s="151"/>
      <c r="AX24" s="89" t="s">
        <v>65</v>
      </c>
      <c r="AY24" s="92" t="s">
        <v>325</v>
      </c>
      <c r="AZ24" s="90">
        <v>0</v>
      </c>
      <c r="BA24" s="61"/>
      <c r="BB24" s="91">
        <f t="shared" si="41"/>
        <v>9.488372093005637E-2</v>
      </c>
    </row>
    <row r="25" spans="1:54" ht="12.75" customHeight="1">
      <c r="A25" s="89"/>
      <c r="C25" s="61"/>
      <c r="D25" s="62"/>
      <c r="BA25" s="91"/>
      <c r="BB25" s="91"/>
    </row>
    <row r="26" spans="1:54" ht="12.75" customHeight="1">
      <c r="A26" s="89"/>
      <c r="C26" s="61"/>
      <c r="D26" s="62"/>
      <c r="AZ26" s="230"/>
      <c r="BA26" s="91"/>
      <c r="BB26" s="91"/>
    </row>
    <row r="27" spans="1:54" ht="12.75" customHeight="1">
      <c r="A27" s="89"/>
      <c r="C27" s="61"/>
      <c r="D27" s="62"/>
      <c r="AZ27" s="152"/>
      <c r="BA27" s="91"/>
      <c r="BB27" s="91"/>
    </row>
    <row r="28" spans="1:54" ht="12.75" customHeight="1">
      <c r="A28" s="89" t="s">
        <v>201</v>
      </c>
      <c r="C28" s="61"/>
      <c r="D28" s="62"/>
      <c r="AN28" s="1" t="s">
        <v>148</v>
      </c>
      <c r="AZ28" s="152"/>
      <c r="BA28" s="91"/>
      <c r="BB28" s="91"/>
    </row>
    <row r="29" spans="1:54" ht="12.75" customHeight="1">
      <c r="A29" s="89"/>
      <c r="C29" s="61"/>
      <c r="D29" s="62"/>
      <c r="BA29" s="91"/>
    </row>
    <row r="30" spans="1:54" ht="12.75" customHeight="1">
      <c r="A30" s="89"/>
      <c r="C30" s="61"/>
      <c r="D30" s="62"/>
    </row>
    <row r="31" spans="1:54" ht="12.75" customHeight="1">
      <c r="A31" s="89"/>
      <c r="C31" s="61"/>
      <c r="D31" s="62"/>
    </row>
    <row r="32" spans="1:54" ht="12.75" customHeight="1">
      <c r="A32" s="89"/>
      <c r="C32" s="61"/>
      <c r="D32" s="62"/>
    </row>
    <row r="33" spans="1:4" ht="12.75" customHeight="1">
      <c r="A33" s="89"/>
      <c r="C33" s="61"/>
      <c r="D33" s="62"/>
    </row>
    <row r="34" spans="1:4" ht="12.75" customHeight="1">
      <c r="A34" s="89"/>
      <c r="C34" s="61"/>
      <c r="D34" s="62"/>
    </row>
    <row r="35" spans="1:4" ht="12.75" customHeight="1">
      <c r="A35" s="89"/>
      <c r="C35" s="61"/>
      <c r="D35" s="62"/>
    </row>
    <row r="36" spans="1:4" ht="12.75" customHeight="1">
      <c r="A36" s="89"/>
      <c r="C36" s="61"/>
      <c r="D36" s="62"/>
    </row>
    <row r="37" spans="1:4" ht="12.75" customHeight="1">
      <c r="A37" s="89"/>
      <c r="C37" s="61"/>
      <c r="D37" s="62"/>
    </row>
    <row r="38" spans="1:4" ht="12.75" customHeight="1">
      <c r="A38" s="89"/>
      <c r="C38" s="61"/>
      <c r="D38" s="62"/>
    </row>
    <row r="39" spans="1:4" ht="12.75" customHeight="1">
      <c r="A39" s="89"/>
      <c r="C39" s="61"/>
      <c r="D39" s="62"/>
    </row>
    <row r="40" spans="1:4" ht="12.75" customHeight="1">
      <c r="A40" s="89"/>
      <c r="C40" s="61"/>
      <c r="D40" s="62"/>
    </row>
    <row r="41" spans="1:4" ht="12.75" customHeight="1">
      <c r="A41" s="89"/>
      <c r="C41" s="61"/>
      <c r="D41" s="6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P34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4" width="15.1640625" customWidth="1"/>
    <col min="5" max="5" width="8.6640625" customWidth="1"/>
    <col min="6" max="7" width="15.1640625" customWidth="1"/>
    <col min="8" max="8" width="11" customWidth="1"/>
    <col min="9" max="10" width="15.1640625" customWidth="1"/>
    <col min="11" max="11" width="9.33203125" customWidth="1"/>
    <col min="12" max="13" width="15.1640625" customWidth="1"/>
    <col min="14" max="14" width="11.1640625" customWidth="1"/>
    <col min="15" max="37" width="15.1640625" customWidth="1"/>
    <col min="38" max="38" width="10.5" customWidth="1"/>
    <col min="39" max="39" width="10.83203125" customWidth="1"/>
    <col min="40" max="42" width="15.1640625" customWidth="1"/>
  </cols>
  <sheetData>
    <row r="1" spans="1:42" ht="12.75" customHeight="1">
      <c r="A1" s="5" t="s">
        <v>148</v>
      </c>
      <c r="C1" s="61" t="s">
        <v>131</v>
      </c>
      <c r="D1" s="59">
        <v>41670</v>
      </c>
      <c r="E1" s="60"/>
      <c r="F1" s="61"/>
      <c r="G1" s="59">
        <v>41698</v>
      </c>
      <c r="H1" s="60"/>
      <c r="I1" s="61"/>
      <c r="J1" s="59">
        <v>41729</v>
      </c>
      <c r="K1" s="60"/>
      <c r="L1" s="61"/>
      <c r="M1" s="59">
        <v>41759</v>
      </c>
      <c r="N1" s="60"/>
      <c r="O1" s="61"/>
      <c r="P1" s="59">
        <v>41790</v>
      </c>
      <c r="Q1" s="60"/>
      <c r="R1" s="61"/>
      <c r="S1" s="59">
        <v>41820</v>
      </c>
      <c r="T1" s="60"/>
      <c r="U1" s="61"/>
      <c r="V1" s="59">
        <v>41851</v>
      </c>
      <c r="W1" s="60"/>
      <c r="X1" s="61"/>
      <c r="Y1" s="59">
        <v>41882</v>
      </c>
      <c r="Z1" s="60"/>
      <c r="AA1" s="61"/>
      <c r="AB1" s="59">
        <v>41912</v>
      </c>
      <c r="AC1" s="60"/>
      <c r="AD1" s="61"/>
      <c r="AE1" s="59">
        <v>41943</v>
      </c>
      <c r="AF1" s="60"/>
      <c r="AG1" s="61"/>
      <c r="AH1" s="59">
        <v>41973</v>
      </c>
      <c r="AI1" s="60"/>
      <c r="AJ1" s="61"/>
      <c r="AK1" s="59">
        <v>42004</v>
      </c>
      <c r="AL1" s="60"/>
      <c r="AN1" s="61"/>
      <c r="AO1" s="62"/>
    </row>
    <row r="2" spans="1:42" ht="12.75" customHeight="1">
      <c r="A2" s="5"/>
      <c r="C2" s="61"/>
      <c r="D2" s="62">
        <f>YEAR(D1)</f>
        <v>2014</v>
      </c>
      <c r="F2" s="61"/>
      <c r="G2" s="62">
        <f>YEAR(G1)</f>
        <v>2014</v>
      </c>
      <c r="I2" s="61"/>
      <c r="J2" s="62">
        <f>YEAR(J1)</f>
        <v>2014</v>
      </c>
      <c r="L2" s="61"/>
      <c r="M2" s="62">
        <f>YEAR(M1)</f>
        <v>2014</v>
      </c>
      <c r="O2" s="61"/>
      <c r="P2" s="62">
        <f>YEAR(P1)</f>
        <v>2014</v>
      </c>
      <c r="R2" s="61"/>
      <c r="S2" s="62">
        <f>YEAR(S1)</f>
        <v>2014</v>
      </c>
      <c r="U2" s="61"/>
      <c r="V2" s="62">
        <f>YEAR(V1)</f>
        <v>2014</v>
      </c>
      <c r="X2" s="61"/>
      <c r="Y2" s="62">
        <f>YEAR(Y1)</f>
        <v>2014</v>
      </c>
      <c r="AA2" s="61"/>
      <c r="AB2" s="62">
        <f>YEAR(AB1)</f>
        <v>2014</v>
      </c>
      <c r="AD2" s="61"/>
      <c r="AE2" s="62">
        <f>YEAR(AE1)</f>
        <v>2014</v>
      </c>
      <c r="AG2" s="61"/>
      <c r="AH2" s="62">
        <f>YEAR(AH1)</f>
        <v>2014</v>
      </c>
      <c r="AJ2" s="61"/>
      <c r="AK2" s="62">
        <f>YEAR(AK1)</f>
        <v>2014</v>
      </c>
      <c r="AM2" s="61"/>
      <c r="AN2" s="286" t="s">
        <v>247</v>
      </c>
      <c r="AO2" s="287"/>
      <c r="AP2" s="288">
        <v>2014</v>
      </c>
    </row>
    <row r="3" spans="1:42" ht="12.75" customHeight="1">
      <c r="A3" s="5"/>
      <c r="C3" s="61"/>
      <c r="D3" s="69" t="str">
        <f>IF(MONTH(D1)&lt;7,"1H","2H")</f>
        <v>1H</v>
      </c>
      <c r="F3" s="61"/>
      <c r="G3" s="69" t="str">
        <f>IF(MONTH(G1)&lt;7,"1H","2H")</f>
        <v>1H</v>
      </c>
      <c r="I3" s="61"/>
      <c r="J3" s="69" t="str">
        <f>IF(MONTH(J1)&lt;7,"1H","2H")</f>
        <v>1H</v>
      </c>
      <c r="L3" s="61"/>
      <c r="M3" s="69" t="str">
        <f>IF(MONTH(M1)&lt;7,"1H","2H")</f>
        <v>1H</v>
      </c>
      <c r="O3" s="61"/>
      <c r="P3" s="69" t="str">
        <f>IF(MONTH(P1)&lt;7,"1H","2H")</f>
        <v>1H</v>
      </c>
      <c r="R3" s="61"/>
      <c r="S3" s="69" t="str">
        <f>IF(MONTH(S1)&lt;7,"1H","2H")</f>
        <v>1H</v>
      </c>
      <c r="U3" s="61"/>
      <c r="V3" s="69" t="str">
        <f>IF(MONTH(V1)&lt;7,"1H","2H")</f>
        <v>2H</v>
      </c>
      <c r="X3" s="61"/>
      <c r="Y3" s="69" t="str">
        <f>IF(MONTH(Y1)&lt;7,"1H","2H")</f>
        <v>2H</v>
      </c>
      <c r="AA3" s="61"/>
      <c r="AB3" s="69" t="str">
        <f>IF(MONTH(AB1)&lt;7,"1H","2H")</f>
        <v>2H</v>
      </c>
      <c r="AD3" s="61"/>
      <c r="AE3" s="69" t="str">
        <f>IF(MONTH(AE1)&lt;7,"1H","2H")</f>
        <v>2H</v>
      </c>
      <c r="AG3" s="61"/>
      <c r="AH3" s="69" t="str">
        <f>IF(MONTH(AH1)&lt;7,"1H","2H")</f>
        <v>2H</v>
      </c>
      <c r="AJ3" s="61"/>
      <c r="AK3" s="69" t="str">
        <f>IF(MONTH(AK1)&lt;7,"1H","2H")</f>
        <v>2H</v>
      </c>
      <c r="AM3" s="61"/>
      <c r="AN3" s="289"/>
      <c r="AO3" s="287"/>
      <c r="AP3" s="290"/>
    </row>
    <row r="4" spans="1:42" ht="12.75" customHeight="1">
      <c r="A4" s="89" t="s">
        <v>136</v>
      </c>
      <c r="C4" s="61"/>
      <c r="D4" s="90">
        <v>59257.599999999999</v>
      </c>
      <c r="E4" s="91"/>
      <c r="F4" s="92"/>
      <c r="G4" s="90">
        <v>58994.81</v>
      </c>
      <c r="H4" s="91"/>
      <c r="I4" s="92"/>
      <c r="J4" s="90">
        <v>59954.97</v>
      </c>
      <c r="K4" s="91"/>
      <c r="L4" s="92"/>
      <c r="M4" s="90">
        <v>50668.15</v>
      </c>
      <c r="N4" s="91"/>
      <c r="O4" s="92"/>
      <c r="P4" s="90">
        <v>54538.55</v>
      </c>
      <c r="Q4" s="91"/>
      <c r="R4" s="92"/>
      <c r="S4" s="90">
        <v>39173.75</v>
      </c>
      <c r="T4" s="91"/>
      <c r="U4" s="92"/>
      <c r="V4" s="90">
        <v>55237.15</v>
      </c>
      <c r="W4" s="91"/>
      <c r="X4" s="92"/>
      <c r="Y4" s="90">
        <v>43029.64</v>
      </c>
      <c r="Z4" s="91"/>
      <c r="AA4" s="92"/>
      <c r="AB4" s="90">
        <v>-60766.38</v>
      </c>
      <c r="AC4" s="91"/>
      <c r="AD4" s="92"/>
      <c r="AE4" s="90">
        <v>71476.22</v>
      </c>
      <c r="AF4" s="91"/>
      <c r="AG4" s="92"/>
      <c r="AH4" s="90">
        <v>61981.14</v>
      </c>
      <c r="AI4" s="91"/>
      <c r="AJ4" s="92"/>
      <c r="AK4" s="90">
        <v>40000</v>
      </c>
      <c r="AL4" s="151" t="s">
        <v>341</v>
      </c>
      <c r="AM4" s="92"/>
      <c r="AN4" s="93">
        <f t="shared" ref="AN4:AN10" si="0">SUMIF($D$3:$AM$3,"=1H",$D4:$AM4)</f>
        <v>322587.83</v>
      </c>
      <c r="AO4" s="91"/>
      <c r="AP4" s="94">
        <f t="shared" ref="AP4:AP10" si="1">SUMIF($D$2:$AM$2,$AP$2,$D4:$AM4)</f>
        <v>533545.60000000009</v>
      </c>
    </row>
    <row r="5" spans="1:42" ht="12.75" customHeight="1">
      <c r="A5" s="89" t="s">
        <v>138</v>
      </c>
      <c r="C5" s="61"/>
      <c r="D5" s="90">
        <v>0</v>
      </c>
      <c r="E5" s="91"/>
      <c r="F5" s="92"/>
      <c r="G5" s="90">
        <v>0</v>
      </c>
      <c r="H5" s="91"/>
      <c r="I5" s="92"/>
      <c r="J5" s="90">
        <v>0</v>
      </c>
      <c r="K5" s="91"/>
      <c r="L5" s="92"/>
      <c r="M5" s="90"/>
      <c r="N5" s="91"/>
      <c r="O5" s="92"/>
      <c r="P5" s="90"/>
      <c r="Q5" s="91"/>
      <c r="R5" s="92"/>
      <c r="S5" s="90"/>
      <c r="T5" s="91"/>
      <c r="U5" s="92"/>
      <c r="V5" s="90"/>
      <c r="W5" s="91"/>
      <c r="X5" s="92"/>
      <c r="Y5" s="90"/>
      <c r="Z5" s="91"/>
      <c r="AA5" s="92"/>
      <c r="AB5" s="90"/>
      <c r="AC5" s="91"/>
      <c r="AD5" s="92"/>
      <c r="AE5" s="90"/>
      <c r="AF5" s="91"/>
      <c r="AG5" s="92"/>
      <c r="AH5" s="90"/>
      <c r="AI5" s="91"/>
      <c r="AJ5" s="92"/>
      <c r="AK5" s="90"/>
      <c r="AL5" s="91"/>
      <c r="AM5" s="92"/>
      <c r="AN5" s="93">
        <f t="shared" si="0"/>
        <v>0</v>
      </c>
      <c r="AO5" s="91"/>
      <c r="AP5" s="94">
        <f t="shared" si="1"/>
        <v>0</v>
      </c>
    </row>
    <row r="6" spans="1:42" ht="12.75" customHeight="1">
      <c r="A6" s="89" t="s">
        <v>143</v>
      </c>
      <c r="B6" s="99">
        <v>12500</v>
      </c>
      <c r="C6" s="61"/>
      <c r="D6" s="100">
        <f>'PS Model 2014'!ColinSalary</f>
        <v>12500</v>
      </c>
      <c r="E6" s="91"/>
      <c r="F6" s="92"/>
      <c r="G6" s="100">
        <f>'PS Model 2014'!ColinSalary</f>
        <v>12500</v>
      </c>
      <c r="H6" s="91"/>
      <c r="I6" s="92"/>
      <c r="J6" s="100">
        <f>'PS Model 2014'!ColinSalary</f>
        <v>12500</v>
      </c>
      <c r="K6" s="91"/>
      <c r="L6" s="92"/>
      <c r="M6" s="100">
        <f>'PS Model 2014'!ColinSalary</f>
        <v>12500</v>
      </c>
      <c r="N6" s="91"/>
      <c r="O6" s="92"/>
      <c r="P6" s="100">
        <f>'PS Model 2014'!ColinSalary</f>
        <v>12500</v>
      </c>
      <c r="Q6" s="91"/>
      <c r="R6" s="92"/>
      <c r="S6" s="100">
        <f>'PS Model 2014'!ColinSalary</f>
        <v>12500</v>
      </c>
      <c r="T6" s="91"/>
      <c r="U6" s="92"/>
      <c r="V6" s="100">
        <f>'PS Model 2014'!ColinSalary</f>
        <v>12500</v>
      </c>
      <c r="W6" s="91"/>
      <c r="X6" s="92"/>
      <c r="Y6" s="100">
        <f>'PS Model 2014'!ColinSalary</f>
        <v>12500</v>
      </c>
      <c r="Z6" s="91"/>
      <c r="AA6" s="92"/>
      <c r="AB6" s="100">
        <f>'PS Model 2014'!ColinSalary</f>
        <v>12500</v>
      </c>
      <c r="AC6" s="91"/>
      <c r="AD6" s="92"/>
      <c r="AE6" s="100">
        <f>'PS Model 2014'!ColinSalary</f>
        <v>12500</v>
      </c>
      <c r="AF6" s="91"/>
      <c r="AG6" s="92"/>
      <c r="AH6" s="100">
        <f>'PS Model 2014'!ColinSalary</f>
        <v>12500</v>
      </c>
      <c r="AI6" s="91"/>
      <c r="AJ6" s="92"/>
      <c r="AK6" s="100">
        <f>'PS Model 2014'!ColinSalary</f>
        <v>12500</v>
      </c>
      <c r="AL6" s="91"/>
      <c r="AM6" s="92"/>
      <c r="AN6" s="93">
        <f t="shared" si="0"/>
        <v>75000</v>
      </c>
      <c r="AO6" s="91"/>
      <c r="AP6" s="94">
        <f t="shared" si="1"/>
        <v>150000</v>
      </c>
    </row>
    <row r="7" spans="1:42" ht="12.75" customHeight="1">
      <c r="A7" s="89" t="s">
        <v>334</v>
      </c>
      <c r="B7" s="101"/>
      <c r="C7" s="102"/>
      <c r="D7" s="104">
        <f>SUM(E13:E14)</f>
        <v>158412.34</v>
      </c>
      <c r="E7" s="91"/>
      <c r="F7" s="92"/>
      <c r="G7" s="104">
        <f>SUM(H13:H14)</f>
        <v>3685.39</v>
      </c>
      <c r="H7" s="91"/>
      <c r="I7" s="92"/>
      <c r="J7" s="104">
        <f>SUM(K13:K14)</f>
        <v>1574.94</v>
      </c>
      <c r="K7" s="91"/>
      <c r="L7" s="92"/>
      <c r="M7" s="104">
        <f>SUM(N13:N14)</f>
        <v>1417.6</v>
      </c>
      <c r="N7" s="91"/>
      <c r="O7" s="92"/>
      <c r="P7" s="104">
        <f>SUM(Q13:Q14)</f>
        <v>1315.83</v>
      </c>
      <c r="Q7" s="91"/>
      <c r="R7" s="92"/>
      <c r="S7" s="104">
        <f>SUM(T13:T14)</f>
        <v>39207.58</v>
      </c>
      <c r="T7" s="91"/>
      <c r="U7" s="92"/>
      <c r="V7" s="104">
        <f>SUM(W13:W14)</f>
        <v>542.6</v>
      </c>
      <c r="W7" s="91"/>
      <c r="X7" s="92"/>
      <c r="Y7" s="104">
        <f>SUM(Z13:Z14)</f>
        <v>2738.47</v>
      </c>
      <c r="Z7" s="91"/>
      <c r="AA7" s="92"/>
      <c r="AB7" s="104">
        <f>SUM(AC13:AC14)</f>
        <v>129734.48</v>
      </c>
      <c r="AC7" s="91"/>
      <c r="AD7" s="92"/>
      <c r="AE7" s="104">
        <f>SUM(AF13:AF14)</f>
        <v>746.25</v>
      </c>
      <c r="AF7" s="91"/>
      <c r="AG7" s="92"/>
      <c r="AH7" s="104">
        <f>SUM(AI13:AI14)</f>
        <v>1678.08</v>
      </c>
      <c r="AI7" s="91"/>
      <c r="AJ7" s="92"/>
      <c r="AK7" s="104">
        <f>SUM(AL13:AL14)</f>
        <v>1915.49</v>
      </c>
      <c r="AL7" s="91"/>
      <c r="AM7" s="92"/>
      <c r="AN7" s="93">
        <f t="shared" si="0"/>
        <v>205613.68</v>
      </c>
      <c r="AO7" s="91"/>
      <c r="AP7" s="94">
        <f t="shared" si="1"/>
        <v>342969.05</v>
      </c>
    </row>
    <row r="8" spans="1:42" ht="12.75" customHeight="1">
      <c r="A8" s="89" t="s">
        <v>335</v>
      </c>
      <c r="C8" s="61"/>
      <c r="D8" s="104">
        <f>D4-D5-D6+D7</f>
        <v>205169.94</v>
      </c>
      <c r="E8" s="91"/>
      <c r="F8" s="92"/>
      <c r="G8" s="104">
        <f>G4-G5-G6+G7</f>
        <v>50180.2</v>
      </c>
      <c r="H8" s="91"/>
      <c r="I8" s="92"/>
      <c r="J8" s="104">
        <f>J4-J5-J6+J7</f>
        <v>49029.91</v>
      </c>
      <c r="K8" s="91"/>
      <c r="L8" s="92"/>
      <c r="M8" s="104">
        <f>M4-M5-M6+M7</f>
        <v>39585.75</v>
      </c>
      <c r="N8" s="91"/>
      <c r="O8" s="92"/>
      <c r="P8" s="104">
        <f>P4-P5-P6+P7</f>
        <v>43354.380000000005</v>
      </c>
      <c r="Q8" s="91"/>
      <c r="R8" s="92"/>
      <c r="S8" s="104">
        <f>S4-S5-S6+S7</f>
        <v>65881.33</v>
      </c>
      <c r="T8" s="91"/>
      <c r="U8" s="92"/>
      <c r="V8" s="104">
        <f>V4-V5-V6+V7</f>
        <v>43279.75</v>
      </c>
      <c r="W8" s="91"/>
      <c r="X8" s="92"/>
      <c r="Y8" s="104">
        <f>Y4-Y5-Y6+Y7</f>
        <v>33268.11</v>
      </c>
      <c r="Z8" s="91"/>
      <c r="AA8" s="92"/>
      <c r="AB8" s="104">
        <f>AB4-AB5-AB6+AB7</f>
        <v>56468.099999999991</v>
      </c>
      <c r="AC8" s="91"/>
      <c r="AD8" s="92"/>
      <c r="AE8" s="104">
        <f>AE4-AE5-AE6+AE7</f>
        <v>59722.47</v>
      </c>
      <c r="AF8" s="91"/>
      <c r="AG8" s="92"/>
      <c r="AH8" s="104">
        <f>AH4-AH5-AH6+AH7</f>
        <v>51159.22</v>
      </c>
      <c r="AI8" s="91"/>
      <c r="AJ8" s="92"/>
      <c r="AK8" s="104">
        <f>AK4-AK5-AK6+AK7</f>
        <v>29415.49</v>
      </c>
      <c r="AL8" s="91"/>
      <c r="AM8" s="92"/>
      <c r="AN8" s="93">
        <f t="shared" si="0"/>
        <v>453201.51000000007</v>
      </c>
      <c r="AO8" s="91"/>
      <c r="AP8" s="94">
        <f t="shared" si="1"/>
        <v>726514.65</v>
      </c>
    </row>
    <row r="9" spans="1:42" ht="12.75" customHeight="1">
      <c r="A9" s="89" t="s">
        <v>324</v>
      </c>
      <c r="C9" s="61"/>
      <c r="D9" s="90">
        <v>20000</v>
      </c>
      <c r="E9" s="91"/>
      <c r="F9" s="92"/>
      <c r="G9" s="90">
        <v>15500</v>
      </c>
      <c r="H9" s="91"/>
      <c r="I9" s="92"/>
      <c r="J9" s="90">
        <v>12500</v>
      </c>
      <c r="K9" s="91"/>
      <c r="L9" s="92"/>
      <c r="M9" s="90">
        <v>52500</v>
      </c>
      <c r="N9" s="91"/>
      <c r="O9" s="92"/>
      <c r="P9" s="90">
        <v>12500</v>
      </c>
      <c r="Q9" s="91"/>
      <c r="R9" s="92"/>
      <c r="S9" s="90">
        <v>12500</v>
      </c>
      <c r="T9" s="91"/>
      <c r="U9" s="92"/>
      <c r="V9" s="90">
        <v>12500</v>
      </c>
      <c r="W9" s="91"/>
      <c r="X9" s="92"/>
      <c r="Y9" s="90">
        <v>12500</v>
      </c>
      <c r="Z9" s="91"/>
      <c r="AA9" s="92"/>
      <c r="AB9" s="90">
        <v>0</v>
      </c>
      <c r="AC9" s="91"/>
      <c r="AD9" s="92"/>
      <c r="AE9" s="90">
        <v>12500</v>
      </c>
      <c r="AF9" s="91"/>
      <c r="AG9" s="92"/>
      <c r="AH9" s="90">
        <v>37500</v>
      </c>
      <c r="AI9" s="91"/>
      <c r="AJ9" s="92"/>
      <c r="AK9" s="90">
        <v>12500</v>
      </c>
      <c r="AL9" s="91"/>
      <c r="AM9" s="92"/>
      <c r="AN9" s="93">
        <f t="shared" si="0"/>
        <v>125500</v>
      </c>
      <c r="AO9" s="91"/>
      <c r="AP9" s="94">
        <f t="shared" si="1"/>
        <v>213000</v>
      </c>
    </row>
    <row r="10" spans="1:42" ht="12.75" customHeight="1">
      <c r="A10" s="5" t="s">
        <v>151</v>
      </c>
      <c r="C10" s="61"/>
      <c r="D10" s="100">
        <f>D9-D6</f>
        <v>7500</v>
      </c>
      <c r="E10" s="91"/>
      <c r="F10" s="92"/>
      <c r="G10" s="100">
        <f>G9-G6</f>
        <v>3000</v>
      </c>
      <c r="H10" s="91"/>
      <c r="I10" s="92"/>
      <c r="J10" s="100">
        <f>J9-J6</f>
        <v>0</v>
      </c>
      <c r="K10" s="91"/>
      <c r="L10" s="92"/>
      <c r="M10" s="100">
        <f>M9-M6</f>
        <v>40000</v>
      </c>
      <c r="N10" s="91"/>
      <c r="O10" s="92"/>
      <c r="P10" s="100">
        <f>P9-P6</f>
        <v>0</v>
      </c>
      <c r="Q10" s="91"/>
      <c r="R10" s="92"/>
      <c r="S10" s="100">
        <f>S9-S6</f>
        <v>0</v>
      </c>
      <c r="T10" s="91"/>
      <c r="U10" s="92"/>
      <c r="V10" s="100">
        <f>V9-V6</f>
        <v>0</v>
      </c>
      <c r="W10" s="91"/>
      <c r="X10" s="92"/>
      <c r="Y10" s="100">
        <f>Y9-Y6</f>
        <v>0</v>
      </c>
      <c r="Z10" s="91"/>
      <c r="AA10" s="92"/>
      <c r="AB10" s="100">
        <f>AB9-AB6</f>
        <v>-12500</v>
      </c>
      <c r="AC10" s="91"/>
      <c r="AD10" s="92"/>
      <c r="AE10" s="100">
        <f>AE9-AE6</f>
        <v>0</v>
      </c>
      <c r="AF10" s="91"/>
      <c r="AG10" s="92"/>
      <c r="AH10" s="100">
        <f>AH9-AH6</f>
        <v>25000</v>
      </c>
      <c r="AI10" s="91"/>
      <c r="AJ10" s="92"/>
      <c r="AK10" s="100">
        <f>AK9-AK6</f>
        <v>0</v>
      </c>
      <c r="AL10" s="91"/>
      <c r="AM10" s="92"/>
      <c r="AN10" s="93">
        <f t="shared" si="0"/>
        <v>50500</v>
      </c>
      <c r="AO10" s="91"/>
      <c r="AP10" s="94">
        <f t="shared" si="1"/>
        <v>63000</v>
      </c>
    </row>
    <row r="11" spans="1:42" ht="12.75" customHeight="1">
      <c r="A11" s="5"/>
      <c r="C11" s="61"/>
      <c r="D11" s="100"/>
      <c r="E11" s="91"/>
      <c r="F11" s="92"/>
      <c r="G11" s="100"/>
      <c r="H11" s="91"/>
      <c r="I11" s="92"/>
      <c r="J11" s="100"/>
      <c r="K11" s="91"/>
      <c r="L11" s="92"/>
      <c r="M11" s="100"/>
      <c r="N11" s="91"/>
      <c r="O11" s="92"/>
      <c r="P11" s="100"/>
      <c r="Q11" s="91"/>
      <c r="R11" s="92"/>
      <c r="S11" s="100"/>
      <c r="T11" s="91"/>
      <c r="U11" s="92"/>
      <c r="V11" s="100"/>
      <c r="W11" s="91"/>
      <c r="X11" s="92"/>
      <c r="Y11" s="100"/>
      <c r="Z11" s="91"/>
      <c r="AA11" s="92"/>
      <c r="AB11" s="100"/>
      <c r="AC11" s="91"/>
      <c r="AD11" s="92"/>
      <c r="AE11" s="100"/>
      <c r="AF11" s="91"/>
      <c r="AG11" s="92"/>
      <c r="AH11" s="100"/>
      <c r="AI11" s="91"/>
      <c r="AJ11" s="92"/>
      <c r="AK11" s="100"/>
      <c r="AL11" s="91"/>
      <c r="AM11" s="92"/>
      <c r="AN11" s="100"/>
      <c r="AO11" s="91"/>
      <c r="AP11" s="91"/>
    </row>
    <row r="12" spans="1:42" ht="12.75" customHeight="1">
      <c r="A12" s="5"/>
      <c r="B12" s="5">
        <f>SUM(B13:B14)</f>
        <v>40</v>
      </c>
      <c r="C12" s="291"/>
      <c r="D12" s="292" t="s">
        <v>153</v>
      </c>
      <c r="E12" s="118" t="s">
        <v>154</v>
      </c>
      <c r="F12" s="293" t="s">
        <v>155</v>
      </c>
      <c r="G12" s="292" t="s">
        <v>153</v>
      </c>
      <c r="H12" s="118" t="s">
        <v>154</v>
      </c>
      <c r="I12" s="293" t="s">
        <v>155</v>
      </c>
      <c r="J12" s="292" t="s">
        <v>153</v>
      </c>
      <c r="K12" s="118" t="s">
        <v>154</v>
      </c>
      <c r="L12" s="293" t="s">
        <v>155</v>
      </c>
      <c r="M12" s="292" t="s">
        <v>153</v>
      </c>
      <c r="N12" s="118" t="s">
        <v>154</v>
      </c>
      <c r="O12" s="293" t="s">
        <v>155</v>
      </c>
      <c r="P12" s="292" t="s">
        <v>153</v>
      </c>
      <c r="Q12" s="118" t="s">
        <v>154</v>
      </c>
      <c r="R12" s="293" t="s">
        <v>155</v>
      </c>
      <c r="S12" s="292" t="s">
        <v>153</v>
      </c>
      <c r="T12" s="118" t="s">
        <v>154</v>
      </c>
      <c r="U12" s="293" t="s">
        <v>155</v>
      </c>
      <c r="V12" s="292" t="s">
        <v>153</v>
      </c>
      <c r="W12" s="118" t="s">
        <v>154</v>
      </c>
      <c r="X12" s="293" t="s">
        <v>155</v>
      </c>
      <c r="Y12" s="292" t="s">
        <v>153</v>
      </c>
      <c r="Z12" s="118" t="s">
        <v>154</v>
      </c>
      <c r="AA12" s="293" t="s">
        <v>155</v>
      </c>
      <c r="AB12" s="292" t="s">
        <v>153</v>
      </c>
      <c r="AC12" s="118" t="s">
        <v>154</v>
      </c>
      <c r="AD12" s="293" t="s">
        <v>155</v>
      </c>
      <c r="AE12" s="292" t="s">
        <v>153</v>
      </c>
      <c r="AF12" s="118" t="s">
        <v>154</v>
      </c>
      <c r="AG12" s="293" t="s">
        <v>155</v>
      </c>
      <c r="AH12" s="292" t="s">
        <v>153</v>
      </c>
      <c r="AI12" s="118" t="s">
        <v>154</v>
      </c>
      <c r="AJ12" s="293" t="s">
        <v>155</v>
      </c>
      <c r="AK12" s="292" t="s">
        <v>153</v>
      </c>
      <c r="AL12" s="118" t="s">
        <v>154</v>
      </c>
      <c r="AM12" s="293" t="s">
        <v>155</v>
      </c>
      <c r="AN12" s="100"/>
      <c r="AO12" s="91"/>
      <c r="AP12" s="91"/>
    </row>
    <row r="13" spans="1:42" ht="12.75" customHeight="1">
      <c r="A13" s="89" t="s">
        <v>83</v>
      </c>
      <c r="B13" s="294">
        <v>30</v>
      </c>
      <c r="C13" s="313">
        <v>262142.285</v>
      </c>
      <c r="D13" s="123">
        <f t="shared" ref="D13:D14" si="2">D$8*VLOOKUP($A13,$A$16:$B$17,2)</f>
        <v>153877.45500000002</v>
      </c>
      <c r="E13" s="124">
        <v>158412.34</v>
      </c>
      <c r="F13" s="126">
        <f t="shared" ref="F13:F14" si="3">D13-E13</f>
        <v>-4534.8849999999802</v>
      </c>
      <c r="G13" s="104">
        <f t="shared" ref="G13:G14" si="4">G$8*VLOOKUP($A13,$A$16:$B$17,2)</f>
        <v>37635.149999999994</v>
      </c>
      <c r="H13" s="124">
        <v>3685.39</v>
      </c>
      <c r="I13" s="126">
        <f t="shared" ref="I13:I14" si="5">G13-H13</f>
        <v>33949.759999999995</v>
      </c>
      <c r="J13" s="104">
        <f t="shared" ref="J13:J14" si="6">J$8*VLOOKUP($A13,$A$16:$B$17,2)</f>
        <v>36772.432500000003</v>
      </c>
      <c r="K13" s="124">
        <v>1574.94</v>
      </c>
      <c r="L13" s="126">
        <f t="shared" ref="L13:L14" si="7">J13-K13</f>
        <v>35197.4925</v>
      </c>
      <c r="M13" s="104">
        <f t="shared" ref="M13:M14" si="8">M$8*VLOOKUP($A13,$A$16:$B$17,2)</f>
        <v>29689.3125</v>
      </c>
      <c r="N13" s="124">
        <v>1417.6</v>
      </c>
      <c r="O13" s="126">
        <f t="shared" ref="O13:O14" si="9">M13-N13</f>
        <v>28271.712500000001</v>
      </c>
      <c r="P13" s="104">
        <f t="shared" ref="P13:P14" si="10">P$8*VLOOKUP($A13,$A$16:$B$17,2)</f>
        <v>32515.785000000003</v>
      </c>
      <c r="Q13" s="124">
        <v>1315.83</v>
      </c>
      <c r="R13" s="126">
        <f t="shared" ref="R13:R14" si="11">P13-Q13</f>
        <v>31199.955000000002</v>
      </c>
      <c r="S13" s="104">
        <f t="shared" ref="S13:S14" si="12">S$8*VLOOKUP($A13,$A$16:$B$17,2)</f>
        <v>49410.997499999998</v>
      </c>
      <c r="T13" s="124">
        <v>1274.54</v>
      </c>
      <c r="U13" s="126">
        <f t="shared" ref="U13:U14" si="13">S13-T13</f>
        <v>48136.457499999997</v>
      </c>
      <c r="V13" s="104">
        <f t="shared" ref="V13:V14" si="14">V$8*VLOOKUP($A13,$A$16:$B$17,2)</f>
        <v>32459.8125</v>
      </c>
      <c r="W13" s="124">
        <v>542.6</v>
      </c>
      <c r="X13" s="126">
        <f t="shared" ref="X13:X14" si="15">V13-W13</f>
        <v>31917.212500000001</v>
      </c>
      <c r="Y13" s="104">
        <f t="shared" ref="Y13:Y14" si="16">Y$8*VLOOKUP($A13,$A$16:$B$17,2)</f>
        <v>24951.0825</v>
      </c>
      <c r="Z13" s="124">
        <v>2738.47</v>
      </c>
      <c r="AA13" s="126">
        <f t="shared" ref="AA13:AA14" si="17">Y13-Z13</f>
        <v>22212.612499999999</v>
      </c>
      <c r="AB13" s="104">
        <f t="shared" ref="AB13:AB14" si="18">AB$8*VLOOKUP($A13,$A$16:$B$17,2)</f>
        <v>42351.074999999997</v>
      </c>
      <c r="AC13" s="124">
        <v>129734.48</v>
      </c>
      <c r="AD13" s="126">
        <f t="shared" ref="AD13:AD14" si="19">AB13-AC13</f>
        <v>-87383.404999999999</v>
      </c>
      <c r="AE13" s="104">
        <f t="shared" ref="AE13:AE14" si="20">AE$8*VLOOKUP($A13,$A$16:$B$17,2)</f>
        <v>44791.852500000001</v>
      </c>
      <c r="AF13" s="124">
        <v>746.25</v>
      </c>
      <c r="AG13" s="126">
        <f t="shared" ref="AG13:AG14" si="21">AE13-AF13</f>
        <v>44045.602500000001</v>
      </c>
      <c r="AH13" s="104">
        <f t="shared" ref="AH13:AH14" si="22">AH$8*VLOOKUP($A13,$A$16:$B$17,2)</f>
        <v>38369.415000000001</v>
      </c>
      <c r="AI13" s="124">
        <v>1678.08</v>
      </c>
      <c r="AJ13" s="126">
        <f t="shared" ref="AJ13:AJ14" si="23">AH13-AI13</f>
        <v>36691.334999999999</v>
      </c>
      <c r="AK13" s="104">
        <f t="shared" ref="AK13:AK14" si="24">AK$8*VLOOKUP($A13,$A$16:$B$17,2)</f>
        <v>22061.6175</v>
      </c>
      <c r="AL13" s="124">
        <v>1915.49</v>
      </c>
      <c r="AM13" s="123">
        <f t="shared" ref="AM13:AM14" si="25">AK13-AL13</f>
        <v>20146.127499999999</v>
      </c>
      <c r="AN13" s="127">
        <f t="shared" ref="AN13:AN14" si="26">IF(AK$3="1H",AM13,0)+IF(AH$3="1H",AJ13,0)+IF(AE$3="1H",AG13,0)+IF(AB$3="1H",AD13,0)+IF(Y$3="1H",AA13,0)+IF(V$3="1H",X13,0)+IF(S$3="1H",U13,0)+IF(P$3="1H",R13,0)+IF(M$3="1H",O13,0)+IF(J$3="1H",L13,0)+IF(G$3="1H",I13,0)+IF(D$3="1H",F13,0)</f>
        <v>172220.49250000002</v>
      </c>
      <c r="AO13" s="94">
        <f>AN13-AN10</f>
        <v>121720.49250000002</v>
      </c>
      <c r="AP13" s="127">
        <f>AM13+AJ13+AG13+AD13+AA13+X13+U13+R13+O13+L13+I13+F13-AP10</f>
        <v>176849.97750000001</v>
      </c>
    </row>
    <row r="14" spans="1:42" ht="12.75" customHeight="1">
      <c r="A14" s="89" t="s">
        <v>209</v>
      </c>
      <c r="B14" s="294">
        <v>10</v>
      </c>
      <c r="C14" s="313">
        <v>-1795.865</v>
      </c>
      <c r="D14" s="123">
        <f t="shared" si="2"/>
        <v>51292.485000000001</v>
      </c>
      <c r="E14" s="124"/>
      <c r="F14" s="126">
        <f t="shared" si="3"/>
        <v>51292.485000000001</v>
      </c>
      <c r="G14" s="296">
        <f t="shared" si="4"/>
        <v>12545.05</v>
      </c>
      <c r="H14" s="90"/>
      <c r="I14" s="126">
        <f t="shared" si="5"/>
        <v>12545.05</v>
      </c>
      <c r="J14" s="104">
        <f t="shared" si="6"/>
        <v>12257.477500000001</v>
      </c>
      <c r="K14" s="124"/>
      <c r="L14" s="126">
        <f t="shared" si="7"/>
        <v>12257.477500000001</v>
      </c>
      <c r="M14" s="104">
        <f t="shared" si="8"/>
        <v>9896.4375</v>
      </c>
      <c r="N14" s="124"/>
      <c r="O14" s="126">
        <f t="shared" si="9"/>
        <v>9896.4375</v>
      </c>
      <c r="P14" s="104">
        <f t="shared" si="10"/>
        <v>10838.595000000001</v>
      </c>
      <c r="Q14" s="124"/>
      <c r="R14" s="126">
        <f t="shared" si="11"/>
        <v>10838.595000000001</v>
      </c>
      <c r="S14" s="104">
        <f t="shared" si="12"/>
        <v>16470.3325</v>
      </c>
      <c r="T14" s="124">
        <v>37933.040000000001</v>
      </c>
      <c r="U14" s="126">
        <f t="shared" si="13"/>
        <v>-21462.7075</v>
      </c>
      <c r="V14" s="104">
        <f t="shared" si="14"/>
        <v>10819.9375</v>
      </c>
      <c r="W14" s="124"/>
      <c r="X14" s="126">
        <f t="shared" si="15"/>
        <v>10819.9375</v>
      </c>
      <c r="Y14" s="104">
        <f t="shared" si="16"/>
        <v>8317.0275000000001</v>
      </c>
      <c r="Z14" s="124"/>
      <c r="AA14" s="126">
        <f t="shared" si="17"/>
        <v>8317.0275000000001</v>
      </c>
      <c r="AB14" s="104">
        <f t="shared" si="18"/>
        <v>14117.024999999998</v>
      </c>
      <c r="AC14" s="124"/>
      <c r="AD14" s="126">
        <f t="shared" si="19"/>
        <v>14117.024999999998</v>
      </c>
      <c r="AE14" s="104">
        <f t="shared" si="20"/>
        <v>14930.6175</v>
      </c>
      <c r="AF14" s="124"/>
      <c r="AG14" s="126">
        <f t="shared" si="21"/>
        <v>14930.6175</v>
      </c>
      <c r="AH14" s="104">
        <f t="shared" si="22"/>
        <v>12789.805</v>
      </c>
      <c r="AI14" s="124"/>
      <c r="AJ14" s="126">
        <f t="shared" si="23"/>
        <v>12789.805</v>
      </c>
      <c r="AK14" s="104">
        <f t="shared" si="24"/>
        <v>7353.8725000000004</v>
      </c>
      <c r="AL14" s="124"/>
      <c r="AM14" s="123">
        <f t="shared" si="25"/>
        <v>7353.8725000000004</v>
      </c>
      <c r="AN14" s="127">
        <f t="shared" si="26"/>
        <v>75367.337499999994</v>
      </c>
      <c r="AO14" s="91"/>
      <c r="AP14" s="127">
        <f>AM14+AJ14+AG14+AD14+AA14+X14+U14+R14+O14+L14+I14+F14</f>
        <v>143695.6225</v>
      </c>
    </row>
    <row r="15" spans="1:42" ht="12.75" customHeight="1">
      <c r="A15" s="89"/>
      <c r="C15" s="61"/>
      <c r="D15" s="100"/>
      <c r="E15" s="91"/>
      <c r="F15" s="91"/>
      <c r="G15" s="91">
        <f>SUM(G13:G14)</f>
        <v>50180.2</v>
      </c>
      <c r="H15" s="91"/>
      <c r="I15" s="91">
        <f>SUM(I13:I14)</f>
        <v>46494.81</v>
      </c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2"/>
      <c r="AO15" s="90"/>
    </row>
    <row r="16" spans="1:42" ht="12.75" customHeight="1">
      <c r="A16" s="89" t="s">
        <v>83</v>
      </c>
      <c r="B16" s="5">
        <f>'PS Model 2014'!ColinShares/'PS Model 2014'!TotalShares</f>
        <v>0.75</v>
      </c>
      <c r="C16" s="61"/>
      <c r="D16" s="100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2" t="s">
        <v>336</v>
      </c>
      <c r="AN16" s="90">
        <v>0</v>
      </c>
      <c r="AO16" s="121"/>
      <c r="AP16" s="100">
        <f t="shared" ref="AP16:AP17" si="27">AP13+C13</f>
        <v>438992.26250000001</v>
      </c>
    </row>
    <row r="17" spans="1:42" ht="12.75" customHeight="1">
      <c r="A17" s="89" t="s">
        <v>209</v>
      </c>
      <c r="B17" s="5">
        <f>'PS Model 2014'!FronczykShares/'PS Model 2014'!TotalShares</f>
        <v>0.25</v>
      </c>
      <c r="C17" s="61"/>
      <c r="D17" s="100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2" t="s">
        <v>336</v>
      </c>
      <c r="AN17" s="90">
        <v>37933.040000000001</v>
      </c>
      <c r="AO17" s="121">
        <v>115048.69</v>
      </c>
      <c r="AP17" s="100">
        <f t="shared" si="27"/>
        <v>141899.75750000001</v>
      </c>
    </row>
    <row r="18" spans="1:42" ht="12.75" customHeight="1">
      <c r="A18" s="89"/>
      <c r="C18" s="61"/>
      <c r="D18" s="62"/>
      <c r="AO18" s="91">
        <f>AP17-AO17</f>
        <v>26851.067500000005</v>
      </c>
      <c r="AP18" s="91"/>
    </row>
    <row r="19" spans="1:42" ht="12.75" customHeight="1">
      <c r="A19" s="89"/>
      <c r="C19" s="61"/>
      <c r="D19" s="62"/>
      <c r="AN19" s="230"/>
      <c r="AO19" s="91"/>
      <c r="AP19" s="91"/>
    </row>
    <row r="20" spans="1:42" ht="12.75" customHeight="1">
      <c r="A20" s="89"/>
      <c r="C20" s="61"/>
      <c r="D20" s="62"/>
      <c r="AN20" s="152"/>
      <c r="AO20" s="91"/>
      <c r="AP20" s="91"/>
    </row>
    <row r="21" spans="1:42" ht="12.75" customHeight="1">
      <c r="A21" s="89" t="s">
        <v>201</v>
      </c>
      <c r="C21" s="61"/>
      <c r="D21" s="62" t="s">
        <v>331</v>
      </c>
      <c r="AE21" s="1" t="s">
        <v>148</v>
      </c>
      <c r="AN21" s="152"/>
      <c r="AO21" s="91"/>
      <c r="AP21" s="91"/>
    </row>
    <row r="22" spans="1:42" ht="12.75" customHeight="1">
      <c r="A22" s="89"/>
      <c r="C22" s="61"/>
      <c r="D22" s="62" t="s">
        <v>332</v>
      </c>
      <c r="AO22" s="91"/>
    </row>
    <row r="23" spans="1:42" ht="12.75" customHeight="1">
      <c r="A23" s="89"/>
      <c r="C23" s="61"/>
      <c r="D23" s="62" t="s">
        <v>333</v>
      </c>
    </row>
    <row r="24" spans="1:42" ht="12.75" customHeight="1">
      <c r="A24" s="89"/>
      <c r="C24" s="61"/>
      <c r="D24" s="62"/>
    </row>
    <row r="25" spans="1:42" ht="12.75" customHeight="1">
      <c r="A25" s="89"/>
      <c r="C25" s="61"/>
      <c r="D25" s="62"/>
    </row>
    <row r="26" spans="1:42" ht="12.75" customHeight="1">
      <c r="A26" s="89"/>
      <c r="C26" s="61"/>
      <c r="D26" s="62"/>
    </row>
    <row r="27" spans="1:42" ht="12.75" customHeight="1">
      <c r="A27" s="89"/>
      <c r="C27" s="61"/>
      <c r="D27" s="62"/>
    </row>
    <row r="28" spans="1:42" ht="12.75" customHeight="1">
      <c r="A28" s="89"/>
      <c r="C28" s="61"/>
      <c r="D28" s="62"/>
    </row>
    <row r="29" spans="1:42" ht="12.75" customHeight="1">
      <c r="A29" s="89"/>
      <c r="C29" s="61"/>
      <c r="D29" s="62"/>
    </row>
    <row r="30" spans="1:42" ht="12.75" customHeight="1">
      <c r="A30" s="89"/>
      <c r="C30" s="61"/>
      <c r="D30" s="62"/>
    </row>
    <row r="31" spans="1:42" ht="12.75" customHeight="1">
      <c r="A31" s="89"/>
      <c r="C31" s="61"/>
      <c r="D31" s="62"/>
    </row>
    <row r="32" spans="1:42" ht="12.75" customHeight="1">
      <c r="A32" s="89"/>
      <c r="C32" s="61"/>
      <c r="D32" s="62"/>
    </row>
    <row r="33" spans="1:4" ht="12.75" customHeight="1">
      <c r="A33" s="89"/>
      <c r="C33" s="61"/>
      <c r="D33" s="62"/>
    </row>
    <row r="34" spans="1:4" ht="12.75" customHeight="1">
      <c r="A34" s="89"/>
      <c r="C34" s="61"/>
      <c r="D34" s="6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AM33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33203125" customWidth="1"/>
    <col min="3" max="3" width="15.1640625" customWidth="1"/>
    <col min="4" max="4" width="8.6640625" customWidth="1"/>
    <col min="5" max="6" width="15.1640625" customWidth="1"/>
    <col min="7" max="7" width="11" customWidth="1"/>
    <col min="8" max="9" width="15.1640625" customWidth="1"/>
    <col min="10" max="10" width="9.33203125" customWidth="1"/>
    <col min="11" max="12" width="15.1640625" customWidth="1"/>
    <col min="13" max="13" width="11.1640625" customWidth="1"/>
    <col min="14" max="36" width="15.1640625" customWidth="1"/>
    <col min="37" max="37" width="10.5" customWidth="1"/>
    <col min="38" max="38" width="10.83203125" customWidth="1"/>
    <col min="39" max="39" width="15.1640625" customWidth="1"/>
  </cols>
  <sheetData>
    <row r="1" spans="1:39" ht="12.75" customHeight="1">
      <c r="A1" s="5" t="s">
        <v>148</v>
      </c>
      <c r="B1" s="5"/>
      <c r="C1" s="299">
        <v>41305</v>
      </c>
      <c r="D1" s="60"/>
      <c r="E1" s="60"/>
      <c r="F1" s="299">
        <v>41333</v>
      </c>
      <c r="G1" s="60"/>
      <c r="H1" s="60"/>
      <c r="I1" s="299">
        <v>41364</v>
      </c>
      <c r="J1" s="60"/>
      <c r="K1" s="60"/>
      <c r="L1" s="299">
        <v>41394</v>
      </c>
      <c r="M1" s="60"/>
      <c r="N1" s="60"/>
      <c r="O1" s="299">
        <v>41425</v>
      </c>
      <c r="P1" s="60"/>
      <c r="Q1" s="60"/>
      <c r="R1" s="299">
        <v>41455</v>
      </c>
      <c r="S1" s="60"/>
      <c r="T1" s="60"/>
      <c r="U1" s="299">
        <v>41486</v>
      </c>
      <c r="V1" s="60"/>
      <c r="W1" s="60"/>
      <c r="X1" s="299">
        <v>41517</v>
      </c>
      <c r="Y1" s="60"/>
      <c r="Z1" s="60"/>
      <c r="AA1" s="299">
        <v>41547</v>
      </c>
      <c r="AB1" s="60"/>
      <c r="AC1" s="60"/>
      <c r="AD1" s="299">
        <v>41578</v>
      </c>
      <c r="AE1" s="60"/>
      <c r="AF1" s="60"/>
      <c r="AG1" s="299">
        <v>41608</v>
      </c>
      <c r="AH1" s="60"/>
      <c r="AI1" s="60"/>
      <c r="AJ1" s="299">
        <v>41639</v>
      </c>
      <c r="AK1" s="60"/>
      <c r="AL1" s="60"/>
    </row>
    <row r="2" spans="1:39" ht="12.75" customHeight="1">
      <c r="A2" s="5"/>
      <c r="B2" s="61"/>
      <c r="C2" s="62">
        <f>YEAR(C1)</f>
        <v>2013</v>
      </c>
      <c r="E2" s="61"/>
      <c r="F2" s="62">
        <f>YEAR(F1)</f>
        <v>2013</v>
      </c>
      <c r="I2" s="1">
        <f>YEAR(I1)</f>
        <v>2013</v>
      </c>
      <c r="K2" s="61"/>
      <c r="L2" s="62">
        <f>YEAR(L1)</f>
        <v>2013</v>
      </c>
      <c r="N2" s="61"/>
      <c r="O2" s="62">
        <f>YEAR(O1)</f>
        <v>2013</v>
      </c>
      <c r="Q2" s="61"/>
      <c r="R2" s="62">
        <f>YEAR(R1)</f>
        <v>2013</v>
      </c>
      <c r="T2" s="61"/>
      <c r="U2" s="62">
        <f>YEAR(U1)</f>
        <v>2013</v>
      </c>
      <c r="W2" s="61"/>
      <c r="X2" s="62">
        <f>YEAR(X1)</f>
        <v>2013</v>
      </c>
      <c r="Z2" s="61"/>
      <c r="AA2" s="62">
        <f>YEAR(AA1)</f>
        <v>2013</v>
      </c>
      <c r="AC2" s="61"/>
      <c r="AD2" s="62">
        <f>YEAR(AD1)</f>
        <v>2013</v>
      </c>
      <c r="AF2" s="61"/>
      <c r="AG2" s="62">
        <f>YEAR(AG1)</f>
        <v>2013</v>
      </c>
      <c r="AI2" s="61"/>
      <c r="AJ2" s="62">
        <f>YEAR(AJ1)</f>
        <v>2013</v>
      </c>
      <c r="AL2" s="61"/>
      <c r="AM2" s="288">
        <v>2013</v>
      </c>
    </row>
    <row r="3" spans="1:39" ht="12.75" customHeight="1">
      <c r="A3" s="89" t="s">
        <v>136</v>
      </c>
      <c r="B3" s="61"/>
      <c r="C3" s="300">
        <v>29855.95</v>
      </c>
      <c r="E3" s="61"/>
      <c r="F3" s="300">
        <v>25983.46</v>
      </c>
      <c r="I3" s="99">
        <v>43960.35</v>
      </c>
      <c r="K3" s="61"/>
      <c r="L3" s="300">
        <v>9784.42</v>
      </c>
      <c r="N3" s="61"/>
      <c r="O3" s="300">
        <v>-1896.62</v>
      </c>
      <c r="P3" s="301"/>
      <c r="Q3" s="61"/>
      <c r="R3" s="300">
        <v>69849.179999999993</v>
      </c>
      <c r="S3" s="301"/>
      <c r="T3" s="61"/>
      <c r="U3" s="300">
        <v>30171.73</v>
      </c>
      <c r="W3" s="61"/>
      <c r="X3" s="300">
        <v>74772.97</v>
      </c>
      <c r="Z3" s="302"/>
      <c r="AA3" s="300">
        <v>55745.24</v>
      </c>
      <c r="AC3" s="61"/>
      <c r="AD3" s="300">
        <v>62862.75</v>
      </c>
      <c r="AF3" s="61"/>
      <c r="AG3" s="300">
        <v>45695.41</v>
      </c>
      <c r="AI3" s="61"/>
      <c r="AJ3" s="300">
        <v>-35306.39</v>
      </c>
      <c r="AK3" s="314">
        <f>-35306.39+AM16</f>
        <v>-36819.247500000012</v>
      </c>
      <c r="AL3" s="61"/>
      <c r="AM3" s="315">
        <f t="shared" ref="AM3:AM7" si="0">SUMIF($B$2:$AL$2,$AM$2,B3:AL3)</f>
        <v>411478.44999999995</v>
      </c>
    </row>
    <row r="4" spans="1:39" ht="12.75" customHeight="1">
      <c r="A4" s="89" t="s">
        <v>138</v>
      </c>
      <c r="B4" s="61"/>
      <c r="C4" s="300">
        <v>0</v>
      </c>
      <c r="E4" s="61"/>
      <c r="F4" s="300">
        <v>0</v>
      </c>
      <c r="I4" s="99">
        <v>0</v>
      </c>
      <c r="K4" s="61"/>
      <c r="L4" s="300"/>
      <c r="N4" s="61"/>
      <c r="O4" s="300"/>
      <c r="Q4" s="61"/>
      <c r="R4" s="300"/>
      <c r="T4" s="61"/>
      <c r="U4" s="300"/>
      <c r="W4" s="61"/>
      <c r="X4" s="300"/>
      <c r="Z4" s="302"/>
      <c r="AA4" s="300"/>
      <c r="AC4" s="61"/>
      <c r="AD4" s="300"/>
      <c r="AF4" s="61"/>
      <c r="AG4" s="300"/>
      <c r="AI4" s="61"/>
      <c r="AJ4" s="300"/>
      <c r="AL4" s="61"/>
      <c r="AM4" s="315">
        <f t="shared" si="0"/>
        <v>0</v>
      </c>
    </row>
    <row r="5" spans="1:39" ht="12.75" customHeight="1">
      <c r="A5" s="89" t="s">
        <v>143</v>
      </c>
      <c r="B5" s="303">
        <v>12500</v>
      </c>
      <c r="C5" s="307">
        <f>'PS Model 2013'!ColinSalary</f>
        <v>12500</v>
      </c>
      <c r="E5" s="61"/>
      <c r="F5" s="307">
        <f>'PS Model 2013'!ColinSalary</f>
        <v>12500</v>
      </c>
      <c r="I5" s="301">
        <f>'PS Model 2013'!ColinSalary</f>
        <v>12500</v>
      </c>
      <c r="K5" s="61"/>
      <c r="L5" s="307">
        <f>'PS Model 2013'!ColinSalary</f>
        <v>12500</v>
      </c>
      <c r="N5" s="61"/>
      <c r="O5" s="307">
        <f>'PS Model 2013'!ColinSalary</f>
        <v>12500</v>
      </c>
      <c r="Q5" s="61"/>
      <c r="R5" s="307">
        <f>'PS Model 2013'!ColinSalary</f>
        <v>12500</v>
      </c>
      <c r="T5" s="61"/>
      <c r="U5" s="307">
        <f>'PS Model 2013'!ColinSalary</f>
        <v>12500</v>
      </c>
      <c r="W5" s="61"/>
      <c r="X5" s="307">
        <f>'PS Model 2013'!ColinSalary</f>
        <v>12500</v>
      </c>
      <c r="Z5" s="302"/>
      <c r="AA5" s="307">
        <f>'PS Model 2013'!ColinSalary</f>
        <v>12500</v>
      </c>
      <c r="AC5" s="61"/>
      <c r="AD5" s="307">
        <f>'PS Model 2013'!ColinSalary</f>
        <v>12500</v>
      </c>
      <c r="AF5" s="61"/>
      <c r="AG5" s="307">
        <f>'PS Model 2013'!ColinSalary</f>
        <v>12500</v>
      </c>
      <c r="AI5" s="61"/>
      <c r="AJ5" s="307">
        <f>'PS Model 2013'!ColinSalary</f>
        <v>12500</v>
      </c>
      <c r="AL5" s="61"/>
      <c r="AM5" s="315">
        <f t="shared" si="0"/>
        <v>150000</v>
      </c>
    </row>
    <row r="6" spans="1:39" ht="12.75" customHeight="1">
      <c r="A6" s="89" t="s">
        <v>334</v>
      </c>
      <c r="B6" s="101"/>
      <c r="C6" s="304">
        <f>SUM(D12:D13)</f>
        <v>61.88</v>
      </c>
      <c r="F6" s="304">
        <f>SUM(G12:G13)</f>
        <v>819.6</v>
      </c>
      <c r="I6" s="304">
        <f>SUM(J12:J13)</f>
        <v>4976.95</v>
      </c>
      <c r="K6" s="61"/>
      <c r="L6" s="305">
        <f>SUM(M12:M13)</f>
        <v>2105.12</v>
      </c>
      <c r="N6" s="61"/>
      <c r="O6" s="305">
        <f>SUM(P12:P13)</f>
        <v>1247.8900000000001</v>
      </c>
      <c r="Q6" s="61"/>
      <c r="R6" s="305">
        <f>SUM(S12:S13)</f>
        <v>914.14</v>
      </c>
      <c r="T6" s="302"/>
      <c r="U6" s="305">
        <f>SUM(V12:V13)</f>
        <v>29109.42</v>
      </c>
      <c r="W6" s="61"/>
      <c r="X6" s="305">
        <f>SUM(Y12:Y13)</f>
        <v>1941.7</v>
      </c>
      <c r="Z6" s="302"/>
      <c r="AA6" s="305">
        <f>SUM(AB12:AB13)</f>
        <v>647.82000000000005</v>
      </c>
      <c r="AC6" s="61"/>
      <c r="AD6" s="305">
        <f>SUM(AE12:AE13)</f>
        <v>369.04</v>
      </c>
      <c r="AF6" s="61"/>
      <c r="AG6" s="305">
        <f>SUM(AH12:AH13)</f>
        <v>1126.46</v>
      </c>
      <c r="AI6" s="61"/>
      <c r="AJ6" s="305">
        <f>SUM(AK12:AK13)</f>
        <v>68816.100000000006</v>
      </c>
      <c r="AL6" s="61"/>
      <c r="AM6" s="315">
        <f t="shared" si="0"/>
        <v>112136.12</v>
      </c>
    </row>
    <row r="7" spans="1:39" ht="12.75" customHeight="1">
      <c r="A7" s="89" t="s">
        <v>335</v>
      </c>
      <c r="B7" s="102"/>
      <c r="C7" s="305">
        <f>C3-C4-C5+C6</f>
        <v>17417.830000000002</v>
      </c>
      <c r="E7" s="61"/>
      <c r="F7" s="305">
        <f>F3-F4-F5+F6</f>
        <v>14303.06</v>
      </c>
      <c r="I7" s="304">
        <f>I3-I4-I5+I6</f>
        <v>36437.299999999996</v>
      </c>
      <c r="K7" s="61"/>
      <c r="L7" s="305">
        <f>L3-L4-L5+L6</f>
        <v>-610.46</v>
      </c>
      <c r="N7" s="61"/>
      <c r="O7" s="305">
        <f>O3-O4-O5+O6</f>
        <v>-13148.73</v>
      </c>
      <c r="Q7" s="61"/>
      <c r="R7" s="305">
        <f>R3-R4-R5+R6</f>
        <v>58263.319999999992</v>
      </c>
      <c r="T7" s="61"/>
      <c r="U7" s="305">
        <f>U3-U4-U5+U6</f>
        <v>46781.149999999994</v>
      </c>
      <c r="W7" s="61"/>
      <c r="X7" s="305">
        <f>X3-X4-X5+X6</f>
        <v>64214.67</v>
      </c>
      <c r="Z7" s="302"/>
      <c r="AA7" s="305">
        <f>AA3-AA4-AA5+AA6</f>
        <v>43893.06</v>
      </c>
      <c r="AC7" s="61"/>
      <c r="AD7" s="305">
        <f>AD3-AD4-AD5+AD6</f>
        <v>50731.79</v>
      </c>
      <c r="AF7" s="61"/>
      <c r="AG7" s="305">
        <f>AG3-AG4-AG5+AG6</f>
        <v>34321.870000000003</v>
      </c>
      <c r="AI7" s="61"/>
      <c r="AJ7" s="305">
        <f>AJ3-AJ4-AJ5+AJ6</f>
        <v>21009.710000000006</v>
      </c>
      <c r="AL7" s="61"/>
      <c r="AM7" s="315">
        <f t="shared" si="0"/>
        <v>373614.56999999995</v>
      </c>
    </row>
    <row r="8" spans="1:39" ht="12.75" customHeight="1">
      <c r="A8" s="89" t="s">
        <v>152</v>
      </c>
      <c r="B8" s="61"/>
      <c r="C8" s="308">
        <f>'PS Model 2013'!TotalShares</f>
        <v>40</v>
      </c>
      <c r="E8" s="61"/>
      <c r="F8" s="308">
        <f>'PS Model 2013'!TotalShares</f>
        <v>40</v>
      </c>
      <c r="H8" s="61"/>
      <c r="I8" s="308">
        <f>'PS Model 2013'!TotalShares</f>
        <v>40</v>
      </c>
      <c r="K8" s="61"/>
      <c r="L8" s="308">
        <f>'PS Model 2013'!TotalShares</f>
        <v>40</v>
      </c>
      <c r="N8" s="61"/>
      <c r="O8" s="308">
        <f>'PS Model 2013'!TotalShares</f>
        <v>40</v>
      </c>
      <c r="Q8" s="61"/>
      <c r="R8" s="308">
        <f>'PS Model 2013'!TotalShares</f>
        <v>40</v>
      </c>
      <c r="T8" s="61"/>
      <c r="U8" s="308">
        <f>'PS Model 2013'!TotalShares</f>
        <v>40</v>
      </c>
      <c r="W8" s="61"/>
      <c r="X8" s="308">
        <f>'PS Model 2013'!TotalShares</f>
        <v>40</v>
      </c>
      <c r="Z8" s="61"/>
      <c r="AA8" s="308">
        <f>'PS Model 2013'!TotalShares</f>
        <v>40</v>
      </c>
      <c r="AC8" s="61"/>
      <c r="AD8" s="308">
        <f>'PS Model 2013'!TotalShares</f>
        <v>40</v>
      </c>
      <c r="AF8" s="61"/>
      <c r="AG8" s="308">
        <f>'PS Model 2013'!TotalShares</f>
        <v>40</v>
      </c>
      <c r="AI8" s="61"/>
      <c r="AJ8" s="308">
        <f>'PS Model 2013'!TotalShares</f>
        <v>40</v>
      </c>
      <c r="AL8" s="61"/>
      <c r="AM8" s="62"/>
    </row>
    <row r="9" spans="1:39" ht="12.75" customHeight="1">
      <c r="A9" s="5"/>
      <c r="B9" s="61"/>
      <c r="C9" s="62"/>
      <c r="E9" s="61"/>
      <c r="F9" s="62"/>
      <c r="H9" s="61"/>
      <c r="I9" s="62"/>
      <c r="K9" s="61"/>
      <c r="L9" s="62"/>
      <c r="N9" s="61"/>
      <c r="O9" s="62"/>
      <c r="Q9" s="61"/>
      <c r="R9" s="62"/>
      <c r="T9" s="61"/>
      <c r="U9" s="62"/>
      <c r="W9" s="61"/>
      <c r="X9" s="62"/>
      <c r="Z9" s="61"/>
      <c r="AA9" s="62"/>
      <c r="AC9" s="61"/>
      <c r="AD9" s="62"/>
      <c r="AF9" s="61"/>
      <c r="AG9" s="62"/>
      <c r="AI9" s="61"/>
      <c r="AJ9" s="62"/>
      <c r="AL9" s="61"/>
      <c r="AM9" s="62"/>
    </row>
    <row r="10" spans="1:39" ht="12.75" customHeight="1">
      <c r="A10" s="5"/>
      <c r="B10" s="61"/>
      <c r="C10" s="62"/>
      <c r="E10" s="61"/>
      <c r="F10" s="62"/>
      <c r="H10" s="61"/>
      <c r="I10" s="62"/>
      <c r="K10" s="61"/>
      <c r="L10" s="62"/>
      <c r="N10" s="61"/>
      <c r="O10" s="62"/>
      <c r="Q10" s="61"/>
      <c r="R10" s="62"/>
      <c r="T10" s="61"/>
      <c r="U10" s="62"/>
      <c r="W10" s="61"/>
      <c r="X10" s="62"/>
      <c r="Z10" s="61"/>
      <c r="AA10" s="62"/>
      <c r="AC10" s="61"/>
      <c r="AD10" s="62"/>
      <c r="AF10" s="61"/>
      <c r="AG10" s="62"/>
      <c r="AI10" s="61"/>
      <c r="AJ10" s="62"/>
      <c r="AL10" s="61"/>
      <c r="AM10" s="62"/>
    </row>
    <row r="11" spans="1:39" ht="12.75" customHeight="1">
      <c r="A11" s="5"/>
      <c r="B11" s="291">
        <f>SUM(B12:B13)</f>
        <v>40</v>
      </c>
      <c r="C11" s="310" t="s">
        <v>153</v>
      </c>
      <c r="D11" s="230" t="s">
        <v>154</v>
      </c>
      <c r="E11" s="309" t="s">
        <v>155</v>
      </c>
      <c r="F11" s="310" t="s">
        <v>153</v>
      </c>
      <c r="G11" s="230" t="s">
        <v>154</v>
      </c>
      <c r="H11" s="309" t="s">
        <v>155</v>
      </c>
      <c r="I11" s="310" t="s">
        <v>153</v>
      </c>
      <c r="J11" s="230" t="s">
        <v>154</v>
      </c>
      <c r="K11" s="309" t="s">
        <v>155</v>
      </c>
      <c r="L11" s="310" t="s">
        <v>153</v>
      </c>
      <c r="M11" s="230" t="s">
        <v>154</v>
      </c>
      <c r="N11" s="309" t="s">
        <v>155</v>
      </c>
      <c r="O11" s="310" t="s">
        <v>153</v>
      </c>
      <c r="P11" s="230" t="s">
        <v>154</v>
      </c>
      <c r="Q11" s="309" t="s">
        <v>155</v>
      </c>
      <c r="R11" s="310" t="s">
        <v>153</v>
      </c>
      <c r="S11" s="230" t="s">
        <v>154</v>
      </c>
      <c r="T11" s="309" t="s">
        <v>155</v>
      </c>
      <c r="U11" s="310" t="s">
        <v>153</v>
      </c>
      <c r="V11" s="230" t="s">
        <v>154</v>
      </c>
      <c r="W11" s="309" t="s">
        <v>155</v>
      </c>
      <c r="X11" s="310" t="s">
        <v>153</v>
      </c>
      <c r="Y11" s="230" t="s">
        <v>154</v>
      </c>
      <c r="Z11" s="309" t="s">
        <v>155</v>
      </c>
      <c r="AA11" s="310" t="s">
        <v>153</v>
      </c>
      <c r="AB11" s="230" t="s">
        <v>154</v>
      </c>
      <c r="AC11" s="309" t="s">
        <v>155</v>
      </c>
      <c r="AD11" s="310" t="s">
        <v>153</v>
      </c>
      <c r="AE11" s="230" t="s">
        <v>154</v>
      </c>
      <c r="AF11" s="309" t="s">
        <v>155</v>
      </c>
      <c r="AG11" s="310" t="s">
        <v>153</v>
      </c>
      <c r="AH11" s="230" t="s">
        <v>154</v>
      </c>
      <c r="AI11" s="309" t="s">
        <v>155</v>
      </c>
      <c r="AJ11" s="310" t="s">
        <v>153</v>
      </c>
      <c r="AK11" s="230" t="s">
        <v>154</v>
      </c>
      <c r="AL11" s="309" t="s">
        <v>155</v>
      </c>
      <c r="AM11" s="62"/>
    </row>
    <row r="12" spans="1:39" ht="12.75" customHeight="1">
      <c r="A12" s="89" t="s">
        <v>83</v>
      </c>
      <c r="B12" s="294">
        <v>30</v>
      </c>
      <c r="C12" s="305">
        <f>C$7*('PS Model 2013'!ColinShares/C$8)</f>
        <v>13063.372500000001</v>
      </c>
      <c r="D12" s="99">
        <v>61.88</v>
      </c>
      <c r="E12" s="311">
        <f t="shared" ref="E12:E13" si="1">C12-D12</f>
        <v>13001.492500000002</v>
      </c>
      <c r="F12" s="305">
        <f>F$7*('PS Model 2013'!ColinShares/F$8)</f>
        <v>10727.295</v>
      </c>
      <c r="G12" s="99">
        <v>819.6</v>
      </c>
      <c r="H12" s="311">
        <f t="shared" ref="H12:H13" si="2">F12-G12</f>
        <v>9907.6949999999997</v>
      </c>
      <c r="I12" s="305">
        <f>I$7*('PS Model 2013'!ColinShares/I$8)</f>
        <v>27327.974999999999</v>
      </c>
      <c r="J12" s="99">
        <v>4976.95</v>
      </c>
      <c r="K12" s="311">
        <f t="shared" ref="K12:K13" si="3">I12-J12</f>
        <v>22351.024999999998</v>
      </c>
      <c r="L12" s="305">
        <f>L$7*('PS Model 2013'!ColinShares/L$8)</f>
        <v>-457.84500000000003</v>
      </c>
      <c r="M12" s="99">
        <v>2105.12</v>
      </c>
      <c r="N12" s="311">
        <f t="shared" ref="N12:N13" si="4">L12-M12</f>
        <v>-2562.9650000000001</v>
      </c>
      <c r="O12" s="305">
        <f>O$7*('PS Model 2013'!ColinShares/O$8)</f>
        <v>-9861.5475000000006</v>
      </c>
      <c r="P12" s="99">
        <v>1247.8900000000001</v>
      </c>
      <c r="Q12" s="311">
        <f t="shared" ref="Q12:Q13" si="5">O12-P12</f>
        <v>-11109.4375</v>
      </c>
      <c r="R12" s="305">
        <f>R$7*('PS Model 2013'!ColinShares/R$8)</f>
        <v>43697.489999999991</v>
      </c>
      <c r="S12" s="99">
        <v>914.14</v>
      </c>
      <c r="T12" s="311">
        <f t="shared" ref="T12:T13" si="6">R12-S12</f>
        <v>42783.349999999991</v>
      </c>
      <c r="U12" s="305">
        <f>U$7*('PS Model 2013'!ColinShares/U$8)</f>
        <v>35085.862499999996</v>
      </c>
      <c r="V12" s="99">
        <v>929.25</v>
      </c>
      <c r="W12" s="311">
        <f t="shared" ref="W12:W13" si="7">U12-V12</f>
        <v>34156.612499999996</v>
      </c>
      <c r="X12" s="305">
        <f>X$7*('PS Model 2013'!ColinShares/X$8)</f>
        <v>48161.002500000002</v>
      </c>
      <c r="Y12" s="99">
        <v>1941.7</v>
      </c>
      <c r="Z12" s="311">
        <f t="shared" ref="Z12:Z13" si="8">X12-Y12</f>
        <v>46219.302500000005</v>
      </c>
      <c r="AA12" s="305">
        <f>AA$7*('PS Model 2013'!ColinShares/AA$8)</f>
        <v>32919.794999999998</v>
      </c>
      <c r="AB12" s="99">
        <v>647.82000000000005</v>
      </c>
      <c r="AC12" s="311">
        <f t="shared" ref="AC12:AC13" si="9">AA12-AB12</f>
        <v>32271.974999999999</v>
      </c>
      <c r="AD12" s="305">
        <f>AD$7*('PS Model 2013'!ColinShares/AD$8)</f>
        <v>38048.842499999999</v>
      </c>
      <c r="AE12" s="99">
        <v>369.04</v>
      </c>
      <c r="AF12" s="311">
        <f t="shared" ref="AF12:AF13" si="10">AD12-AE12</f>
        <v>37679.802499999998</v>
      </c>
      <c r="AG12" s="305">
        <f>AG$7*('PS Model 2013'!ColinShares/AG$8)</f>
        <v>25741.402500000004</v>
      </c>
      <c r="AH12" s="99">
        <v>1126.46</v>
      </c>
      <c r="AI12" s="311">
        <f t="shared" ref="AI12:AI13" si="11">AG12-AH12</f>
        <v>24614.942500000005</v>
      </c>
      <c r="AJ12" s="305">
        <f>AJ$7*('PS Model 2013'!ColinShares/AJ$8)</f>
        <v>15757.282500000005</v>
      </c>
      <c r="AK12" s="99">
        <v>2079.77</v>
      </c>
      <c r="AL12" s="311">
        <f t="shared" ref="AL12:AL13" si="12">AJ12-AK12</f>
        <v>13677.512500000004</v>
      </c>
      <c r="AM12" s="93">
        <f>'PS Model 2013'!ColinShares/'PS Model 2013'!TotalShares*AM$7</f>
        <v>280210.92749999999</v>
      </c>
    </row>
    <row r="13" spans="1:39" ht="12.75" customHeight="1">
      <c r="A13" s="89" t="s">
        <v>209</v>
      </c>
      <c r="B13" s="294">
        <v>10</v>
      </c>
      <c r="C13" s="305">
        <f>C$7*('PS Model 2013'!FronczykShares/C$8)</f>
        <v>4354.4575000000004</v>
      </c>
      <c r="D13" s="99">
        <v>0</v>
      </c>
      <c r="E13" s="311">
        <f t="shared" si="1"/>
        <v>4354.4575000000004</v>
      </c>
      <c r="F13" s="305">
        <f>F$7*('PS Model 2013'!FronczykShares/F$8)</f>
        <v>3575.7649999999999</v>
      </c>
      <c r="G13" s="99">
        <v>0</v>
      </c>
      <c r="H13" s="311">
        <f t="shared" si="2"/>
        <v>3575.7649999999999</v>
      </c>
      <c r="I13" s="305">
        <f>I$7*('PS Model 2013'!FronczykShares/I$8)</f>
        <v>9109.3249999999989</v>
      </c>
      <c r="J13" s="99">
        <v>0</v>
      </c>
      <c r="K13" s="311">
        <f t="shared" si="3"/>
        <v>9109.3249999999989</v>
      </c>
      <c r="L13" s="305">
        <f>L$7*('PS Model 2013'!FronczykShares/L$8)</f>
        <v>-152.61500000000001</v>
      </c>
      <c r="M13" s="99">
        <v>0</v>
      </c>
      <c r="N13" s="311">
        <f t="shared" si="4"/>
        <v>-152.61500000000001</v>
      </c>
      <c r="O13" s="305">
        <f>O$7*('PS Model 2013'!FronczykShares/O$8)</f>
        <v>-3287.1824999999999</v>
      </c>
      <c r="P13" s="99">
        <v>0</v>
      </c>
      <c r="Q13" s="311">
        <f t="shared" si="5"/>
        <v>-3287.1824999999999</v>
      </c>
      <c r="R13" s="305">
        <f>R$7*('PS Model 2013'!FronczykShares/R$8)</f>
        <v>14565.829999999998</v>
      </c>
      <c r="S13" s="99">
        <v>0</v>
      </c>
      <c r="T13" s="311">
        <f t="shared" si="6"/>
        <v>14565.829999999998</v>
      </c>
      <c r="U13" s="305">
        <f>U$7*('PS Model 2013'!FronczykShares/U$8)</f>
        <v>11695.287499999999</v>
      </c>
      <c r="V13" s="99">
        <v>28180.17</v>
      </c>
      <c r="W13" s="311">
        <f t="shared" si="7"/>
        <v>-16484.8825</v>
      </c>
      <c r="X13" s="305">
        <f>X$7*('PS Model 2013'!FronczykShares/X$8)</f>
        <v>16053.6675</v>
      </c>
      <c r="Y13" s="99">
        <v>0</v>
      </c>
      <c r="Z13" s="311">
        <f t="shared" si="8"/>
        <v>16053.6675</v>
      </c>
      <c r="AA13" s="305">
        <f>AA$7*('PS Model 2013'!FronczykShares/AA$8)</f>
        <v>10973.264999999999</v>
      </c>
      <c r="AB13" s="99">
        <v>0</v>
      </c>
      <c r="AC13" s="311">
        <f t="shared" si="9"/>
        <v>10973.264999999999</v>
      </c>
      <c r="AD13" s="305">
        <f>AD$7*('PS Model 2013'!FronczykShares/AD$8)</f>
        <v>12682.9475</v>
      </c>
      <c r="AE13" s="99">
        <v>0</v>
      </c>
      <c r="AF13" s="311">
        <f t="shared" si="10"/>
        <v>12682.9475</v>
      </c>
      <c r="AG13" s="305">
        <f>AG$7*('PS Model 2013'!FronczykShares/AG$8)</f>
        <v>8580.4675000000007</v>
      </c>
      <c r="AH13" s="99">
        <v>0</v>
      </c>
      <c r="AI13" s="311">
        <f t="shared" si="11"/>
        <v>8580.4675000000007</v>
      </c>
      <c r="AJ13" s="305">
        <f>AJ$7*('PS Model 2013'!FronczykShares/AJ$8)</f>
        <v>5252.4275000000016</v>
      </c>
      <c r="AK13" s="99">
        <v>66736.33</v>
      </c>
      <c r="AL13" s="311">
        <f t="shared" si="12"/>
        <v>-61483.902499999997</v>
      </c>
      <c r="AM13" s="93">
        <f>'PS Model 2013'!FronczykShares/'PS Model 2013'!TotalShares*AM$7</f>
        <v>93403.642499999987</v>
      </c>
    </row>
    <row r="14" spans="1:39" ht="12.75" customHeight="1">
      <c r="A14" s="89"/>
      <c r="B14" s="61"/>
      <c r="C14" s="316">
        <f>SUM(C12:C13)</f>
        <v>17417.830000000002</v>
      </c>
      <c r="E14" s="316">
        <f t="shared" ref="E14:F14" si="13">SUM(E12:E13)</f>
        <v>17355.950000000004</v>
      </c>
      <c r="F14" s="316">
        <f t="shared" si="13"/>
        <v>14303.06</v>
      </c>
      <c r="H14" s="316">
        <f>SUM(H12:H13)</f>
        <v>13483.46</v>
      </c>
      <c r="AL14" s="61" t="s">
        <v>342</v>
      </c>
      <c r="AM14" s="300">
        <v>28180.17</v>
      </c>
    </row>
    <row r="15" spans="1:39" ht="12.75" customHeight="1">
      <c r="A15" s="89"/>
      <c r="B15" s="61"/>
      <c r="C15" s="62"/>
      <c r="AL15" s="1" t="s">
        <v>343</v>
      </c>
      <c r="AM15" s="151">
        <f>AM13-AM14</f>
        <v>65223.472499999989</v>
      </c>
    </row>
    <row r="16" spans="1:39" ht="12.75" customHeight="1">
      <c r="A16" s="89"/>
      <c r="B16" s="61"/>
      <c r="C16" s="62"/>
      <c r="AL16" s="61" t="s">
        <v>344</v>
      </c>
      <c r="AM16" s="317">
        <f>AM15-AK13</f>
        <v>-1512.8575000000128</v>
      </c>
    </row>
    <row r="17" spans="1:3" ht="12.75" customHeight="1">
      <c r="A17" s="89"/>
      <c r="B17" s="61"/>
      <c r="C17" s="62"/>
    </row>
    <row r="18" spans="1:3" ht="12.75" customHeight="1">
      <c r="A18" s="89"/>
      <c r="B18" s="61"/>
      <c r="C18" s="62"/>
    </row>
    <row r="19" spans="1:3" ht="12.75" customHeight="1">
      <c r="A19" s="89"/>
      <c r="B19" s="61"/>
      <c r="C19" s="62"/>
    </row>
    <row r="20" spans="1:3" ht="12.75" customHeight="1">
      <c r="A20" s="89"/>
      <c r="B20" s="61"/>
      <c r="C20" s="62"/>
    </row>
    <row r="21" spans="1:3" ht="12.75" customHeight="1">
      <c r="A21" s="89"/>
      <c r="B21" s="61"/>
      <c r="C21" s="62"/>
    </row>
    <row r="22" spans="1:3" ht="12.75" customHeight="1">
      <c r="A22" s="89"/>
      <c r="B22" s="61"/>
      <c r="C22" s="62"/>
    </row>
    <row r="23" spans="1:3" ht="12.75" customHeight="1">
      <c r="A23" s="89"/>
      <c r="B23" s="61"/>
      <c r="C23" s="62"/>
    </row>
    <row r="24" spans="1:3" ht="12.75" customHeight="1">
      <c r="A24" s="89"/>
      <c r="B24" s="61"/>
      <c r="C24" s="62"/>
    </row>
    <row r="25" spans="1:3" ht="12.75" customHeight="1">
      <c r="A25" s="89"/>
      <c r="B25" s="61"/>
      <c r="C25" s="62"/>
    </row>
    <row r="26" spans="1:3" ht="12.75" customHeight="1">
      <c r="A26" s="89"/>
      <c r="B26" s="61"/>
      <c r="C26" s="62"/>
    </row>
    <row r="27" spans="1:3" ht="12.75" customHeight="1">
      <c r="A27" s="89"/>
      <c r="B27" s="61"/>
      <c r="C27" s="62"/>
    </row>
    <row r="28" spans="1:3" ht="12.75" customHeight="1">
      <c r="A28" s="89"/>
      <c r="B28" s="61"/>
      <c r="C28" s="62"/>
    </row>
    <row r="29" spans="1:3" ht="12.75" customHeight="1">
      <c r="A29" s="89"/>
      <c r="B29" s="61"/>
      <c r="C29" s="62"/>
    </row>
    <row r="30" spans="1:3" ht="12.75" customHeight="1">
      <c r="A30" s="89"/>
      <c r="B30" s="61"/>
      <c r="C30" s="62"/>
    </row>
    <row r="31" spans="1:3" ht="12.75" customHeight="1">
      <c r="A31" s="89"/>
      <c r="B31" s="61"/>
      <c r="C31" s="62"/>
    </row>
    <row r="32" spans="1:3" ht="12.75" customHeight="1">
      <c r="A32" s="89"/>
      <c r="B32" s="61"/>
      <c r="C32" s="62"/>
    </row>
    <row r="33" spans="1:3" ht="12.75" customHeight="1">
      <c r="A33" s="89"/>
      <c r="B33" s="61"/>
      <c r="C33" s="6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S33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2.75" customHeight="1"/>
  <cols>
    <col min="1" max="1" width="22.6640625" customWidth="1"/>
    <col min="2" max="2" width="9.1640625" customWidth="1"/>
    <col min="3" max="3" width="15.1640625" customWidth="1"/>
    <col min="4" max="4" width="8.6640625" customWidth="1"/>
    <col min="5" max="6" width="15.1640625" customWidth="1"/>
    <col min="7" max="7" width="11" customWidth="1"/>
    <col min="8" max="9" width="15.1640625" customWidth="1"/>
    <col min="10" max="10" width="9.33203125" customWidth="1"/>
    <col min="11" max="12" width="15.1640625" customWidth="1"/>
    <col min="13" max="13" width="11.1640625" customWidth="1"/>
    <col min="14" max="36" width="15.1640625" customWidth="1"/>
    <col min="37" max="37" width="10.5" customWidth="1"/>
    <col min="38" max="38" width="10.83203125" customWidth="1"/>
    <col min="40" max="41" width="9.33203125" customWidth="1"/>
    <col min="42" max="42" width="15.1640625" customWidth="1"/>
    <col min="43" max="44" width="9.33203125" customWidth="1"/>
    <col min="45" max="45" width="15.1640625" customWidth="1"/>
  </cols>
  <sheetData>
    <row r="1" spans="1:45" ht="12.75" customHeight="1">
      <c r="A1" s="5" t="s">
        <v>148</v>
      </c>
      <c r="B1" s="291"/>
      <c r="C1" s="59">
        <v>40939</v>
      </c>
      <c r="D1" s="60"/>
      <c r="E1" s="60"/>
      <c r="F1" s="299">
        <v>40968</v>
      </c>
      <c r="G1" s="60"/>
      <c r="H1" s="60"/>
      <c r="I1" s="299">
        <v>40999</v>
      </c>
      <c r="J1" s="60"/>
      <c r="K1" s="60"/>
      <c r="L1" s="299">
        <v>41029</v>
      </c>
      <c r="M1" s="60"/>
      <c r="N1" s="60"/>
      <c r="O1" s="299">
        <v>41060</v>
      </c>
      <c r="P1" s="60"/>
      <c r="Q1" s="60"/>
      <c r="R1" s="299">
        <v>41090</v>
      </c>
      <c r="S1" s="60"/>
      <c r="T1" s="60"/>
      <c r="U1" s="299">
        <v>41121</v>
      </c>
      <c r="V1" s="60"/>
      <c r="W1" s="60"/>
      <c r="X1" s="299">
        <v>41152</v>
      </c>
      <c r="Y1" s="60"/>
      <c r="Z1" s="60"/>
      <c r="AA1" s="299">
        <v>41182</v>
      </c>
      <c r="AB1" s="60"/>
      <c r="AC1" s="60"/>
      <c r="AD1" s="299">
        <v>41213</v>
      </c>
      <c r="AE1" s="60"/>
      <c r="AF1" s="60"/>
      <c r="AG1" s="299">
        <v>41243</v>
      </c>
      <c r="AH1" s="60"/>
      <c r="AI1" s="60"/>
      <c r="AJ1" s="299">
        <v>41274</v>
      </c>
      <c r="AK1" s="60"/>
      <c r="AL1" s="60"/>
      <c r="AM1" s="299">
        <v>41305</v>
      </c>
      <c r="AN1" s="60"/>
      <c r="AO1" s="60"/>
      <c r="AP1" s="299">
        <v>41333</v>
      </c>
      <c r="AQ1" s="60"/>
      <c r="AR1" s="60"/>
    </row>
    <row r="2" spans="1:45" ht="12.75" customHeight="1">
      <c r="A2" s="5"/>
      <c r="B2" s="61"/>
      <c r="C2" s="62">
        <f>YEAR(C1)</f>
        <v>2012</v>
      </c>
      <c r="E2" s="61"/>
      <c r="F2" s="62">
        <f>YEAR(F1)</f>
        <v>2012</v>
      </c>
      <c r="H2" s="61"/>
      <c r="I2" s="62">
        <f>YEAR(I1)</f>
        <v>2012</v>
      </c>
      <c r="K2" s="61"/>
      <c r="L2" s="62">
        <f>YEAR(L1)</f>
        <v>2012</v>
      </c>
      <c r="N2" s="61"/>
      <c r="O2" s="62">
        <f>YEAR(O1)</f>
        <v>2012</v>
      </c>
      <c r="Q2" s="61"/>
      <c r="R2" s="62">
        <f>YEAR(R1)</f>
        <v>2012</v>
      </c>
      <c r="T2" s="61"/>
      <c r="U2" s="62">
        <f>YEAR(U1)</f>
        <v>2012</v>
      </c>
      <c r="W2" s="61"/>
      <c r="X2" s="62">
        <f>YEAR(X1)</f>
        <v>2012</v>
      </c>
      <c r="Z2" s="61"/>
      <c r="AA2" s="62">
        <f>YEAR(AA1)</f>
        <v>2012</v>
      </c>
      <c r="AC2" s="61"/>
      <c r="AD2" s="62">
        <f>YEAR(AD1)</f>
        <v>2012</v>
      </c>
      <c r="AF2" s="61"/>
      <c r="AG2" s="62">
        <f>YEAR(AG1)</f>
        <v>2012</v>
      </c>
      <c r="AI2" s="61"/>
      <c r="AJ2" s="62">
        <f>YEAR(AJ1)</f>
        <v>2012</v>
      </c>
      <c r="AL2" s="61"/>
      <c r="AM2" s="62">
        <f>YEAR(AM1)</f>
        <v>2013</v>
      </c>
      <c r="AO2" s="61"/>
      <c r="AP2" s="62">
        <f>YEAR(AP1)</f>
        <v>2013</v>
      </c>
      <c r="AS2" s="67">
        <v>2012</v>
      </c>
    </row>
    <row r="3" spans="1:45" ht="12.75" customHeight="1">
      <c r="A3" s="89" t="s">
        <v>136</v>
      </c>
      <c r="B3" s="61"/>
      <c r="C3" s="300">
        <v>7588.4</v>
      </c>
      <c r="E3" s="61"/>
      <c r="F3" s="300">
        <v>26159.24</v>
      </c>
      <c r="H3" s="61"/>
      <c r="I3" s="300">
        <v>22118.14</v>
      </c>
      <c r="K3" s="61"/>
      <c r="L3" s="300">
        <v>12657.16</v>
      </c>
      <c r="N3" s="61"/>
      <c r="O3" s="300">
        <v>23275.49</v>
      </c>
      <c r="P3" s="301"/>
      <c r="Q3" s="61"/>
      <c r="R3" s="300">
        <v>58785.26</v>
      </c>
      <c r="S3" s="301"/>
      <c r="T3" s="61"/>
      <c r="U3" s="300">
        <v>27821.96</v>
      </c>
      <c r="W3" s="61"/>
      <c r="X3" s="300">
        <v>23253.33</v>
      </c>
      <c r="Z3" s="302"/>
      <c r="AA3" s="300">
        <v>39448.019999999997</v>
      </c>
      <c r="AC3" s="61"/>
      <c r="AD3" s="300">
        <v>47213</v>
      </c>
      <c r="AF3" s="61"/>
      <c r="AG3" s="300">
        <v>39874.660000000003</v>
      </c>
      <c r="AI3" s="61"/>
      <c r="AJ3" s="300">
        <v>59864.959999999999</v>
      </c>
      <c r="AL3" s="61"/>
      <c r="AM3" s="300">
        <v>30112.13</v>
      </c>
      <c r="AO3" s="61"/>
      <c r="AP3" s="300">
        <v>36183.61</v>
      </c>
      <c r="AS3" s="306">
        <f t="shared" ref="AS3:AS7" si="0">SUMIF($B$2:$AR$2,$AS$2,B3:AR3)</f>
        <v>388059.62000000005</v>
      </c>
    </row>
    <row r="4" spans="1:45" ht="12.75" customHeight="1">
      <c r="A4" s="89" t="s">
        <v>138</v>
      </c>
      <c r="B4" s="61"/>
      <c r="C4" s="300">
        <v>35539</v>
      </c>
      <c r="E4" s="61"/>
      <c r="F4" s="300">
        <v>24758.5</v>
      </c>
      <c r="H4" s="61"/>
      <c r="I4" s="300">
        <v>28124</v>
      </c>
      <c r="K4" s="61"/>
      <c r="L4" s="300">
        <v>7250</v>
      </c>
      <c r="N4" s="61"/>
      <c r="O4" s="300">
        <v>1400</v>
      </c>
      <c r="Q4" s="61"/>
      <c r="R4" s="300">
        <v>0</v>
      </c>
      <c r="T4" s="61"/>
      <c r="U4" s="300">
        <v>0</v>
      </c>
      <c r="W4" s="61"/>
      <c r="X4" s="300">
        <v>0</v>
      </c>
      <c r="Z4" s="302"/>
      <c r="AA4" s="300">
        <v>0</v>
      </c>
      <c r="AC4" s="61"/>
      <c r="AD4" s="300">
        <v>0</v>
      </c>
      <c r="AF4" s="61"/>
      <c r="AG4" s="300">
        <v>0</v>
      </c>
      <c r="AI4" s="61"/>
      <c r="AJ4" s="300">
        <v>0</v>
      </c>
      <c r="AL4" s="61"/>
      <c r="AM4" s="300">
        <v>0</v>
      </c>
      <c r="AO4" s="61"/>
      <c r="AP4" s="300">
        <v>0</v>
      </c>
      <c r="AS4" s="306">
        <f t="shared" si="0"/>
        <v>97071.5</v>
      </c>
    </row>
    <row r="5" spans="1:45" ht="12.75" customHeight="1">
      <c r="A5" s="89" t="s">
        <v>143</v>
      </c>
      <c r="B5" s="303">
        <v>12500</v>
      </c>
      <c r="C5" s="307">
        <f>ColinSalary</f>
        <v>12500</v>
      </c>
      <c r="E5" s="61"/>
      <c r="F5" s="307">
        <f>ColinSalary</f>
        <v>12500</v>
      </c>
      <c r="H5" s="61"/>
      <c r="I5" s="307">
        <f>ColinSalary</f>
        <v>12500</v>
      </c>
      <c r="K5" s="61"/>
      <c r="L5" s="307">
        <f>ColinSalary</f>
        <v>12500</v>
      </c>
      <c r="N5" s="61"/>
      <c r="O5" s="307">
        <f>ColinSalary</f>
        <v>12500</v>
      </c>
      <c r="Q5" s="61"/>
      <c r="R5" s="307">
        <f>ColinSalary</f>
        <v>12500</v>
      </c>
      <c r="T5" s="61"/>
      <c r="U5" s="307">
        <f>ColinSalary</f>
        <v>12500</v>
      </c>
      <c r="W5" s="61"/>
      <c r="X5" s="307">
        <f>ColinSalary</f>
        <v>12500</v>
      </c>
      <c r="Z5" s="302"/>
      <c r="AA5" s="307">
        <f>ColinSalary</f>
        <v>12500</v>
      </c>
      <c r="AC5" s="61"/>
      <c r="AD5" s="307">
        <f>ColinSalary</f>
        <v>12500</v>
      </c>
      <c r="AF5" s="61"/>
      <c r="AG5" s="307">
        <f>ColinSalary</f>
        <v>12500</v>
      </c>
      <c r="AI5" s="61"/>
      <c r="AJ5" s="307">
        <f>ColinSalary</f>
        <v>12500</v>
      </c>
      <c r="AL5" s="61"/>
      <c r="AM5" s="307">
        <f>ColinSalary</f>
        <v>12500</v>
      </c>
      <c r="AO5" s="61"/>
      <c r="AP5" s="307">
        <f>ColinSalary</f>
        <v>12500</v>
      </c>
      <c r="AS5" s="306">
        <f t="shared" si="0"/>
        <v>150000</v>
      </c>
    </row>
    <row r="6" spans="1:45" ht="12.75" customHeight="1">
      <c r="A6" s="89" t="s">
        <v>334</v>
      </c>
      <c r="B6" s="102"/>
      <c r="C6" s="305">
        <f>SUM(D12:D13)</f>
        <v>0</v>
      </c>
      <c r="E6" s="61"/>
      <c r="F6" s="305">
        <f>SUM(G12:G13)</f>
        <v>383</v>
      </c>
      <c r="H6" s="61"/>
      <c r="I6" s="305">
        <f>SUM(J12:J13)</f>
        <v>787</v>
      </c>
      <c r="K6" s="61"/>
      <c r="L6" s="305">
        <f>SUM(M12:M13)</f>
        <v>522.69000000000005</v>
      </c>
      <c r="N6" s="61"/>
      <c r="O6" s="305">
        <f>SUM(P12:P13)</f>
        <v>485.41</v>
      </c>
      <c r="Q6" s="61"/>
      <c r="R6" s="305">
        <f>SUM(S12:S13)</f>
        <v>0</v>
      </c>
      <c r="T6" s="302"/>
      <c r="U6" s="305">
        <f>SUM(V12:V13)</f>
        <v>180</v>
      </c>
      <c r="W6" s="61"/>
      <c r="X6" s="305">
        <f>SUM(Y12:Y13)</f>
        <v>1441.3</v>
      </c>
      <c r="Z6" s="302"/>
      <c r="AA6" s="305" t="e">
        <f t="array" ref="AA6">SUM("")</f>
        <v>#VALUE!</v>
      </c>
      <c r="AC6" s="61"/>
      <c r="AD6" s="305" t="e">
        <f t="array" ref="AD6">SUM("")</f>
        <v>#VALUE!</v>
      </c>
      <c r="AF6" s="61"/>
      <c r="AG6" s="305" t="e">
        <f t="array" ref="AG6">SUM("")</f>
        <v>#VALUE!</v>
      </c>
      <c r="AI6" s="61"/>
      <c r="AJ6" s="305" t="e">
        <f t="array" ref="AJ6">SUM("")</f>
        <v>#VALUE!</v>
      </c>
      <c r="AL6" s="61"/>
      <c r="AM6" s="305" t="e">
        <f t="array" ref="AM6">SUM("")</f>
        <v>#VALUE!</v>
      </c>
      <c r="AO6" s="61"/>
      <c r="AP6" s="305" t="e">
        <f t="array" ref="AP6">SUM("")</f>
        <v>#VALUE!</v>
      </c>
      <c r="AS6" s="306" t="e">
        <f t="shared" si="0"/>
        <v>#VALUE!</v>
      </c>
    </row>
    <row r="7" spans="1:45" ht="12.75" customHeight="1">
      <c r="A7" s="89" t="s">
        <v>335</v>
      </c>
      <c r="B7" s="102"/>
      <c r="C7" s="305">
        <f>C3-C4-C5+C6</f>
        <v>-40450.6</v>
      </c>
      <c r="E7" s="61"/>
      <c r="F7" s="305">
        <f>F3-F4-F5+F6</f>
        <v>-10716.259999999998</v>
      </c>
      <c r="H7" s="61"/>
      <c r="I7" s="305">
        <f>I3-I4-I5+I6</f>
        <v>-17718.86</v>
      </c>
      <c r="K7" s="61"/>
      <c r="L7" s="305">
        <f>L3-L4-L5+L6</f>
        <v>-6570.15</v>
      </c>
      <c r="N7" s="61"/>
      <c r="O7" s="305">
        <f>O3-O4-O5+O6</f>
        <v>9860.9000000000015</v>
      </c>
      <c r="Q7" s="61"/>
      <c r="R7" s="305">
        <f>R3-R4-R5+R6</f>
        <v>46285.26</v>
      </c>
      <c r="T7" s="61"/>
      <c r="U7" s="305">
        <f>U3-U4-U5+U6</f>
        <v>15501.96</v>
      </c>
      <c r="W7" s="61"/>
      <c r="X7" s="305">
        <f>X3-X4-X5+X6</f>
        <v>12194.630000000001</v>
      </c>
      <c r="Z7" s="302"/>
      <c r="AA7" s="305" t="e">
        <f>AA3-AA4-AA5+AA6</f>
        <v>#VALUE!</v>
      </c>
      <c r="AC7" s="61"/>
      <c r="AD7" s="305" t="e">
        <f>AD3-AD4-AD5+AD6</f>
        <v>#VALUE!</v>
      </c>
      <c r="AF7" s="61"/>
      <c r="AG7" s="305" t="e">
        <f>AG3-AG4-AG5+AG6</f>
        <v>#VALUE!</v>
      </c>
      <c r="AI7" s="61"/>
      <c r="AJ7" s="305" t="e">
        <f>AJ3-AJ4-AJ5+AJ6</f>
        <v>#VALUE!</v>
      </c>
      <c r="AL7" s="61"/>
      <c r="AM7" s="305" t="e">
        <f>AM3-AM4-AM5+AM6</f>
        <v>#VALUE!</v>
      </c>
      <c r="AO7" s="61"/>
      <c r="AP7" s="305" t="e">
        <f>AP3-AP4-AP5+AP6</f>
        <v>#VALUE!</v>
      </c>
      <c r="AS7" s="306" t="e">
        <f t="shared" si="0"/>
        <v>#VALUE!</v>
      </c>
    </row>
    <row r="8" spans="1:45" ht="12.75" customHeight="1">
      <c r="A8" s="89" t="s">
        <v>152</v>
      </c>
      <c r="B8" s="61"/>
      <c r="C8" s="308">
        <f>TotalShares</f>
        <v>40</v>
      </c>
      <c r="E8" s="61"/>
      <c r="F8" s="308">
        <f>TotalShares</f>
        <v>40</v>
      </c>
      <c r="H8" s="61"/>
      <c r="I8" s="308">
        <f>TotalShares</f>
        <v>40</v>
      </c>
      <c r="K8" s="61"/>
      <c r="L8" s="308">
        <f>TotalShares</f>
        <v>40</v>
      </c>
      <c r="N8" s="61"/>
      <c r="O8" s="308">
        <f>TotalShares</f>
        <v>40</v>
      </c>
      <c r="Q8" s="61"/>
      <c r="R8" s="308">
        <f>TotalShares</f>
        <v>40</v>
      </c>
      <c r="T8" s="61"/>
      <c r="U8" s="308">
        <f>TotalShares</f>
        <v>40</v>
      </c>
      <c r="W8" s="61"/>
      <c r="X8" s="308">
        <f>TotalShares</f>
        <v>40</v>
      </c>
      <c r="Z8" s="61"/>
      <c r="AA8" s="308">
        <f>TotalShares</f>
        <v>40</v>
      </c>
      <c r="AC8" s="61"/>
      <c r="AD8" s="308">
        <f>TotalShares</f>
        <v>40</v>
      </c>
      <c r="AF8" s="61"/>
      <c r="AG8" s="308">
        <f>TotalShares</f>
        <v>40</v>
      </c>
      <c r="AI8" s="61"/>
      <c r="AJ8" s="308">
        <f>TotalShares</f>
        <v>40</v>
      </c>
      <c r="AL8" s="61"/>
      <c r="AM8" s="308">
        <f>TotalShares</f>
        <v>40</v>
      </c>
      <c r="AO8" s="61"/>
      <c r="AP8" s="308">
        <f>TotalShares</f>
        <v>40</v>
      </c>
      <c r="AR8" s="61"/>
      <c r="AS8" s="62"/>
    </row>
    <row r="9" spans="1:45" ht="12.75" customHeight="1">
      <c r="A9" s="5"/>
      <c r="B9" s="61"/>
      <c r="C9" s="62"/>
      <c r="E9" s="61"/>
      <c r="F9" s="62"/>
      <c r="H9" s="61"/>
      <c r="I9" s="62"/>
      <c r="K9" s="61"/>
      <c r="L9" s="62"/>
      <c r="N9" s="61"/>
      <c r="O9" s="62"/>
      <c r="Q9" s="61"/>
      <c r="R9" s="62"/>
      <c r="T9" s="61"/>
      <c r="U9" s="62"/>
      <c r="W9" s="61"/>
      <c r="X9" s="62"/>
      <c r="Z9" s="61"/>
      <c r="AA9" s="62"/>
      <c r="AC9" s="61"/>
      <c r="AD9" s="62"/>
      <c r="AF9" s="61"/>
      <c r="AG9" s="62"/>
      <c r="AI9" s="61"/>
      <c r="AJ9" s="62"/>
      <c r="AL9" s="61"/>
      <c r="AM9" s="62"/>
      <c r="AO9" s="61"/>
      <c r="AP9" s="62"/>
      <c r="AR9" s="61"/>
      <c r="AS9" s="62"/>
    </row>
    <row r="10" spans="1:45" ht="12.75" customHeight="1">
      <c r="A10" s="5"/>
      <c r="B10" s="61"/>
      <c r="C10" s="62"/>
      <c r="E10" s="61"/>
      <c r="F10" s="62"/>
      <c r="H10" s="61"/>
      <c r="I10" s="62"/>
      <c r="K10" s="61"/>
      <c r="L10" s="62"/>
      <c r="N10" s="61"/>
      <c r="O10" s="62"/>
      <c r="Q10" s="61"/>
      <c r="R10" s="62"/>
      <c r="T10" s="61"/>
      <c r="U10" s="62"/>
      <c r="W10" s="61"/>
      <c r="X10" s="62"/>
      <c r="Z10" s="61"/>
      <c r="AA10" s="62"/>
      <c r="AC10" s="61"/>
      <c r="AD10" s="62"/>
      <c r="AF10" s="61"/>
      <c r="AG10" s="62"/>
      <c r="AI10" s="61"/>
      <c r="AJ10" s="62"/>
      <c r="AL10" s="61"/>
      <c r="AM10" s="62"/>
      <c r="AO10" s="61"/>
      <c r="AP10" s="62"/>
      <c r="AR10" s="61"/>
      <c r="AS10" s="62"/>
    </row>
    <row r="11" spans="1:45" ht="12.75" customHeight="1">
      <c r="A11" s="5"/>
      <c r="B11" s="291">
        <f>SUM(B12:B13)</f>
        <v>40</v>
      </c>
      <c r="C11" s="310" t="s">
        <v>153</v>
      </c>
      <c r="D11" s="230" t="s">
        <v>154</v>
      </c>
      <c r="E11" s="309" t="s">
        <v>155</v>
      </c>
      <c r="F11" s="310" t="s">
        <v>153</v>
      </c>
      <c r="G11" s="230" t="s">
        <v>154</v>
      </c>
      <c r="H11" s="309" t="s">
        <v>155</v>
      </c>
      <c r="I11" s="310" t="s">
        <v>153</v>
      </c>
      <c r="J11" s="230" t="s">
        <v>154</v>
      </c>
      <c r="K11" s="309" t="s">
        <v>155</v>
      </c>
      <c r="L11" s="310" t="s">
        <v>153</v>
      </c>
      <c r="M11" s="230" t="s">
        <v>154</v>
      </c>
      <c r="N11" s="309" t="s">
        <v>155</v>
      </c>
      <c r="O11" s="310" t="s">
        <v>153</v>
      </c>
      <c r="P11" s="230" t="s">
        <v>154</v>
      </c>
      <c r="Q11" s="309" t="s">
        <v>155</v>
      </c>
      <c r="R11" s="310" t="s">
        <v>153</v>
      </c>
      <c r="S11" s="230" t="s">
        <v>154</v>
      </c>
      <c r="T11" s="309" t="s">
        <v>155</v>
      </c>
      <c r="U11" s="310" t="s">
        <v>153</v>
      </c>
      <c r="V11" s="230" t="s">
        <v>154</v>
      </c>
      <c r="W11" s="309" t="s">
        <v>155</v>
      </c>
      <c r="X11" s="310" t="s">
        <v>153</v>
      </c>
      <c r="Y11" s="230" t="s">
        <v>154</v>
      </c>
      <c r="Z11" s="309" t="s">
        <v>155</v>
      </c>
      <c r="AA11" s="310" t="s">
        <v>153</v>
      </c>
      <c r="AB11" s="230" t="s">
        <v>154</v>
      </c>
      <c r="AC11" s="309" t="s">
        <v>155</v>
      </c>
      <c r="AD11" s="310" t="s">
        <v>153</v>
      </c>
      <c r="AE11" s="230" t="s">
        <v>154</v>
      </c>
      <c r="AF11" s="309" t="s">
        <v>155</v>
      </c>
      <c r="AG11" s="310" t="s">
        <v>153</v>
      </c>
      <c r="AH11" s="230" t="s">
        <v>154</v>
      </c>
      <c r="AI11" s="309" t="s">
        <v>155</v>
      </c>
      <c r="AJ11" s="310" t="s">
        <v>153</v>
      </c>
      <c r="AK11" s="230" t="s">
        <v>154</v>
      </c>
      <c r="AL11" s="309" t="s">
        <v>155</v>
      </c>
      <c r="AM11" s="310" t="s">
        <v>153</v>
      </c>
      <c r="AN11" s="230" t="s">
        <v>154</v>
      </c>
      <c r="AO11" s="309" t="s">
        <v>155</v>
      </c>
      <c r="AP11" s="310" t="s">
        <v>153</v>
      </c>
      <c r="AQ11" s="230" t="s">
        <v>154</v>
      </c>
      <c r="AR11" s="309" t="s">
        <v>155</v>
      </c>
      <c r="AS11" s="62"/>
    </row>
    <row r="12" spans="1:45" ht="12.75" customHeight="1">
      <c r="A12" s="89" t="s">
        <v>83</v>
      </c>
      <c r="B12" s="294">
        <v>30</v>
      </c>
      <c r="C12" s="305">
        <f>C$7*(ColinShares/C$8)</f>
        <v>-30337.949999999997</v>
      </c>
      <c r="D12" s="99">
        <v>0</v>
      </c>
      <c r="E12" s="311">
        <f t="shared" ref="E12:E13" si="1">C12-D12</f>
        <v>-30337.949999999997</v>
      </c>
      <c r="F12" s="305">
        <f>F$7*(ColinShares/F$8)</f>
        <v>-8037.1949999999988</v>
      </c>
      <c r="G12" s="99">
        <v>383</v>
      </c>
      <c r="H12" s="311">
        <f t="shared" ref="H12:H13" si="2">F12-G12</f>
        <v>-8420.1949999999997</v>
      </c>
      <c r="I12" s="305">
        <f>I$7*(ColinShares/I$8)</f>
        <v>-13289.145</v>
      </c>
      <c r="J12" s="99">
        <v>787</v>
      </c>
      <c r="K12" s="311">
        <f t="shared" ref="K12:K13" si="3">I12-J12</f>
        <v>-14076.145</v>
      </c>
      <c r="L12" s="305">
        <f>L$7*(ColinShares/L$8)</f>
        <v>-4927.6124999999993</v>
      </c>
      <c r="M12" s="99">
        <v>522.69000000000005</v>
      </c>
      <c r="N12" s="311">
        <f t="shared" ref="N12:N13" si="4">L12-M12</f>
        <v>-5450.3024999999998</v>
      </c>
      <c r="O12" s="305">
        <f>O$7*(ColinShares/O$8)</f>
        <v>7395.6750000000011</v>
      </c>
      <c r="P12" s="99">
        <v>485.41</v>
      </c>
      <c r="Q12" s="311">
        <f t="shared" ref="Q12:Q13" si="5">O12-P12</f>
        <v>6910.2650000000012</v>
      </c>
      <c r="R12" s="305">
        <f>R$7*(ColinShares/R$8)</f>
        <v>34713.945</v>
      </c>
      <c r="S12" s="99">
        <v>0</v>
      </c>
      <c r="T12" s="311">
        <f t="shared" ref="T12:T13" si="6">R12-S12</f>
        <v>34713.945</v>
      </c>
      <c r="U12" s="305">
        <f>U$7*(ColinShares/U$8)</f>
        <v>11626.47</v>
      </c>
      <c r="V12" s="99">
        <v>180</v>
      </c>
      <c r="W12" s="311">
        <f t="shared" ref="W12:W13" si="7">U12-V12</f>
        <v>11446.47</v>
      </c>
      <c r="X12" s="305">
        <f>X$7*(ColinShares/X$8)</f>
        <v>9145.9724999999999</v>
      </c>
      <c r="Y12" s="99">
        <v>1441.3</v>
      </c>
      <c r="Z12" s="311">
        <f t="shared" ref="Z12:Z13" si="8">X12-Y12</f>
        <v>7704.6724999999997</v>
      </c>
      <c r="AA12" s="305" t="e">
        <f>AA$7*(ColinShares/AA$8)</f>
        <v>#VALUE!</v>
      </c>
      <c r="AB12" s="99">
        <v>3890.78</v>
      </c>
      <c r="AC12" s="311" t="e">
        <f t="shared" ref="AC12:AC13" si="9">AA12-AB12</f>
        <v>#VALUE!</v>
      </c>
      <c r="AD12" s="305" t="e">
        <f>AD$7*(ColinShares/AD$8)</f>
        <v>#VALUE!</v>
      </c>
      <c r="AE12" s="99">
        <v>751.35</v>
      </c>
      <c r="AF12" s="311" t="e">
        <f t="shared" ref="AF12:AF13" si="10">AD12-AE12</f>
        <v>#VALUE!</v>
      </c>
      <c r="AG12" s="305" t="e">
        <f>AG$7*(ColinShares/AG$8)</f>
        <v>#VALUE!</v>
      </c>
      <c r="AH12" s="99">
        <v>173.17</v>
      </c>
      <c r="AI12" s="311" t="e">
        <f t="shared" ref="AI12:AI13" si="11">AG12-AH12</f>
        <v>#VALUE!</v>
      </c>
      <c r="AJ12" s="305" t="e">
        <f>AJ$7*(ColinShares/AJ$8)</f>
        <v>#VALUE!</v>
      </c>
      <c r="AK12" s="99">
        <v>998.01</v>
      </c>
      <c r="AL12" s="311" t="e">
        <f t="shared" ref="AL12:AL13" si="12">AJ12-AK12</f>
        <v>#VALUE!</v>
      </c>
      <c r="AM12" s="305" t="e">
        <f>AM$7*(ColinShares/AM$8)</f>
        <v>#VALUE!</v>
      </c>
      <c r="AN12" s="99">
        <v>61.88</v>
      </c>
      <c r="AO12" s="311" t="e">
        <f t="shared" ref="AO12:AO13" si="13">AM12-AN12</f>
        <v>#VALUE!</v>
      </c>
      <c r="AP12" s="305" t="e">
        <f>AP$7*(ColinShares/AP$8)</f>
        <v>#VALUE!</v>
      </c>
      <c r="AQ12" s="99">
        <v>1561.37</v>
      </c>
      <c r="AR12" s="311" t="e">
        <f t="shared" ref="AR12:AR13" si="14">AP12-AQ12</f>
        <v>#VALUE!</v>
      </c>
      <c r="AS12" s="93" t="e">
        <f>ColinShares/TotalShares*AS$7</f>
        <v>#VALUE!</v>
      </c>
    </row>
    <row r="13" spans="1:45" ht="12.75" customHeight="1">
      <c r="A13" s="89" t="s">
        <v>209</v>
      </c>
      <c r="B13" s="294">
        <v>10</v>
      </c>
      <c r="C13" s="305">
        <f>C$7*(FronczykShares/C$8)</f>
        <v>-10112.65</v>
      </c>
      <c r="D13" s="99">
        <v>0</v>
      </c>
      <c r="E13" s="311">
        <f t="shared" si="1"/>
        <v>-10112.65</v>
      </c>
      <c r="F13" s="305">
        <f>F$7*(FronczykShares/F$8)</f>
        <v>-2679.0649999999996</v>
      </c>
      <c r="G13" s="99">
        <v>0</v>
      </c>
      <c r="H13" s="311">
        <f t="shared" si="2"/>
        <v>-2679.0649999999996</v>
      </c>
      <c r="I13" s="305">
        <f>I$7*(FronczykShares/I$8)</f>
        <v>-4429.7150000000001</v>
      </c>
      <c r="J13" s="99">
        <v>0</v>
      </c>
      <c r="K13" s="311">
        <f t="shared" si="3"/>
        <v>-4429.7150000000001</v>
      </c>
      <c r="L13" s="305">
        <f>L$7*(FronczykShares/L$8)</f>
        <v>-1642.5374999999999</v>
      </c>
      <c r="M13" s="99">
        <v>0</v>
      </c>
      <c r="N13" s="311">
        <f t="shared" si="4"/>
        <v>-1642.5374999999999</v>
      </c>
      <c r="O13" s="305">
        <f>O$7*(FronczykShares/O$8)</f>
        <v>2465.2250000000004</v>
      </c>
      <c r="P13" s="99">
        <v>0</v>
      </c>
      <c r="Q13" s="311">
        <f t="shared" si="5"/>
        <v>2465.2250000000004</v>
      </c>
      <c r="R13" s="305">
        <f>R$7*(FronczykShares/R$8)</f>
        <v>11571.315000000001</v>
      </c>
      <c r="S13" s="99">
        <v>0</v>
      </c>
      <c r="T13" s="311">
        <f t="shared" si="6"/>
        <v>11571.315000000001</v>
      </c>
      <c r="U13" s="305">
        <f>U$7*(FronczykShares/U$8)</f>
        <v>3875.49</v>
      </c>
      <c r="V13" s="99">
        <v>0</v>
      </c>
      <c r="W13" s="311">
        <f t="shared" si="7"/>
        <v>3875.49</v>
      </c>
      <c r="X13" s="305">
        <f>X$7*(FronczykShares/X$8)</f>
        <v>3048.6575000000003</v>
      </c>
      <c r="Y13" s="99">
        <v>0</v>
      </c>
      <c r="Z13" s="311">
        <f t="shared" si="8"/>
        <v>3048.6575000000003</v>
      </c>
      <c r="AA13" s="305" t="e">
        <f>AA$7*(FronczykShares/AA$8)</f>
        <v>#VALUE!</v>
      </c>
      <c r="AB13" s="99">
        <v>0</v>
      </c>
      <c r="AC13" s="311" t="e">
        <f t="shared" si="9"/>
        <v>#VALUE!</v>
      </c>
      <c r="AD13" s="305" t="e">
        <f>AD$7*(FronczykShares/AD$8)</f>
        <v>#VALUE!</v>
      </c>
      <c r="AE13" s="99">
        <v>0</v>
      </c>
      <c r="AF13" s="311" t="e">
        <f t="shared" si="10"/>
        <v>#VALUE!</v>
      </c>
      <c r="AG13" s="305" t="e">
        <f>AG$7*(FronczykShares/AG$8)</f>
        <v>#VALUE!</v>
      </c>
      <c r="AH13" s="99">
        <v>0</v>
      </c>
      <c r="AI13" s="311" t="e">
        <f t="shared" si="11"/>
        <v>#VALUE!</v>
      </c>
      <c r="AJ13" s="305" t="e">
        <f>AJ$7*(FronczykShares/AJ$8)</f>
        <v>#VALUE!</v>
      </c>
      <c r="AK13" s="99">
        <v>0</v>
      </c>
      <c r="AL13" s="311" t="e">
        <f t="shared" si="12"/>
        <v>#VALUE!</v>
      </c>
      <c r="AM13" s="305" t="e">
        <f>AM$7*(FronczykShares/AM$8)</f>
        <v>#VALUE!</v>
      </c>
      <c r="AN13" s="99">
        <v>0</v>
      </c>
      <c r="AO13" s="311" t="e">
        <f t="shared" si="13"/>
        <v>#VALUE!</v>
      </c>
      <c r="AP13" s="305" t="e">
        <f>AP$7*(FronczykShares/AP$8)</f>
        <v>#VALUE!</v>
      </c>
      <c r="AQ13" s="99">
        <v>0</v>
      </c>
      <c r="AR13" s="311" t="e">
        <f t="shared" si="14"/>
        <v>#VALUE!</v>
      </c>
      <c r="AS13" s="93" t="e">
        <f>FronczykShares/TotalShares*AS$7</f>
        <v>#VALUE!</v>
      </c>
    </row>
    <row r="14" spans="1:45" ht="12.75" customHeight="1">
      <c r="A14" s="89"/>
      <c r="B14" s="61"/>
      <c r="C14" s="62"/>
    </row>
    <row r="15" spans="1:45" ht="12.75" customHeight="1">
      <c r="A15" s="89"/>
      <c r="B15" s="61"/>
      <c r="C15" s="62"/>
    </row>
    <row r="16" spans="1:45" ht="12.75" customHeight="1">
      <c r="A16" s="89"/>
      <c r="B16" s="61"/>
      <c r="C16" s="62"/>
    </row>
    <row r="17" spans="1:3" ht="12.75" customHeight="1">
      <c r="A17" s="89"/>
      <c r="B17" s="61"/>
      <c r="C17" s="62"/>
    </row>
    <row r="18" spans="1:3" ht="12.75" customHeight="1">
      <c r="A18" s="89"/>
      <c r="B18" s="61"/>
      <c r="C18" s="62"/>
    </row>
    <row r="19" spans="1:3" ht="12.75" customHeight="1">
      <c r="A19" s="89"/>
      <c r="B19" s="61"/>
      <c r="C19" s="62"/>
    </row>
    <row r="20" spans="1:3" ht="12.75" customHeight="1">
      <c r="A20" s="89"/>
      <c r="B20" s="61"/>
      <c r="C20" s="62"/>
    </row>
    <row r="21" spans="1:3" ht="12.75" customHeight="1">
      <c r="A21" s="89"/>
      <c r="B21" s="61"/>
      <c r="C21" s="62"/>
    </row>
    <row r="22" spans="1:3" ht="12.75" customHeight="1">
      <c r="A22" s="89"/>
      <c r="B22" s="61"/>
      <c r="C22" s="62"/>
    </row>
    <row r="23" spans="1:3" ht="12.75" customHeight="1">
      <c r="A23" s="89"/>
      <c r="B23" s="61"/>
      <c r="C23" s="62"/>
    </row>
    <row r="24" spans="1:3" ht="12.75" customHeight="1">
      <c r="A24" s="89"/>
      <c r="B24" s="61"/>
      <c r="C24" s="62"/>
    </row>
    <row r="25" spans="1:3" ht="12.75" customHeight="1">
      <c r="A25" s="89"/>
      <c r="B25" s="61"/>
      <c r="C25" s="62"/>
    </row>
    <row r="26" spans="1:3" ht="12.75" customHeight="1">
      <c r="A26" s="89"/>
      <c r="B26" s="61"/>
      <c r="C26" s="62"/>
    </row>
    <row r="27" spans="1:3" ht="12.75" customHeight="1">
      <c r="A27" s="89"/>
      <c r="B27" s="61"/>
      <c r="C27" s="62"/>
    </row>
    <row r="28" spans="1:3" ht="12.75" customHeight="1">
      <c r="A28" s="89"/>
      <c r="B28" s="61"/>
      <c r="C28" s="62"/>
    </row>
    <row r="29" spans="1:3" ht="12.75" customHeight="1">
      <c r="A29" s="89"/>
      <c r="B29" s="61"/>
      <c r="C29" s="62"/>
    </row>
    <row r="30" spans="1:3" ht="12.75" customHeight="1">
      <c r="A30" s="89"/>
      <c r="B30" s="61"/>
      <c r="C30" s="62"/>
    </row>
    <row r="31" spans="1:3" ht="12.75" customHeight="1">
      <c r="A31" s="89"/>
      <c r="B31" s="61"/>
      <c r="C31" s="62"/>
    </row>
    <row r="32" spans="1:3" ht="12.75" customHeight="1">
      <c r="A32" s="89"/>
      <c r="B32" s="61"/>
      <c r="C32" s="62"/>
    </row>
    <row r="33" spans="1:3" ht="12.75" customHeight="1">
      <c r="A33" s="89"/>
      <c r="B33" s="61"/>
      <c r="C33" s="6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2.75" customHeight="1"/>
  <cols>
    <col min="1" max="1" width="17.6640625" customWidth="1"/>
    <col min="2" max="2" width="21.6640625" customWidth="1"/>
    <col min="3" max="3" width="18.1640625" customWidth="1"/>
    <col min="4" max="21" width="15.1640625" customWidth="1"/>
  </cols>
  <sheetData>
    <row r="1" spans="1:4" ht="12.75" customHeight="1">
      <c r="B1" s="1" t="s">
        <v>345</v>
      </c>
      <c r="C1" s="1" t="s">
        <v>346</v>
      </c>
      <c r="D1" s="1" t="s">
        <v>347</v>
      </c>
    </row>
    <row r="2" spans="1:4" ht="12.75" customHeight="1">
      <c r="A2" s="3" t="s">
        <v>0</v>
      </c>
      <c r="B2" s="1" t="s">
        <v>348</v>
      </c>
      <c r="C2" s="1">
        <v>32</v>
      </c>
    </row>
    <row r="3" spans="1:4" ht="12.75" customHeight="1">
      <c r="A3" s="3" t="s">
        <v>1</v>
      </c>
      <c r="B3" s="1" t="s">
        <v>349</v>
      </c>
      <c r="C3" s="1">
        <v>0</v>
      </c>
    </row>
    <row r="4" spans="1:4" ht="12.75" customHeight="1">
      <c r="A4" s="3" t="s">
        <v>2</v>
      </c>
      <c r="B4" s="1" t="s">
        <v>349</v>
      </c>
      <c r="C4" s="1">
        <v>21</v>
      </c>
      <c r="D4" s="1">
        <v>1</v>
      </c>
    </row>
    <row r="5" spans="1:4" ht="12.75" customHeight="1">
      <c r="A5" s="4" t="s">
        <v>3</v>
      </c>
      <c r="B5" s="1" t="s">
        <v>350</v>
      </c>
      <c r="C5" s="1">
        <v>20</v>
      </c>
    </row>
    <row r="6" spans="1:4" ht="12.75" customHeight="1">
      <c r="A6" s="4" t="s">
        <v>4</v>
      </c>
      <c r="B6" s="1" t="s">
        <v>350</v>
      </c>
      <c r="C6" s="1">
        <v>20</v>
      </c>
      <c r="D6" s="1">
        <v>2</v>
      </c>
    </row>
    <row r="7" spans="1:4" ht="12.75" customHeight="1">
      <c r="A7" s="4" t="s">
        <v>5</v>
      </c>
      <c r="B7" s="1" t="s">
        <v>350</v>
      </c>
      <c r="C7" s="1">
        <v>20</v>
      </c>
      <c r="D7" s="1">
        <v>1</v>
      </c>
    </row>
    <row r="8" spans="1:4" ht="12.75" customHeight="1">
      <c r="A8" s="4" t="s">
        <v>6</v>
      </c>
      <c r="B8" s="1" t="s">
        <v>349</v>
      </c>
      <c r="C8" s="1">
        <v>33</v>
      </c>
    </row>
    <row r="9" spans="1:4" ht="12.75" customHeight="1">
      <c r="A9" s="3"/>
    </row>
    <row r="10" spans="1:4" ht="12.75" customHeight="1">
      <c r="A10" s="3" t="s">
        <v>351</v>
      </c>
      <c r="D10" s="1">
        <v>4</v>
      </c>
    </row>
    <row r="11" spans="1:4" ht="12.75" customHeight="1">
      <c r="A11" s="3"/>
    </row>
    <row r="12" spans="1:4" ht="12.75" customHeight="1">
      <c r="A12" s="3"/>
    </row>
    <row r="13" spans="1:4" ht="12.75" customHeight="1">
      <c r="A13" s="3"/>
    </row>
    <row r="14" spans="1:4" ht="12.75" customHeight="1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143</vt:i4>
      </vt:variant>
    </vt:vector>
  </HeadingPairs>
  <TitlesOfParts>
    <vt:vector size="181" baseType="lpstr">
      <vt:lpstr>Leads</vt:lpstr>
      <vt:lpstr>PMs PS payouts</vt:lpstr>
      <vt:lpstr>PS Model 2025</vt:lpstr>
      <vt:lpstr>PS Model 2024</vt:lpstr>
      <vt:lpstr>PS Model 2023</vt:lpstr>
      <vt:lpstr>PS Model 2022</vt:lpstr>
      <vt:lpstr>Mirek Revised PS Model 2021</vt:lpstr>
      <vt:lpstr>Revised PS Model 2021</vt:lpstr>
      <vt:lpstr>PS Model 2021</vt:lpstr>
      <vt:lpstr>Mirek Revised PS Model 2020</vt:lpstr>
      <vt:lpstr>Revised PS Model 2020</vt:lpstr>
      <vt:lpstr>PS Model 2020</vt:lpstr>
      <vt:lpstr>Mirek Revised PS Model 2019</vt:lpstr>
      <vt:lpstr>Revised PS Model 2019</vt:lpstr>
      <vt:lpstr>PS Model 2019</vt:lpstr>
      <vt:lpstr>Revised PS Model 2018</vt:lpstr>
      <vt:lpstr>PS Model 2018</vt:lpstr>
      <vt:lpstr>Mirek Revised PS Model 2017</vt:lpstr>
      <vt:lpstr>Revised PS Model 2017</vt:lpstr>
      <vt:lpstr>PS Model 2017</vt:lpstr>
      <vt:lpstr>PS Model 2017 Q2</vt:lpstr>
      <vt:lpstr>PS Model 2017 Q1</vt:lpstr>
      <vt:lpstr>Updated uncollectible PS Model </vt:lpstr>
      <vt:lpstr>QB Cleanup PS Model 2016</vt:lpstr>
      <vt:lpstr>Revised PS Model 2016</vt:lpstr>
      <vt:lpstr>PS Model 2016</vt:lpstr>
      <vt:lpstr>PS Model 2016 Q2</vt:lpstr>
      <vt:lpstr>PS Model 2016 Q1</vt:lpstr>
      <vt:lpstr>Revised PS Model 2015</vt:lpstr>
      <vt:lpstr>Copy of Revised PS Model 2015</vt:lpstr>
      <vt:lpstr>Revised PS Model 2014</vt:lpstr>
      <vt:lpstr>REVISED PS Model 2013</vt:lpstr>
      <vt:lpstr>REVISED 2012 2H</vt:lpstr>
      <vt:lpstr>PS Model 2015</vt:lpstr>
      <vt:lpstr>PS Model 2014</vt:lpstr>
      <vt:lpstr>PS Model 2013</vt:lpstr>
      <vt:lpstr>PS Model 2012</vt:lpstr>
      <vt:lpstr>Vacation</vt:lpstr>
      <vt:lpstr>'Copy of Revised PS Model 2015'!ColinSalary</vt:lpstr>
      <vt:lpstr>'Mirek Revised PS Model 2017'!ColinSalary</vt:lpstr>
      <vt:lpstr>'Mirek Revised PS Model 2019'!ColinSalary</vt:lpstr>
      <vt:lpstr>'Mirek Revised PS Model 2020'!ColinSalary</vt:lpstr>
      <vt:lpstr>'Mirek Revised PS Model 2021'!ColinSalary</vt:lpstr>
      <vt:lpstr>'PS Model 2013'!ColinSalary</vt:lpstr>
      <vt:lpstr>'PS Model 2014'!ColinSalary</vt:lpstr>
      <vt:lpstr>'PS Model 2015'!ColinSalary</vt:lpstr>
      <vt:lpstr>'PS Model 2016'!ColinSalary</vt:lpstr>
      <vt:lpstr>'PS Model 2016 Q1'!ColinSalary</vt:lpstr>
      <vt:lpstr>'PS Model 2016 Q2'!ColinSalary</vt:lpstr>
      <vt:lpstr>'PS Model 2017'!ColinSalary</vt:lpstr>
      <vt:lpstr>'PS Model 2017 Q1'!ColinSalary</vt:lpstr>
      <vt:lpstr>'PS Model 2017 Q2'!ColinSalary</vt:lpstr>
      <vt:lpstr>'PS Model 2018'!ColinSalary</vt:lpstr>
      <vt:lpstr>'PS Model 2019'!ColinSalary</vt:lpstr>
      <vt:lpstr>'PS Model 2020'!ColinSalary</vt:lpstr>
      <vt:lpstr>'PS Model 2021'!ColinSalary</vt:lpstr>
      <vt:lpstr>'PS Model 2022'!ColinSalary</vt:lpstr>
      <vt:lpstr>'PS Model 2023'!ColinSalary</vt:lpstr>
      <vt:lpstr>'PS Model 2024'!ColinSalary</vt:lpstr>
      <vt:lpstr>'PS Model 2025'!ColinSalary</vt:lpstr>
      <vt:lpstr>'QB Cleanup PS Model 2016'!ColinSalary</vt:lpstr>
      <vt:lpstr>'REVISED 2012 2H'!ColinSalary</vt:lpstr>
      <vt:lpstr>'REVISED PS Model 2013'!ColinSalary</vt:lpstr>
      <vt:lpstr>'Revised PS Model 2014'!ColinSalary</vt:lpstr>
      <vt:lpstr>'Revised PS Model 2015'!ColinSalary</vt:lpstr>
      <vt:lpstr>'Revised PS Model 2016'!ColinSalary</vt:lpstr>
      <vt:lpstr>'Revised PS Model 2017'!ColinSalary</vt:lpstr>
      <vt:lpstr>'Revised PS Model 2018'!ColinSalary</vt:lpstr>
      <vt:lpstr>'Revised PS Model 2019'!ColinSalary</vt:lpstr>
      <vt:lpstr>'Revised PS Model 2020'!ColinSalary</vt:lpstr>
      <vt:lpstr>'Revised PS Model 2021'!ColinSalary</vt:lpstr>
      <vt:lpstr>'Updated uncollectible PS Model '!ColinSalary</vt:lpstr>
      <vt:lpstr>ColinSalary</vt:lpstr>
      <vt:lpstr>'Copy of Revised PS Model 2015'!ColinShares</vt:lpstr>
      <vt:lpstr>'Mirek Revised PS Model 2017'!ColinShares</vt:lpstr>
      <vt:lpstr>'Mirek Revised PS Model 2019'!ColinShares</vt:lpstr>
      <vt:lpstr>'Mirek Revised PS Model 2020'!ColinShares</vt:lpstr>
      <vt:lpstr>'Mirek Revised PS Model 2021'!ColinShares</vt:lpstr>
      <vt:lpstr>'PS Model 2013'!ColinShares</vt:lpstr>
      <vt:lpstr>'PS Model 2014'!ColinShares</vt:lpstr>
      <vt:lpstr>'PS Model 2015'!ColinShares</vt:lpstr>
      <vt:lpstr>'PS Model 2016'!ColinShares</vt:lpstr>
      <vt:lpstr>'PS Model 2016 Q1'!ColinShares</vt:lpstr>
      <vt:lpstr>'PS Model 2016 Q2'!ColinShares</vt:lpstr>
      <vt:lpstr>'PS Model 2017'!ColinShares</vt:lpstr>
      <vt:lpstr>'PS Model 2017 Q1'!ColinShares</vt:lpstr>
      <vt:lpstr>'PS Model 2017 Q2'!ColinShares</vt:lpstr>
      <vt:lpstr>'PS Model 2018'!ColinShares</vt:lpstr>
      <vt:lpstr>'PS Model 2019'!ColinShares</vt:lpstr>
      <vt:lpstr>'PS Model 2020'!ColinShares</vt:lpstr>
      <vt:lpstr>'PS Model 2021'!ColinShares</vt:lpstr>
      <vt:lpstr>'PS Model 2022'!ColinShares</vt:lpstr>
      <vt:lpstr>'PS Model 2023'!ColinShares</vt:lpstr>
      <vt:lpstr>'PS Model 2024'!ColinShares</vt:lpstr>
      <vt:lpstr>'PS Model 2025'!ColinShares</vt:lpstr>
      <vt:lpstr>'QB Cleanup PS Model 2016'!ColinShares</vt:lpstr>
      <vt:lpstr>'REVISED 2012 2H'!ColinShares</vt:lpstr>
      <vt:lpstr>'REVISED PS Model 2013'!ColinShares</vt:lpstr>
      <vt:lpstr>'Revised PS Model 2014'!ColinShares</vt:lpstr>
      <vt:lpstr>'Revised PS Model 2015'!ColinShares</vt:lpstr>
      <vt:lpstr>'Revised PS Model 2016'!ColinShares</vt:lpstr>
      <vt:lpstr>'Revised PS Model 2017'!ColinShares</vt:lpstr>
      <vt:lpstr>'Revised PS Model 2018'!ColinShares</vt:lpstr>
      <vt:lpstr>'Revised PS Model 2019'!ColinShares</vt:lpstr>
      <vt:lpstr>'Revised PS Model 2020'!ColinShares</vt:lpstr>
      <vt:lpstr>'Revised PS Model 2021'!ColinShares</vt:lpstr>
      <vt:lpstr>'Updated uncollectible PS Model '!ColinShares</vt:lpstr>
      <vt:lpstr>ColinShares</vt:lpstr>
      <vt:lpstr>firstColinPaidRow</vt:lpstr>
      <vt:lpstr>firstNotPaidRow</vt:lpstr>
      <vt:lpstr>firstPaidRow</vt:lpstr>
      <vt:lpstr>'Copy of Revised PS Model 2015'!FronczykShares</vt:lpstr>
      <vt:lpstr>'Mirek Revised PS Model 2017'!FronczykShares</vt:lpstr>
      <vt:lpstr>'Mirek Revised PS Model 2019'!FronczykShares</vt:lpstr>
      <vt:lpstr>'Mirek Revised PS Model 2020'!FronczykShares</vt:lpstr>
      <vt:lpstr>'Mirek Revised PS Model 2021'!FronczykShares</vt:lpstr>
      <vt:lpstr>'PS Model 2013'!FronczykShares</vt:lpstr>
      <vt:lpstr>'PS Model 2014'!FronczykShares</vt:lpstr>
      <vt:lpstr>'PS Model 2015'!FronczykShares</vt:lpstr>
      <vt:lpstr>'PS Model 2016'!FronczykShares</vt:lpstr>
      <vt:lpstr>'PS Model 2016 Q1'!FronczykShares</vt:lpstr>
      <vt:lpstr>'PS Model 2016 Q2'!FronczykShares</vt:lpstr>
      <vt:lpstr>'PS Model 2017'!FronczykShares</vt:lpstr>
      <vt:lpstr>'PS Model 2017 Q1'!FronczykShares</vt:lpstr>
      <vt:lpstr>'PS Model 2017 Q2'!FronczykShares</vt:lpstr>
      <vt:lpstr>'PS Model 2018'!FronczykShares</vt:lpstr>
      <vt:lpstr>'PS Model 2019'!FronczykShares</vt:lpstr>
      <vt:lpstr>'PS Model 2020'!FronczykShares</vt:lpstr>
      <vt:lpstr>'PS Model 2021'!FronczykShares</vt:lpstr>
      <vt:lpstr>'PS Model 2022'!FronczykShares</vt:lpstr>
      <vt:lpstr>'PS Model 2023'!FronczykShares</vt:lpstr>
      <vt:lpstr>'PS Model 2024'!FronczykShares</vt:lpstr>
      <vt:lpstr>'PS Model 2025'!FronczykShares</vt:lpstr>
      <vt:lpstr>'QB Cleanup PS Model 2016'!FronczykShares</vt:lpstr>
      <vt:lpstr>'REVISED 2012 2H'!FronczykShares</vt:lpstr>
      <vt:lpstr>'REVISED PS Model 2013'!FronczykShares</vt:lpstr>
      <vt:lpstr>'Revised PS Model 2014'!FronczykShares</vt:lpstr>
      <vt:lpstr>'Revised PS Model 2015'!FronczykShares</vt:lpstr>
      <vt:lpstr>'Revised PS Model 2016'!FronczykShares</vt:lpstr>
      <vt:lpstr>'Revised PS Model 2017'!FronczykShares</vt:lpstr>
      <vt:lpstr>'Revised PS Model 2018'!FronczykShares</vt:lpstr>
      <vt:lpstr>'Revised PS Model 2019'!FronczykShares</vt:lpstr>
      <vt:lpstr>'Revised PS Model 2020'!FronczykShares</vt:lpstr>
      <vt:lpstr>'Revised PS Model 2021'!FronczykShares</vt:lpstr>
      <vt:lpstr>'Updated uncollectible PS Model '!FronczykShares</vt:lpstr>
      <vt:lpstr>FronczykShares</vt:lpstr>
      <vt:lpstr>'Copy of Revised PS Model 2015'!TotalShares</vt:lpstr>
      <vt:lpstr>'Mirek Revised PS Model 2017'!TotalShares</vt:lpstr>
      <vt:lpstr>'Mirek Revised PS Model 2019'!TotalShares</vt:lpstr>
      <vt:lpstr>'Mirek Revised PS Model 2020'!TotalShares</vt:lpstr>
      <vt:lpstr>'Mirek Revised PS Model 2021'!TotalShares</vt:lpstr>
      <vt:lpstr>'PS Model 2013'!TotalShares</vt:lpstr>
      <vt:lpstr>'PS Model 2014'!TotalShares</vt:lpstr>
      <vt:lpstr>'PS Model 2015'!TotalShares</vt:lpstr>
      <vt:lpstr>'PS Model 2016'!TotalShares</vt:lpstr>
      <vt:lpstr>'PS Model 2016 Q1'!TotalShares</vt:lpstr>
      <vt:lpstr>'PS Model 2016 Q2'!TotalShares</vt:lpstr>
      <vt:lpstr>'PS Model 2017'!TotalShares</vt:lpstr>
      <vt:lpstr>'PS Model 2017 Q1'!TotalShares</vt:lpstr>
      <vt:lpstr>'PS Model 2017 Q2'!TotalShares</vt:lpstr>
      <vt:lpstr>'PS Model 2018'!TotalShares</vt:lpstr>
      <vt:lpstr>'PS Model 2019'!TotalShares</vt:lpstr>
      <vt:lpstr>'PS Model 2020'!TotalShares</vt:lpstr>
      <vt:lpstr>'PS Model 2021'!TotalShares</vt:lpstr>
      <vt:lpstr>'PS Model 2022'!TotalShares</vt:lpstr>
      <vt:lpstr>'PS Model 2023'!TotalShares</vt:lpstr>
      <vt:lpstr>'PS Model 2024'!TotalShares</vt:lpstr>
      <vt:lpstr>'PS Model 2025'!TotalShares</vt:lpstr>
      <vt:lpstr>'QB Cleanup PS Model 2016'!TotalShares</vt:lpstr>
      <vt:lpstr>'REVISED 2012 2H'!TotalShares</vt:lpstr>
      <vt:lpstr>'REVISED PS Model 2013'!TotalShares</vt:lpstr>
      <vt:lpstr>'Revised PS Model 2014'!TotalShares</vt:lpstr>
      <vt:lpstr>'Revised PS Model 2015'!TotalShares</vt:lpstr>
      <vt:lpstr>'Revised PS Model 2016'!TotalShares</vt:lpstr>
      <vt:lpstr>'Revised PS Model 2017'!TotalShares</vt:lpstr>
      <vt:lpstr>'Revised PS Model 2018'!TotalShares</vt:lpstr>
      <vt:lpstr>'Revised PS Model 2019'!TotalShares</vt:lpstr>
      <vt:lpstr>'Revised PS Model 2020'!TotalShares</vt:lpstr>
      <vt:lpstr>'Revised PS Model 2021'!TotalShares</vt:lpstr>
      <vt:lpstr>'Updated uncollectible PS Model '!TotalShares</vt:lpstr>
      <vt:lpstr>TotalShares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Montrose Software Admin</cp:lastModifiedBy>
  <dcterms:created xsi:type="dcterms:W3CDTF">2025-10-21T09:11:58Z</dcterms:created>
  <dcterms:modified xsi:type="dcterms:W3CDTF">2025-10-21T09:11:58Z</dcterms:modified>
</cp:coreProperties>
</file>