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drawings/drawing2.xml" ContentType="application/vnd.openxmlformats-officedocument.drawing+xml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\\cplsvkun-fs\06_drd\05_PRODUCTS\MODEL_CARDS\!!!PROPOZYCJE NOWYCH KART MODELI\"/>
    </mc:Choice>
  </mc:AlternateContent>
  <bookViews>
    <workbookView xWindow="-28920" yWindow="-120" windowWidth="29040" windowHeight="15840" tabRatio="683"/>
  </bookViews>
  <sheets>
    <sheet name="ESG" sheetId="1" r:id="rId1"/>
    <sheet name="DANE CONTROLLINGU" sheetId="2" r:id="rId2"/>
    <sheet name="MARSZRUTA_WER 6" sheetId="15" r:id="rId3"/>
    <sheet name="MARSZRUTA_WER 5" sheetId="9" state="hidden" r:id="rId4"/>
    <sheet name="Batch_size" sheetId="16" state="hidden" r:id="rId5"/>
    <sheet name="Batch size 2021" sheetId="17" r:id="rId6"/>
    <sheet name="Uwagi" sheetId="8" r:id="rId7"/>
    <sheet name="Ilość farby" sheetId="5" state="hidden" r:id="rId8"/>
    <sheet name="charakterystyki" sheetId="11" state="hidden" r:id="rId9"/>
    <sheet name="ETYKIETOWANIE" sheetId="14" r:id="rId10"/>
    <sheet name="szkła" sheetId="12" r:id="rId11"/>
    <sheet name="SCRAP" sheetId="13" state="hidden" r:id="rId12"/>
  </sheets>
  <externalReferences>
    <externalReference r:id="rId13"/>
  </externalReferences>
  <definedNames>
    <definedName name="_xlnm._FilterDatabase" localSheetId="5" hidden="1">'Batch size 2021'!$A$1:$M$98</definedName>
    <definedName name="_xlnm._FilterDatabase" localSheetId="4" hidden="1">Batch_size!$A$1:$T$50</definedName>
    <definedName name="_xlnm._FilterDatabase" localSheetId="9" hidden="1">ETYKIETOWANIE!$C$2:$I$43</definedName>
    <definedName name="_xlnm._FilterDatabase" localSheetId="3" hidden="1">'MARSZRUTA_WER 5'!$A$19:$T$79</definedName>
    <definedName name="_xlnm._FilterDatabase" localSheetId="2" hidden="1">'MARSZRUTA_WER 6'!$AV$1:$AV$299</definedName>
    <definedName name="_xlnm._FilterDatabase" localSheetId="10" hidden="1">szkła!$1:$95</definedName>
    <definedName name="ETYKIETOWANIE" localSheetId="4">[1]ETYKIETOWANIE!$C$3:$I$85</definedName>
    <definedName name="ETYKIETOWANIE">ETYKIETOWANIE!$C$3:$I$85</definedName>
    <definedName name="farby" localSheetId="4">'[1]DANE CONTROLLINGU'!$F$4:$F$12</definedName>
    <definedName name="farby" localSheetId="3">'DANE CONTROLLINGU'!$F$4:$G$10</definedName>
    <definedName name="farby">'DANE CONTROLLINGU'!$F$4:$F$10</definedName>
    <definedName name="grubosc" localSheetId="4">'[1]DANE CONTROLLINGU'!$B$4:$B$15</definedName>
    <definedName name="grubosc">'DANE CONTROLLINGU'!$B$4:$B$15</definedName>
    <definedName name="iso_1">charakterystyki!$D$12:$D$13</definedName>
    <definedName name="iso_2">charakterystyki!$D$14:$D$15</definedName>
    <definedName name="iso_3">charakterystyki!$D$16:$D$17</definedName>
    <definedName name="kolory" localSheetId="4">'[1]DANE CONTROLLINGU'!$D$4:$D$16</definedName>
    <definedName name="kolory">'DANE CONTROLLINGU'!$D$4:$D$16</definedName>
    <definedName name="lam">charakterystyki!$D$9:$D$11</definedName>
    <definedName name="mal" localSheetId="4">[1]charakterystyki!$D$7:$D$8</definedName>
    <definedName name="mal">charakterystyki!$D$7:$D$8</definedName>
    <definedName name="_xlnm.Print_Area" localSheetId="0">ESG!$A$1:$AH$59</definedName>
    <definedName name="okl">charakterystyki!$D$21:$D$22</definedName>
    <definedName name="otwory" localSheetId="4">[1]charakterystyki!$D$2:$D$3</definedName>
    <definedName name="otwory">charakterystyki!$D$2:$D$3</definedName>
    <definedName name="pro">charakterystyki!$D$18:$D$20</definedName>
    <definedName name="SAPBEXdnldView" hidden="1">"5738L28VDGW3JFGG58XJC7PJU"</definedName>
    <definedName name="SAPBEXsysID" hidden="1">"PS2"</definedName>
    <definedName name="scrap">SCRAP!$A$1:$H$186</definedName>
    <definedName name="scrap_2" localSheetId="4">[1]SCRAP!$A$1:$H$92</definedName>
    <definedName name="scrap_2">SCRAP!$A$1:$H$92</definedName>
    <definedName name="STR_SZKLA">szkła!$B$1:$H$72</definedName>
    <definedName name="wycięcia" localSheetId="4">[1]charakterystyki!$D$4:$D$6</definedName>
    <definedName name="wycięcia">charakterystyki!$D$4:$D$6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9" i="12" l="1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Z7" i="15" l="1"/>
  <c r="AZ11" i="15"/>
  <c r="AW7" i="15"/>
  <c r="AY12" i="15"/>
  <c r="AZ12" i="15" s="1"/>
  <c r="AW274" i="15"/>
  <c r="AX273" i="15"/>
  <c r="AW273" i="15"/>
  <c r="AW272" i="15"/>
  <c r="AX271" i="15"/>
  <c r="AW271" i="15"/>
  <c r="AW270" i="15"/>
  <c r="AX269" i="15"/>
  <c r="AW269" i="15"/>
  <c r="AW268" i="15"/>
  <c r="AX267" i="15"/>
  <c r="AW267" i="15"/>
  <c r="AX266" i="15"/>
  <c r="AW266" i="15"/>
  <c r="AW265" i="15"/>
  <c r="AX264" i="15"/>
  <c r="AW264" i="15"/>
  <c r="AW263" i="15"/>
  <c r="AX262" i="15"/>
  <c r="AW262" i="15"/>
  <c r="AW261" i="15"/>
  <c r="AX260" i="15"/>
  <c r="AW260" i="15"/>
  <c r="AW259" i="15"/>
  <c r="AX258" i="15"/>
  <c r="AW258" i="15"/>
  <c r="AW257" i="15"/>
  <c r="AX256" i="15"/>
  <c r="AW256" i="15"/>
  <c r="AW255" i="15"/>
  <c r="AX254" i="15"/>
  <c r="AW254" i="15"/>
  <c r="AW253" i="15"/>
  <c r="AX252" i="15"/>
  <c r="AW252" i="15"/>
  <c r="AW251" i="15"/>
  <c r="AX250" i="15"/>
  <c r="AW250" i="15"/>
  <c r="AW249" i="15"/>
  <c r="AX248" i="15"/>
  <c r="AW248" i="15"/>
  <c r="AW247" i="15"/>
  <c r="AX246" i="15"/>
  <c r="AW246" i="15"/>
  <c r="AW245" i="15"/>
  <c r="AX244" i="15"/>
  <c r="AW244" i="15"/>
  <c r="AW243" i="15"/>
  <c r="AX242" i="15"/>
  <c r="AW242" i="15"/>
  <c r="AW241" i="15"/>
  <c r="AX240" i="15"/>
  <c r="AW240" i="15"/>
  <c r="AX239" i="15"/>
  <c r="AW239" i="15"/>
  <c r="AW238" i="15"/>
  <c r="AX237" i="15"/>
  <c r="AW237" i="15"/>
  <c r="AX236" i="15"/>
  <c r="AW236" i="15"/>
  <c r="AW235" i="15"/>
  <c r="AX234" i="15"/>
  <c r="AW234" i="15"/>
  <c r="AX233" i="15"/>
  <c r="AW233" i="15"/>
  <c r="AX232" i="15"/>
  <c r="AW232" i="15"/>
  <c r="AW231" i="15"/>
  <c r="AX230" i="15"/>
  <c r="AW230" i="15"/>
  <c r="AX229" i="15"/>
  <c r="AW229" i="15"/>
  <c r="AX228" i="15"/>
  <c r="AW228" i="15"/>
  <c r="AX227" i="15"/>
  <c r="AW227" i="15"/>
  <c r="AW226" i="15"/>
  <c r="AX225" i="15"/>
  <c r="AW225" i="15"/>
  <c r="AW224" i="15"/>
  <c r="AX223" i="15"/>
  <c r="AW223" i="15"/>
  <c r="AW222" i="15"/>
  <c r="AX221" i="15"/>
  <c r="AW221" i="15"/>
  <c r="AX220" i="15"/>
  <c r="AW220" i="15"/>
  <c r="AW219" i="15"/>
  <c r="AX218" i="15"/>
  <c r="AW218" i="15"/>
  <c r="AW217" i="15"/>
  <c r="AX216" i="15"/>
  <c r="AW216" i="15"/>
  <c r="AW215" i="15"/>
  <c r="AX214" i="15"/>
  <c r="AW214" i="15"/>
  <c r="AW213" i="15"/>
  <c r="AX212" i="15"/>
  <c r="AW212" i="15"/>
  <c r="AX211" i="15"/>
  <c r="AW211" i="15"/>
  <c r="AW210" i="15"/>
  <c r="AX209" i="15"/>
  <c r="AW209" i="15"/>
  <c r="AW208" i="15"/>
  <c r="AX207" i="15"/>
  <c r="AW207" i="15"/>
  <c r="AW206" i="15"/>
  <c r="AX205" i="15"/>
  <c r="AW205" i="15"/>
  <c r="AW204" i="15"/>
  <c r="AX203" i="15"/>
  <c r="AW203" i="15"/>
  <c r="AX202" i="15"/>
  <c r="AW202" i="15"/>
  <c r="AW201" i="15"/>
  <c r="AX200" i="15"/>
  <c r="AW200" i="15"/>
  <c r="AW199" i="15"/>
  <c r="AX198" i="15"/>
  <c r="AW198" i="15"/>
  <c r="AW197" i="15"/>
  <c r="AX196" i="15"/>
  <c r="AW196" i="15"/>
  <c r="AW195" i="15"/>
  <c r="AX194" i="15"/>
  <c r="AW194" i="15"/>
  <c r="AX193" i="15"/>
  <c r="AW193" i="15"/>
  <c r="AW192" i="15"/>
  <c r="AX191" i="15"/>
  <c r="AW191" i="15"/>
  <c r="AW190" i="15"/>
  <c r="AX189" i="15"/>
  <c r="AW189" i="15"/>
  <c r="AW188" i="15"/>
  <c r="AX187" i="15"/>
  <c r="AW187" i="15"/>
  <c r="AW186" i="15"/>
  <c r="AX185" i="15"/>
  <c r="AW185" i="15"/>
  <c r="AX184" i="15"/>
  <c r="AW184" i="15"/>
  <c r="AW183" i="15"/>
  <c r="AX182" i="15"/>
  <c r="AW182" i="15"/>
  <c r="AW181" i="15"/>
  <c r="AX180" i="15"/>
  <c r="AW180" i="15"/>
  <c r="AW179" i="15"/>
  <c r="AX178" i="15"/>
  <c r="AW178" i="15"/>
  <c r="AW177" i="15"/>
  <c r="AX176" i="15"/>
  <c r="AW176" i="15"/>
  <c r="AX175" i="15"/>
  <c r="AW175" i="15"/>
  <c r="AW174" i="15"/>
  <c r="AX173" i="15"/>
  <c r="AW173" i="15"/>
  <c r="AX172" i="15"/>
  <c r="AW172" i="15"/>
  <c r="AX171" i="15"/>
  <c r="AW171" i="15"/>
  <c r="AW170" i="15"/>
  <c r="AX169" i="15"/>
  <c r="AW169" i="15"/>
  <c r="AX168" i="15"/>
  <c r="AW168" i="15"/>
  <c r="AX167" i="15"/>
  <c r="AW167" i="15"/>
  <c r="AW166" i="15"/>
  <c r="AX165" i="15"/>
  <c r="AW165" i="15"/>
  <c r="AX164" i="15"/>
  <c r="AW164" i="15"/>
  <c r="AX163" i="15"/>
  <c r="AW163" i="15"/>
  <c r="AW162" i="15"/>
  <c r="AX161" i="15"/>
  <c r="AW161" i="15"/>
  <c r="AX160" i="15"/>
  <c r="AW160" i="15"/>
  <c r="AX159" i="15"/>
  <c r="AW159" i="15"/>
  <c r="AW158" i="15"/>
  <c r="AX157" i="15"/>
  <c r="AW157" i="15"/>
  <c r="AX156" i="15"/>
  <c r="AW156" i="15"/>
  <c r="AX155" i="15"/>
  <c r="AW155" i="15"/>
  <c r="AW154" i="15"/>
  <c r="AX153" i="15"/>
  <c r="AW153" i="15"/>
  <c r="AX152" i="15"/>
  <c r="AW152" i="15"/>
  <c r="AX151" i="15"/>
  <c r="AW151" i="15"/>
  <c r="AW150" i="15"/>
  <c r="AX149" i="15"/>
  <c r="AW149" i="15"/>
  <c r="AX148" i="15"/>
  <c r="AW148" i="15"/>
  <c r="AX147" i="15"/>
  <c r="AW147" i="15"/>
  <c r="AX146" i="15"/>
  <c r="AW146" i="15"/>
  <c r="AW145" i="15"/>
  <c r="AX144" i="15"/>
  <c r="AW144" i="15"/>
  <c r="AX143" i="15"/>
  <c r="AW143" i="15"/>
  <c r="AX142" i="15"/>
  <c r="AW142" i="15"/>
  <c r="AW141" i="15"/>
  <c r="AX140" i="15"/>
  <c r="AW140" i="15"/>
  <c r="AX139" i="15"/>
  <c r="AW139" i="15"/>
  <c r="AX138" i="15"/>
  <c r="AW138" i="15"/>
  <c r="AW137" i="15"/>
  <c r="AX136" i="15"/>
  <c r="AW136" i="15"/>
  <c r="AX135" i="15"/>
  <c r="AW135" i="15"/>
  <c r="AX134" i="15"/>
  <c r="AW134" i="15"/>
  <c r="AW133" i="15"/>
  <c r="AX132" i="15"/>
  <c r="AW132" i="15"/>
  <c r="AX131" i="15"/>
  <c r="AW131" i="15"/>
  <c r="AX130" i="15"/>
  <c r="AW130" i="15"/>
  <c r="AW129" i="15"/>
  <c r="AX128" i="15"/>
  <c r="AW128" i="15"/>
  <c r="AX127" i="15"/>
  <c r="AW127" i="15"/>
  <c r="AX126" i="15"/>
  <c r="AW126" i="15"/>
  <c r="AW125" i="15"/>
  <c r="AX124" i="15"/>
  <c r="AW124" i="15"/>
  <c r="AX123" i="15"/>
  <c r="AW123" i="15"/>
  <c r="AX122" i="15"/>
  <c r="AW122" i="15"/>
  <c r="AW121" i="15"/>
  <c r="AX120" i="15"/>
  <c r="AW120" i="15"/>
  <c r="AX119" i="15"/>
  <c r="AW119" i="15"/>
  <c r="AX118" i="15"/>
  <c r="AW118" i="15"/>
  <c r="AX117" i="15"/>
  <c r="AW117" i="15"/>
  <c r="AW116" i="15"/>
  <c r="AX115" i="15"/>
  <c r="AW115" i="15"/>
  <c r="AX114" i="15"/>
  <c r="AW114" i="15"/>
  <c r="AX113" i="15"/>
  <c r="AW113" i="15"/>
  <c r="AW112" i="15"/>
  <c r="AX111" i="15"/>
  <c r="AW111" i="15"/>
  <c r="AX110" i="15"/>
  <c r="AW110" i="15"/>
  <c r="AX109" i="15"/>
  <c r="AW109" i="15"/>
  <c r="AW108" i="15"/>
  <c r="AX107" i="15"/>
  <c r="AW107" i="15"/>
  <c r="AX106" i="15"/>
  <c r="AW106" i="15"/>
  <c r="AX105" i="15"/>
  <c r="AW105" i="15"/>
  <c r="AW104" i="15"/>
  <c r="AX103" i="15"/>
  <c r="AW103" i="15"/>
  <c r="AX102" i="15"/>
  <c r="AW102" i="15"/>
  <c r="AX101" i="15"/>
  <c r="AW101" i="15"/>
  <c r="AW100" i="15"/>
  <c r="AX99" i="15"/>
  <c r="AW99" i="15"/>
  <c r="AX98" i="15"/>
  <c r="AW98" i="15"/>
  <c r="AX97" i="15"/>
  <c r="AW97" i="15"/>
  <c r="AW96" i="15"/>
  <c r="AX95" i="15"/>
  <c r="AW95" i="15"/>
  <c r="AX94" i="15"/>
  <c r="AW94" i="15"/>
  <c r="AX93" i="15"/>
  <c r="AW93" i="15"/>
  <c r="AW92" i="15"/>
  <c r="AX91" i="15"/>
  <c r="AW91" i="15"/>
  <c r="AX90" i="15"/>
  <c r="AW90" i="15"/>
  <c r="AX89" i="15"/>
  <c r="AW89" i="15"/>
  <c r="AX88" i="15"/>
  <c r="AW88" i="15"/>
  <c r="AW87" i="15"/>
  <c r="AX86" i="15"/>
  <c r="AW86" i="15"/>
  <c r="AX85" i="15"/>
  <c r="AW85" i="15"/>
  <c r="AX84" i="15"/>
  <c r="AW84" i="15"/>
  <c r="AW83" i="15"/>
  <c r="AX82" i="15"/>
  <c r="AW82" i="15"/>
  <c r="AX81" i="15"/>
  <c r="AW81" i="15"/>
  <c r="AX80" i="15"/>
  <c r="AW80" i="15"/>
  <c r="AW79" i="15"/>
  <c r="AX78" i="15"/>
  <c r="AW78" i="15"/>
  <c r="AX77" i="15"/>
  <c r="AW77" i="15"/>
  <c r="AX76" i="15"/>
  <c r="AW76" i="15"/>
  <c r="AW75" i="15"/>
  <c r="AX74" i="15"/>
  <c r="AW74" i="15"/>
  <c r="AX73" i="15"/>
  <c r="AW73" i="15"/>
  <c r="AX72" i="15"/>
  <c r="AW72" i="15"/>
  <c r="AW71" i="15"/>
  <c r="AX70" i="15"/>
  <c r="AW70" i="15"/>
  <c r="AX69" i="15"/>
  <c r="AW69" i="15"/>
  <c r="AX68" i="15"/>
  <c r="AW68" i="15"/>
  <c r="AW67" i="15"/>
  <c r="AX66" i="15"/>
  <c r="AW66" i="15"/>
  <c r="AX65" i="15"/>
  <c r="AW65" i="15"/>
  <c r="AX64" i="15"/>
  <c r="AW64" i="15"/>
  <c r="AW63" i="15"/>
  <c r="AX62" i="15"/>
  <c r="AW62" i="15"/>
  <c r="AX61" i="15"/>
  <c r="AW61" i="15"/>
  <c r="AX60" i="15"/>
  <c r="AW60" i="15"/>
  <c r="AX59" i="15"/>
  <c r="AW59" i="15"/>
  <c r="AW58" i="15"/>
  <c r="AX57" i="15"/>
  <c r="AW57" i="15"/>
  <c r="AX56" i="15"/>
  <c r="AW56" i="15"/>
  <c r="AX55" i="15"/>
  <c r="AW55" i="15"/>
  <c r="AW54" i="15"/>
  <c r="AX53" i="15"/>
  <c r="AW53" i="15"/>
  <c r="AX52" i="15"/>
  <c r="AW52" i="15"/>
  <c r="AX51" i="15"/>
  <c r="AW51" i="15"/>
  <c r="AW50" i="15"/>
  <c r="AX49" i="15"/>
  <c r="AW49" i="15"/>
  <c r="AX48" i="15"/>
  <c r="AW48" i="15"/>
  <c r="AX47" i="15"/>
  <c r="AW47" i="15"/>
  <c r="AW46" i="15"/>
  <c r="AX45" i="15"/>
  <c r="AW45" i="15"/>
  <c r="AX44" i="15"/>
  <c r="AW44" i="15"/>
  <c r="AX43" i="15"/>
  <c r="AW43" i="15"/>
  <c r="AW42" i="15"/>
  <c r="AX41" i="15"/>
  <c r="AW41" i="15"/>
  <c r="AX40" i="15"/>
  <c r="AW40" i="15"/>
  <c r="AX39" i="15"/>
  <c r="AW39" i="15"/>
  <c r="AW38" i="15"/>
  <c r="AX37" i="15"/>
  <c r="AW37" i="15"/>
  <c r="AX36" i="15"/>
  <c r="AW36" i="15"/>
  <c r="AX35" i="15"/>
  <c r="AW35" i="15"/>
  <c r="AW34" i="15"/>
  <c r="AX33" i="15"/>
  <c r="AW33" i="15"/>
  <c r="AX32" i="15"/>
  <c r="AW32" i="15"/>
  <c r="AX31" i="15"/>
  <c r="AW31" i="15"/>
  <c r="AX30" i="15"/>
  <c r="AW30" i="15"/>
  <c r="AX28" i="15"/>
  <c r="AW28" i="15"/>
  <c r="AX27" i="15"/>
  <c r="AW27" i="15"/>
  <c r="AW26" i="15"/>
  <c r="AX25" i="15"/>
  <c r="AW25" i="15"/>
  <c r="AX24" i="15"/>
  <c r="AW24" i="15"/>
  <c r="AW23" i="15"/>
  <c r="AX22" i="15"/>
  <c r="AW22" i="15"/>
  <c r="AX21" i="15"/>
  <c r="AW21" i="15"/>
  <c r="AW20" i="15"/>
  <c r="AX19" i="15"/>
  <c r="AW19" i="15"/>
  <c r="AX18" i="15"/>
  <c r="AW18" i="15"/>
  <c r="AW17" i="15"/>
  <c r="AX16" i="15"/>
  <c r="AW16" i="15"/>
  <c r="AX15" i="15"/>
  <c r="AW15" i="15"/>
  <c r="AW14" i="15"/>
  <c r="AX13" i="15"/>
  <c r="AW13" i="15"/>
  <c r="AX12" i="15"/>
  <c r="AW12" i="15"/>
  <c r="AW11" i="15"/>
  <c r="AW29" i="15"/>
  <c r="AY13" i="15" l="1"/>
  <c r="E26" i="1"/>
  <c r="AY14" i="15" l="1"/>
  <c r="AZ13" i="15"/>
  <c r="C13" i="1"/>
  <c r="AY15" i="15" l="1"/>
  <c r="AZ14" i="15"/>
  <c r="G243" i="15"/>
  <c r="AY16" i="15" l="1"/>
  <c r="AZ15" i="15"/>
  <c r="AY17" i="15" l="1"/>
  <c r="AZ16" i="15"/>
  <c r="G11" i="15"/>
  <c r="AY18" i="15" l="1"/>
  <c r="AZ17" i="15"/>
  <c r="C26" i="1"/>
  <c r="O4" i="1" s="1"/>
  <c r="AY19" i="15" l="1"/>
  <c r="AZ18" i="15"/>
  <c r="G255" i="15"/>
  <c r="AY20" i="15" l="1"/>
  <c r="AZ19" i="15"/>
  <c r="P8" i="2"/>
  <c r="P7" i="2"/>
  <c r="AY21" i="15" l="1"/>
  <c r="AZ20" i="15"/>
  <c r="D28" i="1"/>
  <c r="AY22" i="15" l="1"/>
  <c r="AZ21" i="15"/>
  <c r="F58" i="17"/>
  <c r="A51" i="17"/>
  <c r="A52" i="17" s="1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11" i="17"/>
  <c r="F10" i="17"/>
  <c r="F9" i="17"/>
  <c r="F8" i="17"/>
  <c r="F7" i="17"/>
  <c r="F6" i="17"/>
  <c r="F5" i="17"/>
  <c r="F4" i="17"/>
  <c r="F3" i="17"/>
  <c r="F2" i="17"/>
  <c r="AY23" i="15" l="1"/>
  <c r="AZ22" i="15"/>
  <c r="F52" i="17"/>
  <c r="A53" i="17"/>
  <c r="F51" i="17"/>
  <c r="AT1" i="15"/>
  <c r="AR1" i="15"/>
  <c r="AV235" i="15" l="1"/>
  <c r="AX235" i="15" s="1"/>
  <c r="AV197" i="15"/>
  <c r="AX197" i="15" s="1"/>
  <c r="AV145" i="15"/>
  <c r="AX145" i="15" s="1"/>
  <c r="AV270" i="15"/>
  <c r="AX270" i="15" s="1"/>
  <c r="AV241" i="15"/>
  <c r="AV125" i="15"/>
  <c r="AX125" i="15" s="1"/>
  <c r="AV50" i="15"/>
  <c r="AX50" i="15" s="1"/>
  <c r="AV195" i="15"/>
  <c r="AX195" i="15" s="1"/>
  <c r="AV268" i="15"/>
  <c r="AX268" i="15" s="1"/>
  <c r="AV121" i="15"/>
  <c r="AX121" i="15" s="1"/>
  <c r="AV46" i="15"/>
  <c r="AX46" i="15" s="1"/>
  <c r="AV226" i="15"/>
  <c r="AX226" i="15" s="1"/>
  <c r="AV192" i="15"/>
  <c r="AX192" i="15" s="1"/>
  <c r="AV265" i="15"/>
  <c r="AX265" i="15" s="1"/>
  <c r="AV108" i="15"/>
  <c r="AX108" i="15" s="1"/>
  <c r="AV224" i="15"/>
  <c r="AX224" i="15" s="1"/>
  <c r="AV112" i="15"/>
  <c r="AX112" i="15" s="1"/>
  <c r="AV217" i="15"/>
  <c r="AV38" i="15"/>
  <c r="AX38" i="15" s="1"/>
  <c r="AV188" i="15"/>
  <c r="AX188" i="15" s="1"/>
  <c r="AV261" i="15"/>
  <c r="AX261" i="15" s="1"/>
  <c r="AV100" i="15"/>
  <c r="AV213" i="15"/>
  <c r="AX213" i="15" s="1"/>
  <c r="AV83" i="15"/>
  <c r="AX83" i="15" s="1"/>
  <c r="AV259" i="15"/>
  <c r="AX259" i="15" s="1"/>
  <c r="AV96" i="15"/>
  <c r="AV210" i="15"/>
  <c r="AX210" i="15" s="1"/>
  <c r="AV183" i="15"/>
  <c r="AX183" i="15" s="1"/>
  <c r="AV257" i="15"/>
  <c r="AX257" i="15" s="1"/>
  <c r="AV92" i="15"/>
  <c r="AV208" i="15"/>
  <c r="AX208" i="15" s="1"/>
  <c r="AV251" i="15"/>
  <c r="AX251" i="15" s="1"/>
  <c r="AV23" i="15"/>
  <c r="AV206" i="15"/>
  <c r="AX206" i="15" s="1"/>
  <c r="AV249" i="15"/>
  <c r="AX249" i="15" s="1"/>
  <c r="AV255" i="15"/>
  <c r="AX255" i="15" s="1"/>
  <c r="AV7" i="15"/>
  <c r="AX7" i="15" s="1"/>
  <c r="AV71" i="15"/>
  <c r="AV274" i="15"/>
  <c r="AX274" i="15" s="1"/>
  <c r="AV67" i="15"/>
  <c r="AV199" i="15"/>
  <c r="AX199" i="15" s="1"/>
  <c r="AV243" i="15"/>
  <c r="AX243" i="15" s="1"/>
  <c r="AV231" i="15"/>
  <c r="AX231" i="15" s="1"/>
  <c r="AV141" i="15"/>
  <c r="AX141" i="15" s="1"/>
  <c r="AV222" i="15"/>
  <c r="AX222" i="15" s="1"/>
  <c r="AV116" i="15"/>
  <c r="AX116" i="15" s="1"/>
  <c r="AV219" i="15"/>
  <c r="AX219" i="15" s="1"/>
  <c r="AV42" i="15"/>
  <c r="AX42" i="15" s="1"/>
  <c r="AV190" i="15"/>
  <c r="AX190" i="15" s="1"/>
  <c r="AV263" i="15"/>
  <c r="AX263" i="15" s="1"/>
  <c r="AV104" i="15"/>
  <c r="AX104" i="15" s="1"/>
  <c r="AV215" i="15"/>
  <c r="AX215" i="15" s="1"/>
  <c r="AV87" i="15"/>
  <c r="AX87" i="15" s="1"/>
  <c r="AV166" i="15"/>
  <c r="AX166" i="15" s="1"/>
  <c r="AV34" i="15"/>
  <c r="AX34" i="15" s="1"/>
  <c r="AV186" i="15"/>
  <c r="AX186" i="15" s="1"/>
  <c r="AV162" i="15"/>
  <c r="AV29" i="15"/>
  <c r="AX29" i="15" s="1"/>
  <c r="AV58" i="15"/>
  <c r="AX58" i="15" s="1"/>
  <c r="AV158" i="15"/>
  <c r="AV26" i="15"/>
  <c r="AV181" i="15"/>
  <c r="AX181" i="15" s="1"/>
  <c r="AV54" i="15"/>
  <c r="AX54" i="15" s="1"/>
  <c r="AV154" i="15"/>
  <c r="AV75" i="15"/>
  <c r="AV177" i="15"/>
  <c r="AX177" i="15" s="1"/>
  <c r="AV137" i="15"/>
  <c r="AX137" i="15" s="1"/>
  <c r="AV253" i="15"/>
  <c r="AX253" i="15" s="1"/>
  <c r="AV174" i="15"/>
  <c r="AX174" i="15" s="1"/>
  <c r="AV133" i="15"/>
  <c r="AX133" i="15" s="1"/>
  <c r="AV238" i="15"/>
  <c r="AX238" i="15" s="1"/>
  <c r="AV272" i="15"/>
  <c r="AX272" i="15" s="1"/>
  <c r="AV63" i="15"/>
  <c r="AX63" i="15" s="1"/>
  <c r="AV79" i="15"/>
  <c r="AX79" i="15" s="1"/>
  <c r="AV179" i="15"/>
  <c r="AX179" i="15" s="1"/>
  <c r="AV14" i="15"/>
  <c r="AX14" i="15" s="1"/>
  <c r="AV150" i="15"/>
  <c r="AX150" i="15" s="1"/>
  <c r="AV20" i="15"/>
  <c r="AX20" i="15" s="1"/>
  <c r="AV204" i="15"/>
  <c r="AX204" i="15" s="1"/>
  <c r="AV247" i="15"/>
  <c r="AX247" i="15" s="1"/>
  <c r="AV17" i="15"/>
  <c r="AV201" i="15"/>
  <c r="AX201" i="15" s="1"/>
  <c r="AV245" i="15"/>
  <c r="AX245" i="15" s="1"/>
  <c r="AV11" i="15"/>
  <c r="AV170" i="15"/>
  <c r="AX170" i="15" s="1"/>
  <c r="AV129" i="15"/>
  <c r="AX129" i="15" s="1"/>
  <c r="AY24" i="15"/>
  <c r="AZ23" i="15"/>
  <c r="A54" i="17"/>
  <c r="F53" i="17"/>
  <c r="AY25" i="15" l="1"/>
  <c r="AZ24" i="15"/>
  <c r="A55" i="17"/>
  <c r="F54" i="17"/>
  <c r="AX67" i="15"/>
  <c r="AX154" i="15"/>
  <c r="AX71" i="15"/>
  <c r="AX11" i="15"/>
  <c r="AX75" i="15"/>
  <c r="AX17" i="15"/>
  <c r="AX217" i="15"/>
  <c r="AX23" i="15"/>
  <c r="AX96" i="15"/>
  <c r="AX241" i="15"/>
  <c r="AX158" i="15"/>
  <c r="AX162" i="15"/>
  <c r="AX92" i="15"/>
  <c r="AX26" i="15"/>
  <c r="AX100" i="15"/>
  <c r="T235" i="15"/>
  <c r="AX276" i="15" l="1"/>
  <c r="AY26" i="15"/>
  <c r="AZ25" i="15"/>
  <c r="A56" i="17"/>
  <c r="F55" i="17"/>
  <c r="AJ11" i="1" l="1"/>
  <c r="AJ9" i="1"/>
  <c r="AY27" i="15"/>
  <c r="AZ26" i="15"/>
  <c r="F56" i="17"/>
  <c r="A57" i="17"/>
  <c r="F57" i="17" s="1"/>
  <c r="N50" i="16"/>
  <c r="O50" i="16" s="1"/>
  <c r="P50" i="16" s="1"/>
  <c r="N49" i="16"/>
  <c r="O49" i="16" s="1"/>
  <c r="P49" i="16" s="1"/>
  <c r="N48" i="16"/>
  <c r="O48" i="16" s="1"/>
  <c r="P48" i="16" s="1"/>
  <c r="N47" i="16"/>
  <c r="O47" i="16" s="1"/>
  <c r="P47" i="16" s="1"/>
  <c r="N46" i="16"/>
  <c r="O46" i="16" s="1"/>
  <c r="P46" i="16" s="1"/>
  <c r="N45" i="16"/>
  <c r="O45" i="16" s="1"/>
  <c r="P45" i="16" s="1"/>
  <c r="A45" i="16"/>
  <c r="A46" i="16" s="1"/>
  <c r="A47" i="16" s="1"/>
  <c r="A48" i="16" s="1"/>
  <c r="A49" i="16" s="1"/>
  <c r="A50" i="16" s="1"/>
  <c r="N44" i="16"/>
  <c r="O44" i="16" s="1"/>
  <c r="P44" i="16" s="1"/>
  <c r="N43" i="16"/>
  <c r="O43" i="16" s="1"/>
  <c r="P43" i="16" s="1"/>
  <c r="O42" i="16"/>
  <c r="P42" i="16" s="1"/>
  <c r="N42" i="16"/>
  <c r="N41" i="16"/>
  <c r="O41" i="16" s="1"/>
  <c r="P41" i="16" s="1"/>
  <c r="N40" i="16"/>
  <c r="O40" i="16" s="1"/>
  <c r="P40" i="16" s="1"/>
  <c r="N39" i="16"/>
  <c r="O39" i="16" s="1"/>
  <c r="P39" i="16" s="1"/>
  <c r="N38" i="16"/>
  <c r="O38" i="16" s="1"/>
  <c r="P38" i="16" s="1"/>
  <c r="N37" i="16"/>
  <c r="O37" i="16" s="1"/>
  <c r="P37" i="16" s="1"/>
  <c r="N29" i="16"/>
  <c r="O29" i="16" s="1"/>
  <c r="P29" i="16" s="1"/>
  <c r="N28" i="16"/>
  <c r="O28" i="16" s="1"/>
  <c r="P28" i="16" s="1"/>
  <c r="N27" i="16"/>
  <c r="O27" i="16" s="1"/>
  <c r="P27" i="16" s="1"/>
  <c r="N26" i="16"/>
  <c r="O26" i="16" s="1"/>
  <c r="P26" i="16" s="1"/>
  <c r="N25" i="16"/>
  <c r="O25" i="16" s="1"/>
  <c r="P25" i="16" s="1"/>
  <c r="N24" i="16"/>
  <c r="O24" i="16" s="1"/>
  <c r="P24" i="16" s="1"/>
  <c r="N23" i="16"/>
  <c r="O23" i="16" s="1"/>
  <c r="P23" i="16" s="1"/>
  <c r="N22" i="16"/>
  <c r="O22" i="16" s="1"/>
  <c r="P22" i="16" s="1"/>
  <c r="N21" i="16"/>
  <c r="O21" i="16" s="1"/>
  <c r="P21" i="16" s="1"/>
  <c r="N20" i="16"/>
  <c r="O20" i="16" s="1"/>
  <c r="P20" i="16" s="1"/>
  <c r="O19" i="16"/>
  <c r="P19" i="16" s="1"/>
  <c r="N19" i="16"/>
  <c r="N18" i="16"/>
  <c r="O18" i="16" s="1"/>
  <c r="P18" i="16" s="1"/>
  <c r="N17" i="16"/>
  <c r="O17" i="16" s="1"/>
  <c r="P17" i="16" s="1"/>
  <c r="N16" i="16"/>
  <c r="O16" i="16" s="1"/>
  <c r="P16" i="16" s="1"/>
  <c r="N15" i="16"/>
  <c r="O15" i="16" s="1"/>
  <c r="P15" i="16" s="1"/>
  <c r="N14" i="16"/>
  <c r="O14" i="16" s="1"/>
  <c r="P14" i="16" s="1"/>
  <c r="N13" i="16"/>
  <c r="O13" i="16" s="1"/>
  <c r="P13" i="16" s="1"/>
  <c r="N12" i="16"/>
  <c r="O12" i="16" s="1"/>
  <c r="P12" i="16" s="1"/>
  <c r="N11" i="16"/>
  <c r="O11" i="16" s="1"/>
  <c r="P11" i="16" s="1"/>
  <c r="N10" i="16"/>
  <c r="O10" i="16" s="1"/>
  <c r="P10" i="16" s="1"/>
  <c r="N9" i="16"/>
  <c r="O9" i="16" s="1"/>
  <c r="P9" i="16" s="1"/>
  <c r="N8" i="16"/>
  <c r="O8" i="16" s="1"/>
  <c r="P8" i="16" s="1"/>
  <c r="N7" i="16"/>
  <c r="O7" i="16" s="1"/>
  <c r="P7" i="16" s="1"/>
  <c r="N6" i="16"/>
  <c r="O6" i="16" s="1"/>
  <c r="P6" i="16" s="1"/>
  <c r="N5" i="16"/>
  <c r="O5" i="16" s="1"/>
  <c r="P5" i="16" s="1"/>
  <c r="N4" i="16"/>
  <c r="O4" i="16" s="1"/>
  <c r="P4" i="16" s="1"/>
  <c r="O3" i="16"/>
  <c r="P3" i="16" s="1"/>
  <c r="N3" i="16"/>
  <c r="N2" i="16"/>
  <c r="O2" i="16" s="1"/>
  <c r="P2" i="16" s="1"/>
  <c r="AY28" i="15" l="1"/>
  <c r="AZ27" i="15"/>
  <c r="AN3" i="15"/>
  <c r="AP3" i="15" s="1"/>
  <c r="AN239" i="15"/>
  <c r="AO239" i="15" s="1"/>
  <c r="AN236" i="15"/>
  <c r="AN227" i="15"/>
  <c r="AN220" i="15"/>
  <c r="AO220" i="15" s="1"/>
  <c r="AN211" i="15"/>
  <c r="AN202" i="15"/>
  <c r="AO202" i="15" s="1"/>
  <c r="AN193" i="15"/>
  <c r="AO193" i="15" s="1"/>
  <c r="AN184" i="15"/>
  <c r="AO184" i="15" s="1"/>
  <c r="AN175" i="15"/>
  <c r="AO175" i="15" s="1"/>
  <c r="AN146" i="15"/>
  <c r="AP146" i="15" s="1"/>
  <c r="AN117" i="15"/>
  <c r="AP117" i="15" s="1"/>
  <c r="AN88" i="15"/>
  <c r="AP88" i="15" s="1"/>
  <c r="AN59" i="15"/>
  <c r="AP59" i="15" s="1"/>
  <c r="AN30" i="15"/>
  <c r="AP30" i="15" s="1"/>
  <c r="AN8" i="15"/>
  <c r="AP8" i="15" s="1"/>
  <c r="AN266" i="15"/>
  <c r="AP266" i="15" s="1"/>
  <c r="AY29" i="15" l="1"/>
  <c r="AZ28" i="15"/>
  <c r="AP193" i="15"/>
  <c r="AP184" i="15"/>
  <c r="AP202" i="15"/>
  <c r="AP239" i="15"/>
  <c r="AP236" i="15"/>
  <c r="AP227" i="15"/>
  <c r="AP220" i="15"/>
  <c r="AO211" i="15"/>
  <c r="AP211" i="15" s="1"/>
  <c r="AP175" i="15"/>
  <c r="R235" i="15"/>
  <c r="AY30" i="15" l="1"/>
  <c r="AZ29" i="15"/>
  <c r="AP299" i="15"/>
  <c r="E237" i="15"/>
  <c r="E238" i="15" s="1"/>
  <c r="Q238" i="15"/>
  <c r="AE237" i="15"/>
  <c r="AG236" i="15"/>
  <c r="D236" i="15"/>
  <c r="J237" i="15" s="1"/>
  <c r="N237" i="15" s="1"/>
  <c r="G233" i="15"/>
  <c r="E232" i="15"/>
  <c r="Q235" i="15"/>
  <c r="N234" i="15"/>
  <c r="M234" i="15"/>
  <c r="G234" i="15"/>
  <c r="N233" i="15"/>
  <c r="M233" i="15"/>
  <c r="AY31" i="15" l="1"/>
  <c r="AZ30" i="15"/>
  <c r="D237" i="15"/>
  <c r="D238" i="15"/>
  <c r="G238" i="15"/>
  <c r="E235" i="15"/>
  <c r="E234" i="15"/>
  <c r="E233" i="15"/>
  <c r="G235" i="15"/>
  <c r="G231" i="15"/>
  <c r="G230" i="15"/>
  <c r="G229" i="15"/>
  <c r="N230" i="15"/>
  <c r="N229" i="15"/>
  <c r="Q231" i="15"/>
  <c r="M230" i="15"/>
  <c r="M229" i="15"/>
  <c r="E228" i="15"/>
  <c r="E229" i="15" s="1"/>
  <c r="D227" i="15"/>
  <c r="AY32" i="15" l="1"/>
  <c r="AZ31" i="15"/>
  <c r="J228" i="15"/>
  <c r="N228" i="15" s="1"/>
  <c r="D232" i="15"/>
  <c r="D235" i="15"/>
  <c r="D234" i="15"/>
  <c r="D233" i="15"/>
  <c r="D228" i="15"/>
  <c r="D229" i="15"/>
  <c r="D230" i="15"/>
  <c r="D231" i="15"/>
  <c r="E231" i="15"/>
  <c r="E230" i="15"/>
  <c r="AY33" i="15" l="1"/>
  <c r="AZ32" i="15"/>
  <c r="J232" i="15"/>
  <c r="N232" i="15" s="1"/>
  <c r="AY34" i="15" l="1"/>
  <c r="AZ33" i="15"/>
  <c r="E84" i="15"/>
  <c r="E80" i="15"/>
  <c r="E113" i="15"/>
  <c r="E109" i="15"/>
  <c r="E171" i="15"/>
  <c r="E167" i="15"/>
  <c r="E163" i="15"/>
  <c r="E191" i="15"/>
  <c r="E189" i="15"/>
  <c r="E187" i="15"/>
  <c r="E185" i="15"/>
  <c r="E200" i="15"/>
  <c r="E198" i="15"/>
  <c r="E196" i="15"/>
  <c r="E194" i="15"/>
  <c r="E209" i="15"/>
  <c r="E207" i="15"/>
  <c r="E205" i="15"/>
  <c r="E203" i="15"/>
  <c r="E216" i="15"/>
  <c r="E223" i="15"/>
  <c r="G47" i="15"/>
  <c r="E47" i="15" s="1"/>
  <c r="G80" i="15"/>
  <c r="G76" i="15"/>
  <c r="E76" i="15" s="1"/>
  <c r="G113" i="15"/>
  <c r="G109" i="15"/>
  <c r="G105" i="15"/>
  <c r="E105" i="15" s="1"/>
  <c r="G142" i="15"/>
  <c r="E142" i="15" s="1"/>
  <c r="G138" i="15"/>
  <c r="E138" i="15" s="1"/>
  <c r="G134" i="15"/>
  <c r="E134" i="15" s="1"/>
  <c r="G130" i="15"/>
  <c r="E130" i="15" s="1"/>
  <c r="G182" i="15"/>
  <c r="E182" i="15" s="1"/>
  <c r="G191" i="15"/>
  <c r="G189" i="15"/>
  <c r="G187" i="15"/>
  <c r="G185" i="15"/>
  <c r="G200" i="15"/>
  <c r="G198" i="15"/>
  <c r="G196" i="15"/>
  <c r="G194" i="15"/>
  <c r="G209" i="15"/>
  <c r="G207" i="15"/>
  <c r="G205" i="15"/>
  <c r="G203" i="15"/>
  <c r="G218" i="15"/>
  <c r="E218" i="15" s="1"/>
  <c r="G214" i="15"/>
  <c r="E214" i="15" s="1"/>
  <c r="G225" i="15"/>
  <c r="E225" i="15" s="1"/>
  <c r="G264" i="15"/>
  <c r="E264" i="15" s="1"/>
  <c r="G258" i="15"/>
  <c r="E258" i="15" s="1"/>
  <c r="AG202" i="15"/>
  <c r="AG193" i="15"/>
  <c r="AG184" i="15"/>
  <c r="AY35" i="15" l="1"/>
  <c r="AZ34" i="15"/>
  <c r="G261" i="15"/>
  <c r="E4" i="15"/>
  <c r="AE9" i="15"/>
  <c r="AE12" i="15"/>
  <c r="AE15" i="15"/>
  <c r="AE18" i="15"/>
  <c r="AE21" i="15"/>
  <c r="AE24" i="15"/>
  <c r="AE27" i="15"/>
  <c r="AE31" i="15"/>
  <c r="AE35" i="15"/>
  <c r="AE39" i="15"/>
  <c r="AE43" i="15"/>
  <c r="AE47" i="15"/>
  <c r="AE51" i="15"/>
  <c r="AE55" i="15"/>
  <c r="AE60" i="15"/>
  <c r="AE64" i="15"/>
  <c r="AE68" i="15"/>
  <c r="AE72" i="15"/>
  <c r="AE76" i="15"/>
  <c r="AE80" i="15"/>
  <c r="AE84" i="15"/>
  <c r="AE89" i="15"/>
  <c r="AE93" i="15"/>
  <c r="AE97" i="15"/>
  <c r="AE101" i="15"/>
  <c r="AE105" i="15"/>
  <c r="AE109" i="15"/>
  <c r="AE113" i="15"/>
  <c r="AE118" i="15"/>
  <c r="AE122" i="15"/>
  <c r="AE126" i="15"/>
  <c r="AE130" i="15"/>
  <c r="AE134" i="15"/>
  <c r="AE138" i="15"/>
  <c r="AE142" i="15"/>
  <c r="AE147" i="15"/>
  <c r="AE151" i="15"/>
  <c r="AE155" i="15"/>
  <c r="AE159" i="15"/>
  <c r="AE163" i="15"/>
  <c r="AE167" i="15"/>
  <c r="AE171" i="15"/>
  <c r="AE176" i="15"/>
  <c r="AE178" i="15"/>
  <c r="AE180" i="15"/>
  <c r="AE182" i="15"/>
  <c r="AE185" i="15"/>
  <c r="AE187" i="15"/>
  <c r="AE189" i="15"/>
  <c r="AE191" i="15"/>
  <c r="AE194" i="15"/>
  <c r="AE196" i="15"/>
  <c r="AE198" i="15"/>
  <c r="AE200" i="15"/>
  <c r="AE205" i="15"/>
  <c r="AE207" i="15"/>
  <c r="AE209" i="15"/>
  <c r="AE214" i="15"/>
  <c r="AE216" i="15"/>
  <c r="AE218" i="15"/>
  <c r="AE221" i="15"/>
  <c r="AE223" i="15"/>
  <c r="AE225" i="15"/>
  <c r="AE240" i="15"/>
  <c r="AF240" i="15" s="1"/>
  <c r="E240" i="15" s="1"/>
  <c r="AE242" i="15"/>
  <c r="AE244" i="15"/>
  <c r="AE246" i="15"/>
  <c r="AE248" i="15"/>
  <c r="AE250" i="15"/>
  <c r="AE252" i="15"/>
  <c r="AE254" i="15"/>
  <c r="AE256" i="15"/>
  <c r="AE258" i="15"/>
  <c r="AE260" i="15"/>
  <c r="AE262" i="15"/>
  <c r="AE264" i="15"/>
  <c r="AE273" i="15"/>
  <c r="AE271" i="15"/>
  <c r="AE269" i="15"/>
  <c r="AE267" i="15"/>
  <c r="AY36" i="15" l="1"/>
  <c r="AZ35" i="15"/>
  <c r="AF237" i="15"/>
  <c r="AF198" i="15"/>
  <c r="AF180" i="15"/>
  <c r="AF225" i="15"/>
  <c r="E89" i="15"/>
  <c r="AF101" i="15"/>
  <c r="AF97" i="15"/>
  <c r="AF93" i="15"/>
  <c r="AF89" i="15"/>
  <c r="AF109" i="15"/>
  <c r="AF113" i="15"/>
  <c r="AF105" i="15"/>
  <c r="E60" i="15"/>
  <c r="AF72" i="15"/>
  <c r="AF60" i="15"/>
  <c r="AF68" i="15"/>
  <c r="AF64" i="15"/>
  <c r="AF84" i="15"/>
  <c r="AF80" i="15"/>
  <c r="AF76" i="15"/>
  <c r="AF43" i="15"/>
  <c r="AF31" i="15"/>
  <c r="E31" i="15" s="1"/>
  <c r="AF39" i="15"/>
  <c r="AF35" i="15"/>
  <c r="AF55" i="15"/>
  <c r="AF51" i="15"/>
  <c r="AF47" i="15"/>
  <c r="AF15" i="15"/>
  <c r="AF12" i="15"/>
  <c r="AG8" i="15" s="1"/>
  <c r="AF21" i="15"/>
  <c r="AF9" i="15"/>
  <c r="E9" i="15" s="1"/>
  <c r="AF24" i="15"/>
  <c r="AF27" i="15"/>
  <c r="AF18" i="15"/>
  <c r="AG59" i="15"/>
  <c r="AG88" i="15"/>
  <c r="AF130" i="15"/>
  <c r="AF138" i="15"/>
  <c r="AF142" i="15"/>
  <c r="AF134" i="15"/>
  <c r="AG117" i="15" s="1"/>
  <c r="AF122" i="15"/>
  <c r="AF126" i="15"/>
  <c r="AF118" i="15"/>
  <c r="E118" i="15" s="1"/>
  <c r="AF159" i="15"/>
  <c r="AF182" i="15"/>
  <c r="AG175" i="15" s="1"/>
  <c r="AF178" i="15"/>
  <c r="AF176" i="15"/>
  <c r="E176" i="15" s="1"/>
  <c r="AF187" i="15"/>
  <c r="AF185" i="15"/>
  <c r="AF194" i="15"/>
  <c r="AF200" i="15"/>
  <c r="AF196" i="15"/>
  <c r="AF221" i="15"/>
  <c r="E221" i="15" s="1"/>
  <c r="AF223" i="15"/>
  <c r="AF242" i="15"/>
  <c r="AF271" i="15"/>
  <c r="AF269" i="15"/>
  <c r="AF267" i="15"/>
  <c r="E267" i="15" s="1"/>
  <c r="AF273" i="15"/>
  <c r="AF155" i="15"/>
  <c r="AF151" i="15"/>
  <c r="AF147" i="15"/>
  <c r="E147" i="15" s="1"/>
  <c r="AF163" i="15"/>
  <c r="AF171" i="15"/>
  <c r="AG146" i="15" s="1"/>
  <c r="AF167" i="15"/>
  <c r="AF191" i="15"/>
  <c r="AF189" i="15"/>
  <c r="AF244" i="15"/>
  <c r="AF248" i="15"/>
  <c r="AF258" i="15"/>
  <c r="AF260" i="15"/>
  <c r="AF262" i="15"/>
  <c r="AF264" i="15"/>
  <c r="AF256" i="15"/>
  <c r="AF246" i="15"/>
  <c r="AF250" i="15"/>
  <c r="AF252" i="15"/>
  <c r="AF254" i="15"/>
  <c r="AY37" i="15" l="1"/>
  <c r="AZ36" i="15"/>
  <c r="AG220" i="15"/>
  <c r="AF220" i="15"/>
  <c r="AG30" i="15"/>
  <c r="E55" i="15" s="1"/>
  <c r="AG239" i="15"/>
  <c r="AF8" i="15"/>
  <c r="E27" i="15" s="1"/>
  <c r="AF30" i="15"/>
  <c r="E51" i="15" s="1"/>
  <c r="AF59" i="15"/>
  <c r="AF88" i="15"/>
  <c r="AF117" i="15"/>
  <c r="E122" i="15" s="1"/>
  <c r="AF175" i="15"/>
  <c r="E180" i="15" s="1"/>
  <c r="AF184" i="15"/>
  <c r="AF193" i="15"/>
  <c r="AG266" i="15"/>
  <c r="AF146" i="15"/>
  <c r="E155" i="15" s="1"/>
  <c r="AF239" i="15"/>
  <c r="G272" i="15"/>
  <c r="AY38" i="15" l="1"/>
  <c r="AZ37" i="15"/>
  <c r="E244" i="15"/>
  <c r="E245" i="15" s="1"/>
  <c r="E254" i="15"/>
  <c r="E255" i="15" s="1"/>
  <c r="E242" i="15"/>
  <c r="E243" i="15" s="1"/>
  <c r="E262" i="15"/>
  <c r="E263" i="15" s="1"/>
  <c r="E246" i="15"/>
  <c r="E247" i="15" s="1"/>
  <c r="E21" i="15"/>
  <c r="E23" i="15" s="1"/>
  <c r="E12" i="15"/>
  <c r="E14" i="15" s="1"/>
  <c r="E39" i="15"/>
  <c r="E40" i="15" s="1"/>
  <c r="E35" i="15"/>
  <c r="E38" i="15" s="1"/>
  <c r="E68" i="15"/>
  <c r="E71" i="15" s="1"/>
  <c r="E64" i="15"/>
  <c r="E67" i="15" s="1"/>
  <c r="E97" i="15"/>
  <c r="E100" i="15" s="1"/>
  <c r="E93" i="15"/>
  <c r="E95" i="15" s="1"/>
  <c r="E126" i="15"/>
  <c r="E128" i="15" s="1"/>
  <c r="E101" i="15"/>
  <c r="E104" i="15" s="1"/>
  <c r="E72" i="15"/>
  <c r="E74" i="15" s="1"/>
  <c r="E43" i="15"/>
  <c r="E46" i="15" s="1"/>
  <c r="E159" i="15"/>
  <c r="E161" i="15" s="1"/>
  <c r="E151" i="15"/>
  <c r="E153" i="15" s="1"/>
  <c r="E178" i="15"/>
  <c r="E179" i="15" s="1"/>
  <c r="E248" i="15"/>
  <c r="E249" i="15" s="1"/>
  <c r="E252" i="15"/>
  <c r="E253" i="15" s="1"/>
  <c r="E256" i="15"/>
  <c r="E257" i="15" s="1"/>
  <c r="E24" i="15"/>
  <c r="E26" i="15" s="1"/>
  <c r="E15" i="15"/>
  <c r="E17" i="15" s="1"/>
  <c r="E18" i="15"/>
  <c r="E20" i="15" s="1"/>
  <c r="E250" i="15"/>
  <c r="E251" i="15" s="1"/>
  <c r="E260" i="15"/>
  <c r="E261" i="15" s="1"/>
  <c r="N173" i="15"/>
  <c r="N169" i="15"/>
  <c r="N165" i="15"/>
  <c r="N161" i="15"/>
  <c r="N157" i="15"/>
  <c r="N153" i="15"/>
  <c r="N149" i="15"/>
  <c r="N144" i="15"/>
  <c r="N140" i="15"/>
  <c r="N136" i="15"/>
  <c r="N132" i="15"/>
  <c r="N128" i="15"/>
  <c r="N124" i="15"/>
  <c r="N120" i="15"/>
  <c r="N86" i="15"/>
  <c r="N82" i="15"/>
  <c r="N78" i="15"/>
  <c r="N74" i="15"/>
  <c r="N70" i="15"/>
  <c r="N66" i="15"/>
  <c r="N62" i="15"/>
  <c r="N115" i="15"/>
  <c r="N91" i="15"/>
  <c r="N95" i="15"/>
  <c r="N99" i="15"/>
  <c r="N103" i="15"/>
  <c r="N107" i="15"/>
  <c r="N111" i="15"/>
  <c r="K114" i="15"/>
  <c r="K110" i="15"/>
  <c r="K106" i="15"/>
  <c r="K102" i="15"/>
  <c r="K98" i="15"/>
  <c r="K94" i="15"/>
  <c r="K90" i="15"/>
  <c r="G173" i="15"/>
  <c r="G169" i="15"/>
  <c r="G165" i="15"/>
  <c r="G161" i="15"/>
  <c r="G157" i="15"/>
  <c r="G153" i="15"/>
  <c r="G149" i="15"/>
  <c r="G144" i="15"/>
  <c r="G140" i="15"/>
  <c r="G136" i="15"/>
  <c r="G132" i="15"/>
  <c r="G128" i="15"/>
  <c r="G124" i="15"/>
  <c r="G120" i="15"/>
  <c r="G115" i="15"/>
  <c r="G111" i="15"/>
  <c r="G107" i="15"/>
  <c r="G103" i="15"/>
  <c r="G99" i="15"/>
  <c r="G95" i="15"/>
  <c r="G91" i="15"/>
  <c r="G86" i="15"/>
  <c r="G82" i="15"/>
  <c r="G78" i="15"/>
  <c r="G74" i="15"/>
  <c r="G70" i="15"/>
  <c r="G66" i="15"/>
  <c r="G57" i="15"/>
  <c r="G53" i="15"/>
  <c r="G49" i="15"/>
  <c r="G45" i="15"/>
  <c r="G41" i="15"/>
  <c r="G37" i="15"/>
  <c r="G33" i="15"/>
  <c r="G62" i="15"/>
  <c r="K85" i="15"/>
  <c r="K81" i="15"/>
  <c r="K77" i="15"/>
  <c r="K73" i="15"/>
  <c r="K69" i="15"/>
  <c r="K65" i="15"/>
  <c r="K61" i="15"/>
  <c r="K56" i="15"/>
  <c r="K52" i="15"/>
  <c r="K48" i="15"/>
  <c r="K44" i="15"/>
  <c r="K40" i="15"/>
  <c r="K36" i="15"/>
  <c r="K32" i="15"/>
  <c r="K28" i="15"/>
  <c r="K25" i="15"/>
  <c r="K22" i="15"/>
  <c r="K19" i="15"/>
  <c r="K16" i="15"/>
  <c r="K13" i="15"/>
  <c r="K10" i="15"/>
  <c r="G34" i="15"/>
  <c r="N41" i="2"/>
  <c r="J28" i="15" s="1"/>
  <c r="M28" i="15" s="1"/>
  <c r="Q274" i="15"/>
  <c r="G274" i="15"/>
  <c r="Q272" i="15"/>
  <c r="Q270" i="15"/>
  <c r="G270" i="15"/>
  <c r="Q268" i="15"/>
  <c r="G268" i="15"/>
  <c r="D266" i="15"/>
  <c r="D274" i="15" s="1"/>
  <c r="Q265" i="15"/>
  <c r="G265" i="15"/>
  <c r="E265" i="15"/>
  <c r="Q263" i="15"/>
  <c r="G263" i="15"/>
  <c r="Q261" i="15"/>
  <c r="Q259" i="15"/>
  <c r="G259" i="15"/>
  <c r="E259" i="15"/>
  <c r="Q257" i="15"/>
  <c r="G257" i="15"/>
  <c r="Q255" i="15"/>
  <c r="Q253" i="15"/>
  <c r="G253" i="15"/>
  <c r="Q251" i="15"/>
  <c r="G251" i="15"/>
  <c r="Q249" i="15"/>
  <c r="G249" i="15"/>
  <c r="Q247" i="15"/>
  <c r="G247" i="15"/>
  <c r="Q245" i="15"/>
  <c r="G245" i="15"/>
  <c r="Q243" i="15"/>
  <c r="Q241" i="15"/>
  <c r="G241" i="15"/>
  <c r="E241" i="15"/>
  <c r="D239" i="15"/>
  <c r="Q226" i="15"/>
  <c r="G226" i="15"/>
  <c r="E226" i="15"/>
  <c r="Q224" i="15"/>
  <c r="G224" i="15"/>
  <c r="E224" i="15"/>
  <c r="Q222" i="15"/>
  <c r="G222" i="15"/>
  <c r="E222" i="15"/>
  <c r="D220" i="15"/>
  <c r="Q219" i="15"/>
  <c r="G219" i="15"/>
  <c r="E219" i="15"/>
  <c r="Q217" i="15"/>
  <c r="G217" i="15"/>
  <c r="E217" i="15"/>
  <c r="Q215" i="15"/>
  <c r="G215" i="15"/>
  <c r="E215" i="15"/>
  <c r="Q213" i="15"/>
  <c r="D211" i="15"/>
  <c r="Q210" i="15"/>
  <c r="G210" i="15"/>
  <c r="E210" i="15"/>
  <c r="Q208" i="15"/>
  <c r="G208" i="15"/>
  <c r="E208" i="15"/>
  <c r="Q206" i="15"/>
  <c r="G206" i="15"/>
  <c r="E206" i="15"/>
  <c r="Q204" i="15"/>
  <c r="E204" i="15"/>
  <c r="D202" i="15"/>
  <c r="Q201" i="15"/>
  <c r="G201" i="15"/>
  <c r="E201" i="15"/>
  <c r="Q199" i="15"/>
  <c r="G199" i="15"/>
  <c r="E199" i="15"/>
  <c r="Q197" i="15"/>
  <c r="G197" i="15"/>
  <c r="E197" i="15"/>
  <c r="Q195" i="15"/>
  <c r="G195" i="15"/>
  <c r="E195" i="15"/>
  <c r="D193" i="15"/>
  <c r="Q192" i="15"/>
  <c r="G192" i="15"/>
  <c r="E192" i="15"/>
  <c r="Q190" i="15"/>
  <c r="G190" i="15"/>
  <c r="E190" i="15"/>
  <c r="Q188" i="15"/>
  <c r="G188" i="15"/>
  <c r="E188" i="15"/>
  <c r="Q186" i="15"/>
  <c r="G186" i="15"/>
  <c r="E186" i="15"/>
  <c r="D184" i="15"/>
  <c r="Q183" i="15"/>
  <c r="G183" i="15"/>
  <c r="E183" i="15"/>
  <c r="Q181" i="15"/>
  <c r="G181" i="15"/>
  <c r="E181" i="15"/>
  <c r="Q179" i="15"/>
  <c r="G179" i="15"/>
  <c r="Q177" i="15"/>
  <c r="G177" i="15"/>
  <c r="E177" i="15"/>
  <c r="D175" i="15"/>
  <c r="Q174" i="15"/>
  <c r="G174" i="15"/>
  <c r="E174" i="15"/>
  <c r="M173" i="15"/>
  <c r="E173" i="15"/>
  <c r="E172" i="15"/>
  <c r="Q170" i="15"/>
  <c r="G170" i="15"/>
  <c r="E170" i="15"/>
  <c r="M169" i="15"/>
  <c r="E169" i="15"/>
  <c r="E168" i="15"/>
  <c r="Q166" i="15"/>
  <c r="G166" i="15"/>
  <c r="E166" i="15"/>
  <c r="M165" i="15"/>
  <c r="E165" i="15"/>
  <c r="E164" i="15"/>
  <c r="Q162" i="15"/>
  <c r="G162" i="15"/>
  <c r="M161" i="15"/>
  <c r="Q158" i="15"/>
  <c r="G158" i="15"/>
  <c r="E158" i="15"/>
  <c r="M157" i="15"/>
  <c r="E157" i="15"/>
  <c r="E156" i="15"/>
  <c r="Q154" i="15"/>
  <c r="G154" i="15"/>
  <c r="M153" i="15"/>
  <c r="Q150" i="15"/>
  <c r="E150" i="15"/>
  <c r="M149" i="15"/>
  <c r="E149" i="15"/>
  <c r="E148" i="15"/>
  <c r="D146" i="15"/>
  <c r="Q145" i="15"/>
  <c r="G145" i="15"/>
  <c r="E145" i="15"/>
  <c r="M144" i="15"/>
  <c r="E144" i="15"/>
  <c r="E143" i="15"/>
  <c r="Q141" i="15"/>
  <c r="G141" i="15"/>
  <c r="E141" i="15"/>
  <c r="M140" i="15"/>
  <c r="E140" i="15"/>
  <c r="E139" i="15"/>
  <c r="Q137" i="15"/>
  <c r="G137" i="15"/>
  <c r="E137" i="15"/>
  <c r="M136" i="15"/>
  <c r="E136" i="15"/>
  <c r="E135" i="15"/>
  <c r="Q133" i="15"/>
  <c r="G133" i="15"/>
  <c r="E133" i="15"/>
  <c r="M132" i="15"/>
  <c r="E132" i="15"/>
  <c r="E131" i="15"/>
  <c r="Q129" i="15"/>
  <c r="G129" i="15"/>
  <c r="M128" i="15"/>
  <c r="Q125" i="15"/>
  <c r="G125" i="15"/>
  <c r="E125" i="15"/>
  <c r="M124" i="15"/>
  <c r="E124" i="15"/>
  <c r="E123" i="15"/>
  <c r="Q121" i="15"/>
  <c r="E121" i="15"/>
  <c r="M120" i="15"/>
  <c r="E120" i="15"/>
  <c r="E119" i="15"/>
  <c r="D117" i="15"/>
  <c r="Q116" i="15"/>
  <c r="G116" i="15"/>
  <c r="E116" i="15"/>
  <c r="M115" i="15"/>
  <c r="E115" i="15"/>
  <c r="E114" i="15"/>
  <c r="Q112" i="15"/>
  <c r="G112" i="15"/>
  <c r="E112" i="15"/>
  <c r="M111" i="15"/>
  <c r="E111" i="15"/>
  <c r="E110" i="15"/>
  <c r="Q108" i="15"/>
  <c r="G108" i="15"/>
  <c r="E108" i="15"/>
  <c r="M107" i="15"/>
  <c r="E107" i="15"/>
  <c r="E106" i="15"/>
  <c r="Q104" i="15"/>
  <c r="G104" i="15"/>
  <c r="M103" i="15"/>
  <c r="Q100" i="15"/>
  <c r="G100" i="15"/>
  <c r="M99" i="15"/>
  <c r="Q96" i="15"/>
  <c r="G96" i="15"/>
  <c r="M95" i="15"/>
  <c r="Q92" i="15"/>
  <c r="E92" i="15"/>
  <c r="M91" i="15"/>
  <c r="E91" i="15"/>
  <c r="E90" i="15"/>
  <c r="D88" i="15"/>
  <c r="Q87" i="15"/>
  <c r="G87" i="15"/>
  <c r="E87" i="15"/>
  <c r="M86" i="15"/>
  <c r="E86" i="15"/>
  <c r="E85" i="15"/>
  <c r="Q83" i="15"/>
  <c r="G83" i="15"/>
  <c r="E83" i="15"/>
  <c r="M82" i="15"/>
  <c r="E82" i="15"/>
  <c r="E81" i="15"/>
  <c r="Q79" i="15"/>
  <c r="G79" i="15"/>
  <c r="E79" i="15"/>
  <c r="M78" i="15"/>
  <c r="E78" i="15"/>
  <c r="E77" i="15"/>
  <c r="Q75" i="15"/>
  <c r="G75" i="15"/>
  <c r="M74" i="15"/>
  <c r="Q71" i="15"/>
  <c r="G71" i="15"/>
  <c r="M70" i="15"/>
  <c r="Q67" i="15"/>
  <c r="G67" i="15"/>
  <c r="M66" i="15"/>
  <c r="Q63" i="15"/>
  <c r="E63" i="15"/>
  <c r="M62" i="15"/>
  <c r="E62" i="15"/>
  <c r="E61" i="15"/>
  <c r="D59" i="15"/>
  <c r="Q58" i="15"/>
  <c r="G58" i="15"/>
  <c r="E58" i="15"/>
  <c r="N57" i="15"/>
  <c r="M57" i="15"/>
  <c r="E57" i="15"/>
  <c r="E56" i="15"/>
  <c r="Q54" i="15"/>
  <c r="G54" i="15"/>
  <c r="E54" i="15"/>
  <c r="N53" i="15"/>
  <c r="M53" i="15"/>
  <c r="E53" i="15"/>
  <c r="E52" i="15"/>
  <c r="Q50" i="15"/>
  <c r="G50" i="15"/>
  <c r="E50" i="15"/>
  <c r="N49" i="15"/>
  <c r="M49" i="15"/>
  <c r="E49" i="15"/>
  <c r="E48" i="15"/>
  <c r="Q46" i="15"/>
  <c r="G46" i="15"/>
  <c r="N45" i="15"/>
  <c r="M45" i="15"/>
  <c r="Q42" i="15"/>
  <c r="G42" i="15"/>
  <c r="N41" i="15"/>
  <c r="M41" i="15"/>
  <c r="Q38" i="15"/>
  <c r="G38" i="15"/>
  <c r="N37" i="15"/>
  <c r="M37" i="15"/>
  <c r="Q34" i="15"/>
  <c r="E34" i="15"/>
  <c r="N33" i="15"/>
  <c r="M33" i="15"/>
  <c r="E33" i="15"/>
  <c r="E32" i="15"/>
  <c r="D30" i="15"/>
  <c r="Q29" i="15"/>
  <c r="G29" i="15"/>
  <c r="E29" i="15"/>
  <c r="Q26" i="15"/>
  <c r="G26" i="15"/>
  <c r="Q23" i="15"/>
  <c r="G23" i="15"/>
  <c r="Q20" i="15"/>
  <c r="G20" i="15"/>
  <c r="Q17" i="15"/>
  <c r="G17" i="15"/>
  <c r="Q14" i="15"/>
  <c r="G14" i="15"/>
  <c r="E11" i="15"/>
  <c r="D8" i="15"/>
  <c r="Q7" i="15"/>
  <c r="E7" i="15"/>
  <c r="N6" i="15"/>
  <c r="M6" i="15"/>
  <c r="E6" i="15"/>
  <c r="N5" i="15"/>
  <c r="M5" i="15"/>
  <c r="G5" i="15"/>
  <c r="G6" i="15" s="1"/>
  <c r="G7" i="15" s="1"/>
  <c r="E5" i="15"/>
  <c r="D3" i="15"/>
  <c r="AY39" i="15" l="1"/>
  <c r="AZ38" i="15"/>
  <c r="D31" i="15"/>
  <c r="J51" i="15"/>
  <c r="N51" i="15" s="1"/>
  <c r="J39" i="15"/>
  <c r="N39" i="15" s="1"/>
  <c r="J35" i="15"/>
  <c r="N35" i="15" s="1"/>
  <c r="J55" i="15"/>
  <c r="N55" i="15" s="1"/>
  <c r="J47" i="15"/>
  <c r="N47" i="15" s="1"/>
  <c r="J43" i="15"/>
  <c r="N43" i="15" s="1"/>
  <c r="J31" i="15"/>
  <c r="N31" i="15" s="1"/>
  <c r="J196" i="15"/>
  <c r="N196" i="15" s="1"/>
  <c r="J200" i="15"/>
  <c r="N200" i="15" s="1"/>
  <c r="J198" i="15"/>
  <c r="N198" i="15" s="1"/>
  <c r="J194" i="15"/>
  <c r="N194" i="15" s="1"/>
  <c r="J225" i="15"/>
  <c r="N225" i="15" s="1"/>
  <c r="J223" i="15"/>
  <c r="N223" i="15" s="1"/>
  <c r="J221" i="15"/>
  <c r="N221" i="15" s="1"/>
  <c r="D26" i="15"/>
  <c r="J27" i="15"/>
  <c r="N27" i="15" s="1"/>
  <c r="J18" i="15"/>
  <c r="N18" i="15" s="1"/>
  <c r="J12" i="15"/>
  <c r="N12" i="15" s="1"/>
  <c r="J24" i="15"/>
  <c r="N24" i="15" s="1"/>
  <c r="J21" i="15"/>
  <c r="N21" i="15" s="1"/>
  <c r="J15" i="15"/>
  <c r="N15" i="15" s="1"/>
  <c r="J9" i="15"/>
  <c r="N9" i="15" s="1"/>
  <c r="D116" i="15"/>
  <c r="J113" i="15"/>
  <c r="N113" i="15" s="1"/>
  <c r="J93" i="15"/>
  <c r="N93" i="15" s="1"/>
  <c r="J109" i="15"/>
  <c r="N109" i="15" s="1"/>
  <c r="J101" i="15"/>
  <c r="N101" i="15" s="1"/>
  <c r="J89" i="15"/>
  <c r="N89" i="15" s="1"/>
  <c r="J105" i="15"/>
  <c r="N105" i="15" s="1"/>
  <c r="J97" i="15"/>
  <c r="N97" i="15" s="1"/>
  <c r="J151" i="15"/>
  <c r="N151" i="15" s="1"/>
  <c r="J171" i="15"/>
  <c r="N171" i="15" s="1"/>
  <c r="J167" i="15"/>
  <c r="N167" i="15" s="1"/>
  <c r="J163" i="15"/>
  <c r="N163" i="15" s="1"/>
  <c r="J159" i="15"/>
  <c r="N159" i="15" s="1"/>
  <c r="J155" i="15"/>
  <c r="N155" i="15" s="1"/>
  <c r="J147" i="15"/>
  <c r="N147" i="15" s="1"/>
  <c r="J176" i="15"/>
  <c r="N176" i="15" s="1"/>
  <c r="J178" i="15"/>
  <c r="N178" i="15" s="1"/>
  <c r="J182" i="15"/>
  <c r="N182" i="15" s="1"/>
  <c r="J180" i="15"/>
  <c r="N180" i="15" s="1"/>
  <c r="J185" i="15"/>
  <c r="N185" i="15" s="1"/>
  <c r="J189" i="15"/>
  <c r="N189" i="15" s="1"/>
  <c r="J191" i="15"/>
  <c r="N191" i="15" s="1"/>
  <c r="J187" i="15"/>
  <c r="N187" i="15" s="1"/>
  <c r="J264" i="15"/>
  <c r="N264" i="15" s="1"/>
  <c r="J242" i="15"/>
  <c r="N242" i="15" s="1"/>
  <c r="J258" i="15"/>
  <c r="N258" i="15" s="1"/>
  <c r="J262" i="15"/>
  <c r="N262" i="15" s="1"/>
  <c r="J240" i="15"/>
  <c r="N240" i="15" s="1"/>
  <c r="J260" i="15"/>
  <c r="N260" i="15" s="1"/>
  <c r="J246" i="15"/>
  <c r="N246" i="15" s="1"/>
  <c r="J256" i="15"/>
  <c r="N256" i="15" s="1"/>
  <c r="J248" i="15"/>
  <c r="N248" i="15" s="1"/>
  <c r="J254" i="15"/>
  <c r="N254" i="15" s="1"/>
  <c r="J252" i="15"/>
  <c r="N252" i="15" s="1"/>
  <c r="J250" i="15"/>
  <c r="N250" i="15" s="1"/>
  <c r="J244" i="15"/>
  <c r="N244" i="15" s="1"/>
  <c r="D143" i="15"/>
  <c r="J126" i="15"/>
  <c r="N126" i="15" s="1"/>
  <c r="J130" i="15"/>
  <c r="N130" i="15" s="1"/>
  <c r="J122" i="15"/>
  <c r="N122" i="15" s="1"/>
  <c r="J118" i="15"/>
  <c r="N118" i="15" s="1"/>
  <c r="J134" i="15"/>
  <c r="N134" i="15" s="1"/>
  <c r="J142" i="15"/>
  <c r="N142" i="15" s="1"/>
  <c r="J138" i="15"/>
  <c r="N138" i="15" s="1"/>
  <c r="J203" i="15"/>
  <c r="N203" i="15" s="1"/>
  <c r="J209" i="15"/>
  <c r="N209" i="15" s="1"/>
  <c r="J205" i="15"/>
  <c r="N205" i="15" s="1"/>
  <c r="J207" i="15"/>
  <c r="N207" i="15" s="1"/>
  <c r="D80" i="15"/>
  <c r="J76" i="15"/>
  <c r="N76" i="15" s="1"/>
  <c r="J68" i="15"/>
  <c r="N68" i="15" s="1"/>
  <c r="J72" i="15"/>
  <c r="N72" i="15" s="1"/>
  <c r="J64" i="15"/>
  <c r="N64" i="15" s="1"/>
  <c r="J84" i="15"/>
  <c r="N84" i="15" s="1"/>
  <c r="J80" i="15"/>
  <c r="N80" i="15" s="1"/>
  <c r="J60" i="15"/>
  <c r="N60" i="15" s="1"/>
  <c r="D6" i="15"/>
  <c r="J4" i="15"/>
  <c r="N4" i="15" s="1"/>
  <c r="J216" i="15"/>
  <c r="N216" i="15" s="1"/>
  <c r="J212" i="15"/>
  <c r="N212" i="15" s="1"/>
  <c r="J218" i="15"/>
  <c r="N218" i="15" s="1"/>
  <c r="J214" i="15"/>
  <c r="N214" i="15" s="1"/>
  <c r="E162" i="15"/>
  <c r="E154" i="15"/>
  <c r="E160" i="15"/>
  <c r="E152" i="15"/>
  <c r="E129" i="15"/>
  <c r="E41" i="15"/>
  <c r="E44" i="15"/>
  <c r="E42" i="15"/>
  <c r="E36" i="15"/>
  <c r="E37" i="15"/>
  <c r="E45" i="15"/>
  <c r="E69" i="15"/>
  <c r="E70" i="15"/>
  <c r="E66" i="15"/>
  <c r="E65" i="15"/>
  <c r="E73" i="15"/>
  <c r="E75" i="15"/>
  <c r="E96" i="15"/>
  <c r="E98" i="15"/>
  <c r="E99" i="15"/>
  <c r="E94" i="15"/>
  <c r="E102" i="15"/>
  <c r="E103" i="15"/>
  <c r="E127" i="15"/>
  <c r="AF266" i="15"/>
  <c r="D269" i="15"/>
  <c r="D259" i="15"/>
  <c r="D240" i="15"/>
  <c r="D247" i="15"/>
  <c r="D262" i="15"/>
  <c r="D252" i="15"/>
  <c r="D224" i="15"/>
  <c r="D216" i="15"/>
  <c r="D212" i="15"/>
  <c r="D217" i="15"/>
  <c r="D213" i="15"/>
  <c r="D219" i="15"/>
  <c r="D209" i="15"/>
  <c r="D205" i="15"/>
  <c r="D206" i="15"/>
  <c r="D208" i="15"/>
  <c r="D203" i="15"/>
  <c r="D210" i="15"/>
  <c r="D198" i="15"/>
  <c r="D201" i="15"/>
  <c r="D194" i="15"/>
  <c r="D187" i="15"/>
  <c r="D189" i="15"/>
  <c r="D186" i="15"/>
  <c r="D190" i="15"/>
  <c r="D158" i="15"/>
  <c r="D174" i="15"/>
  <c r="D153" i="15"/>
  <c r="D169" i="15"/>
  <c r="D167" i="15"/>
  <c r="D147" i="15"/>
  <c r="D164" i="15"/>
  <c r="D148" i="15"/>
  <c r="D151" i="15"/>
  <c r="D154" i="15"/>
  <c r="D159" i="15"/>
  <c r="D170" i="15"/>
  <c r="D166" i="15"/>
  <c r="D162" i="15"/>
  <c r="D150" i="15"/>
  <c r="D161" i="15"/>
  <c r="D156" i="15"/>
  <c r="D172" i="15"/>
  <c r="D127" i="15"/>
  <c r="D120" i="15"/>
  <c r="D136" i="15"/>
  <c r="D122" i="15"/>
  <c r="D99" i="15"/>
  <c r="D105" i="15"/>
  <c r="D112" i="15"/>
  <c r="D106" i="15"/>
  <c r="D94" i="15"/>
  <c r="D101" i="15"/>
  <c r="D89" i="15"/>
  <c r="D96" i="15"/>
  <c r="D110" i="15"/>
  <c r="D90" i="15"/>
  <c r="D103" i="15"/>
  <c r="D115" i="15"/>
  <c r="D84" i="15"/>
  <c r="D75" i="15"/>
  <c r="D86" i="15"/>
  <c r="D69" i="15"/>
  <c r="D66" i="15"/>
  <c r="D76" i="15"/>
  <c r="D60" i="15"/>
  <c r="D71" i="15"/>
  <c r="D61" i="15"/>
  <c r="D73" i="15"/>
  <c r="D83" i="15"/>
  <c r="D81" i="15"/>
  <c r="D78" i="15"/>
  <c r="D65" i="15"/>
  <c r="D68" i="15"/>
  <c r="D74" i="15"/>
  <c r="D63" i="15"/>
  <c r="D54" i="15"/>
  <c r="D41" i="15"/>
  <c r="D46" i="15"/>
  <c r="D55" i="15"/>
  <c r="D40" i="15"/>
  <c r="D52" i="15"/>
  <c r="D57" i="15"/>
  <c r="D38" i="15"/>
  <c r="D51" i="15"/>
  <c r="D32" i="15"/>
  <c r="D49" i="15"/>
  <c r="D37" i="15"/>
  <c r="D43" i="15"/>
  <c r="D34" i="15"/>
  <c r="D35" i="15"/>
  <c r="D44" i="15"/>
  <c r="D15" i="15"/>
  <c r="D20" i="15"/>
  <c r="D19" i="15"/>
  <c r="D27" i="15"/>
  <c r="D10" i="15"/>
  <c r="D16" i="15"/>
  <c r="D17" i="15"/>
  <c r="D22" i="15"/>
  <c r="D18" i="15"/>
  <c r="D28" i="15"/>
  <c r="D24" i="15"/>
  <c r="D23" i="15"/>
  <c r="D29" i="15"/>
  <c r="D11" i="15"/>
  <c r="D12" i="15"/>
  <c r="D7" i="15"/>
  <c r="D4" i="15"/>
  <c r="D5" i="15"/>
  <c r="N28" i="15"/>
  <c r="G28" i="15"/>
  <c r="E28" i="15" s="1"/>
  <c r="J13" i="15"/>
  <c r="M13" i="15" s="1"/>
  <c r="J16" i="15"/>
  <c r="J19" i="15"/>
  <c r="M19" i="15" s="1"/>
  <c r="J22" i="15"/>
  <c r="M22" i="15" s="1"/>
  <c r="J25" i="15"/>
  <c r="M25" i="15" s="1"/>
  <c r="D129" i="15"/>
  <c r="D195" i="15"/>
  <c r="D221" i="15"/>
  <c r="D13" i="15"/>
  <c r="D21" i="15"/>
  <c r="D25" i="15"/>
  <c r="D33" i="15"/>
  <c r="D36" i="15"/>
  <c r="D47" i="15"/>
  <c r="D58" i="15"/>
  <c r="D64" i="15"/>
  <c r="D77" i="15"/>
  <c r="D79" i="15"/>
  <c r="D92" i="15"/>
  <c r="D108" i="15"/>
  <c r="D132" i="15"/>
  <c r="D152" i="15"/>
  <c r="D160" i="15"/>
  <c r="D168" i="15"/>
  <c r="D180" i="15"/>
  <c r="D191" i="15"/>
  <c r="D241" i="15"/>
  <c r="D256" i="15"/>
  <c r="D263" i="15"/>
  <c r="D267" i="15"/>
  <c r="D244" i="15"/>
  <c r="D9" i="15"/>
  <c r="D50" i="15"/>
  <c r="D53" i="15"/>
  <c r="D56" i="15"/>
  <c r="D82" i="15"/>
  <c r="D97" i="15"/>
  <c r="D102" i="15"/>
  <c r="D113" i="15"/>
  <c r="D125" i="15"/>
  <c r="D141" i="15"/>
  <c r="D149" i="15"/>
  <c r="D157" i="15"/>
  <c r="D165" i="15"/>
  <c r="D173" i="15"/>
  <c r="D177" i="15"/>
  <c r="D188" i="15"/>
  <c r="D199" i="15"/>
  <c r="D214" i="15"/>
  <c r="D225" i="15"/>
  <c r="D248" i="15"/>
  <c r="D253" i="15"/>
  <c r="D183" i="15"/>
  <c r="D118" i="15"/>
  <c r="D123" i="15"/>
  <c r="D134" i="15"/>
  <c r="D272" i="15"/>
  <c r="D14" i="15"/>
  <c r="D39" i="15"/>
  <c r="D62" i="15"/>
  <c r="D72" i="15"/>
  <c r="D85" i="15"/>
  <c r="D87" i="15"/>
  <c r="D95" i="15"/>
  <c r="D111" i="15"/>
  <c r="D119" i="15"/>
  <c r="D130" i="15"/>
  <c r="D135" i="15"/>
  <c r="D222" i="15"/>
  <c r="D245" i="15"/>
  <c r="D260" i="15"/>
  <c r="D270" i="15"/>
  <c r="D145" i="15"/>
  <c r="D176" i="15"/>
  <c r="D42" i="15"/>
  <c r="D45" i="15"/>
  <c r="D48" i="15"/>
  <c r="D67" i="15"/>
  <c r="D104" i="15"/>
  <c r="D128" i="15"/>
  <c r="D144" i="15"/>
  <c r="D155" i="15"/>
  <c r="D163" i="15"/>
  <c r="D171" i="15"/>
  <c r="D181" i="15"/>
  <c r="D185" i="15"/>
  <c r="D192" i="15"/>
  <c r="D196" i="15"/>
  <c r="D207" i="15"/>
  <c r="D218" i="15"/>
  <c r="D250" i="15"/>
  <c r="D257" i="15"/>
  <c r="D273" i="15"/>
  <c r="D139" i="15"/>
  <c r="D70" i="15"/>
  <c r="D93" i="15"/>
  <c r="D98" i="15"/>
  <c r="D109" i="15"/>
  <c r="D114" i="15"/>
  <c r="D121" i="15"/>
  <c r="D137" i="15"/>
  <c r="D204" i="15"/>
  <c r="D215" i="15"/>
  <c r="D226" i="15"/>
  <c r="D242" i="15"/>
  <c r="D249" i="15"/>
  <c r="D264" i="15"/>
  <c r="D91" i="15"/>
  <c r="D107" i="15"/>
  <c r="D126" i="15"/>
  <c r="D131" i="15"/>
  <c r="D142" i="15"/>
  <c r="D178" i="15"/>
  <c r="D200" i="15"/>
  <c r="D254" i="15"/>
  <c r="D261" i="15"/>
  <c r="D268" i="15"/>
  <c r="D100" i="15"/>
  <c r="D124" i="15"/>
  <c r="D140" i="15"/>
  <c r="D197" i="15"/>
  <c r="D223" i="15"/>
  <c r="D246" i="15"/>
  <c r="D251" i="15"/>
  <c r="D271" i="15"/>
  <c r="D133" i="15"/>
  <c r="D182" i="15"/>
  <c r="D243" i="15"/>
  <c r="D258" i="15"/>
  <c r="D265" i="15"/>
  <c r="D138" i="15"/>
  <c r="D179" i="15"/>
  <c r="D255" i="15"/>
  <c r="AY40" i="15" l="1"/>
  <c r="AZ39" i="15"/>
  <c r="M16" i="15"/>
  <c r="G16" i="15"/>
  <c r="E16" i="15" s="1"/>
  <c r="E271" i="15"/>
  <c r="E272" i="15" s="1"/>
  <c r="AF236" i="15"/>
  <c r="E273" i="15"/>
  <c r="E274" i="15" s="1"/>
  <c r="E269" i="15"/>
  <c r="E270" i="15" s="1"/>
  <c r="E268" i="15"/>
  <c r="N13" i="15"/>
  <c r="G13" i="15"/>
  <c r="E13" i="15" s="1"/>
  <c r="N25" i="15"/>
  <c r="G25" i="15"/>
  <c r="E25" i="15" s="1"/>
  <c r="N22" i="15"/>
  <c r="G22" i="15"/>
  <c r="E22" i="15" s="1"/>
  <c r="N19" i="15"/>
  <c r="G19" i="15"/>
  <c r="E19" i="15" s="1"/>
  <c r="N16" i="15"/>
  <c r="AY41" i="15" l="1"/>
  <c r="AZ40" i="15"/>
  <c r="M28" i="2"/>
  <c r="M32" i="2"/>
  <c r="M36" i="2"/>
  <c r="M16" i="2"/>
  <c r="M4" i="2"/>
  <c r="AY42" i="15" l="1"/>
  <c r="AZ41" i="15"/>
  <c r="J48" i="15"/>
  <c r="J44" i="15"/>
  <c r="J40" i="15"/>
  <c r="J36" i="15"/>
  <c r="J32" i="15"/>
  <c r="J56" i="15"/>
  <c r="J52" i="15"/>
  <c r="N36" i="2"/>
  <c r="N4" i="2"/>
  <c r="J172" i="15" s="1"/>
  <c r="N16" i="2"/>
  <c r="J135" i="15" s="1"/>
  <c r="N28" i="2"/>
  <c r="J90" i="15" s="1"/>
  <c r="N32" i="2"/>
  <c r="J69" i="15" s="1"/>
  <c r="AB6" i="2"/>
  <c r="K4" i="2"/>
  <c r="B39" i="5" s="1"/>
  <c r="B58" i="5"/>
  <c r="B45" i="5"/>
  <c r="B55" i="5"/>
  <c r="B54" i="5"/>
  <c r="B53" i="5"/>
  <c r="B52" i="5"/>
  <c r="K16" i="2"/>
  <c r="J10" i="15"/>
  <c r="M10" i="15" s="1"/>
  <c r="B42" i="5"/>
  <c r="B41" i="5"/>
  <c r="B40" i="5"/>
  <c r="AY43" i="15" l="1"/>
  <c r="AZ42" i="15"/>
  <c r="J156" i="15"/>
  <c r="G156" i="15" s="1"/>
  <c r="J160" i="15"/>
  <c r="G160" i="15" s="1"/>
  <c r="J148" i="15"/>
  <c r="N148" i="15" s="1"/>
  <c r="J152" i="15"/>
  <c r="M152" i="15" s="1"/>
  <c r="J164" i="15"/>
  <c r="G164" i="15" s="1"/>
  <c r="N36" i="15"/>
  <c r="G36" i="15"/>
  <c r="M36" i="15"/>
  <c r="N40" i="15"/>
  <c r="G40" i="15"/>
  <c r="M40" i="15"/>
  <c r="M56" i="15"/>
  <c r="N56" i="15"/>
  <c r="G56" i="15"/>
  <c r="M44" i="15"/>
  <c r="G44" i="15"/>
  <c r="N44" i="15"/>
  <c r="M52" i="15"/>
  <c r="N52" i="15"/>
  <c r="G52" i="15"/>
  <c r="N32" i="15"/>
  <c r="G32" i="15"/>
  <c r="M32" i="15"/>
  <c r="M48" i="15"/>
  <c r="N48" i="15"/>
  <c r="G48" i="15"/>
  <c r="G172" i="15"/>
  <c r="N172" i="15"/>
  <c r="M172" i="15"/>
  <c r="J168" i="15"/>
  <c r="M135" i="15"/>
  <c r="G135" i="15"/>
  <c r="N135" i="15"/>
  <c r="J127" i="15"/>
  <c r="J131" i="15"/>
  <c r="J139" i="15"/>
  <c r="J123" i="15"/>
  <c r="J143" i="15"/>
  <c r="J119" i="15"/>
  <c r="M90" i="15"/>
  <c r="N90" i="15"/>
  <c r="G90" i="15"/>
  <c r="G92" i="15" s="1"/>
  <c r="J94" i="15"/>
  <c r="J102" i="15"/>
  <c r="J110" i="15"/>
  <c r="J98" i="15"/>
  <c r="J106" i="15"/>
  <c r="J114" i="15"/>
  <c r="M69" i="15"/>
  <c r="G69" i="15"/>
  <c r="N69" i="15"/>
  <c r="J85" i="15"/>
  <c r="J73" i="15"/>
  <c r="J77" i="15"/>
  <c r="J81" i="15"/>
  <c r="J61" i="15"/>
  <c r="J65" i="15"/>
  <c r="G10" i="15"/>
  <c r="E10" i="15" s="1"/>
  <c r="N10" i="15"/>
  <c r="B56" i="5"/>
  <c r="AY44" i="15" l="1"/>
  <c r="AZ43" i="15"/>
  <c r="N160" i="15"/>
  <c r="M160" i="15"/>
  <c r="N164" i="15"/>
  <c r="G148" i="15"/>
  <c r="G150" i="15" s="1"/>
  <c r="N152" i="15"/>
  <c r="G152" i="15"/>
  <c r="N156" i="15"/>
  <c r="M156" i="15"/>
  <c r="M164" i="15"/>
  <c r="M148" i="15"/>
  <c r="G168" i="15"/>
  <c r="N168" i="15"/>
  <c r="M168" i="15"/>
  <c r="N119" i="15"/>
  <c r="G119" i="15"/>
  <c r="G121" i="15" s="1"/>
  <c r="M119" i="15"/>
  <c r="G131" i="15"/>
  <c r="N131" i="15"/>
  <c r="M131" i="15"/>
  <c r="M123" i="15"/>
  <c r="G123" i="15"/>
  <c r="N123" i="15"/>
  <c r="G143" i="15"/>
  <c r="N143" i="15"/>
  <c r="M143" i="15"/>
  <c r="N139" i="15"/>
  <c r="G139" i="15"/>
  <c r="M139" i="15"/>
  <c r="G127" i="15"/>
  <c r="N127" i="15"/>
  <c r="M127" i="15"/>
  <c r="M114" i="15"/>
  <c r="N114" i="15"/>
  <c r="G114" i="15"/>
  <c r="G98" i="15"/>
  <c r="M98" i="15"/>
  <c r="N98" i="15"/>
  <c r="N106" i="15"/>
  <c r="M106" i="15"/>
  <c r="G106" i="15"/>
  <c r="G102" i="15"/>
  <c r="N102" i="15"/>
  <c r="M102" i="15"/>
  <c r="G110" i="15"/>
  <c r="N110" i="15"/>
  <c r="M110" i="15"/>
  <c r="G94" i="15"/>
  <c r="N94" i="15"/>
  <c r="M94" i="15"/>
  <c r="M81" i="15"/>
  <c r="G81" i="15"/>
  <c r="N81" i="15"/>
  <c r="G77" i="15"/>
  <c r="M77" i="15"/>
  <c r="N77" i="15"/>
  <c r="N65" i="15"/>
  <c r="M65" i="15"/>
  <c r="G65" i="15"/>
  <c r="N61" i="15"/>
  <c r="G61" i="15"/>
  <c r="G63" i="15" s="1"/>
  <c r="M61" i="15"/>
  <c r="G73" i="15"/>
  <c r="N73" i="15"/>
  <c r="M73" i="15"/>
  <c r="N85" i="15"/>
  <c r="M85" i="15"/>
  <c r="G85" i="15"/>
  <c r="AY45" i="15" l="1"/>
  <c r="AZ44" i="15"/>
  <c r="AY46" i="15" l="1"/>
  <c r="AZ45" i="15"/>
  <c r="Y49" i="9"/>
  <c r="AA49" i="9" s="1"/>
  <c r="AY47" i="15" l="1"/>
  <c r="AZ46" i="15"/>
  <c r="AY48" i="15" l="1"/>
  <c r="AZ47" i="15"/>
  <c r="I28" i="1"/>
  <c r="AY49" i="15" l="1"/>
  <c r="AZ48" i="15"/>
  <c r="AY50" i="15" l="1"/>
  <c r="AZ49" i="15"/>
  <c r="AJ5" i="1"/>
  <c r="AY51" i="15" l="1"/>
  <c r="AZ50" i="15"/>
  <c r="Y52" i="9"/>
  <c r="AA52" i="9" s="1"/>
  <c r="AY52" i="15" l="1"/>
  <c r="AZ51" i="15"/>
  <c r="Y65" i="9"/>
  <c r="Y54" i="9"/>
  <c r="Y41" i="9"/>
  <c r="Y40" i="9"/>
  <c r="AY53" i="15" l="1"/>
  <c r="AZ52" i="15"/>
  <c r="Y62" i="9"/>
  <c r="Y61" i="9"/>
  <c r="Y60" i="9"/>
  <c r="Y59" i="9"/>
  <c r="Y58" i="9"/>
  <c r="Y57" i="9"/>
  <c r="Y56" i="9"/>
  <c r="Y55" i="9"/>
  <c r="AY54" i="15" l="1"/>
  <c r="AZ53" i="15"/>
  <c r="B79" i="9"/>
  <c r="Y79" i="9" s="1"/>
  <c r="AY55" i="15" l="1"/>
  <c r="AZ54" i="15"/>
  <c r="D59" i="1"/>
  <c r="Y78" i="9"/>
  <c r="AA78" i="9" s="1"/>
  <c r="Y77" i="9"/>
  <c r="AA77" i="9" s="1"/>
  <c r="Y76" i="9"/>
  <c r="AA76" i="9" s="1"/>
  <c r="AA75" i="9"/>
  <c r="AA74" i="9"/>
  <c r="AA73" i="9"/>
  <c r="AA72" i="9"/>
  <c r="AA71" i="9"/>
  <c r="Y70" i="9"/>
  <c r="AA70" i="9" s="1"/>
  <c r="Y69" i="9"/>
  <c r="AA69" i="9" s="1"/>
  <c r="Y68" i="9"/>
  <c r="AA68" i="9" s="1"/>
  <c r="Y67" i="9"/>
  <c r="AA67" i="9" s="1"/>
  <c r="Y66" i="9"/>
  <c r="AA66" i="9" s="1"/>
  <c r="AA65" i="9"/>
  <c r="Y64" i="9"/>
  <c r="AA64" i="9" s="1"/>
  <c r="Y63" i="9"/>
  <c r="AA63" i="9" s="1"/>
  <c r="AA62" i="9"/>
  <c r="AA61" i="9"/>
  <c r="AA60" i="9"/>
  <c r="AA59" i="9"/>
  <c r="AA58" i="9"/>
  <c r="AA57" i="9"/>
  <c r="AA56" i="9"/>
  <c r="AA55" i="9"/>
  <c r="AA54" i="9"/>
  <c r="Y53" i="9"/>
  <c r="AA53" i="9" s="1"/>
  <c r="Y51" i="9"/>
  <c r="AA51" i="9" s="1"/>
  <c r="Y50" i="9"/>
  <c r="AA50" i="9" s="1"/>
  <c r="Y48" i="9"/>
  <c r="AA48" i="9" s="1"/>
  <c r="Y47" i="9"/>
  <c r="Y46" i="9"/>
  <c r="AA46" i="9" s="1"/>
  <c r="Y45" i="9"/>
  <c r="Y44" i="9"/>
  <c r="Y43" i="9"/>
  <c r="Z43" i="9" s="1"/>
  <c r="AA43" i="9" s="1"/>
  <c r="Y42" i="9"/>
  <c r="AA41" i="9"/>
  <c r="AA40" i="9"/>
  <c r="Y39" i="9"/>
  <c r="AA39" i="9" s="1"/>
  <c r="Y38" i="9"/>
  <c r="AA38" i="9" s="1"/>
  <c r="Y37" i="9"/>
  <c r="AA37" i="9" s="1"/>
  <c r="Y36" i="9"/>
  <c r="AA36" i="9" s="1"/>
  <c r="Y35" i="9"/>
  <c r="AA35" i="9" s="1"/>
  <c r="Y34" i="9"/>
  <c r="AA34" i="9" s="1"/>
  <c r="Y33" i="9"/>
  <c r="AA33" i="9" s="1"/>
  <c r="Y32" i="9"/>
  <c r="AA32" i="9" s="1"/>
  <c r="Y31" i="9"/>
  <c r="Y30" i="9"/>
  <c r="Y29" i="9"/>
  <c r="Z29" i="9" s="1"/>
  <c r="AA29" i="9" s="1"/>
  <c r="Y28" i="9"/>
  <c r="Z28" i="9" s="1"/>
  <c r="Y27" i="9"/>
  <c r="Y26" i="9"/>
  <c r="Y25" i="9"/>
  <c r="Z25" i="9" s="1"/>
  <c r="AA25" i="9" s="1"/>
  <c r="Y24" i="9"/>
  <c r="Y23" i="9"/>
  <c r="Y22" i="9"/>
  <c r="Z22" i="9" s="1"/>
  <c r="AA22" i="9" s="1"/>
  <c r="Y21" i="9"/>
  <c r="AA21" i="9" s="1"/>
  <c r="Y20" i="9"/>
  <c r="AA20" i="9" s="1"/>
  <c r="AY56" i="15" l="1"/>
  <c r="AZ55" i="15"/>
  <c r="Z44" i="9"/>
  <c r="AA44" i="9" s="1"/>
  <c r="Z30" i="9"/>
  <c r="AA30" i="9" s="1"/>
  <c r="Z26" i="9"/>
  <c r="AA26" i="9" s="1"/>
  <c r="Z47" i="9"/>
  <c r="AA47" i="9" s="1"/>
  <c r="Z24" i="9"/>
  <c r="AA24" i="9" s="1"/>
  <c r="Z42" i="9"/>
  <c r="AA42" i="9" s="1"/>
  <c r="Z23" i="9"/>
  <c r="AA23" i="9" s="1"/>
  <c r="Z27" i="9"/>
  <c r="AA27" i="9" s="1"/>
  <c r="AA28" i="9"/>
  <c r="Z31" i="9"/>
  <c r="AA31" i="9" s="1"/>
  <c r="Z45" i="9"/>
  <c r="AA45" i="9" s="1"/>
  <c r="A2" i="14"/>
  <c r="AA80" i="9" l="1"/>
  <c r="AY57" i="15"/>
  <c r="AZ56" i="15"/>
  <c r="G59" i="1"/>
  <c r="AP298" i="15" s="1"/>
  <c r="A21" i="1" s="1"/>
  <c r="AY58" i="15" l="1"/>
  <c r="AZ57" i="15"/>
  <c r="Q8" i="2"/>
  <c r="Q7" i="2"/>
  <c r="AY59" i="15" l="1"/>
  <c r="AZ58" i="15"/>
  <c r="AY60" i="15" l="1"/>
  <c r="AZ59" i="15"/>
  <c r="U7" i="2" l="1"/>
  <c r="X7" i="2" s="1"/>
  <c r="AY61" i="15"/>
  <c r="AZ60" i="15"/>
  <c r="S8" i="2"/>
  <c r="R8" i="2"/>
  <c r="S7" i="2"/>
  <c r="T8" i="2"/>
  <c r="R7" i="2"/>
  <c r="U8" i="2"/>
  <c r="X8" i="2" s="1"/>
  <c r="T7" i="2"/>
  <c r="G25" i="1"/>
  <c r="G24" i="1"/>
  <c r="AY62" i="15" l="1"/>
  <c r="AZ61" i="15"/>
  <c r="M269" i="15"/>
  <c r="M267" i="15"/>
  <c r="M271" i="15"/>
  <c r="M273" i="15"/>
  <c r="J267" i="15"/>
  <c r="N267" i="15" s="1"/>
  <c r="J269" i="15"/>
  <c r="N269" i="15" s="1"/>
  <c r="J273" i="15"/>
  <c r="N273" i="15" s="1"/>
  <c r="J271" i="15"/>
  <c r="N271" i="15" s="1"/>
  <c r="B6" i="5"/>
  <c r="B5" i="5"/>
  <c r="C46" i="5"/>
  <c r="C47" i="5" s="1"/>
  <c r="C44" i="5"/>
  <c r="C48" i="5" s="1"/>
  <c r="C43" i="5"/>
  <c r="K29" i="5"/>
  <c r="L29" i="5" s="1"/>
  <c r="B29" i="5"/>
  <c r="K28" i="5"/>
  <c r="L28" i="5" s="1"/>
  <c r="B28" i="5"/>
  <c r="B30" i="5"/>
  <c r="K19" i="5"/>
  <c r="L19" i="5" s="1"/>
  <c r="C19" i="5"/>
  <c r="C32" i="5" s="1"/>
  <c r="B19" i="5"/>
  <c r="K18" i="5"/>
  <c r="L18" i="5" s="1"/>
  <c r="K17" i="5"/>
  <c r="L17" i="5" s="1"/>
  <c r="C7" i="5"/>
  <c r="C49" i="5" s="1"/>
  <c r="G26" i="1"/>
  <c r="P4" i="2" s="1"/>
  <c r="AY63" i="15" l="1"/>
  <c r="AZ62" i="15"/>
  <c r="C33" i="5"/>
  <c r="B57" i="5"/>
  <c r="B61" i="5" s="1"/>
  <c r="B59" i="5"/>
  <c r="B60" i="5" s="1"/>
  <c r="L16" i="2" s="1"/>
  <c r="B46" i="5"/>
  <c r="B47" i="5" s="1"/>
  <c r="V7" i="2"/>
  <c r="V8" i="2"/>
  <c r="B43" i="5"/>
  <c r="B44" i="5"/>
  <c r="B48" i="5" s="1"/>
  <c r="C36" i="5"/>
  <c r="B32" i="5"/>
  <c r="C8" i="5"/>
  <c r="C15" i="5" s="1"/>
  <c r="B7" i="5"/>
  <c r="B62" i="5" s="1"/>
  <c r="AY64" i="15" l="1"/>
  <c r="AZ63" i="15"/>
  <c r="K269" i="15"/>
  <c r="K271" i="15"/>
  <c r="K267" i="15"/>
  <c r="K273" i="15"/>
  <c r="K143" i="15"/>
  <c r="K131" i="15"/>
  <c r="K127" i="15"/>
  <c r="K123" i="15"/>
  <c r="K135" i="15"/>
  <c r="K119" i="15"/>
  <c r="K139" i="15"/>
  <c r="L4" i="2"/>
  <c r="B49" i="5"/>
  <c r="B36" i="5"/>
  <c r="B8" i="5"/>
  <c r="B15" i="5" s="1"/>
  <c r="B33" i="5"/>
  <c r="AY65" i="15" l="1"/>
  <c r="AZ64" i="15"/>
  <c r="K156" i="15"/>
  <c r="K152" i="15"/>
  <c r="K148" i="15"/>
  <c r="K168" i="15"/>
  <c r="K172" i="15"/>
  <c r="K164" i="15"/>
  <c r="K160" i="15"/>
  <c r="AY66" i="15" l="1"/>
  <c r="AZ65" i="15"/>
  <c r="G213" i="15"/>
  <c r="AE212" i="15"/>
  <c r="AF214" i="15" s="1"/>
  <c r="AY67" i="15" l="1"/>
  <c r="AZ66" i="15"/>
  <c r="AF212" i="15"/>
  <c r="E212" i="15" s="1"/>
  <c r="E213" i="15" s="1"/>
  <c r="AF216" i="15"/>
  <c r="AG211" i="15" s="1"/>
  <c r="AF218" i="15"/>
  <c r="G204" i="15"/>
  <c r="AE203" i="15"/>
  <c r="AF207" i="15" s="1"/>
  <c r="AY68" i="15" l="1"/>
  <c r="AZ67" i="15"/>
  <c r="AF211" i="15"/>
  <c r="AF203" i="15"/>
  <c r="AF209" i="15"/>
  <c r="AF205" i="15"/>
  <c r="AY69" i="15" l="1"/>
  <c r="AZ68" i="15"/>
  <c r="AF202" i="15"/>
  <c r="AY70" i="15" l="1"/>
  <c r="AZ69" i="15"/>
  <c r="AY71" i="15" l="1"/>
  <c r="AZ70" i="15"/>
  <c r="AY72" i="15" l="1"/>
  <c r="AZ71" i="15"/>
  <c r="AY73" i="15" l="1"/>
  <c r="AZ72" i="15"/>
  <c r="AY74" i="15" l="1"/>
  <c r="AZ73" i="15"/>
  <c r="AY75" i="15" l="1"/>
  <c r="AZ74" i="15"/>
  <c r="AY76" i="15" l="1"/>
  <c r="AZ75" i="15"/>
  <c r="AY77" i="15" l="1"/>
  <c r="AZ76" i="15"/>
  <c r="AY78" i="15" l="1"/>
  <c r="AZ77" i="15"/>
  <c r="AY79" i="15" l="1"/>
  <c r="AZ78" i="15"/>
  <c r="AY80" i="15" l="1"/>
  <c r="AZ79" i="15"/>
  <c r="AY81" i="15" l="1"/>
  <c r="AZ80" i="15"/>
  <c r="AY82" i="15" l="1"/>
  <c r="AZ81" i="15"/>
  <c r="AY83" i="15" l="1"/>
  <c r="AZ82" i="15"/>
  <c r="AY84" i="15" l="1"/>
  <c r="AZ83" i="15"/>
  <c r="AY85" i="15" l="1"/>
  <c r="AZ84" i="15"/>
  <c r="AY86" i="15" l="1"/>
  <c r="AZ85" i="15"/>
  <c r="AY87" i="15" l="1"/>
  <c r="AZ86" i="15"/>
  <c r="AY88" i="15" l="1"/>
  <c r="AZ87" i="15"/>
  <c r="AY89" i="15" l="1"/>
  <c r="AZ88" i="15"/>
  <c r="AY90" i="15" l="1"/>
  <c r="AZ89" i="15"/>
  <c r="AY91" i="15" l="1"/>
  <c r="AZ90" i="15"/>
  <c r="AY92" i="15" l="1"/>
  <c r="AZ91" i="15"/>
  <c r="AY93" i="15" l="1"/>
  <c r="AZ92" i="15"/>
  <c r="AY94" i="15" l="1"/>
  <c r="AZ93" i="15"/>
  <c r="AY95" i="15" l="1"/>
  <c r="AZ94" i="15"/>
  <c r="AY96" i="15" l="1"/>
  <c r="AZ95" i="15"/>
  <c r="AY97" i="15" l="1"/>
  <c r="AZ96" i="15"/>
  <c r="AY98" i="15" l="1"/>
  <c r="AZ97" i="15"/>
  <c r="AY99" i="15" l="1"/>
  <c r="AZ98" i="15"/>
  <c r="AY100" i="15" l="1"/>
  <c r="AZ99" i="15"/>
  <c r="AY101" i="15" l="1"/>
  <c r="AZ100" i="15"/>
  <c r="AY102" i="15" l="1"/>
  <c r="AZ101" i="15"/>
  <c r="AY103" i="15" l="1"/>
  <c r="AZ102" i="15"/>
  <c r="AY104" i="15" l="1"/>
  <c r="AZ103" i="15"/>
  <c r="AY105" i="15" l="1"/>
  <c r="AZ104" i="15"/>
  <c r="AY106" i="15" l="1"/>
  <c r="AZ105" i="15"/>
  <c r="AY107" i="15" l="1"/>
  <c r="AZ106" i="15"/>
  <c r="AY108" i="15" l="1"/>
  <c r="AZ107" i="15"/>
  <c r="AY109" i="15" l="1"/>
  <c r="AZ108" i="15"/>
  <c r="AY110" i="15" l="1"/>
  <c r="AZ109" i="15"/>
  <c r="AY111" i="15" l="1"/>
  <c r="AZ110" i="15"/>
  <c r="AY112" i="15" l="1"/>
  <c r="AZ111" i="15"/>
  <c r="AY113" i="15" l="1"/>
  <c r="AZ112" i="15"/>
  <c r="AY114" i="15" l="1"/>
  <c r="AZ113" i="15"/>
  <c r="AY115" i="15" l="1"/>
  <c r="AZ114" i="15"/>
  <c r="AY116" i="15" l="1"/>
  <c r="AZ115" i="15"/>
  <c r="AY117" i="15" l="1"/>
  <c r="AZ116" i="15"/>
  <c r="AY118" i="15" l="1"/>
  <c r="AZ117" i="15"/>
  <c r="AY119" i="15" l="1"/>
  <c r="AZ118" i="15"/>
  <c r="AY120" i="15" l="1"/>
  <c r="AZ119" i="15"/>
  <c r="AY121" i="15" l="1"/>
  <c r="AZ120" i="15"/>
  <c r="AY122" i="15" l="1"/>
  <c r="AZ121" i="15"/>
  <c r="AY123" i="15" l="1"/>
  <c r="AZ122" i="15"/>
  <c r="AY124" i="15" l="1"/>
  <c r="AZ123" i="15"/>
  <c r="AY125" i="15" l="1"/>
  <c r="AZ124" i="15"/>
  <c r="AY126" i="15" l="1"/>
  <c r="AZ125" i="15"/>
  <c r="AY127" i="15" l="1"/>
  <c r="AZ126" i="15"/>
  <c r="AY128" i="15" l="1"/>
  <c r="AZ127" i="15"/>
  <c r="AY129" i="15" l="1"/>
  <c r="AZ128" i="15"/>
  <c r="AY130" i="15" l="1"/>
  <c r="AZ129" i="15"/>
  <c r="AY131" i="15" l="1"/>
  <c r="AZ130" i="15"/>
  <c r="AY132" i="15" l="1"/>
  <c r="AZ131" i="15"/>
  <c r="AY133" i="15" l="1"/>
  <c r="AZ132" i="15"/>
  <c r="AY134" i="15" l="1"/>
  <c r="AZ133" i="15"/>
  <c r="AY135" i="15" l="1"/>
  <c r="AZ134" i="15"/>
  <c r="AY136" i="15" l="1"/>
  <c r="AZ135" i="15"/>
  <c r="AY137" i="15" l="1"/>
  <c r="AZ136" i="15"/>
  <c r="AY138" i="15" l="1"/>
  <c r="AZ137" i="15"/>
  <c r="AY139" i="15" l="1"/>
  <c r="AZ138" i="15"/>
  <c r="AY140" i="15" l="1"/>
  <c r="AZ139" i="15"/>
  <c r="AY141" i="15" l="1"/>
  <c r="AZ140" i="15"/>
  <c r="AY142" i="15" l="1"/>
  <c r="AZ141" i="15"/>
  <c r="AY143" i="15" l="1"/>
  <c r="AZ142" i="15"/>
  <c r="AY144" i="15" l="1"/>
  <c r="AZ143" i="15"/>
  <c r="AY145" i="15" l="1"/>
  <c r="AZ144" i="15"/>
  <c r="AY146" i="15" l="1"/>
  <c r="AZ145" i="15"/>
  <c r="AY147" i="15" l="1"/>
  <c r="AZ146" i="15"/>
  <c r="AY148" i="15" l="1"/>
  <c r="AZ147" i="15"/>
  <c r="AY149" i="15" l="1"/>
  <c r="AZ148" i="15"/>
  <c r="AY150" i="15" l="1"/>
  <c r="AZ149" i="15"/>
  <c r="AY151" i="15" l="1"/>
  <c r="AZ150" i="15"/>
  <c r="AY152" i="15" l="1"/>
  <c r="AZ151" i="15"/>
  <c r="AY153" i="15" l="1"/>
  <c r="AZ152" i="15"/>
  <c r="AY154" i="15" l="1"/>
  <c r="AZ153" i="15"/>
  <c r="AY155" i="15" l="1"/>
  <c r="AZ154" i="15"/>
  <c r="AY156" i="15" l="1"/>
  <c r="AZ155" i="15"/>
  <c r="AY157" i="15" l="1"/>
  <c r="AZ156" i="15"/>
  <c r="AY158" i="15" l="1"/>
  <c r="AZ157" i="15"/>
  <c r="AY159" i="15" l="1"/>
  <c r="AZ158" i="15"/>
  <c r="AY160" i="15" l="1"/>
  <c r="AZ159" i="15"/>
  <c r="AY161" i="15" l="1"/>
  <c r="AZ160" i="15"/>
  <c r="AY162" i="15" l="1"/>
  <c r="AZ161" i="15"/>
  <c r="AY163" i="15" l="1"/>
  <c r="AZ162" i="15"/>
  <c r="AY164" i="15" l="1"/>
  <c r="AZ163" i="15"/>
  <c r="AY165" i="15" l="1"/>
  <c r="AZ164" i="15"/>
  <c r="AY166" i="15" l="1"/>
  <c r="AZ165" i="15"/>
  <c r="AY167" i="15" l="1"/>
  <c r="AZ166" i="15"/>
  <c r="AY168" i="15" l="1"/>
  <c r="AZ167" i="15"/>
  <c r="AY169" i="15" l="1"/>
  <c r="AZ168" i="15"/>
  <c r="AY170" i="15" l="1"/>
  <c r="AZ169" i="15"/>
  <c r="AY171" i="15" l="1"/>
  <c r="AZ170" i="15"/>
  <c r="AY172" i="15" l="1"/>
  <c r="AZ171" i="15"/>
  <c r="AY173" i="15" l="1"/>
  <c r="AZ172" i="15"/>
  <c r="AY174" i="15" l="1"/>
  <c r="AZ173" i="15"/>
  <c r="AY175" i="15" l="1"/>
  <c r="AZ174" i="15"/>
  <c r="AY176" i="15" l="1"/>
  <c r="AZ175" i="15"/>
  <c r="AY177" i="15" l="1"/>
  <c r="AZ176" i="15"/>
  <c r="AY178" i="15" l="1"/>
  <c r="AZ177" i="15"/>
  <c r="AY179" i="15" l="1"/>
  <c r="AZ178" i="15"/>
  <c r="AY180" i="15" l="1"/>
  <c r="AZ179" i="15"/>
  <c r="AY181" i="15" l="1"/>
  <c r="AZ180" i="15"/>
  <c r="AY182" i="15" l="1"/>
  <c r="AZ181" i="15"/>
  <c r="AY183" i="15" l="1"/>
  <c r="AZ182" i="15"/>
  <c r="AY184" i="15" l="1"/>
  <c r="AZ183" i="15"/>
  <c r="AY185" i="15" l="1"/>
  <c r="AZ184" i="15"/>
  <c r="AY186" i="15" l="1"/>
  <c r="AZ185" i="15"/>
  <c r="AY187" i="15" l="1"/>
  <c r="AZ186" i="15"/>
  <c r="AY188" i="15" l="1"/>
  <c r="AZ187" i="15"/>
  <c r="AY189" i="15" l="1"/>
  <c r="AZ188" i="15"/>
  <c r="AY190" i="15" l="1"/>
  <c r="AZ189" i="15"/>
  <c r="AY191" i="15" l="1"/>
  <c r="AZ190" i="15"/>
  <c r="AY192" i="15" l="1"/>
  <c r="AZ191" i="15"/>
  <c r="AY193" i="15" l="1"/>
  <c r="AZ192" i="15"/>
  <c r="AY194" i="15" l="1"/>
  <c r="AZ193" i="15"/>
  <c r="AY195" i="15" l="1"/>
  <c r="AZ194" i="15"/>
  <c r="AY196" i="15" l="1"/>
  <c r="AZ195" i="15"/>
  <c r="AY197" i="15" l="1"/>
  <c r="AZ196" i="15"/>
  <c r="AY198" i="15" l="1"/>
  <c r="AZ197" i="15"/>
  <c r="AY199" i="15" l="1"/>
  <c r="AZ198" i="15"/>
  <c r="AY200" i="15" l="1"/>
  <c r="AZ199" i="15"/>
  <c r="AY201" i="15" l="1"/>
  <c r="AZ200" i="15"/>
  <c r="AY202" i="15" l="1"/>
  <c r="AZ201" i="15"/>
  <c r="AY203" i="15" l="1"/>
  <c r="AZ202" i="15"/>
  <c r="AY204" i="15" l="1"/>
  <c r="AZ203" i="15"/>
  <c r="AY205" i="15" l="1"/>
  <c r="AZ204" i="15"/>
  <c r="AY206" i="15" l="1"/>
  <c r="AZ205" i="15"/>
  <c r="AY207" i="15" l="1"/>
  <c r="AZ206" i="15"/>
  <c r="AY208" i="15" l="1"/>
  <c r="AZ207" i="15"/>
  <c r="AY209" i="15" l="1"/>
  <c r="AZ208" i="15"/>
  <c r="AY210" i="15" l="1"/>
  <c r="AZ209" i="15"/>
  <c r="AY211" i="15" l="1"/>
  <c r="AZ210" i="15"/>
  <c r="AY212" i="15" l="1"/>
  <c r="AZ211" i="15"/>
  <c r="AY213" i="15" l="1"/>
  <c r="AZ212" i="15"/>
  <c r="AY214" i="15" l="1"/>
  <c r="AZ213" i="15"/>
  <c r="AY215" i="15" l="1"/>
  <c r="AZ214" i="15"/>
  <c r="AY216" i="15" l="1"/>
  <c r="AZ215" i="15"/>
  <c r="AY217" i="15" l="1"/>
  <c r="AZ216" i="15"/>
  <c r="AY218" i="15" l="1"/>
  <c r="AZ217" i="15"/>
  <c r="AY219" i="15" l="1"/>
  <c r="AZ218" i="15"/>
  <c r="AY220" i="15" l="1"/>
  <c r="AZ219" i="15"/>
  <c r="AY221" i="15" l="1"/>
  <c r="AZ220" i="15"/>
  <c r="AY222" i="15" l="1"/>
  <c r="AZ221" i="15"/>
  <c r="AY223" i="15" l="1"/>
  <c r="AZ222" i="15"/>
  <c r="AY224" i="15" l="1"/>
  <c r="AZ223" i="15"/>
  <c r="AY225" i="15" l="1"/>
  <c r="AZ224" i="15"/>
  <c r="AY226" i="15" l="1"/>
  <c r="AZ225" i="15"/>
  <c r="AY227" i="15" l="1"/>
  <c r="AZ226" i="15"/>
  <c r="AY228" i="15" l="1"/>
  <c r="AZ227" i="15"/>
  <c r="AY229" i="15" l="1"/>
  <c r="AZ228" i="15"/>
  <c r="AY230" i="15" l="1"/>
  <c r="AZ229" i="15"/>
  <c r="AY231" i="15" l="1"/>
  <c r="AZ230" i="15"/>
  <c r="AY232" i="15" l="1"/>
  <c r="AZ231" i="15"/>
  <c r="AY233" i="15" l="1"/>
  <c r="AZ232" i="15"/>
  <c r="AY234" i="15" l="1"/>
  <c r="AZ233" i="15"/>
  <c r="AY235" i="15" l="1"/>
  <c r="AZ234" i="15"/>
  <c r="AY236" i="15" l="1"/>
  <c r="AZ235" i="15"/>
  <c r="AY237" i="15" l="1"/>
  <c r="AZ236" i="15"/>
  <c r="AY238" i="15" l="1"/>
  <c r="AZ237" i="15"/>
  <c r="AY239" i="15" l="1"/>
  <c r="AZ238" i="15"/>
  <c r="AY240" i="15" l="1"/>
  <c r="AZ239" i="15"/>
  <c r="AY241" i="15" l="1"/>
  <c r="AZ240" i="15"/>
  <c r="AY242" i="15" l="1"/>
  <c r="AZ241" i="15"/>
  <c r="AY243" i="15" l="1"/>
  <c r="AZ242" i="15"/>
  <c r="AY244" i="15" l="1"/>
  <c r="AZ243" i="15"/>
  <c r="AY245" i="15" l="1"/>
  <c r="AZ244" i="15"/>
  <c r="AY246" i="15" l="1"/>
  <c r="AZ245" i="15"/>
  <c r="AY247" i="15" l="1"/>
  <c r="AZ246" i="15"/>
  <c r="AY248" i="15" l="1"/>
  <c r="AZ247" i="15"/>
  <c r="AY249" i="15" l="1"/>
  <c r="AZ248" i="15"/>
  <c r="AY250" i="15" l="1"/>
  <c r="AZ249" i="15"/>
  <c r="AY251" i="15" l="1"/>
  <c r="AZ250" i="15"/>
  <c r="AY252" i="15" l="1"/>
  <c r="AZ251" i="15"/>
  <c r="AY253" i="15" l="1"/>
  <c r="AZ252" i="15"/>
  <c r="AY254" i="15" l="1"/>
  <c r="AZ253" i="15"/>
  <c r="AY255" i="15" l="1"/>
  <c r="AZ254" i="15"/>
  <c r="AY256" i="15" l="1"/>
  <c r="AZ255" i="15"/>
  <c r="AY257" i="15" l="1"/>
  <c r="AZ256" i="15"/>
  <c r="AY258" i="15" l="1"/>
  <c r="AZ257" i="15"/>
  <c r="AY259" i="15" l="1"/>
  <c r="AZ258" i="15"/>
  <c r="AY260" i="15" l="1"/>
  <c r="AZ259" i="15"/>
  <c r="AY261" i="15" l="1"/>
  <c r="AZ260" i="15"/>
  <c r="AY262" i="15" l="1"/>
  <c r="AZ261" i="15"/>
  <c r="AY263" i="15" l="1"/>
  <c r="AZ262" i="15"/>
  <c r="AY264" i="15" l="1"/>
  <c r="AZ263" i="15"/>
  <c r="AY265" i="15" l="1"/>
  <c r="AZ264" i="15"/>
  <c r="AY266" i="15" l="1"/>
  <c r="AZ265" i="15"/>
  <c r="AY267" i="15" l="1"/>
  <c r="AZ266" i="15"/>
  <c r="AY268" i="15" l="1"/>
  <c r="AZ267" i="15"/>
  <c r="AY269" i="15" l="1"/>
  <c r="AZ268" i="15"/>
  <c r="AY270" i="15" l="1"/>
  <c r="AZ269" i="15"/>
  <c r="AY271" i="15" l="1"/>
  <c r="AZ270" i="15"/>
  <c r="AY272" i="15" l="1"/>
  <c r="AZ271" i="15"/>
  <c r="AY273" i="15" l="1"/>
  <c r="AZ272" i="15"/>
  <c r="AY274" i="15" l="1"/>
  <c r="AZ274" i="15" s="1"/>
  <c r="AZ273" i="15"/>
</calcChain>
</file>

<file path=xl/comments1.xml><?xml version="1.0" encoding="utf-8"?>
<comments xmlns="http://schemas.openxmlformats.org/spreadsheetml/2006/main">
  <authors>
    <author>Koperwas, Marek</author>
  </authors>
  <commentList>
    <comment ref="F19" authorId="0" shapeId="0">
      <text>
        <r>
          <rPr>
            <b/>
            <sz val="9"/>
            <color indexed="81"/>
            <rFont val="Tahoma"/>
            <family val="2"/>
          </rPr>
          <t xml:space="preserve">Intensywność Brutto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>WIELKOŚĆ PARTII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9" authorId="0" shapeId="0">
      <text>
        <r>
          <rPr>
            <b/>
            <sz val="9"/>
            <color indexed="81"/>
            <rFont val="Tahoma"/>
            <family val="2"/>
          </rPr>
          <t xml:space="preserve">Intensywność Brutto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0" shapeId="0">
      <text>
        <r>
          <rPr>
            <b/>
            <sz val="9"/>
            <color indexed="81"/>
            <rFont val="Tahoma"/>
            <family val="2"/>
          </rPr>
          <t xml:space="preserve">Intensywność Brutto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9" authorId="0" shapeId="0">
      <text>
        <r>
          <rPr>
            <b/>
            <sz val="9"/>
            <color indexed="81"/>
            <rFont val="Tahoma"/>
            <family val="2"/>
          </rPr>
          <t xml:space="preserve">Intensywność Brutto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9" authorId="0" shapeId="0">
      <text>
        <r>
          <rPr>
            <b/>
            <sz val="9"/>
            <color indexed="81"/>
            <rFont val="Tahoma"/>
            <family val="2"/>
          </rPr>
          <t xml:space="preserve">Intensywność Brutto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 xml:space="preserve">Intensywność Brutto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WIERTARKA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WIERTARKA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SITODRUKARKA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SITODRUKARKA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7" authorId="0" shapeId="0">
      <text>
        <r>
          <rPr>
            <b/>
            <sz val="9"/>
            <color indexed="81"/>
            <rFont val="Tahoma"/>
            <family val="2"/>
          </rPr>
          <t>WIERTARKA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8" authorId="0" shapeId="0">
      <text>
        <r>
          <rPr>
            <b/>
            <sz val="9"/>
            <color indexed="81"/>
            <rFont val="Tahoma"/>
            <family val="2"/>
          </rPr>
          <t>WIERTARKA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0" authorId="0" shapeId="0">
      <text>
        <r>
          <rPr>
            <b/>
            <sz val="9"/>
            <color indexed="81"/>
            <rFont val="Tahoma"/>
            <family val="2"/>
          </rPr>
          <t>SITODRUKARKA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1" authorId="0" shapeId="0">
      <text>
        <r>
          <rPr>
            <b/>
            <sz val="9"/>
            <color indexed="81"/>
            <rFont val="Tahoma"/>
            <family val="2"/>
          </rPr>
          <t>SITODRUKARKA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2" authorId="0" shapeId="0">
      <text>
        <r>
          <rPr>
            <b/>
            <sz val="9"/>
            <color indexed="81"/>
            <rFont val="Tahoma"/>
            <family val="2"/>
          </rPr>
          <t>SITODRUKARKA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3" authorId="0" shapeId="0">
      <text>
        <r>
          <rPr>
            <b/>
            <sz val="9"/>
            <color indexed="81"/>
            <rFont val="Tahoma"/>
            <family val="2"/>
          </rPr>
          <t>SITODRUKARKA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4" authorId="0" shapeId="0">
      <text>
        <r>
          <rPr>
            <b/>
            <sz val="9"/>
            <color indexed="81"/>
            <rFont val="Tahoma"/>
            <family val="2"/>
          </rPr>
          <t>SITODRUKARKA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0" authorId="0" shapeId="0">
      <text>
        <r>
          <rPr>
            <b/>
            <sz val="9"/>
            <color indexed="81"/>
            <rFont val="Tahoma"/>
            <family val="2"/>
          </rPr>
          <t>RĘCZNE USUWANIE POWŁOKI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4" authorId="0" shapeId="0">
      <text>
        <r>
          <rPr>
            <b/>
            <sz val="9"/>
            <color indexed="81"/>
            <rFont val="Tahoma"/>
            <family val="2"/>
          </rPr>
          <t>SITODRUKARKA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5" authorId="0" shapeId="0">
      <text>
        <r>
          <rPr>
            <b/>
            <sz val="9"/>
            <color indexed="81"/>
            <rFont val="Tahoma"/>
            <family val="2"/>
          </rPr>
          <t>SITODRUKARKA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<sst xmlns="http://schemas.openxmlformats.org/spreadsheetml/2006/main" count="4198" uniqueCount="837">
  <si>
    <t>Grubość [mm]</t>
  </si>
  <si>
    <t>Wymiar rysunkowy (mm)</t>
  </si>
  <si>
    <t>Szerokość:</t>
  </si>
  <si>
    <t>Powierzchnia (m²):</t>
  </si>
  <si>
    <t>Wymiar formatki pojedynczej (mm)</t>
  </si>
  <si>
    <t>Wymiar formatki podwójnej (mm)</t>
  </si>
  <si>
    <t>CYKLE PRODUKCYJNE</t>
  </si>
  <si>
    <t xml:space="preserve"> Na stronie zewnętrznej</t>
  </si>
  <si>
    <t xml:space="preserve"> Na stronie wewnętrznej</t>
  </si>
  <si>
    <t>Kolor znaku</t>
  </si>
  <si>
    <t>Wysokość:</t>
  </si>
  <si>
    <t>ZNAK TOWAROWY / LOGO</t>
  </si>
  <si>
    <t>Stempel:</t>
  </si>
  <si>
    <t>Znak tow. ESG:</t>
  </si>
  <si>
    <t>Znak tow. ISO:</t>
  </si>
  <si>
    <t>Ciężar (kg)</t>
  </si>
  <si>
    <t>Nr SAP.............:</t>
  </si>
  <si>
    <t>Nr SAP (polski) :</t>
  </si>
  <si>
    <t>Nr  rysunku:</t>
  </si>
  <si>
    <t>Nr modelu:</t>
  </si>
  <si>
    <t>Kolor :</t>
  </si>
  <si>
    <t>Nr  części:</t>
  </si>
  <si>
    <t>Nr karty modelu:</t>
  </si>
  <si>
    <t>Klient:</t>
  </si>
  <si>
    <t>Producent:</t>
  </si>
  <si>
    <t>Model pojazdu:</t>
  </si>
  <si>
    <t>Rodzaj szyby:</t>
  </si>
  <si>
    <t>Segment rynku:</t>
  </si>
  <si>
    <t>Strona 1 z 1</t>
  </si>
  <si>
    <t>Opracował :</t>
  </si>
  <si>
    <t>Data wykonania:</t>
  </si>
  <si>
    <t>KARTA MODELU SZYBY POJEDYNCZEJ (ESG)</t>
  </si>
  <si>
    <t>Krawędź niezadrukowana</t>
  </si>
  <si>
    <t>Druk I</t>
  </si>
  <si>
    <t>Druk II</t>
  </si>
  <si>
    <t>HARTOWANIE</t>
  </si>
  <si>
    <t>Zmienność przylegania</t>
  </si>
  <si>
    <t>Zwis</t>
  </si>
  <si>
    <t>NARZĘDZIA</t>
  </si>
  <si>
    <t>Program Bystronic</t>
  </si>
  <si>
    <t>Program  Intermac I,II,III</t>
  </si>
  <si>
    <t>Program Water Jet</t>
  </si>
  <si>
    <t>Bando Kiko</t>
  </si>
  <si>
    <t>Wiertła diamentowe</t>
  </si>
  <si>
    <t>Sprawdzian gięcia</t>
  </si>
  <si>
    <t>Sprawdzian cięcia</t>
  </si>
  <si>
    <t>Sprawdzian obróbki</t>
  </si>
  <si>
    <t>Sprawdzian otworów</t>
  </si>
  <si>
    <t>Sprawdzian promieni</t>
  </si>
  <si>
    <t>Szablon wzorcowy</t>
  </si>
  <si>
    <t>Diapozytyw nr 1</t>
  </si>
  <si>
    <t>Diapozytyw nr 2</t>
  </si>
  <si>
    <t>Zarządzanie zmianą</t>
  </si>
  <si>
    <t>Wprowadził</t>
  </si>
  <si>
    <t>Data</t>
  </si>
  <si>
    <t>Etykieta na szybie</t>
  </si>
  <si>
    <t>Pakowanie</t>
  </si>
  <si>
    <t>Data sprawdzenia</t>
  </si>
  <si>
    <t>Kartę sprawdził</t>
  </si>
  <si>
    <t>Przyleganie/Strzałka gięcia</t>
  </si>
  <si>
    <t>Płaskość</t>
  </si>
  <si>
    <t>Specyfikacja kontroli</t>
  </si>
  <si>
    <t>Operacja</t>
  </si>
  <si>
    <t>Rodzina maszyn</t>
  </si>
  <si>
    <t>Materiał 1</t>
  </si>
  <si>
    <t>Yield</t>
  </si>
  <si>
    <t>Materiał 2</t>
  </si>
  <si>
    <t>Materiał 3</t>
  </si>
  <si>
    <t>Cięcie</t>
  </si>
  <si>
    <t>MF1</t>
  </si>
  <si>
    <t>Szlif/ poler</t>
  </si>
  <si>
    <t>MF3</t>
  </si>
  <si>
    <t>Wycinanie otworów</t>
  </si>
  <si>
    <t>Szlifowanie otworów</t>
  </si>
  <si>
    <t>Wiercenie</t>
  </si>
  <si>
    <t>MF4</t>
  </si>
  <si>
    <t>Sitodruk</t>
  </si>
  <si>
    <t>MF5</t>
  </si>
  <si>
    <t>Hartowanie</t>
  </si>
  <si>
    <t>MF6</t>
  </si>
  <si>
    <t>Lutowanie</t>
  </si>
  <si>
    <t>MF7</t>
  </si>
  <si>
    <t>Laminacja</t>
  </si>
  <si>
    <t>MF8</t>
  </si>
  <si>
    <t>Autoclav</t>
  </si>
  <si>
    <t>MF10</t>
  </si>
  <si>
    <t>Podmontaż/ oklejanie folią</t>
  </si>
  <si>
    <t>MF11</t>
  </si>
  <si>
    <t>Przygotowanie folii</t>
  </si>
  <si>
    <t>MF12</t>
  </si>
  <si>
    <t>Izolacja</t>
  </si>
  <si>
    <t>MF13</t>
  </si>
  <si>
    <t>Ekstruzja</t>
  </si>
  <si>
    <t>MF22</t>
  </si>
  <si>
    <t>Ręcze usuwanie powłoki</t>
  </si>
  <si>
    <t>MF23</t>
  </si>
  <si>
    <t>Oznaczenie urządzenia</t>
  </si>
  <si>
    <t>OZNACZENIE MARSZRUTY</t>
  </si>
  <si>
    <t>OPIS URZĄDZENIA (PROCESU)</t>
  </si>
  <si>
    <t>Wersja Bazowa</t>
  </si>
  <si>
    <t>Wersja 2</t>
  </si>
  <si>
    <t>Wersja 3</t>
  </si>
  <si>
    <t>Wersja 4</t>
  </si>
  <si>
    <t>Wersja 5</t>
  </si>
  <si>
    <t>Marszruta</t>
  </si>
  <si>
    <t>Wydajność</t>
  </si>
  <si>
    <t>Wielkość partii</t>
  </si>
  <si>
    <t>BYS1</t>
  </si>
  <si>
    <t>C10</t>
  </si>
  <si>
    <t>BYS3</t>
  </si>
  <si>
    <t>C12</t>
  </si>
  <si>
    <t>TMB1</t>
  </si>
  <si>
    <t>O22</t>
  </si>
  <si>
    <t>POLR</t>
  </si>
  <si>
    <t>O23</t>
  </si>
  <si>
    <t>Poler reczny</t>
  </si>
  <si>
    <t>RS01</t>
  </si>
  <si>
    <t>O20</t>
  </si>
  <si>
    <t>Polerka R&amp;S 1</t>
  </si>
  <si>
    <t>RS02</t>
  </si>
  <si>
    <t>O26</t>
  </si>
  <si>
    <t>Polerka R&amp;S 2</t>
  </si>
  <si>
    <t>WJ02</t>
  </si>
  <si>
    <t>O31</t>
  </si>
  <si>
    <t>IM02</t>
  </si>
  <si>
    <t>O30</t>
  </si>
  <si>
    <t>JB01</t>
  </si>
  <si>
    <t>W30</t>
  </si>
  <si>
    <t>JB02</t>
  </si>
  <si>
    <t>W31</t>
  </si>
  <si>
    <t>SVEC</t>
  </si>
  <si>
    <t>S40</t>
  </si>
  <si>
    <t>FL01</t>
  </si>
  <si>
    <t>S42</t>
  </si>
  <si>
    <t>GTO1</t>
  </si>
  <si>
    <t>H50</t>
  </si>
  <si>
    <t>Piec GTO</t>
  </si>
  <si>
    <t>TG01</t>
  </si>
  <si>
    <t>H51</t>
  </si>
  <si>
    <t>LUT1</t>
  </si>
  <si>
    <t>L60, L63</t>
  </si>
  <si>
    <t>Z010</t>
  </si>
  <si>
    <t>C13</t>
  </si>
  <si>
    <t>Linia cięcia Jumbo</t>
  </si>
  <si>
    <t>BK01</t>
  </si>
  <si>
    <t>A17</t>
  </si>
  <si>
    <t>WJ01</t>
  </si>
  <si>
    <t>O29</t>
  </si>
  <si>
    <t>IM01</t>
  </si>
  <si>
    <t>O27</t>
  </si>
  <si>
    <t>IM03</t>
  </si>
  <si>
    <t>O32</t>
  </si>
  <si>
    <t>JB03</t>
  </si>
  <si>
    <t>W32</t>
  </si>
  <si>
    <t>TH01</t>
  </si>
  <si>
    <t>S43</t>
  </si>
  <si>
    <t>TH02</t>
  </si>
  <si>
    <t>S44</t>
  </si>
  <si>
    <t>FL02</t>
  </si>
  <si>
    <t>S45</t>
  </si>
  <si>
    <t>BT01</t>
  </si>
  <si>
    <t>H54</t>
  </si>
  <si>
    <t>CRB1</t>
  </si>
  <si>
    <t>H53</t>
  </si>
  <si>
    <t>Piec CRB</t>
  </si>
  <si>
    <t>TG02</t>
  </si>
  <si>
    <t>H52</t>
  </si>
  <si>
    <t>BT02</t>
  </si>
  <si>
    <t>H55</t>
  </si>
  <si>
    <t>PLAN</t>
  </si>
  <si>
    <t>R21</t>
  </si>
  <si>
    <t>IZO1</t>
  </si>
  <si>
    <t>IS2</t>
  </si>
  <si>
    <t>Szyby izolowane</t>
  </si>
  <si>
    <t>PAK1</t>
  </si>
  <si>
    <t>IS3</t>
  </si>
  <si>
    <t>Pakowanie IZO I</t>
  </si>
  <si>
    <t>BK02</t>
  </si>
  <si>
    <t>Q19</t>
  </si>
  <si>
    <t>WIN1</t>
  </si>
  <si>
    <t>Q31</t>
  </si>
  <si>
    <t>WIN2</t>
  </si>
  <si>
    <t>MF60</t>
  </si>
  <si>
    <t>Q41</t>
  </si>
  <si>
    <t>PVB2</t>
  </si>
  <si>
    <t>Q56</t>
  </si>
  <si>
    <t>LAM2</t>
  </si>
  <si>
    <t>Q51</t>
  </si>
  <si>
    <t>PRE2</t>
  </si>
  <si>
    <t>Q60</t>
  </si>
  <si>
    <t>Podmontaż II K450</t>
  </si>
  <si>
    <t>EXTR</t>
  </si>
  <si>
    <t>Q61</t>
  </si>
  <si>
    <t>Ekstruzja K450</t>
  </si>
  <si>
    <t>PVB1</t>
  </si>
  <si>
    <t>Przygotowanie folii PVB I</t>
  </si>
  <si>
    <t>LAM1</t>
  </si>
  <si>
    <t>LM1</t>
  </si>
  <si>
    <t>Laminacja I</t>
  </si>
  <si>
    <t>AC01</t>
  </si>
  <si>
    <t>LM6</t>
  </si>
  <si>
    <t>Autoclav I</t>
  </si>
  <si>
    <t>PRE1</t>
  </si>
  <si>
    <t>K68, K71, K74, K78, K79</t>
  </si>
  <si>
    <t>Podmontaż I</t>
  </si>
  <si>
    <t>FILM</t>
  </si>
  <si>
    <t>K75</t>
  </si>
  <si>
    <t>Oklejanie folią</t>
  </si>
  <si>
    <t>RAM1</t>
  </si>
  <si>
    <t>K81</t>
  </si>
  <si>
    <t>Ramowanie I</t>
  </si>
  <si>
    <t>Planilux/bezbarwne</t>
  </si>
  <si>
    <t>TSAnX/zielone</t>
  </si>
  <si>
    <t>Parsol Bronze/brąz</t>
  </si>
  <si>
    <t>Parsol Grey/szary</t>
  </si>
  <si>
    <t>-</t>
  </si>
  <si>
    <t>Venus Grey10/szary</t>
  </si>
  <si>
    <t>Venus Grey20/szary</t>
  </si>
  <si>
    <t>Venus Grey40/szary</t>
  </si>
  <si>
    <t>Venus Green35/zielone</t>
  </si>
  <si>
    <t>Venus Green55/zielone</t>
  </si>
  <si>
    <t>GRUBOŚĆ SZKŁA</t>
  </si>
  <si>
    <t>KOLOR SZKŁA</t>
  </si>
  <si>
    <t>RODZAJ FARBY</t>
  </si>
  <si>
    <t>Tolerancja położenia[mm]</t>
  </si>
  <si>
    <t>Planilux/bezbarwne+RFLC</t>
  </si>
  <si>
    <t>Czytelny od zewnątrz</t>
  </si>
  <si>
    <t>Czytelny od wewnątrz</t>
  </si>
  <si>
    <r>
      <t xml:space="preserve">Typ 1 (poler)  </t>
    </r>
    <r>
      <rPr>
        <b/>
        <sz val="28"/>
        <color indexed="8"/>
        <rFont val="Arial"/>
        <family val="2"/>
        <charset val="238"/>
      </rPr>
      <t xml:space="preserve"> X</t>
    </r>
  </si>
  <si>
    <r>
      <t xml:space="preserve">     Typ 4 (szlif) </t>
    </r>
    <r>
      <rPr>
        <b/>
        <sz val="24"/>
        <color indexed="8"/>
        <rFont val="Arial"/>
        <family val="2"/>
        <charset val="238"/>
      </rPr>
      <t xml:space="preserve">          </t>
    </r>
  </si>
  <si>
    <t xml:space="preserve"> na wewnętrznej stronie szyby</t>
  </si>
  <si>
    <t>Rodzina 
maszyn</t>
  </si>
  <si>
    <t>RS03</t>
  </si>
  <si>
    <t>O34</t>
  </si>
  <si>
    <t>Polerka R&amp;S 3</t>
  </si>
  <si>
    <t>PAK2</t>
  </si>
  <si>
    <t>Pakowanie II K450</t>
  </si>
  <si>
    <t>A=</t>
  </si>
  <si>
    <t>B=</t>
  </si>
  <si>
    <t>C=</t>
  </si>
  <si>
    <t>D=</t>
  </si>
  <si>
    <t>Szyba</t>
  </si>
  <si>
    <t>A 628 673 86 07</t>
  </si>
  <si>
    <t>A 628 673 93 05</t>
  </si>
  <si>
    <t>Stary SAP</t>
  </si>
  <si>
    <t>Nowy SAP</t>
  </si>
  <si>
    <t>Szerokość</t>
  </si>
  <si>
    <t>Wysokość</t>
  </si>
  <si>
    <t>Powierzchnia szyby</t>
  </si>
  <si>
    <t>Powierzchnia zamalowana</t>
  </si>
  <si>
    <t>Grubość warstwy na mokro</t>
  </si>
  <si>
    <t>Typ sita</t>
  </si>
  <si>
    <t>77/48</t>
  </si>
  <si>
    <t>Dane wg SAP</t>
  </si>
  <si>
    <t>Założone straty w procesie</t>
  </si>
  <si>
    <t>Ciężar właściwy farby</t>
  </si>
  <si>
    <t>Obliczona masa farby</t>
  </si>
  <si>
    <t>dł. Szyby</t>
  </si>
  <si>
    <t>szerokość</t>
  </si>
  <si>
    <t>a</t>
  </si>
  <si>
    <t>b</t>
  </si>
  <si>
    <t>c</t>
  </si>
  <si>
    <t>d</t>
  </si>
  <si>
    <t>pow. zamalowana</t>
  </si>
  <si>
    <t>farba</t>
  </si>
  <si>
    <t>Waga szyby przed malowaniem/g</t>
  </si>
  <si>
    <t>Waga szyby po malowaniu/g</t>
  </si>
  <si>
    <t>Waga farby na 1-dną szt.</t>
  </si>
  <si>
    <t>wg Qplaninngu</t>
  </si>
  <si>
    <t>Waga farby brutto przed malowaniem</t>
  </si>
  <si>
    <t>Waga farby brutto po malowaniu</t>
  </si>
  <si>
    <t xml:space="preserve">Zużycie farby </t>
  </si>
  <si>
    <t>Ilość pomalowanych szyb</t>
  </si>
  <si>
    <t>Średnie zużycie farby na szt. z uwzglednieniem strat</t>
  </si>
  <si>
    <t>Straty w procesie (sito, rakiel)</t>
  </si>
  <si>
    <t>Straty w procesie (sito, rakiel) na 1 m2</t>
  </si>
  <si>
    <t>Zużycie farby czarnej dla powierzchni 1 m2 pełnego sitodruku</t>
  </si>
  <si>
    <t>Szerokość sitodruku z lewej strony</t>
  </si>
  <si>
    <t>Szerokość sitodruku z prawej strony</t>
  </si>
  <si>
    <t xml:space="preserve">Szerokość sitodruku od góry </t>
  </si>
  <si>
    <t>Szerokość sitodruku na dole</t>
  </si>
  <si>
    <t>Obliczeniowa średnia szerokość sitodruku</t>
  </si>
  <si>
    <t>Podaj średnią szerokość sitodruku</t>
  </si>
  <si>
    <t>Podaj % zamalowanej powierzchni</t>
  </si>
  <si>
    <t>Obliczeniowa powierzchnia zamalowana:</t>
  </si>
  <si>
    <t>Masa farby na szybie wg podanych szerokości sitodruku:</t>
  </si>
  <si>
    <t>Masa farby na szybie wg średniej szerokości sitodruku:</t>
  </si>
  <si>
    <t>Masa farby na szybie wg % zamalowanej powierzchni</t>
  </si>
  <si>
    <t>STR</t>
  </si>
  <si>
    <t>STR61030035</t>
  </si>
  <si>
    <t>STR61030006</t>
  </si>
  <si>
    <t>STR61030014</t>
  </si>
  <si>
    <t>STR61030016</t>
  </si>
  <si>
    <t>Czarna FERRO 14509 IR</t>
  </si>
  <si>
    <t>Czarna 1T1405-IR</t>
  </si>
  <si>
    <t>Biała AF2000-IR</t>
  </si>
  <si>
    <t>Biała AF2900-IR</t>
  </si>
  <si>
    <t>Dla szyb z pełnym sitodrukiem</t>
  </si>
  <si>
    <t>lub</t>
  </si>
  <si>
    <t>GER1</t>
  </si>
  <si>
    <t>LAM3</t>
  </si>
  <si>
    <t>Laminacja III (Szyby zbrojone)</t>
  </si>
  <si>
    <t>WaterJet 2</t>
  </si>
  <si>
    <t>Intermac 2</t>
  </si>
  <si>
    <t>Linia Bando Kiko 1</t>
  </si>
  <si>
    <t>WaterJet 1</t>
  </si>
  <si>
    <t>Intermac 1</t>
  </si>
  <si>
    <t>Intermac 3</t>
  </si>
  <si>
    <t>WJ03</t>
  </si>
  <si>
    <t>O35</t>
  </si>
  <si>
    <t>WaterJet 3</t>
  </si>
  <si>
    <t>O36</t>
  </si>
  <si>
    <t>S51</t>
  </si>
  <si>
    <t>LIS1</t>
  </si>
  <si>
    <t>H56</t>
  </si>
  <si>
    <t>Piec Lisec</t>
  </si>
  <si>
    <t>UWAGI:</t>
  </si>
  <si>
    <t>CIĘCIE:</t>
  </si>
  <si>
    <t>Podczas rozkroju zastosować szczypce SILBERSCHNITT/BOHLE</t>
  </si>
  <si>
    <t>Szkło jest pokryte powłoką z obu stron. Postępować zgodnie z procedurą pracy K-G02-PP-ODR-004.</t>
  </si>
  <si>
    <t>Pozostałe niezwymiarowane promienie R10.</t>
  </si>
  <si>
    <t>Podczas rozkroju szybę sprawdzać na sprawdzianie. Dopuszczalne szczeliny w punktach SPCA od … do … mm i SPCB od … do … mm</t>
  </si>
  <si>
    <t>WYCINANIE NA WJ:</t>
  </si>
  <si>
    <t xml:space="preserve">Zmiana typu obróbki wycięcia z poleru na szlif TMB.
</t>
  </si>
  <si>
    <t xml:space="preserve">Wycięcie wykonywać na gotowo.
</t>
  </si>
  <si>
    <t xml:space="preserve">Wymiary wycięcia po WJ są wymiarami ostatecznymi.
</t>
  </si>
  <si>
    <t>OBRÓBKA:</t>
  </si>
  <si>
    <t>Krawędź zewnętrzna szyby - typ obróbki 2  (dopuszczalne łysiny)</t>
  </si>
  <si>
    <t>Podczas obróbki szybę sprawdzać na sprawdzianie. Dopuszczalne szczeliny w punktach SPCA od … do … mm i SPCB od … do … mm</t>
  </si>
  <si>
    <t>WIERCENIE:</t>
  </si>
  <si>
    <t>Podczas wiercenia szybę odwzorować na szablonie wzorcowym.</t>
  </si>
  <si>
    <t>MALOWANIE:</t>
  </si>
  <si>
    <t>Wykorzystać diapozytyw (i sito) szyby o nr rysunku …. i nr modelu …</t>
  </si>
  <si>
    <t>Znak stawiać przed piecem przy pomocy małego sitka.</t>
  </si>
  <si>
    <t>Wokół loga pole niezadrukowane 5 mm.</t>
  </si>
  <si>
    <t>HARTOWANIE:</t>
  </si>
  <si>
    <t>Hartować w obecności …..</t>
  </si>
  <si>
    <t>Etykietę naklejać w odległości co najmniej 100mm od otworów.</t>
  </si>
  <si>
    <t xml:space="preserve">Gięcie sprawdzić na szablonach/trakach …. - pozycja sprawdzania … 
</t>
  </si>
  <si>
    <t>Zwrócić szczególną uwagę na wycentrowanie sitodruku wokół otworu.</t>
  </si>
  <si>
    <t>Wersja 6</t>
  </si>
  <si>
    <t>Intensyw</t>
  </si>
  <si>
    <t>RS04</t>
  </si>
  <si>
    <t>Polerka R&amp;S 4</t>
  </si>
  <si>
    <t>Janbac 1</t>
  </si>
  <si>
    <t>Janbac 2</t>
  </si>
  <si>
    <t>Svecia</t>
  </si>
  <si>
    <t>Lut. konektorów</t>
  </si>
  <si>
    <t>C14</t>
  </si>
  <si>
    <t>Linia cięcia Botero</t>
  </si>
  <si>
    <t>TC04</t>
  </si>
  <si>
    <t>O37</t>
  </si>
  <si>
    <t>Technometal</t>
  </si>
  <si>
    <t>Janbac 3</t>
  </si>
  <si>
    <t>JB04</t>
  </si>
  <si>
    <t>W33</t>
  </si>
  <si>
    <t>Janbac 4</t>
  </si>
  <si>
    <t>Gerold 1</t>
  </si>
  <si>
    <t>Usuwanie powłoki</t>
  </si>
  <si>
    <t>Linia Bando Kiko 2</t>
  </si>
  <si>
    <t>Piec MF60</t>
  </si>
  <si>
    <t>Czarna JM 1L6030 -IR701</t>
  </si>
  <si>
    <t>STR61030054</t>
  </si>
  <si>
    <t>ilość otworów</t>
  </si>
  <si>
    <t>&lt;= 3</t>
  </si>
  <si>
    <t>&gt;3</t>
  </si>
  <si>
    <t xml:space="preserve">ilość wycięć </t>
  </si>
  <si>
    <t xml:space="preserve">malowanie </t>
  </si>
  <si>
    <t>ogrzewana szyba</t>
  </si>
  <si>
    <t>nieogrzewana szyba</t>
  </si>
  <si>
    <t>metoda laminacji</t>
  </si>
  <si>
    <t>worki próżniowe wielorazowe</t>
  </si>
  <si>
    <t>węże próżniowe</t>
  </si>
  <si>
    <t>worki jednorazowe</t>
  </si>
  <si>
    <t>do 50mm</t>
  </si>
  <si>
    <t>powyżej 50mm</t>
  </si>
  <si>
    <t>do 250mm</t>
  </si>
  <si>
    <t>powyżej 250mm</t>
  </si>
  <si>
    <t>do 60mm</t>
  </si>
  <si>
    <t>powyżej 60mm</t>
  </si>
  <si>
    <t>0mm - 8mm</t>
  </si>
  <si>
    <t>8mm - 14mm</t>
  </si>
  <si>
    <t>powyżej 14mm</t>
  </si>
  <si>
    <t>Ilość stron oklejanych</t>
  </si>
  <si>
    <t>AK1</t>
  </si>
  <si>
    <t>AK2</t>
  </si>
  <si>
    <t>AK3</t>
  </si>
  <si>
    <t>AK4</t>
  </si>
  <si>
    <t>AK5</t>
  </si>
  <si>
    <t>AK6</t>
  </si>
  <si>
    <t>AK7</t>
  </si>
  <si>
    <t>AK8</t>
  </si>
  <si>
    <t>AK9</t>
  </si>
  <si>
    <t>Szerokość profila IZO</t>
  </si>
  <si>
    <t>Przesunięcie prawo IZO</t>
  </si>
  <si>
    <t>Przesunięcie dół IZO</t>
  </si>
  <si>
    <t>Strzałka gięcia IZO</t>
  </si>
  <si>
    <t>BK04</t>
  </si>
  <si>
    <t>A18</t>
  </si>
  <si>
    <t>Linia Bando Kiko 4</t>
  </si>
  <si>
    <t>Z020</t>
  </si>
  <si>
    <t xml:space="preserve"> do 0,8 mm na 305 mm zgodnie z K-G04-IT-HEH-001</t>
  </si>
  <si>
    <t>POWIERZCHNIA</t>
  </si>
  <si>
    <t>KOLOR</t>
  </si>
  <si>
    <t>GRUBOŚĆ</t>
  </si>
  <si>
    <t xml:space="preserve">SZEROKOŚĆ </t>
  </si>
  <si>
    <t>WYSOKOŚĆ</t>
  </si>
  <si>
    <t>FORMAT</t>
  </si>
  <si>
    <t>SAP new</t>
  </si>
  <si>
    <t>Name of glass</t>
  </si>
  <si>
    <t>Name</t>
  </si>
  <si>
    <t>Grub.</t>
  </si>
  <si>
    <t>High</t>
  </si>
  <si>
    <t>Width</t>
  </si>
  <si>
    <t>STR60000593</t>
  </si>
  <si>
    <t>DLF</t>
  </si>
  <si>
    <t>PLF</t>
  </si>
  <si>
    <t>STR60000756</t>
  </si>
  <si>
    <t>STR60002386</t>
  </si>
  <si>
    <t>STR60000763</t>
  </si>
  <si>
    <t>STR60002388</t>
  </si>
  <si>
    <t>STR60000771</t>
  </si>
  <si>
    <t>STR60002389</t>
  </si>
  <si>
    <t>STR60007524</t>
  </si>
  <si>
    <t>STR60012140</t>
  </si>
  <si>
    <t>STR60005217</t>
  </si>
  <si>
    <t>STR60012296</t>
  </si>
  <si>
    <t>STR60005625</t>
  </si>
  <si>
    <t>STR60000917</t>
  </si>
  <si>
    <t>STR60011285</t>
  </si>
  <si>
    <t>STR60005960</t>
  </si>
  <si>
    <t>STR60011290</t>
  </si>
  <si>
    <t>STR60011295</t>
  </si>
  <si>
    <t>STR60004430</t>
  </si>
  <si>
    <t>STR60003725</t>
  </si>
  <si>
    <t>STR60000702</t>
  </si>
  <si>
    <t>STR60007867</t>
  </si>
  <si>
    <t>STR60013052</t>
  </si>
  <si>
    <t>STR60013127</t>
  </si>
  <si>
    <t>STR60008610</t>
  </si>
  <si>
    <t>STR60011266</t>
  </si>
  <si>
    <t>STR60007532</t>
  </si>
  <si>
    <t>STR60007534</t>
  </si>
  <si>
    <t>STR60013033</t>
  </si>
  <si>
    <t>STR60000707</t>
  </si>
  <si>
    <t>STR60011314</t>
  </si>
  <si>
    <t>STR60011315</t>
  </si>
  <si>
    <t>STR60011323</t>
  </si>
  <si>
    <t>STR60012306</t>
  </si>
  <si>
    <t>STR60011328</t>
  </si>
  <si>
    <t>STR60012314</t>
  </si>
  <si>
    <t>STR60012321</t>
  </si>
  <si>
    <t>STR60011785</t>
  </si>
  <si>
    <t>STR60002564</t>
  </si>
  <si>
    <t>STR60002561</t>
  </si>
  <si>
    <t>STR60007510</t>
  </si>
  <si>
    <t>STR60011815</t>
  </si>
  <si>
    <t>STR60011356</t>
  </si>
  <si>
    <t>STR600012320</t>
  </si>
  <si>
    <t>STR60011371</t>
  </si>
  <si>
    <t>STR60011372</t>
  </si>
  <si>
    <t>STR60012454</t>
  </si>
  <si>
    <t>STR60007774</t>
  </si>
  <si>
    <t>Planilux Vision Lite II</t>
  </si>
  <si>
    <t>STR60008400</t>
  </si>
  <si>
    <t>STR60007500</t>
  </si>
  <si>
    <t>STR60007501</t>
  </si>
  <si>
    <t>STR60007504</t>
  </si>
  <si>
    <t>STR60007513</t>
  </si>
  <si>
    <t>K-GLASS</t>
  </si>
  <si>
    <t>STR60007515</t>
  </si>
  <si>
    <t>MIRASTAR</t>
  </si>
  <si>
    <t>ILOŚĆ 1000 SZTUK</t>
  </si>
  <si>
    <t>TSA3+/zielone</t>
  </si>
  <si>
    <t>TSA4+/zielone</t>
  </si>
  <si>
    <t>SCRAP</t>
  </si>
  <si>
    <t>Color and thickness and format</t>
  </si>
  <si>
    <t>SKĄD</t>
  </si>
  <si>
    <t>% braków używany aktualnie</t>
  </si>
  <si>
    <t>% braków na 2016</t>
  </si>
  <si>
    <t>% braków na 2017</t>
  </si>
  <si>
    <t>% braków z kalkulacji</t>
  </si>
  <si>
    <t>MAIL OD ANNY</t>
  </si>
  <si>
    <t>Z BOM</t>
  </si>
  <si>
    <t>STR60007527</t>
  </si>
  <si>
    <t>STR60008245</t>
  </si>
  <si>
    <t>STR60005474</t>
  </si>
  <si>
    <t>STR60007960</t>
  </si>
  <si>
    <t>STR60011340</t>
  </si>
  <si>
    <t>STR60007539</t>
  </si>
  <si>
    <t>STR60007540</t>
  </si>
  <si>
    <t>STR60007544</t>
  </si>
  <si>
    <t>STR60007546</t>
  </si>
  <si>
    <t>STR00009006</t>
  </si>
  <si>
    <t>STR00008048</t>
  </si>
  <si>
    <t>STR00010435</t>
  </si>
  <si>
    <t>STR00010407</t>
  </si>
  <si>
    <t>STR00010446</t>
  </si>
  <si>
    <t>STR00022290</t>
  </si>
  <si>
    <t>STR60007529</t>
  </si>
  <si>
    <t>STR60004508</t>
  </si>
  <si>
    <t>IVECO_CR</t>
  </si>
  <si>
    <t>CLEFF</t>
  </si>
  <si>
    <t>VOLVO POLSKA</t>
  </si>
  <si>
    <t>NEOPLAN</t>
  </si>
  <si>
    <t>DC</t>
  </si>
  <si>
    <t>OMTY</t>
  </si>
  <si>
    <t>HEULIEZ</t>
  </si>
  <si>
    <t>EVOBUS</t>
  </si>
  <si>
    <t>BODE</t>
  </si>
  <si>
    <t>SGS PORTUGAL</t>
  </si>
  <si>
    <t>STAALGLAS</t>
  </si>
  <si>
    <t>WRIGHTBUS</t>
  </si>
  <si>
    <t>PLAXTON</t>
  </si>
  <si>
    <t>SOLARIS</t>
  </si>
  <si>
    <t>ETYKIETOWANIE</t>
  </si>
  <si>
    <t>TAK</t>
  </si>
  <si>
    <t>Dane CRB</t>
  </si>
  <si>
    <t>od 0 do 2mm</t>
  </si>
  <si>
    <t>SB20</t>
  </si>
  <si>
    <t>A16</t>
  </si>
  <si>
    <t>Lina SB20</t>
  </si>
  <si>
    <t>CNH</t>
  </si>
  <si>
    <t>RGZ</t>
  </si>
  <si>
    <t>STR61030058</t>
  </si>
  <si>
    <t>Planitherm XN II</t>
  </si>
  <si>
    <t>=</t>
  </si>
  <si>
    <r>
      <t xml:space="preserve">średnica </t>
    </r>
    <r>
      <rPr>
        <sz val="16"/>
        <color indexed="8"/>
        <rFont val="Calibri"/>
        <family val="2"/>
        <charset val="238"/>
      </rPr>
      <t>Ø</t>
    </r>
  </si>
  <si>
    <t>IVECO</t>
  </si>
  <si>
    <t>K-G05-KT-DLM-335</t>
  </si>
  <si>
    <t>Kod pakowania</t>
  </si>
  <si>
    <t>SGUINZI</t>
  </si>
  <si>
    <t>IVECODRZWI</t>
  </si>
  <si>
    <t>STAALGLASDRZWI</t>
  </si>
  <si>
    <t>BRAK KLIENTA</t>
  </si>
  <si>
    <t>BRAK KLIENTADRZWI</t>
  </si>
  <si>
    <t>IVECO_CRDRZWI</t>
  </si>
  <si>
    <t>CNHDRZWI</t>
  </si>
  <si>
    <t>K-G05-KT-DLM-379</t>
  </si>
  <si>
    <t>HEULIEZBUS</t>
  </si>
  <si>
    <t>HEULIEZDRZWI</t>
  </si>
  <si>
    <t>HEULIEZBUSDRZWI</t>
  </si>
  <si>
    <t>PAKOWANIE</t>
  </si>
  <si>
    <t>Wymiar po rozkroju tol. +1/0 (mm)</t>
  </si>
  <si>
    <t>Q32</t>
  </si>
  <si>
    <t>X</t>
  </si>
  <si>
    <t>gabaryt max</t>
  </si>
  <si>
    <t>gabaryt min</t>
  </si>
  <si>
    <t>Piec</t>
  </si>
  <si>
    <t>IFE</t>
  </si>
  <si>
    <r>
      <t xml:space="preserve">Jeżeli znak towarowy malowany jest na piecu wybierz </t>
    </r>
    <r>
      <rPr>
        <b/>
        <sz val="11"/>
        <color theme="1"/>
        <rFont val="Calibri"/>
        <family val="2"/>
        <charset val="238"/>
        <scheme val="minor"/>
      </rPr>
      <t>TAK</t>
    </r>
  </si>
  <si>
    <t>K-G05-KT-DLM-045</t>
  </si>
  <si>
    <t>IMDS</t>
  </si>
  <si>
    <t>ZRÓB IMDS</t>
  </si>
  <si>
    <t>KOENIG</t>
  </si>
  <si>
    <t>TH03</t>
  </si>
  <si>
    <t>Thieme 1</t>
  </si>
  <si>
    <t>Thieme 2</t>
  </si>
  <si>
    <t>Thieme 3</t>
  </si>
  <si>
    <t>Fleischle 2</t>
  </si>
  <si>
    <t>Piec Tamglas 2</t>
  </si>
  <si>
    <t>Piec BT 2</t>
  </si>
  <si>
    <t>Windo 1</t>
  </si>
  <si>
    <t>Windo 2</t>
  </si>
  <si>
    <t>Bystronic 1</t>
  </si>
  <si>
    <t>Bystronic 3</t>
  </si>
  <si>
    <t>Szlifierka TMB 1</t>
  </si>
  <si>
    <t>Fleischle 1</t>
  </si>
  <si>
    <t>Piec Tamglas 1</t>
  </si>
  <si>
    <t>Piec BT 1</t>
  </si>
  <si>
    <t>Przygotowanie folii PVB 1</t>
  </si>
  <si>
    <t>Laminacja 2</t>
  </si>
  <si>
    <t>CECOMP</t>
  </si>
  <si>
    <t>FRITZMEIER</t>
  </si>
  <si>
    <t>DAIMLER</t>
  </si>
  <si>
    <t>MAN</t>
  </si>
  <si>
    <t>SCANIA</t>
  </si>
  <si>
    <t>VW</t>
  </si>
  <si>
    <t>WEBASTO</t>
  </si>
  <si>
    <t>WIDNEY</t>
  </si>
  <si>
    <t>BMW</t>
  </si>
  <si>
    <t>IRIZAR</t>
  </si>
  <si>
    <t>KONIG</t>
  </si>
  <si>
    <r>
      <t>K</t>
    </r>
    <r>
      <rPr>
        <sz val="11"/>
        <color theme="1"/>
        <rFont val="Calibri"/>
        <family val="2"/>
        <charset val="238"/>
      </rPr>
      <t>Ö</t>
    </r>
    <r>
      <rPr>
        <sz val="11"/>
        <color theme="1"/>
        <rFont val="Calibri"/>
        <family val="2"/>
        <charset val="238"/>
        <scheme val="minor"/>
      </rPr>
      <t>NIG</t>
    </r>
  </si>
  <si>
    <t>STR60013072</t>
  </si>
  <si>
    <t>STR60015640</t>
  </si>
  <si>
    <t>Program RS 2</t>
  </si>
  <si>
    <t>STR00023339</t>
  </si>
  <si>
    <t>STR00023390</t>
  </si>
  <si>
    <t>STR00030052</t>
  </si>
  <si>
    <t>STR00030053</t>
  </si>
  <si>
    <t>STR00030096</t>
  </si>
  <si>
    <t>STR60000701</t>
  </si>
  <si>
    <t>STR60000710</t>
  </si>
  <si>
    <t>STR60000803</t>
  </si>
  <si>
    <t>STR600013771</t>
  </si>
  <si>
    <t>STR60002427</t>
  </si>
  <si>
    <t>STR60003735</t>
  </si>
  <si>
    <t>STR60003746</t>
  </si>
  <si>
    <t>STR60011756</t>
  </si>
  <si>
    <t>STR60012310</t>
  </si>
  <si>
    <t>STR60012324</t>
  </si>
  <si>
    <t>STR60012345</t>
  </si>
  <si>
    <t>STR60012528</t>
  </si>
  <si>
    <t>STR60013288</t>
  </si>
  <si>
    <t>STR60014043</t>
  </si>
  <si>
    <t>STR60014151</t>
  </si>
  <si>
    <t>STR60014183</t>
  </si>
  <si>
    <t>STR60014386</t>
  </si>
  <si>
    <t>STR60014409</t>
  </si>
  <si>
    <t>STR60014414</t>
  </si>
  <si>
    <t>STR60014466</t>
  </si>
  <si>
    <t>STR60015581</t>
  </si>
  <si>
    <t>dane od Bogdana 2019.12</t>
  </si>
  <si>
    <t>Dane 2017</t>
  </si>
  <si>
    <t>komentarz</t>
  </si>
  <si>
    <t>MF14</t>
  </si>
  <si>
    <t>LGSM</t>
  </si>
  <si>
    <t>Laser</t>
  </si>
  <si>
    <t>S54</t>
  </si>
  <si>
    <t>DRUK I</t>
  </si>
  <si>
    <t>ŚREDNIA SZER. SITODRUKU [mm]</t>
  </si>
  <si>
    <t>ILOŚĆ FARBY (g)</t>
  </si>
  <si>
    <t>TYP FARBY</t>
  </si>
  <si>
    <t>DRUK II</t>
  </si>
  <si>
    <t>DRUK III</t>
  </si>
  <si>
    <t>DRUK IV</t>
  </si>
  <si>
    <t>DRUK V</t>
  </si>
  <si>
    <t>PIEC</t>
  </si>
  <si>
    <t>druk I</t>
  </si>
  <si>
    <t>druk II</t>
  </si>
  <si>
    <t>Druk III</t>
  </si>
  <si>
    <t>Druk IV</t>
  </si>
  <si>
    <t>Druk V</t>
  </si>
  <si>
    <t>SKIP THESE COLUMNES</t>
  </si>
  <si>
    <t>INDICATOR</t>
  </si>
  <si>
    <t>VERSION</t>
  </si>
  <si>
    <t>WORK CENT</t>
  </si>
  <si>
    <t>CONTROL INDICATOR</t>
  </si>
  <si>
    <t>ITEM</t>
  </si>
  <si>
    <t>Component</t>
  </si>
  <si>
    <t>Quantity</t>
  </si>
  <si>
    <t>Base Unit</t>
  </si>
  <si>
    <t>Comp. scrap</t>
  </si>
  <si>
    <t>Operation scrap</t>
  </si>
  <si>
    <t>Activity</t>
  </si>
  <si>
    <t>Work center</t>
  </si>
  <si>
    <t>Avg. Lot Size</t>
  </si>
  <si>
    <t>Intensity Cad.</t>
  </si>
  <si>
    <t>Down time</t>
  </si>
  <si>
    <t>Yeild</t>
  </si>
  <si>
    <t>Net cad.</t>
  </si>
  <si>
    <t>Operation No.</t>
  </si>
  <si>
    <t>Machine</t>
  </si>
  <si>
    <t>Direct Labor</t>
  </si>
  <si>
    <t>InDirect Labor</t>
  </si>
  <si>
    <t>Other var.cost</t>
  </si>
  <si>
    <t>Energy</t>
  </si>
  <si>
    <t>Maintainance</t>
  </si>
  <si>
    <t>FCA</t>
  </si>
  <si>
    <t>FGU</t>
  </si>
  <si>
    <t>mandatory</t>
  </si>
  <si>
    <t>skip rows without X</t>
  </si>
  <si>
    <t>optional</t>
  </si>
  <si>
    <t>NOT NEEDED</t>
  </si>
  <si>
    <t>Wpisz poziom --&gt;</t>
  </si>
  <si>
    <t>Lut. Konektorów</t>
  </si>
  <si>
    <t>B</t>
  </si>
  <si>
    <t>ST</t>
  </si>
  <si>
    <t>R</t>
  </si>
  <si>
    <t>0100</t>
  </si>
  <si>
    <r>
      <t xml:space="preserve">MF5 - </t>
    </r>
    <r>
      <rPr>
        <b/>
        <sz val="22"/>
        <rFont val="Calibri"/>
        <family val="2"/>
        <charset val="238"/>
        <scheme val="minor"/>
      </rPr>
      <t>5 malowanie</t>
    </r>
  </si>
  <si>
    <t>G</t>
  </si>
  <si>
    <r>
      <t xml:space="preserve">MF5 - </t>
    </r>
    <r>
      <rPr>
        <b/>
        <sz val="22"/>
        <rFont val="Calibri"/>
        <family val="2"/>
        <charset val="238"/>
        <scheme val="minor"/>
      </rPr>
      <t>4 malowanie</t>
    </r>
  </si>
  <si>
    <r>
      <t xml:space="preserve">MF5 - </t>
    </r>
    <r>
      <rPr>
        <b/>
        <sz val="22"/>
        <rFont val="Calibri"/>
        <family val="2"/>
        <charset val="238"/>
        <scheme val="minor"/>
      </rPr>
      <t>3 malowanie</t>
    </r>
  </si>
  <si>
    <r>
      <t xml:space="preserve">MF5 - </t>
    </r>
    <r>
      <rPr>
        <b/>
        <sz val="22"/>
        <rFont val="Calibri"/>
        <family val="2"/>
        <charset val="238"/>
        <scheme val="minor"/>
      </rPr>
      <t>2 malowanie</t>
    </r>
  </si>
  <si>
    <r>
      <t xml:space="preserve">MF5 - </t>
    </r>
    <r>
      <rPr>
        <b/>
        <sz val="22"/>
        <rFont val="Calibri"/>
        <family val="2"/>
        <charset val="238"/>
        <scheme val="minor"/>
      </rPr>
      <t>1 malowanie</t>
    </r>
  </si>
  <si>
    <r>
      <t xml:space="preserve">MF3 </t>
    </r>
    <r>
      <rPr>
        <b/>
        <sz val="18"/>
        <rFont val="Calibri"/>
        <family val="2"/>
        <charset val="238"/>
        <scheme val="minor"/>
      </rPr>
      <t>obróbka po WJ</t>
    </r>
  </si>
  <si>
    <t>TC01</t>
  </si>
  <si>
    <r>
      <t xml:space="preserve">MF3 </t>
    </r>
    <r>
      <rPr>
        <b/>
        <sz val="22"/>
        <rFont val="Calibri"/>
        <family val="2"/>
        <charset val="238"/>
        <scheme val="minor"/>
      </rPr>
      <t>obróbka po rozkroju</t>
    </r>
  </si>
  <si>
    <t>Szara FERRO 154030 AL.</t>
  </si>
  <si>
    <t xml:space="preserve">O22, </t>
  </si>
  <si>
    <t xml:space="preserve">M35, </t>
  </si>
  <si>
    <t xml:space="preserve">O20, </t>
  </si>
  <si>
    <t xml:space="preserve">M36, </t>
  </si>
  <si>
    <t xml:space="preserve">O26, </t>
  </si>
  <si>
    <t xml:space="preserve">O34, </t>
  </si>
  <si>
    <t xml:space="preserve">M37, </t>
  </si>
  <si>
    <t xml:space="preserve">O36, </t>
  </si>
  <si>
    <t xml:space="preserve">O31, </t>
  </si>
  <si>
    <t xml:space="preserve">M38, </t>
  </si>
  <si>
    <t xml:space="preserve">O30, </t>
  </si>
  <si>
    <t xml:space="preserve">O23, </t>
  </si>
  <si>
    <t xml:space="preserve">W30, </t>
  </si>
  <si>
    <t xml:space="preserve">W31, </t>
  </si>
  <si>
    <t xml:space="preserve">O29, </t>
  </si>
  <si>
    <t xml:space="preserve">M40, </t>
  </si>
  <si>
    <t xml:space="preserve">O27, </t>
  </si>
  <si>
    <t xml:space="preserve">O35, </t>
  </si>
  <si>
    <t xml:space="preserve">M42, </t>
  </si>
  <si>
    <t xml:space="preserve">O32, </t>
  </si>
  <si>
    <t xml:space="preserve">W32, </t>
  </si>
  <si>
    <t xml:space="preserve">M41, </t>
  </si>
  <si>
    <t>Rynek</t>
  </si>
  <si>
    <t>Rynek (wartość)</t>
  </si>
  <si>
    <t>Setment (wartość)</t>
  </si>
  <si>
    <t>Batch size 2020</t>
  </si>
  <si>
    <t>Zak.</t>
  </si>
  <si>
    <t>St. rob.</t>
  </si>
  <si>
    <t>Materiał</t>
  </si>
  <si>
    <t>&lt; 3,5 T (Passengers cars-VPC)</t>
  </si>
  <si>
    <t>INF</t>
  </si>
  <si>
    <t>205</t>
  </si>
  <si>
    <t>2017</t>
  </si>
  <si>
    <t>ARM</t>
  </si>
  <si>
    <t/>
  </si>
  <si>
    <t>Bus and Coaches</t>
  </si>
  <si>
    <t>&lt; 3,5 T (Passengers cars-VPC) - LUV</t>
  </si>
  <si>
    <t>LUV</t>
  </si>
  <si>
    <t>BUS</t>
  </si>
  <si>
    <t>Jak ustalać wielkość batch-u ?</t>
  </si>
  <si>
    <t xml:space="preserve">ESG </t>
  </si>
  <si>
    <t>wielkość batch-u na podstawie pieca w wersji V1</t>
  </si>
  <si>
    <t>Cabs</t>
  </si>
  <si>
    <t>CAB</t>
  </si>
  <si>
    <t>Railways</t>
  </si>
  <si>
    <t>RAI</t>
  </si>
  <si>
    <t>VSG</t>
  </si>
  <si>
    <t>wiekość batch-u na podstawie pieca w wersji V1 szyby najbardziej zewnętrznej</t>
  </si>
  <si>
    <t>Trucks</t>
  </si>
  <si>
    <t>TRU</t>
  </si>
  <si>
    <t>Others</t>
  </si>
  <si>
    <t>OTH</t>
  </si>
  <si>
    <t>ISO</t>
  </si>
  <si>
    <t>EV</t>
  </si>
  <si>
    <t xml:space="preserve">O37, </t>
  </si>
  <si>
    <t xml:space="preserve">A16, </t>
  </si>
  <si>
    <t xml:space="preserve">A17, </t>
  </si>
  <si>
    <t xml:space="preserve">Q19, </t>
  </si>
  <si>
    <t xml:space="preserve">A18, </t>
  </si>
  <si>
    <t>Maks</t>
  </si>
  <si>
    <t>Min</t>
  </si>
  <si>
    <t>Biała PAF39G3250-828-63</t>
  </si>
  <si>
    <t>STR61030127</t>
  </si>
  <si>
    <t>Transparentna PAF4901-828-63</t>
  </si>
  <si>
    <t>STR61030128</t>
  </si>
  <si>
    <t>Batch size 2014</t>
  </si>
  <si>
    <t>Batch size 2015</t>
  </si>
  <si>
    <t>Batch size 2016</t>
  </si>
  <si>
    <t>Batch size 2017</t>
  </si>
  <si>
    <t>Batch size 2018</t>
  </si>
  <si>
    <t>Batch size 2019</t>
  </si>
  <si>
    <t>Batch size 2021</t>
  </si>
  <si>
    <t>EUROVEDER</t>
  </si>
  <si>
    <t>LISEC1 BATCH JAK DLA TG02</t>
  </si>
  <si>
    <t>Armoured</t>
  </si>
  <si>
    <t>nie występuje</t>
  </si>
  <si>
    <t>DRUM</t>
  </si>
  <si>
    <r>
      <t xml:space="preserve">WIDOK  SZYBY  Z  ZEWNĄTRZ </t>
    </r>
    <r>
      <rPr>
        <b/>
        <sz val="40"/>
        <color rgb="FFFF0000"/>
        <rFont val="Arial"/>
        <family val="2"/>
        <charset val="238"/>
      </rPr>
      <t>(od strony ogniowej)</t>
    </r>
  </si>
  <si>
    <t>K-G02-FO-ODR-037F</t>
  </si>
  <si>
    <t>Data: 2020-12-22</t>
  </si>
  <si>
    <r>
      <t xml:space="preserve">WIDOK  SZYBY  Z  ZEWNĄTRZ </t>
    </r>
    <r>
      <rPr>
        <b/>
        <sz val="40"/>
        <color rgb="FFFF0000"/>
        <rFont val="Arial"/>
        <family val="2"/>
        <charset val="238"/>
      </rPr>
      <t>(od strony cynowej)</t>
    </r>
  </si>
  <si>
    <r>
      <t xml:space="preserve">WIDOK  SZYBY  Z  ZEWNĄTRZ </t>
    </r>
    <r>
      <rPr>
        <b/>
        <sz val="40"/>
        <color rgb="FFFF0000"/>
        <rFont val="Arial"/>
        <family val="2"/>
        <charset val="238"/>
      </rPr>
      <t>(strona cynowa/ogniowa nieistotna)</t>
    </r>
  </si>
  <si>
    <t xml:space="preserve"> </t>
  </si>
  <si>
    <t>Ø</t>
  </si>
  <si>
    <r>
      <t>ROZKRÓJ</t>
    </r>
    <r>
      <rPr>
        <b/>
        <sz val="24"/>
        <color rgb="FFFF0000"/>
        <rFont val="Arial"/>
        <family val="2"/>
        <charset val="238"/>
      </rPr>
      <t xml:space="preserve"> - kontrolować stronę szyby zgodnie z jej widokiem</t>
    </r>
  </si>
  <si>
    <r>
      <t xml:space="preserve">OBRÓBKA KRAWĘDZI </t>
    </r>
    <r>
      <rPr>
        <b/>
        <sz val="24"/>
        <color rgb="FFFF0000"/>
        <rFont val="Arial"/>
        <family val="2"/>
        <charset val="238"/>
      </rPr>
      <t>- kontrolować stronę szyby zgodnie z jej widokiem</t>
    </r>
  </si>
  <si>
    <r>
      <t xml:space="preserve">WIERCENIE i WYCINANIE </t>
    </r>
    <r>
      <rPr>
        <b/>
        <sz val="24"/>
        <color rgb="FFFF0000"/>
        <rFont val="Arial"/>
        <family val="2"/>
        <charset val="238"/>
      </rPr>
      <t>- kontrolować stronę szyby zgodnie z jej widokiem</t>
    </r>
  </si>
  <si>
    <r>
      <t xml:space="preserve">MALOWANIE </t>
    </r>
    <r>
      <rPr>
        <b/>
        <sz val="24"/>
        <color rgb="FFFF0000"/>
        <rFont val="Arial"/>
        <family val="2"/>
        <charset val="238"/>
      </rPr>
      <t>- kontrolować stronę szyby zgodnie z jej widokiem</t>
    </r>
  </si>
  <si>
    <t>STR60030089</t>
  </si>
  <si>
    <t>Program RS 3, 4</t>
  </si>
  <si>
    <t>Nr ewidencyjny</t>
  </si>
  <si>
    <t>Nazwa</t>
  </si>
  <si>
    <t>Użytkownik</t>
  </si>
  <si>
    <t>TH-S-5-08-3059</t>
  </si>
  <si>
    <t>TH-S-5-08-3060</t>
  </si>
  <si>
    <t>Izba pomiarowa</t>
  </si>
  <si>
    <t>TH-S-5-08-3062</t>
  </si>
  <si>
    <t>TH-S-5-08-3235</t>
  </si>
  <si>
    <t>Sprawdzian gabarytu wycięcia okienka 215,4 mm</t>
  </si>
  <si>
    <t>TH-S-5-08-3236</t>
  </si>
  <si>
    <t>Sprawdzian gabarytu wycięcia okienka 215,1 mm</t>
  </si>
  <si>
    <t>TH-S-5-08-3238</t>
  </si>
  <si>
    <t>Sprawdzian gabarytu wycięcia okienka (CLEFF) 336,1 mm</t>
  </si>
  <si>
    <t>Sprawdzian gabarytu wycięcia okienka (CLEFF) 337,0 mm</t>
  </si>
  <si>
    <t>K-P02-SK-DJA-012</t>
  </si>
  <si>
    <t>RAWAG</t>
  </si>
  <si>
    <t>TH-S-5-08-3858</t>
  </si>
  <si>
    <t>LISEC</t>
  </si>
  <si>
    <t>Sprawdzian gabarytu wycięcia okienka 213,6 mm</t>
  </si>
  <si>
    <t>TH-S-5-08-3857</t>
  </si>
  <si>
    <t>TG2</t>
  </si>
  <si>
    <t>TG1</t>
  </si>
  <si>
    <t>TH-S-5-08-3856</t>
  </si>
  <si>
    <t>nieuzywane</t>
  </si>
  <si>
    <t>korki</t>
  </si>
  <si>
    <t>papier</t>
  </si>
  <si>
    <t>MASZYNY NOK</t>
  </si>
  <si>
    <t>Planilux/clear</t>
  </si>
  <si>
    <t>ok, używamy</t>
  </si>
  <si>
    <t>TSA3+/green</t>
  </si>
  <si>
    <t>TSA4+/green</t>
  </si>
  <si>
    <t>TSANX/zielone</t>
  </si>
  <si>
    <t>nie używamy</t>
  </si>
  <si>
    <t>STR60023465</t>
  </si>
  <si>
    <t>Parsol Grey</t>
  </si>
  <si>
    <t>Venus Grey10</t>
  </si>
  <si>
    <t>czasem uzywamy</t>
  </si>
  <si>
    <t>uzywamy STR60011314</t>
  </si>
  <si>
    <t>Venus Grey20</t>
  </si>
  <si>
    <t>Venus Grey40</t>
  </si>
  <si>
    <t>Parsol Bronze</t>
  </si>
  <si>
    <t>nie używamy, ale nie ma zamiennika</t>
  </si>
  <si>
    <t>Venus Green35</t>
  </si>
  <si>
    <t>Venus Green55</t>
  </si>
  <si>
    <t>TSANX comfortsky</t>
  </si>
  <si>
    <t>VG40 comfortsky</t>
  </si>
  <si>
    <t>STR60012453</t>
  </si>
  <si>
    <t>VG10 comfortsky</t>
  </si>
  <si>
    <t>PLANILUX Cool-Lite ST136</t>
  </si>
  <si>
    <t>Antelio Clear</t>
  </si>
  <si>
    <t>STR60007503</t>
  </si>
  <si>
    <t>ANTELIO-BRĄZ</t>
  </si>
  <si>
    <t>ANTEL-SILVER</t>
  </si>
  <si>
    <t>STR60011963</t>
  </si>
  <si>
    <t>ANTEL-EMERALD</t>
  </si>
  <si>
    <t>STR60012346</t>
  </si>
  <si>
    <t xml:space="preserve">DIAMANT </t>
  </si>
  <si>
    <t>STR60012347</t>
  </si>
  <si>
    <t>STR60012348</t>
  </si>
  <si>
    <t>STR60007514</t>
  </si>
  <si>
    <t>STR60007815</t>
  </si>
  <si>
    <t>STR60007773</t>
  </si>
  <si>
    <t>Planilux Semi Vision Lite II-one side coated</t>
  </si>
  <si>
    <t>COOL LITE SKN.144II</t>
  </si>
  <si>
    <t>PLTH XN II</t>
  </si>
  <si>
    <t>Tamglass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</si>
</sst>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#,##0.0&quot; mm&quot;"/>
    <numFmt numFmtId="165" formatCode="#,##0.00&quot; m2&quot;"/>
    <numFmt numFmtId="166" formatCode="##,#00&quot; µm&quot;"/>
    <numFmt numFmtId="167" formatCode="#,##0.00&quot; g&quot;"/>
    <numFmt numFmtId="168" formatCode="#,##0.00&quot; kg/m3&quot;"/>
    <numFmt numFmtId="169" formatCode="#,##0.0000&quot; kg&quot;"/>
    <numFmt numFmtId="170" formatCode="0.0000"/>
    <numFmt numFmtId="171" formatCode="0.000%"/>
    <numFmt numFmtId="172" formatCode="0.000"/>
    <numFmt numFmtId="173" formatCode="#,##0.000"/>
    <numFmt numFmtId="174" formatCode="0.0"/>
  </numFmts>
  <fonts count="70">
    <font>
      <sz val="11"/>
      <color theme="1"/>
      <name val="Calibri"/>
      <family val="2"/>
      <charset val="238"/>
      <scheme val="minor"/>
    </font>
    <font>
      <sz val="10"/>
      <name val="MS Sans Serif"/>
      <family val="2"/>
      <charset val="238"/>
    </font>
    <font>
      <sz val="22"/>
      <name val="Arial"/>
      <family val="2"/>
      <charset val="238"/>
    </font>
    <font>
      <b/>
      <sz val="10"/>
      <name val="Antique Olv (W1)"/>
    </font>
    <font>
      <b/>
      <sz val="20"/>
      <name val="Arial CE"/>
      <family val="2"/>
      <charset val="238"/>
    </font>
    <font>
      <sz val="16"/>
      <color indexed="8"/>
      <name val="Calibri"/>
      <family val="2"/>
      <charset val="238"/>
    </font>
    <font>
      <b/>
      <sz val="26"/>
      <name val="Arial"/>
      <family val="2"/>
      <charset val="238"/>
    </font>
    <font>
      <b/>
      <sz val="24"/>
      <color indexed="8"/>
      <name val="Arial"/>
      <family val="2"/>
      <charset val="238"/>
    </font>
    <font>
      <b/>
      <sz val="28"/>
      <color indexed="8"/>
      <name val="Arial"/>
      <family val="2"/>
      <charset val="238"/>
    </font>
    <font>
      <sz val="11"/>
      <name val="Calibri"/>
      <family val="2"/>
      <charset val="238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22"/>
      <color theme="1"/>
      <name val="Arial"/>
      <family val="2"/>
      <charset val="238"/>
    </font>
    <font>
      <sz val="24"/>
      <color theme="1"/>
      <name val="Arial"/>
      <family val="2"/>
      <charset val="238"/>
    </font>
    <font>
      <sz val="20"/>
      <color theme="3" tint="0.39997558519241921"/>
      <name val="Arial"/>
      <family val="2"/>
      <charset val="238"/>
    </font>
    <font>
      <sz val="22"/>
      <color theme="0"/>
      <name val="Arila"/>
      <charset val="238"/>
    </font>
    <font>
      <sz val="22"/>
      <color theme="0"/>
      <name val="Arial"/>
      <family val="2"/>
      <charset val="238"/>
    </font>
    <font>
      <b/>
      <sz val="24"/>
      <color theme="1"/>
      <name val="Arial"/>
      <family val="2"/>
      <charset val="238"/>
    </font>
    <font>
      <sz val="16"/>
      <color theme="1"/>
      <name val="Arial"/>
      <family val="2"/>
      <charset val="238"/>
    </font>
    <font>
      <b/>
      <sz val="26"/>
      <color theme="1"/>
      <name val="Arial"/>
      <family val="2"/>
      <charset val="238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26"/>
      <color theme="1"/>
      <name val="Arial"/>
      <family val="2"/>
      <charset val="238"/>
    </font>
    <font>
      <b/>
      <sz val="40"/>
      <color theme="1"/>
      <name val="Arial"/>
      <family val="2"/>
      <charset val="238"/>
    </font>
    <font>
      <b/>
      <sz val="48"/>
      <color theme="1"/>
      <name val="Arial"/>
      <family val="2"/>
      <charset val="238"/>
    </font>
    <font>
      <sz val="21"/>
      <color theme="1"/>
      <name val="Arial"/>
      <family val="2"/>
      <charset val="238"/>
    </font>
    <font>
      <sz val="20"/>
      <color theme="1"/>
      <name val="Arial"/>
      <family val="2"/>
      <charset val="238"/>
    </font>
    <font>
      <b/>
      <i/>
      <sz val="26"/>
      <color theme="1"/>
      <name val="Arial"/>
      <family val="2"/>
      <charset val="238"/>
    </font>
    <font>
      <sz val="19"/>
      <color theme="1"/>
      <name val="Arial"/>
      <family val="2"/>
      <charset val="238"/>
    </font>
    <font>
      <sz val="18"/>
      <color theme="1"/>
      <name val="Calibri"/>
      <family val="2"/>
      <charset val="238"/>
      <scheme val="minor"/>
    </font>
    <font>
      <b/>
      <sz val="18"/>
      <color theme="1"/>
      <name val="Arial"/>
      <family val="2"/>
      <charset val="238"/>
    </font>
    <font>
      <b/>
      <sz val="24"/>
      <color rgb="FFFF0000"/>
      <name val="Arial"/>
      <family val="2"/>
      <charset val="238"/>
    </font>
    <font>
      <sz val="24"/>
      <color rgb="FF000000"/>
      <name val="Arial"/>
      <family val="2"/>
      <charset val="238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charset val="238"/>
    </font>
    <font>
      <sz val="20"/>
      <color theme="1"/>
      <name val="Calibri"/>
      <family val="2"/>
      <charset val="238"/>
      <scheme val="minor"/>
    </font>
    <font>
      <b/>
      <sz val="10"/>
      <name val="Arial"/>
      <family val="2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26"/>
      <color rgb="FFFF0000"/>
      <name val="Calibri"/>
      <family val="2"/>
      <charset val="238"/>
      <scheme val="minor"/>
    </font>
    <font>
      <b/>
      <sz val="48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28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22"/>
      <color rgb="FFFF0000"/>
      <name val="Calibri"/>
      <family val="2"/>
      <scheme val="minor"/>
    </font>
    <font>
      <b/>
      <sz val="11"/>
      <name val="Calibri"/>
      <family val="2"/>
      <charset val="238"/>
      <scheme val="minor"/>
    </font>
    <font>
      <b/>
      <sz val="22"/>
      <color rgb="FFFF0000"/>
      <name val="Calibri"/>
      <family val="2"/>
      <charset val="238"/>
      <scheme val="minor"/>
    </font>
    <font>
      <b/>
      <sz val="22"/>
      <name val="Calibri"/>
      <family val="2"/>
      <charset val="238"/>
      <scheme val="minor"/>
    </font>
    <font>
      <b/>
      <sz val="18"/>
      <color rgb="FFFF0000"/>
      <name val="Calibri"/>
      <family val="2"/>
      <charset val="238"/>
      <scheme val="minor"/>
    </font>
    <font>
      <b/>
      <sz val="18"/>
      <name val="Calibri"/>
      <family val="2"/>
      <charset val="238"/>
      <scheme val="minor"/>
    </font>
    <font>
      <sz val="11"/>
      <color theme="1"/>
      <name val="Segoe UI"/>
      <family val="2"/>
      <charset val="238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rgb="FF000000"/>
      <name val="Calibri"/>
      <family val="2"/>
      <charset val="238"/>
    </font>
    <font>
      <strike/>
      <sz val="11"/>
      <color rgb="FF000000"/>
      <name val="Calibri"/>
      <family val="2"/>
      <charset val="238"/>
    </font>
    <font>
      <b/>
      <strike/>
      <sz val="11"/>
      <color rgb="FF000000"/>
      <name val="Calibri"/>
      <family val="2"/>
      <charset val="238"/>
    </font>
    <font>
      <b/>
      <sz val="11"/>
      <color rgb="FFFF0000"/>
      <name val="Calibri"/>
      <family val="2"/>
      <charset val="238"/>
    </font>
    <font>
      <strike/>
      <sz val="11"/>
      <color theme="1"/>
      <name val="Calibri"/>
      <family val="2"/>
      <charset val="238"/>
      <scheme val="minor"/>
    </font>
    <font>
      <b/>
      <sz val="40"/>
      <color rgb="FFFF0000"/>
      <name val="Arial"/>
      <family val="2"/>
      <charset val="238"/>
    </font>
    <font>
      <sz val="72"/>
      <name val="Arila"/>
      <charset val="238"/>
    </font>
    <font>
      <sz val="72"/>
      <color theme="1"/>
      <name val="Calibri"/>
      <family val="2"/>
      <charset val="238"/>
      <scheme val="minor"/>
    </font>
    <font>
      <sz val="28"/>
      <color rgb="FFFF0000"/>
      <name val="Calibri"/>
      <family val="2"/>
      <charset val="238"/>
      <scheme val="minor"/>
    </font>
    <font>
      <sz val="10"/>
      <name val="Arial"/>
      <family val="2"/>
      <charset val="238"/>
    </font>
  </fonts>
  <fills count="3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8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 diagonalUp="1">
      <left style="medium">
        <color indexed="64"/>
      </left>
      <right/>
      <top style="medium">
        <color indexed="64"/>
      </top>
      <bottom/>
      <diagonal style="medium">
        <color indexed="64"/>
      </diagonal>
    </border>
    <border diagonalUp="1">
      <left/>
      <right/>
      <top style="medium">
        <color indexed="64"/>
      </top>
      <bottom/>
      <diagonal style="medium">
        <color indexed="64"/>
      </diagonal>
    </border>
    <border diagonalUp="1">
      <left/>
      <right style="medium">
        <color indexed="64"/>
      </right>
      <top style="medium">
        <color indexed="64"/>
      </top>
      <bottom/>
      <diagonal style="medium">
        <color indexed="64"/>
      </diagonal>
    </border>
    <border diagonalUp="1">
      <left style="medium">
        <color indexed="64"/>
      </left>
      <right/>
      <top/>
      <bottom/>
      <diagonal style="medium">
        <color indexed="64"/>
      </diagonal>
    </border>
    <border diagonalUp="1">
      <left/>
      <right/>
      <top/>
      <bottom/>
      <diagonal style="medium">
        <color indexed="64"/>
      </diagonal>
    </border>
    <border diagonalUp="1">
      <left/>
      <right style="medium">
        <color indexed="64"/>
      </right>
      <top/>
      <bottom/>
      <diagonal style="medium">
        <color indexed="64"/>
      </diagonal>
    </border>
    <border diagonalUp="1">
      <left style="medium">
        <color indexed="64"/>
      </left>
      <right/>
      <top/>
      <bottom style="thin">
        <color indexed="64"/>
      </bottom>
      <diagonal style="medium">
        <color indexed="64"/>
      </diagonal>
    </border>
    <border diagonalUp="1">
      <left/>
      <right/>
      <top/>
      <bottom style="thin">
        <color indexed="64"/>
      </bottom>
      <diagonal style="medium">
        <color indexed="64"/>
      </diagonal>
    </border>
    <border diagonalUp="1">
      <left/>
      <right style="medium">
        <color indexed="64"/>
      </right>
      <top/>
      <bottom style="thin">
        <color indexed="64"/>
      </bottom>
      <diagonal style="medium">
        <color indexed="64"/>
      </diagonal>
    </border>
  </borders>
  <cellStyleXfs count="6">
    <xf numFmtId="0" fontId="0" fillId="0" borderId="0"/>
    <xf numFmtId="0" fontId="10" fillId="0" borderId="0"/>
    <xf numFmtId="0" fontId="1" fillId="0" borderId="0"/>
    <xf numFmtId="0" fontId="41" fillId="0" borderId="0"/>
    <xf numFmtId="9" fontId="10" fillId="0" borderId="0" applyFont="0" applyFill="0" applyBorder="0" applyAlignment="0" applyProtection="0"/>
    <xf numFmtId="0" fontId="58" fillId="0" borderId="0"/>
  </cellStyleXfs>
  <cellXfs count="732">
    <xf numFmtId="0" fontId="0" fillId="0" borderId="0" xfId="0"/>
    <xf numFmtId="0" fontId="0" fillId="0" borderId="0" xfId="0" applyBorder="1"/>
    <xf numFmtId="0" fontId="0" fillId="0" borderId="0" xfId="0" applyAlignment="1">
      <alignment vertical="center"/>
    </xf>
    <xf numFmtId="0" fontId="0" fillId="0" borderId="1" xfId="0" applyBorder="1"/>
    <xf numFmtId="0" fontId="0" fillId="0" borderId="0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/>
    <xf numFmtId="0" fontId="13" fillId="0" borderId="2" xfId="0" applyFont="1" applyBorder="1"/>
    <xf numFmtId="0" fontId="13" fillId="0" borderId="0" xfId="0" applyFont="1" applyBorder="1"/>
    <xf numFmtId="0" fontId="13" fillId="0" borderId="1" xfId="0" applyFont="1" applyBorder="1"/>
    <xf numFmtId="0" fontId="10" fillId="0" borderId="0" xfId="1"/>
    <xf numFmtId="0" fontId="10" fillId="0" borderId="3" xfId="1" applyBorder="1"/>
    <xf numFmtId="0" fontId="10" fillId="0" borderId="6" xfId="1" applyBorder="1"/>
    <xf numFmtId="0" fontId="10" fillId="0" borderId="7" xfId="1" applyBorder="1"/>
    <xf numFmtId="0" fontId="3" fillId="0" borderId="7" xfId="1" applyFont="1" applyFill="1" applyBorder="1" applyAlignment="1">
      <alignment horizontal="center"/>
    </xf>
    <xf numFmtId="0" fontId="10" fillId="0" borderId="8" xfId="1" applyBorder="1" applyAlignment="1">
      <alignment horizontal="center"/>
    </xf>
    <xf numFmtId="0" fontId="10" fillId="0" borderId="9" xfId="1" applyBorder="1"/>
    <xf numFmtId="0" fontId="10" fillId="0" borderId="10" xfId="1" applyFill="1" applyBorder="1"/>
    <xf numFmtId="0" fontId="3" fillId="0" borderId="10" xfId="1" applyFont="1" applyFill="1" applyBorder="1" applyAlignment="1">
      <alignment horizontal="center"/>
    </xf>
    <xf numFmtId="0" fontId="10" fillId="0" borderId="11" xfId="1" applyBorder="1" applyAlignment="1">
      <alignment horizontal="center"/>
    </xf>
    <xf numFmtId="0" fontId="10" fillId="0" borderId="12" xfId="1" applyBorder="1"/>
    <xf numFmtId="0" fontId="10" fillId="0" borderId="10" xfId="1" applyBorder="1"/>
    <xf numFmtId="0" fontId="10" fillId="0" borderId="4" xfId="1" applyBorder="1"/>
    <xf numFmtId="0" fontId="10" fillId="0" borderId="5" xfId="1" applyBorder="1"/>
    <xf numFmtId="0" fontId="3" fillId="0" borderId="5" xfId="1" applyFont="1" applyFill="1" applyBorder="1" applyAlignment="1">
      <alignment horizontal="center"/>
    </xf>
    <xf numFmtId="0" fontId="10" fillId="0" borderId="13" xfId="1" applyBorder="1" applyAlignment="1">
      <alignment horizontal="center"/>
    </xf>
    <xf numFmtId="0" fontId="10" fillId="0" borderId="14" xfId="1" applyBorder="1"/>
    <xf numFmtId="0" fontId="10" fillId="0" borderId="7" xfId="1" applyFill="1" applyBorder="1"/>
    <xf numFmtId="0" fontId="10" fillId="0" borderId="15" xfId="1" applyBorder="1"/>
    <xf numFmtId="0" fontId="10" fillId="0" borderId="16" xfId="1" applyFill="1" applyBorder="1"/>
    <xf numFmtId="0" fontId="3" fillId="0" borderId="16" xfId="1" applyFont="1" applyFill="1" applyBorder="1" applyAlignment="1">
      <alignment horizontal="center"/>
    </xf>
    <xf numFmtId="0" fontId="10" fillId="0" borderId="17" xfId="1" applyBorder="1" applyAlignment="1">
      <alignment horizontal="center"/>
    </xf>
    <xf numFmtId="0" fontId="10" fillId="0" borderId="18" xfId="1" applyBorder="1"/>
    <xf numFmtId="0" fontId="10" fillId="0" borderId="16" xfId="1" applyBorder="1"/>
    <xf numFmtId="0" fontId="14" fillId="0" borderId="2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3" fillId="0" borderId="0" xfId="0" applyFont="1" applyFill="1" applyBorder="1"/>
    <xf numFmtId="0" fontId="0" fillId="0" borderId="0" xfId="0" applyFill="1" applyBorder="1"/>
    <xf numFmtId="0" fontId="0" fillId="0" borderId="19" xfId="0" applyBorder="1" applyAlignment="1"/>
    <xf numFmtId="0" fontId="0" fillId="0" borderId="20" xfId="0" applyBorder="1" applyAlignment="1"/>
    <xf numFmtId="0" fontId="0" fillId="0" borderId="21" xfId="0" applyBorder="1" applyAlignment="1"/>
    <xf numFmtId="0" fontId="0" fillId="0" borderId="1" xfId="0" applyBorder="1" applyAlignment="1"/>
    <xf numFmtId="0" fontId="0" fillId="0" borderId="22" xfId="0" applyBorder="1" applyAlignment="1"/>
    <xf numFmtId="0" fontId="0" fillId="0" borderId="23" xfId="0" applyBorder="1" applyAlignment="1"/>
    <xf numFmtId="0" fontId="0" fillId="0" borderId="24" xfId="0" applyBorder="1" applyAlignment="1"/>
    <xf numFmtId="0" fontId="15" fillId="0" borderId="20" xfId="2" applyFont="1" applyFill="1" applyBorder="1"/>
    <xf numFmtId="2" fontId="16" fillId="0" borderId="2" xfId="0" applyNumberFormat="1" applyFont="1" applyBorder="1" applyAlignment="1"/>
    <xf numFmtId="0" fontId="11" fillId="0" borderId="0" xfId="0" applyFont="1" applyBorder="1" applyAlignment="1"/>
    <xf numFmtId="0" fontId="11" fillId="0" borderId="2" xfId="0" applyFont="1" applyBorder="1" applyAlignment="1"/>
    <xf numFmtId="0" fontId="17" fillId="0" borderId="0" xfId="2" applyFont="1" applyFill="1" applyBorder="1"/>
    <xf numFmtId="0" fontId="17" fillId="0" borderId="0" xfId="2" applyFont="1" applyBorder="1"/>
    <xf numFmtId="0" fontId="18" fillId="0" borderId="0" xfId="0" applyFont="1" applyBorder="1" applyAlignment="1">
      <alignment vertical="center"/>
    </xf>
    <xf numFmtId="0" fontId="4" fillId="0" borderId="20" xfId="2" applyFont="1" applyBorder="1" applyAlignment="1">
      <alignment horizontal="center"/>
    </xf>
    <xf numFmtId="0" fontId="4" fillId="0" borderId="0" xfId="2" applyFont="1" applyBorder="1" applyAlignment="1">
      <alignment horizontal="center"/>
    </xf>
    <xf numFmtId="0" fontId="4" fillId="0" borderId="0" xfId="2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0" fillId="0" borderId="3" xfId="1" applyFont="1" applyBorder="1"/>
    <xf numFmtId="0" fontId="10" fillId="0" borderId="3" xfId="1" applyFill="1" applyBorder="1"/>
    <xf numFmtId="0" fontId="10" fillId="0" borderId="0" xfId="1" applyFill="1"/>
    <xf numFmtId="0" fontId="9" fillId="0" borderId="8" xfId="0" applyFont="1" applyFill="1" applyBorder="1" applyAlignment="1">
      <alignment horizontal="center"/>
    </xf>
    <xf numFmtId="0" fontId="9" fillId="0" borderId="6" xfId="0" applyFont="1" applyFill="1" applyBorder="1"/>
    <xf numFmtId="0" fontId="9" fillId="0" borderId="3" xfId="0" applyFont="1" applyFill="1" applyBorder="1" applyAlignment="1">
      <alignment vertical="center"/>
    </xf>
    <xf numFmtId="0" fontId="10" fillId="0" borderId="7" xfId="1" applyFill="1" applyBorder="1" applyAlignment="1">
      <alignment horizontal="center"/>
    </xf>
    <xf numFmtId="0" fontId="10" fillId="0" borderId="8" xfId="1" applyFill="1" applyBorder="1" applyAlignment="1">
      <alignment horizontal="center"/>
    </xf>
    <xf numFmtId="0" fontId="10" fillId="0" borderId="6" xfId="1" applyFill="1" applyBorder="1"/>
    <xf numFmtId="0" fontId="10" fillId="0" borderId="3" xfId="1" applyFill="1" applyBorder="1" applyAlignment="1">
      <alignment vertical="center"/>
    </xf>
    <xf numFmtId="0" fontId="9" fillId="0" borderId="3" xfId="0" applyFont="1" applyFill="1" applyBorder="1"/>
    <xf numFmtId="0" fontId="10" fillId="0" borderId="3" xfId="1" applyFont="1" applyFill="1" applyBorder="1"/>
    <xf numFmtId="0" fontId="10" fillId="0" borderId="7" xfId="1" applyFont="1" applyFill="1" applyBorder="1"/>
    <xf numFmtId="0" fontId="10" fillId="0" borderId="8" xfId="1" applyFont="1" applyFill="1" applyBorder="1" applyAlignment="1">
      <alignment horizontal="center"/>
    </xf>
    <xf numFmtId="0" fontId="10" fillId="0" borderId="26" xfId="1" applyBorder="1"/>
    <xf numFmtId="0" fontId="10" fillId="0" borderId="27" xfId="1" applyBorder="1"/>
    <xf numFmtId="0" fontId="3" fillId="0" borderId="27" xfId="1" applyFont="1" applyFill="1" applyBorder="1" applyAlignment="1">
      <alignment horizontal="center"/>
    </xf>
    <xf numFmtId="0" fontId="10" fillId="0" borderId="28" xfId="1" applyBorder="1" applyAlignment="1">
      <alignment horizontal="center"/>
    </xf>
    <xf numFmtId="0" fontId="10" fillId="0" borderId="29" xfId="1" applyBorder="1"/>
    <xf numFmtId="0" fontId="10" fillId="0" borderId="9" xfId="1" applyFont="1" applyBorder="1"/>
    <xf numFmtId="0" fontId="0" fillId="0" borderId="3" xfId="0" applyBorder="1"/>
    <xf numFmtId="0" fontId="23" fillId="4" borderId="3" xfId="0" applyFont="1" applyFill="1" applyBorder="1" applyAlignment="1">
      <alignment horizontal="center"/>
    </xf>
    <xf numFmtId="164" fontId="0" fillId="0" borderId="3" xfId="0" applyNumberFormat="1" applyBorder="1"/>
    <xf numFmtId="165" fontId="0" fillId="0" borderId="3" xfId="0" applyNumberFormat="1" applyBorder="1"/>
    <xf numFmtId="0" fontId="0" fillId="5" borderId="3" xfId="0" applyFill="1" applyBorder="1"/>
    <xf numFmtId="166" fontId="0" fillId="5" borderId="3" xfId="0" applyNumberFormat="1" applyFill="1" applyBorder="1"/>
    <xf numFmtId="0" fontId="0" fillId="0" borderId="3" xfId="0" applyBorder="1" applyAlignment="1">
      <alignment horizontal="right"/>
    </xf>
    <xf numFmtId="167" fontId="0" fillId="0" borderId="3" xfId="0" applyNumberFormat="1" applyBorder="1"/>
    <xf numFmtId="10" fontId="0" fillId="0" borderId="3" xfId="0" applyNumberFormat="1" applyBorder="1"/>
    <xf numFmtId="0" fontId="12" fillId="0" borderId="3" xfId="0" applyFont="1" applyBorder="1"/>
    <xf numFmtId="168" fontId="12" fillId="0" borderId="3" xfId="0" applyNumberFormat="1" applyFont="1" applyBorder="1"/>
    <xf numFmtId="0" fontId="0" fillId="6" borderId="3" xfId="0" applyFill="1" applyBorder="1"/>
    <xf numFmtId="167" fontId="0" fillId="6" borderId="3" xfId="0" applyNumberFormat="1" applyFill="1" applyBorder="1"/>
    <xf numFmtId="0" fontId="0" fillId="0" borderId="0" xfId="0" applyAlignment="1">
      <alignment horizontal="center"/>
    </xf>
    <xf numFmtId="0" fontId="0" fillId="0" borderId="3" xfId="0" applyBorder="1" applyAlignment="1"/>
    <xf numFmtId="3" fontId="0" fillId="0" borderId="3" xfId="0" applyNumberFormat="1" applyBorder="1"/>
    <xf numFmtId="167" fontId="0" fillId="7" borderId="3" xfId="0" applyNumberFormat="1" applyFill="1" applyBorder="1"/>
    <xf numFmtId="0" fontId="0" fillId="8" borderId="3" xfId="0" applyFill="1" applyBorder="1" applyAlignment="1"/>
    <xf numFmtId="167" fontId="0" fillId="8" borderId="3" xfId="0" applyNumberFormat="1" applyFill="1" applyBorder="1"/>
    <xf numFmtId="167" fontId="0" fillId="9" borderId="3" xfId="0" applyNumberFormat="1" applyFill="1" applyBorder="1"/>
    <xf numFmtId="0" fontId="0" fillId="9" borderId="0" xfId="0" applyFill="1"/>
    <xf numFmtId="169" fontId="0" fillId="0" borderId="3" xfId="0" applyNumberFormat="1" applyBorder="1"/>
    <xf numFmtId="0" fontId="0" fillId="4" borderId="0" xfId="0" applyFill="1"/>
    <xf numFmtId="167" fontId="0" fillId="4" borderId="3" xfId="0" applyNumberFormat="1" applyFill="1" applyBorder="1"/>
    <xf numFmtId="0" fontId="0" fillId="7" borderId="3" xfId="0" applyFill="1" applyBorder="1"/>
    <xf numFmtId="164" fontId="0" fillId="7" borderId="3" xfId="0" applyNumberFormat="1" applyFill="1" applyBorder="1"/>
    <xf numFmtId="0" fontId="0" fillId="10" borderId="3" xfId="0" applyFill="1" applyBorder="1"/>
    <xf numFmtId="164" fontId="0" fillId="10" borderId="3" xfId="0" applyNumberFormat="1" applyFill="1" applyBorder="1"/>
    <xf numFmtId="0" fontId="0" fillId="11" borderId="3" xfId="0" applyFill="1" applyBorder="1"/>
    <xf numFmtId="164" fontId="0" fillId="11" borderId="3" xfId="0" applyNumberFormat="1" applyFill="1" applyBorder="1"/>
    <xf numFmtId="0" fontId="0" fillId="12" borderId="3" xfId="0" applyFill="1" applyBorder="1"/>
    <xf numFmtId="9" fontId="0" fillId="12" borderId="3" xfId="0" applyNumberFormat="1" applyFill="1" applyBorder="1"/>
    <xf numFmtId="167" fontId="0" fillId="11" borderId="3" xfId="0" applyNumberFormat="1" applyFill="1" applyBorder="1"/>
    <xf numFmtId="167" fontId="0" fillId="12" borderId="3" xfId="0" applyNumberFormat="1" applyFill="1" applyBorder="1"/>
    <xf numFmtId="0" fontId="0" fillId="0" borderId="0" xfId="0" applyProtection="1">
      <protection locked="0"/>
    </xf>
    <xf numFmtId="49" fontId="0" fillId="0" borderId="3" xfId="0" applyNumberFormat="1" applyBorder="1" applyAlignment="1" applyProtection="1">
      <alignment horizontal="left"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right" vertical="center"/>
      <protection locked="0"/>
    </xf>
    <xf numFmtId="0" fontId="21" fillId="0" borderId="60" xfId="1" applyFont="1" applyBorder="1" applyAlignment="1">
      <alignment horizontal="center" vertical="center" wrapText="1"/>
    </xf>
    <xf numFmtId="0" fontId="21" fillId="0" borderId="61" xfId="1" applyFont="1" applyBorder="1" applyAlignment="1">
      <alignment horizontal="center" vertical="center"/>
    </xf>
    <xf numFmtId="0" fontId="10" fillId="0" borderId="13" xfId="1" applyBorder="1"/>
    <xf numFmtId="0" fontId="10" fillId="0" borderId="14" xfId="1" applyFont="1" applyBorder="1"/>
    <xf numFmtId="0" fontId="10" fillId="0" borderId="53" xfId="1" applyBorder="1"/>
    <xf numFmtId="0" fontId="10" fillId="0" borderId="8" xfId="1" applyBorder="1"/>
    <xf numFmtId="0" fontId="10" fillId="0" borderId="6" xfId="1" applyFont="1" applyBorder="1"/>
    <xf numFmtId="0" fontId="10" fillId="0" borderId="33" xfId="1" applyBorder="1"/>
    <xf numFmtId="0" fontId="10" fillId="0" borderId="11" xfId="1" applyBorder="1"/>
    <xf numFmtId="0" fontId="10" fillId="0" borderId="38" xfId="1" applyBorder="1"/>
    <xf numFmtId="0" fontId="22" fillId="2" borderId="37" xfId="1" applyFont="1" applyFill="1" applyBorder="1" applyAlignment="1">
      <alignment horizontal="left" vertical="center"/>
    </xf>
    <xf numFmtId="0" fontId="10" fillId="3" borderId="9" xfId="1" applyFont="1" applyFill="1" applyBorder="1" applyAlignment="1">
      <alignment horizontal="left" vertical="center"/>
    </xf>
    <xf numFmtId="0" fontId="10" fillId="3" borderId="9" xfId="1" applyFill="1" applyBorder="1" applyAlignment="1">
      <alignment horizontal="left" vertical="center"/>
    </xf>
    <xf numFmtId="0" fontId="10" fillId="3" borderId="10" xfId="1" applyFill="1" applyBorder="1" applyAlignment="1">
      <alignment horizontal="left" vertical="center"/>
    </xf>
    <xf numFmtId="0" fontId="10" fillId="3" borderId="38" xfId="1" applyFill="1" applyBorder="1" applyAlignment="1">
      <alignment horizontal="left" vertical="center"/>
    </xf>
    <xf numFmtId="0" fontId="33" fillId="0" borderId="0" xfId="0" applyFont="1" applyAlignment="1"/>
    <xf numFmtId="0" fontId="14" fillId="0" borderId="0" xfId="0" applyFont="1" applyAlignment="1"/>
    <xf numFmtId="0" fontId="34" fillId="0" borderId="0" xfId="0" applyFont="1" applyAlignment="1">
      <alignment horizontal="left" vertical="center"/>
    </xf>
    <xf numFmtId="0" fontId="33" fillId="0" borderId="0" xfId="0" applyFont="1" applyAlignment="1">
      <alignment horizontal="left" vertical="center"/>
    </xf>
    <xf numFmtId="0" fontId="35" fillId="0" borderId="0" xfId="1" applyFont="1"/>
    <xf numFmtId="0" fontId="22" fillId="0" borderId="0" xfId="1" applyFont="1" applyAlignment="1">
      <alignment horizontal="center"/>
    </xf>
    <xf numFmtId="0" fontId="35" fillId="0" borderId="3" xfId="1" applyFont="1" applyFill="1" applyBorder="1"/>
    <xf numFmtId="0" fontId="10" fillId="0" borderId="7" xfId="1" applyFont="1" applyFill="1" applyBorder="1" applyAlignment="1">
      <alignment horizontal="center"/>
    </xf>
    <xf numFmtId="0" fontId="35" fillId="0" borderId="3" xfId="1" applyFont="1" applyBorder="1"/>
    <xf numFmtId="0" fontId="35" fillId="0" borderId="9" xfId="1" applyFont="1" applyBorder="1"/>
    <xf numFmtId="0" fontId="35" fillId="0" borderId="4" xfId="1" applyFont="1" applyBorder="1"/>
    <xf numFmtId="0" fontId="3" fillId="0" borderId="7" xfId="1" applyFont="1" applyFill="1" applyBorder="1" applyAlignment="1">
      <alignment horizontal="left"/>
    </xf>
    <xf numFmtId="0" fontId="35" fillId="0" borderId="26" xfId="1" applyFont="1" applyBorder="1"/>
    <xf numFmtId="0" fontId="35" fillId="0" borderId="15" xfId="1" applyFont="1" applyBorder="1"/>
    <xf numFmtId="49" fontId="38" fillId="0" borderId="3" xfId="0" applyNumberFormat="1" applyFont="1" applyBorder="1" applyAlignment="1">
      <alignment horizontal="left" vertical="center"/>
    </xf>
    <xf numFmtId="0" fontId="39" fillId="0" borderId="0" xfId="0" applyFont="1"/>
    <xf numFmtId="0" fontId="21" fillId="0" borderId="58" xfId="1" applyFont="1" applyBorder="1" applyAlignment="1">
      <alignment horizontal="center" vertical="center"/>
    </xf>
    <xf numFmtId="0" fontId="21" fillId="0" borderId="59" xfId="1" applyFont="1" applyBorder="1" applyAlignment="1">
      <alignment horizontal="center" vertical="center"/>
    </xf>
    <xf numFmtId="0" fontId="0" fillId="2" borderId="3" xfId="0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3" xfId="0" applyBorder="1" applyProtection="1">
      <protection locked="0"/>
    </xf>
    <xf numFmtId="0" fontId="0" fillId="14" borderId="3" xfId="0" applyFill="1" applyBorder="1" applyAlignment="1" applyProtection="1">
      <alignment horizontal="center" vertical="center"/>
      <protection locked="0"/>
    </xf>
    <xf numFmtId="9" fontId="0" fillId="4" borderId="4" xfId="0" applyNumberFormat="1" applyFill="1" applyBorder="1" applyAlignment="1" applyProtection="1">
      <alignment horizontal="center"/>
      <protection locked="0"/>
    </xf>
    <xf numFmtId="0" fontId="0" fillId="0" borderId="3" xfId="0" applyFill="1" applyBorder="1" applyAlignment="1" applyProtection="1">
      <alignment horizontal="center"/>
      <protection locked="0"/>
    </xf>
    <xf numFmtId="2" fontId="0" fillId="0" borderId="3" xfId="0" applyNumberFormat="1" applyFill="1" applyBorder="1" applyAlignment="1" applyProtection="1">
      <alignment horizontal="center"/>
      <protection locked="0"/>
    </xf>
    <xf numFmtId="0" fontId="41" fillId="6" borderId="3" xfId="3" applyFont="1" applyFill="1" applyBorder="1" applyAlignment="1">
      <alignment horizontal="center"/>
    </xf>
    <xf numFmtId="2" fontId="41" fillId="6" borderId="3" xfId="3" applyNumberFormat="1" applyFont="1" applyFill="1" applyBorder="1" applyAlignment="1">
      <alignment horizontal="center"/>
    </xf>
    <xf numFmtId="0" fontId="0" fillId="0" borderId="0" xfId="0" applyFill="1"/>
    <xf numFmtId="0" fontId="0" fillId="14" borderId="3" xfId="0" applyFill="1" applyBorder="1" applyAlignment="1" applyProtection="1">
      <alignment horizontal="center" vertical="center" wrapText="1"/>
      <protection locked="0"/>
    </xf>
    <xf numFmtId="2" fontId="0" fillId="0" borderId="3" xfId="0" applyNumberFormat="1" applyBorder="1" applyAlignment="1" applyProtection="1">
      <alignment horizontal="center" vertical="center"/>
      <protection locked="0"/>
    </xf>
    <xf numFmtId="0" fontId="35" fillId="0" borderId="4" xfId="1" applyFont="1" applyFill="1" applyBorder="1"/>
    <xf numFmtId="0" fontId="10" fillId="0" borderId="4" xfId="1" applyFill="1" applyBorder="1"/>
    <xf numFmtId="0" fontId="10" fillId="0" borderId="5" xfId="1" applyFill="1" applyBorder="1"/>
    <xf numFmtId="0" fontId="0" fillId="0" borderId="8" xfId="1" applyFont="1" applyFill="1" applyBorder="1" applyAlignment="1">
      <alignment horizontal="center"/>
    </xf>
    <xf numFmtId="0" fontId="35" fillId="0" borderId="9" xfId="1" applyFont="1" applyFill="1" applyBorder="1"/>
    <xf numFmtId="0" fontId="10" fillId="0" borderId="9" xfId="1" applyFill="1" applyBorder="1"/>
    <xf numFmtId="0" fontId="10" fillId="0" borderId="11" xfId="1" applyFill="1" applyBorder="1" applyAlignment="1">
      <alignment horizontal="center"/>
    </xf>
    <xf numFmtId="0" fontId="10" fillId="0" borderId="12" xfId="1" applyFill="1" applyBorder="1"/>
    <xf numFmtId="0" fontId="10" fillId="0" borderId="14" xfId="1" applyFill="1" applyBorder="1"/>
    <xf numFmtId="0" fontId="10" fillId="0" borderId="13" xfId="1" applyFill="1" applyBorder="1" applyAlignment="1">
      <alignment horizontal="center"/>
    </xf>
    <xf numFmtId="0" fontId="0" fillId="0" borderId="7" xfId="1" applyFont="1" applyFill="1" applyBorder="1"/>
    <xf numFmtId="0" fontId="0" fillId="0" borderId="66" xfId="0" applyFill="1" applyBorder="1" applyAlignment="1" applyProtection="1">
      <alignment horizontal="center"/>
      <protection locked="0"/>
    </xf>
    <xf numFmtId="2" fontId="0" fillId="0" borderId="66" xfId="0" applyNumberFormat="1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center"/>
      <protection locked="0"/>
    </xf>
    <xf numFmtId="2" fontId="0" fillId="0" borderId="0" xfId="0" applyNumberFormat="1" applyFill="1" applyBorder="1" applyAlignment="1" applyProtection="1">
      <alignment horizontal="center"/>
      <protection locked="0"/>
    </xf>
    <xf numFmtId="170" fontId="0" fillId="13" borderId="3" xfId="0" applyNumberFormat="1" applyFill="1" applyBorder="1" applyAlignment="1" applyProtection="1">
      <alignment horizontal="center" vertical="center"/>
      <protection locked="0"/>
    </xf>
    <xf numFmtId="0" fontId="0" fillId="7" borderId="0" xfId="0" applyFill="1"/>
    <xf numFmtId="0" fontId="0" fillId="16" borderId="3" xfId="0" applyFill="1" applyBorder="1"/>
    <xf numFmtId="0" fontId="0" fillId="16" borderId="4" xfId="0" applyFill="1" applyBorder="1"/>
    <xf numFmtId="0" fontId="40" fillId="15" borderId="60" xfId="0" applyFont="1" applyFill="1" applyBorder="1" applyAlignment="1">
      <alignment horizontal="center" vertical="center"/>
    </xf>
    <xf numFmtId="10" fontId="0" fillId="0" borderId="0" xfId="4" applyNumberFormat="1" applyFont="1"/>
    <xf numFmtId="0" fontId="0" fillId="17" borderId="0" xfId="0" applyFill="1" applyAlignment="1">
      <alignment horizontal="center" vertical="center" wrapText="1"/>
    </xf>
    <xf numFmtId="0" fontId="0" fillId="17" borderId="0" xfId="4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171" fontId="0" fillId="0" borderId="0" xfId="4" applyNumberFormat="1" applyFont="1" applyAlignment="1">
      <alignment horizontal="center" vertical="center"/>
    </xf>
    <xf numFmtId="0" fontId="0" fillId="7" borderId="0" xfId="0" applyNumberFormat="1" applyFill="1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0" fontId="0" fillId="0" borderId="0" xfId="4" applyNumberFormat="1" applyFont="1" applyAlignment="1">
      <alignment horizontal="center" vertical="center"/>
    </xf>
    <xf numFmtId="171" fontId="0" fillId="7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10" fontId="0" fillId="0" borderId="0" xfId="0" applyNumberFormat="1" applyFill="1" applyAlignment="1">
      <alignment horizontal="center" vertical="center"/>
    </xf>
    <xf numFmtId="172" fontId="0" fillId="13" borderId="3" xfId="0" applyNumberFormat="1" applyFill="1" applyBorder="1" applyAlignment="1" applyProtection="1">
      <alignment horizontal="center"/>
      <protection locked="0"/>
    </xf>
    <xf numFmtId="170" fontId="0" fillId="10" borderId="3" xfId="0" applyNumberFormat="1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2" fontId="0" fillId="16" borderId="3" xfId="0" applyNumberFormat="1" applyFill="1" applyBorder="1" applyAlignment="1" applyProtection="1">
      <alignment horizontal="center" vertical="center"/>
      <protection locked="0"/>
    </xf>
    <xf numFmtId="2" fontId="0" fillId="6" borderId="3" xfId="0" applyNumberFormat="1" applyFill="1" applyBorder="1" applyAlignment="1" applyProtection="1">
      <alignment horizontal="center" vertical="center"/>
      <protection locked="0"/>
    </xf>
    <xf numFmtId="0" fontId="20" fillId="0" borderId="9" xfId="0" applyFont="1" applyBorder="1" applyAlignment="1">
      <alignment horizontal="center" vertical="center"/>
    </xf>
    <xf numFmtId="0" fontId="33" fillId="0" borderId="0" xfId="0" applyFont="1" applyBorder="1" applyAlignment="1"/>
    <xf numFmtId="0" fontId="10" fillId="18" borderId="3" xfId="1" applyFill="1" applyBorder="1"/>
    <xf numFmtId="0" fontId="10" fillId="18" borderId="0" xfId="1" applyFill="1" applyBorder="1"/>
    <xf numFmtId="0" fontId="10" fillId="4" borderId="3" xfId="1" applyFill="1" applyBorder="1"/>
    <xf numFmtId="0" fontId="10" fillId="4" borderId="0" xfId="1" applyFill="1" applyBorder="1"/>
    <xf numFmtId="0" fontId="10" fillId="4" borderId="0" xfId="1" applyFill="1"/>
    <xf numFmtId="49" fontId="10" fillId="0" borderId="0" xfId="1" applyNumberFormat="1"/>
    <xf numFmtId="0" fontId="43" fillId="0" borderId="0" xfId="1" applyFont="1" applyAlignment="1">
      <alignment horizontal="center"/>
    </xf>
    <xf numFmtId="0" fontId="44" fillId="0" borderId="2" xfId="1" applyFont="1" applyBorder="1" applyAlignment="1"/>
    <xf numFmtId="0" fontId="44" fillId="0" borderId="0" xfId="1" applyFont="1" applyAlignment="1"/>
    <xf numFmtId="0" fontId="0" fillId="0" borderId="0" xfId="0" applyFill="1" applyBorder="1" applyAlignment="1" applyProtection="1">
      <alignment horizontal="left"/>
      <protection locked="0"/>
    </xf>
    <xf numFmtId="0" fontId="0" fillId="0" borderId="6" xfId="1" applyFont="1" applyFill="1" applyBorder="1"/>
    <xf numFmtId="0" fontId="45" fillId="0" borderId="0" xfId="0" applyFont="1"/>
    <xf numFmtId="0" fontId="47" fillId="0" borderId="0" xfId="0" applyFont="1" applyAlignment="1">
      <alignment horizontal="center"/>
    </xf>
    <xf numFmtId="0" fontId="47" fillId="0" borderId="0" xfId="0" applyFont="1" applyAlignment="1">
      <alignment horizontal="left"/>
    </xf>
    <xf numFmtId="0" fontId="43" fillId="0" borderId="0" xfId="0" applyFont="1"/>
    <xf numFmtId="0" fontId="10" fillId="0" borderId="13" xfId="1" applyFill="1" applyBorder="1" applyAlignment="1">
      <alignment horizontal="left"/>
    </xf>
    <xf numFmtId="0" fontId="10" fillId="0" borderId="14" xfId="1" applyFill="1" applyBorder="1" applyAlignment="1">
      <alignment horizontal="left"/>
    </xf>
    <xf numFmtId="0" fontId="10" fillId="0" borderId="4" xfId="1" applyFill="1" applyBorder="1" applyAlignment="1">
      <alignment horizontal="left" vertical="center"/>
    </xf>
    <xf numFmtId="0" fontId="10" fillId="0" borderId="5" xfId="1" applyFill="1" applyBorder="1" applyAlignment="1">
      <alignment horizontal="left"/>
    </xf>
    <xf numFmtId="0" fontId="9" fillId="0" borderId="13" xfId="0" applyFont="1" applyFill="1" applyBorder="1" applyAlignment="1">
      <alignment horizontal="left"/>
    </xf>
    <xf numFmtId="0" fontId="9" fillId="0" borderId="14" xfId="0" applyFont="1" applyFill="1" applyBorder="1" applyAlignment="1">
      <alignment horizontal="left"/>
    </xf>
    <xf numFmtId="0" fontId="9" fillId="0" borderId="4" xfId="0" applyFont="1" applyFill="1" applyBorder="1" applyAlignment="1">
      <alignment horizontal="left"/>
    </xf>
    <xf numFmtId="0" fontId="10" fillId="0" borderId="4" xfId="1" applyFill="1" applyBorder="1" applyAlignment="1">
      <alignment horizontal="left"/>
    </xf>
    <xf numFmtId="0" fontId="10" fillId="0" borderId="0" xfId="1" applyFill="1" applyBorder="1"/>
    <xf numFmtId="0" fontId="0" fillId="0" borderId="13" xfId="1" applyFont="1" applyFill="1" applyBorder="1" applyAlignment="1">
      <alignment horizontal="center"/>
    </xf>
    <xf numFmtId="0" fontId="10" fillId="0" borderId="4" xfId="1" applyFill="1" applyBorder="1" applyAlignment="1">
      <alignment vertical="center"/>
    </xf>
    <xf numFmtId="0" fontId="9" fillId="0" borderId="13" xfId="0" applyFont="1" applyFill="1" applyBorder="1" applyAlignment="1">
      <alignment horizontal="center"/>
    </xf>
    <xf numFmtId="0" fontId="9" fillId="0" borderId="14" xfId="0" applyFont="1" applyFill="1" applyBorder="1"/>
    <xf numFmtId="0" fontId="9" fillId="0" borderId="4" xfId="0" applyFont="1" applyFill="1" applyBorder="1"/>
    <xf numFmtId="0" fontId="0" fillId="0" borderId="3" xfId="1" applyFont="1" applyFill="1" applyBorder="1"/>
    <xf numFmtId="0" fontId="42" fillId="0" borderId="3" xfId="1" applyFont="1" applyFill="1" applyBorder="1"/>
    <xf numFmtId="0" fontId="42" fillId="0" borderId="0" xfId="1" applyFont="1" applyFill="1" applyBorder="1"/>
    <xf numFmtId="0" fontId="42" fillId="0" borderId="0" xfId="1" applyFont="1" applyFill="1"/>
    <xf numFmtId="49" fontId="10" fillId="0" borderId="26" xfId="1" applyNumberFormat="1" applyFont="1" applyFill="1" applyBorder="1"/>
    <xf numFmtId="0" fontId="10" fillId="0" borderId="27" xfId="1" applyFont="1" applyFill="1" applyBorder="1"/>
    <xf numFmtId="0" fontId="0" fillId="0" borderId="28" xfId="1" applyFont="1" applyFill="1" applyBorder="1" applyAlignment="1">
      <alignment horizontal="center"/>
    </xf>
    <xf numFmtId="0" fontId="10" fillId="0" borderId="29" xfId="1" applyFill="1" applyBorder="1"/>
    <xf numFmtId="0" fontId="10" fillId="0" borderId="26" xfId="1" applyFill="1" applyBorder="1"/>
    <xf numFmtId="0" fontId="10" fillId="0" borderId="27" xfId="1" applyFill="1" applyBorder="1"/>
    <xf numFmtId="0" fontId="10" fillId="0" borderId="28" xfId="1" applyFill="1" applyBorder="1" applyAlignment="1">
      <alignment horizontal="center"/>
    </xf>
    <xf numFmtId="0" fontId="10" fillId="0" borderId="28" xfId="1" applyFont="1" applyFill="1" applyBorder="1" applyAlignment="1">
      <alignment horizontal="center"/>
    </xf>
    <xf numFmtId="0" fontId="40" fillId="15" borderId="64" xfId="0" applyFont="1" applyFill="1" applyBorder="1" applyAlignment="1">
      <alignment horizontal="center" vertical="center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10" fontId="0" fillId="4" borderId="0" xfId="0" applyNumberFormat="1" applyFill="1"/>
    <xf numFmtId="2" fontId="0" fillId="7" borderId="0" xfId="0" applyNumberFormat="1" applyFill="1"/>
    <xf numFmtId="4" fontId="0" fillId="4" borderId="0" xfId="0" applyNumberFormat="1" applyFill="1" applyAlignment="1">
      <alignment horizontal="center" vertical="center"/>
    </xf>
    <xf numFmtId="2" fontId="0" fillId="17" borderId="0" xfId="0" applyNumberFormat="1" applyFill="1" applyAlignment="1">
      <alignment horizontal="center" vertical="center" wrapText="1"/>
    </xf>
    <xf numFmtId="2" fontId="0" fillId="7" borderId="0" xfId="0" applyNumberFormat="1" applyFill="1" applyAlignment="1">
      <alignment horizontal="center" vertical="center"/>
    </xf>
    <xf numFmtId="0" fontId="40" fillId="15" borderId="2" xfId="0" applyFont="1" applyFill="1" applyBorder="1" applyAlignment="1">
      <alignment horizontal="center" vertical="center"/>
    </xf>
    <xf numFmtId="9" fontId="10" fillId="0" borderId="3" xfId="1" applyNumberFormat="1" applyFill="1" applyBorder="1" applyAlignment="1">
      <alignment vertical="center"/>
    </xf>
    <xf numFmtId="49" fontId="0" fillId="0" borderId="0" xfId="0" applyNumberFormat="1" applyBorder="1" applyAlignment="1" applyProtection="1">
      <alignment horizontal="left" vertical="center"/>
      <protection locked="0"/>
    </xf>
    <xf numFmtId="49" fontId="0" fillId="0" borderId="0" xfId="0" applyNumberFormat="1" applyBorder="1" applyAlignment="1" applyProtection="1">
      <alignment vertical="center"/>
      <protection locked="0"/>
    </xf>
    <xf numFmtId="0" fontId="0" fillId="2" borderId="3" xfId="0" applyFill="1" applyBorder="1" applyAlignment="1" applyProtection="1">
      <alignment horizontal="center" vertical="center"/>
      <protection locked="0"/>
    </xf>
    <xf numFmtId="2" fontId="0" fillId="13" borderId="3" xfId="0" applyNumberFormat="1" applyFill="1" applyBorder="1" applyAlignment="1" applyProtection="1">
      <alignment horizontal="center" vertical="center"/>
    </xf>
    <xf numFmtId="0" fontId="0" fillId="4" borderId="3" xfId="0" applyFill="1" applyBorder="1" applyAlignment="1" applyProtection="1">
      <alignment horizontal="center" vertical="center"/>
      <protection locked="0"/>
    </xf>
    <xf numFmtId="0" fontId="0" fillId="13" borderId="3" xfId="0" applyFill="1" applyBorder="1" applyAlignment="1" applyProtection="1">
      <alignment horizontal="center" vertical="center"/>
      <protection locked="0"/>
    </xf>
    <xf numFmtId="2" fontId="0" fillId="4" borderId="3" xfId="0" applyNumberFormat="1" applyFill="1" applyBorder="1" applyAlignment="1" applyProtection="1">
      <alignment horizontal="center" vertical="center"/>
      <protection locked="0"/>
    </xf>
    <xf numFmtId="9" fontId="10" fillId="0" borderId="0" xfId="4" applyFont="1" applyAlignment="1" applyProtection="1">
      <alignment horizontal="center" vertical="center"/>
      <protection locked="0"/>
    </xf>
    <xf numFmtId="0" fontId="12" fillId="0" borderId="0" xfId="0" applyFont="1" applyProtection="1">
      <protection locked="0"/>
    </xf>
    <xf numFmtId="49" fontId="49" fillId="0" borderId="66" xfId="0" applyNumberFormat="1" applyFont="1" applyBorder="1" applyAlignment="1" applyProtection="1">
      <alignment vertical="center" textRotation="90"/>
      <protection locked="0"/>
    </xf>
    <xf numFmtId="0" fontId="0" fillId="0" borderId="0" xfId="0" applyAlignment="1" applyProtection="1">
      <alignment horizontal="center"/>
    </xf>
    <xf numFmtId="49" fontId="49" fillId="0" borderId="0" xfId="0" applyNumberFormat="1" applyFont="1" applyBorder="1" applyAlignment="1" applyProtection="1">
      <alignment vertical="center" textRotation="90"/>
      <protection locked="0"/>
    </xf>
    <xf numFmtId="0" fontId="0" fillId="4" borderId="26" xfId="0" applyFill="1" applyBorder="1" applyAlignment="1" applyProtection="1">
      <alignment horizontal="center"/>
      <protection locked="0"/>
    </xf>
    <xf numFmtId="0" fontId="0" fillId="0" borderId="0" xfId="0" applyProtection="1"/>
    <xf numFmtId="0" fontId="0" fillId="2" borderId="7" xfId="0" applyFill="1" applyBorder="1" applyAlignment="1" applyProtection="1">
      <alignment horizontal="left"/>
      <protection locked="0"/>
    </xf>
    <xf numFmtId="0" fontId="0" fillId="2" borderId="6" xfId="0" applyFill="1" applyBorder="1" applyAlignment="1" applyProtection="1">
      <alignment horizontal="left"/>
      <protection locked="0"/>
    </xf>
    <xf numFmtId="49" fontId="49" fillId="0" borderId="4" xfId="0" applyNumberFormat="1" applyFont="1" applyBorder="1" applyAlignment="1" applyProtection="1">
      <alignment vertical="center" textRotation="90"/>
      <protection locked="0"/>
    </xf>
    <xf numFmtId="49" fontId="49" fillId="0" borderId="67" xfId="0" applyNumberFormat="1" applyFont="1" applyBorder="1" applyAlignment="1" applyProtection="1">
      <alignment vertical="center" textRotation="90" wrapText="1"/>
      <protection locked="0"/>
    </xf>
    <xf numFmtId="49" fontId="49" fillId="0" borderId="4" xfId="0" applyNumberFormat="1" applyFont="1" applyBorder="1" applyAlignment="1" applyProtection="1">
      <alignment vertical="center" textRotation="90" wrapText="1"/>
      <protection locked="0"/>
    </xf>
    <xf numFmtId="49" fontId="49" fillId="0" borderId="67" xfId="0" applyNumberFormat="1" applyFont="1" applyBorder="1" applyAlignment="1" applyProtection="1">
      <alignment vertical="center"/>
      <protection locked="0"/>
    </xf>
    <xf numFmtId="49" fontId="49" fillId="0" borderId="4" xfId="0" applyNumberFormat="1" applyFont="1" applyBorder="1" applyAlignment="1" applyProtection="1">
      <alignment vertical="center"/>
      <protection locked="0"/>
    </xf>
    <xf numFmtId="49" fontId="50" fillId="0" borderId="26" xfId="0" applyNumberFormat="1" applyFont="1" applyBorder="1" applyAlignment="1" applyProtection="1">
      <alignment horizontal="center" vertical="center" wrapText="1"/>
      <protection locked="0"/>
    </xf>
    <xf numFmtId="0" fontId="0" fillId="13" borderId="3" xfId="0" applyFill="1" applyBorder="1" applyAlignment="1" applyProtection="1">
      <alignment horizontal="center" vertical="center"/>
    </xf>
    <xf numFmtId="2" fontId="0" fillId="4" borderId="3" xfId="0" applyNumberFormat="1" applyFill="1" applyBorder="1" applyAlignment="1" applyProtection="1">
      <alignment horizontal="center" vertical="center"/>
    </xf>
    <xf numFmtId="0" fontId="0" fillId="3" borderId="0" xfId="0" applyFill="1" applyProtection="1">
      <protection locked="0"/>
    </xf>
    <xf numFmtId="0" fontId="0" fillId="3" borderId="0" xfId="0" applyFill="1" applyAlignment="1" applyProtection="1">
      <alignment horizontal="center"/>
    </xf>
    <xf numFmtId="0" fontId="0" fillId="3" borderId="0" xfId="0" applyFill="1" applyProtection="1"/>
    <xf numFmtId="49" fontId="0" fillId="3" borderId="0" xfId="0" applyNumberFormat="1" applyFill="1" applyProtection="1"/>
    <xf numFmtId="0" fontId="0" fillId="17" borderId="0" xfId="0" applyFill="1" applyProtection="1">
      <protection locked="0"/>
    </xf>
    <xf numFmtId="0" fontId="51" fillId="19" borderId="69" xfId="0" applyFont="1" applyFill="1" applyBorder="1" applyAlignment="1" applyProtection="1">
      <alignment vertical="center" textRotation="90"/>
      <protection locked="0"/>
    </xf>
    <xf numFmtId="0" fontId="0" fillId="19" borderId="69" xfId="0" applyFill="1" applyBorder="1" applyProtection="1">
      <protection locked="0"/>
    </xf>
    <xf numFmtId="0" fontId="0" fillId="19" borderId="70" xfId="0" applyFill="1" applyBorder="1" applyProtection="1">
      <protection locked="0"/>
    </xf>
    <xf numFmtId="0" fontId="47" fillId="0" borderId="0" xfId="0" applyFont="1" applyProtection="1">
      <protection locked="0"/>
    </xf>
    <xf numFmtId="49" fontId="47" fillId="0" borderId="0" xfId="0" applyNumberFormat="1" applyFont="1" applyProtection="1"/>
    <xf numFmtId="0" fontId="47" fillId="19" borderId="44" xfId="0" applyFont="1" applyFill="1" applyBorder="1" applyAlignment="1" applyProtection="1">
      <alignment vertical="center"/>
      <protection locked="0"/>
    </xf>
    <xf numFmtId="0" fontId="47" fillId="19" borderId="44" xfId="0" applyFont="1" applyFill="1" applyBorder="1" applyAlignment="1" applyProtection="1">
      <alignment horizontal="center" vertical="center"/>
      <protection locked="0"/>
    </xf>
    <xf numFmtId="0" fontId="0" fillId="19" borderId="73" xfId="0" applyFill="1" applyBorder="1" applyProtection="1">
      <protection locked="0"/>
    </xf>
    <xf numFmtId="0" fontId="0" fillId="0" borderId="66" xfId="0" applyBorder="1" applyProtection="1">
      <protection locked="0"/>
    </xf>
    <xf numFmtId="0" fontId="0" fillId="0" borderId="66" xfId="0" quotePrefix="1" applyBorder="1" applyProtection="1">
      <protection locked="0"/>
    </xf>
    <xf numFmtId="49" fontId="0" fillId="0" borderId="66" xfId="0" applyNumberFormat="1" applyBorder="1" applyProtection="1"/>
    <xf numFmtId="0" fontId="0" fillId="0" borderId="66" xfId="0" applyBorder="1" applyProtection="1"/>
    <xf numFmtId="0" fontId="42" fillId="0" borderId="66" xfId="0" applyNumberFormat="1" applyFont="1" applyBorder="1" applyProtection="1"/>
    <xf numFmtId="0" fontId="0" fillId="17" borderId="66" xfId="0" applyFill="1" applyBorder="1" applyProtection="1">
      <protection locked="0"/>
    </xf>
    <xf numFmtId="0" fontId="0" fillId="19" borderId="1" xfId="0" applyFill="1" applyBorder="1" applyProtection="1">
      <protection locked="0"/>
    </xf>
    <xf numFmtId="0" fontId="0" fillId="0" borderId="0" xfId="0" applyBorder="1" applyProtection="1">
      <protection locked="0"/>
    </xf>
    <xf numFmtId="49" fontId="0" fillId="0" borderId="0" xfId="0" applyNumberFormat="1" applyBorder="1" applyProtection="1"/>
    <xf numFmtId="0" fontId="0" fillId="0" borderId="0" xfId="0" applyBorder="1" applyProtection="1"/>
    <xf numFmtId="0" fontId="42" fillId="0" borderId="0" xfId="0" applyNumberFormat="1" applyFont="1" applyBorder="1" applyProtection="1"/>
    <xf numFmtId="0" fontId="0" fillId="17" borderId="0" xfId="0" applyFill="1" applyBorder="1" applyProtection="1">
      <protection locked="0"/>
    </xf>
    <xf numFmtId="0" fontId="0" fillId="19" borderId="24" xfId="0" applyFill="1" applyBorder="1" applyProtection="1">
      <protection locked="0"/>
    </xf>
    <xf numFmtId="0" fontId="0" fillId="0" borderId="23" xfId="0" applyBorder="1" applyProtection="1">
      <protection locked="0"/>
    </xf>
    <xf numFmtId="49" fontId="0" fillId="0" borderId="23" xfId="0" applyNumberFormat="1" applyBorder="1" applyProtection="1"/>
    <xf numFmtId="0" fontId="0" fillId="0" borderId="23" xfId="0" applyBorder="1" applyProtection="1"/>
    <xf numFmtId="49" fontId="47" fillId="0" borderId="23" xfId="0" applyNumberFormat="1" applyFont="1" applyBorder="1" applyProtection="1"/>
    <xf numFmtId="0" fontId="0" fillId="0" borderId="23" xfId="0" quotePrefix="1" applyBorder="1" applyProtection="1"/>
    <xf numFmtId="0" fontId="0" fillId="0" borderId="23" xfId="0" quotePrefix="1" applyBorder="1" applyProtection="1">
      <protection locked="0"/>
    </xf>
    <xf numFmtId="0" fontId="0" fillId="17" borderId="23" xfId="0" applyFill="1" applyBorder="1" applyProtection="1">
      <protection locked="0"/>
    </xf>
    <xf numFmtId="0" fontId="47" fillId="0" borderId="0" xfId="0" applyFont="1" applyBorder="1" applyProtection="1">
      <protection locked="0"/>
    </xf>
    <xf numFmtId="49" fontId="47" fillId="0" borderId="0" xfId="0" applyNumberFormat="1" applyFont="1" applyBorder="1" applyProtection="1"/>
    <xf numFmtId="0" fontId="0" fillId="19" borderId="35" xfId="0" applyFill="1" applyBorder="1" applyProtection="1">
      <protection locked="0"/>
    </xf>
    <xf numFmtId="0" fontId="0" fillId="4" borderId="66" xfId="0" applyFill="1" applyBorder="1" applyAlignment="1" applyProtection="1">
      <alignment horizontal="center" vertical="center"/>
      <protection locked="0"/>
    </xf>
    <xf numFmtId="0" fontId="0" fillId="0" borderId="66" xfId="0" quotePrefix="1" applyNumberFormat="1" applyBorder="1" applyProtection="1"/>
    <xf numFmtId="0" fontId="0" fillId="19" borderId="65" xfId="0" applyFill="1" applyBorder="1" applyProtection="1">
      <protection locked="0"/>
    </xf>
    <xf numFmtId="0" fontId="0" fillId="0" borderId="0" xfId="0" quotePrefix="1" applyBorder="1" applyProtection="1">
      <protection locked="0"/>
    </xf>
    <xf numFmtId="0" fontId="0" fillId="0" borderId="0" xfId="0" applyBorder="1" applyAlignment="1" applyProtection="1">
      <alignment horizontal="center" vertical="center"/>
    </xf>
    <xf numFmtId="0" fontId="0" fillId="0" borderId="0" xfId="0" quotePrefix="1" applyNumberFormat="1" applyBorder="1" applyProtection="1"/>
    <xf numFmtId="0" fontId="0" fillId="19" borderId="52" xfId="0" applyFill="1" applyBorder="1" applyProtection="1">
      <protection locked="0"/>
    </xf>
    <xf numFmtId="0" fontId="0" fillId="19" borderId="74" xfId="0" applyFill="1" applyBorder="1" applyProtection="1">
      <protection locked="0"/>
    </xf>
    <xf numFmtId="0" fontId="0" fillId="0" borderId="75" xfId="0" applyBorder="1" applyProtection="1"/>
    <xf numFmtId="0" fontId="0" fillId="0" borderId="75" xfId="0" applyBorder="1" applyAlignment="1" applyProtection="1">
      <alignment horizontal="center" vertical="center"/>
    </xf>
    <xf numFmtId="0" fontId="0" fillId="0" borderId="75" xfId="0" applyBorder="1" applyProtection="1">
      <protection locked="0"/>
    </xf>
    <xf numFmtId="0" fontId="0" fillId="0" borderId="75" xfId="0" quotePrefix="1" applyBorder="1" applyProtection="1"/>
    <xf numFmtId="49" fontId="0" fillId="0" borderId="75" xfId="0" applyNumberFormat="1" applyBorder="1" applyProtection="1"/>
    <xf numFmtId="0" fontId="0" fillId="4" borderId="75" xfId="0" quotePrefix="1" applyFill="1" applyBorder="1" applyProtection="1">
      <protection locked="0"/>
    </xf>
    <xf numFmtId="0" fontId="0" fillId="0" borderId="75" xfId="0" quotePrefix="1" applyBorder="1" applyProtection="1">
      <protection locked="0"/>
    </xf>
    <xf numFmtId="0" fontId="0" fillId="17" borderId="75" xfId="0" applyFill="1" applyBorder="1" applyProtection="1">
      <protection locked="0"/>
    </xf>
    <xf numFmtId="4" fontId="0" fillId="17" borderId="75" xfId="0" applyNumberFormat="1" applyFill="1" applyBorder="1" applyProtection="1">
      <protection locked="0"/>
    </xf>
    <xf numFmtId="0" fontId="0" fillId="0" borderId="0" xfId="0" quotePrefix="1" applyProtection="1">
      <protection locked="0"/>
    </xf>
    <xf numFmtId="0" fontId="0" fillId="0" borderId="0" xfId="0" quotePrefix="1" applyProtection="1"/>
    <xf numFmtId="49" fontId="0" fillId="0" borderId="66" xfId="0" quotePrefix="1" applyNumberFormat="1" applyBorder="1" applyProtection="1"/>
    <xf numFmtId="49" fontId="0" fillId="0" borderId="66" xfId="0" quotePrefix="1" applyNumberFormat="1" applyBorder="1" applyProtection="1">
      <protection locked="0"/>
    </xf>
    <xf numFmtId="49" fontId="0" fillId="0" borderId="0" xfId="0" quotePrefix="1" applyNumberFormat="1" applyBorder="1" applyProtection="1"/>
    <xf numFmtId="49" fontId="0" fillId="0" borderId="0" xfId="0" quotePrefix="1" applyNumberFormat="1" applyBorder="1" applyProtection="1">
      <protection locked="0"/>
    </xf>
    <xf numFmtId="0" fontId="0" fillId="0" borderId="66" xfId="0" applyFill="1" applyBorder="1" applyProtection="1"/>
    <xf numFmtId="0" fontId="0" fillId="0" borderId="0" xfId="0" applyFill="1" applyBorder="1" applyProtection="1"/>
    <xf numFmtId="0" fontId="0" fillId="0" borderId="75" xfId="0" applyFill="1" applyBorder="1" applyProtection="1"/>
    <xf numFmtId="4" fontId="0" fillId="17" borderId="66" xfId="0" applyNumberFormat="1" applyFill="1" applyBorder="1" applyProtection="1">
      <protection locked="0"/>
    </xf>
    <xf numFmtId="4" fontId="0" fillId="17" borderId="0" xfId="0" applyNumberFormat="1" applyFill="1" applyBorder="1" applyProtection="1">
      <protection locked="0"/>
    </xf>
    <xf numFmtId="0" fontId="0" fillId="19" borderId="62" xfId="0" applyFill="1" applyBorder="1" applyProtection="1">
      <protection locked="0"/>
    </xf>
    <xf numFmtId="0" fontId="0" fillId="0" borderId="23" xfId="0" applyBorder="1" applyAlignment="1" applyProtection="1">
      <alignment horizontal="center" vertical="center"/>
    </xf>
    <xf numFmtId="0" fontId="0" fillId="0" borderId="23" xfId="0" quotePrefix="1" applyNumberFormat="1" applyBorder="1" applyProtection="1"/>
    <xf numFmtId="0" fontId="0" fillId="0" borderId="0" xfId="0" applyNumberFormat="1" applyBorder="1" applyAlignment="1" applyProtection="1">
      <alignment horizontal="left" vertical="center"/>
    </xf>
    <xf numFmtId="0" fontId="0" fillId="0" borderId="0" xfId="0" quotePrefix="1" applyNumberFormat="1" applyBorder="1" applyProtection="1">
      <protection locked="0"/>
    </xf>
    <xf numFmtId="4" fontId="0" fillId="17" borderId="23" xfId="0" applyNumberFormat="1" applyFill="1" applyBorder="1" applyProtection="1">
      <protection locked="0"/>
    </xf>
    <xf numFmtId="0" fontId="0" fillId="0" borderId="75" xfId="0" quotePrefix="1" applyNumberFormat="1" applyBorder="1" applyProtection="1"/>
    <xf numFmtId="0" fontId="0" fillId="17" borderId="44" xfId="0" applyFill="1" applyBorder="1" applyProtection="1">
      <protection locked="0"/>
    </xf>
    <xf numFmtId="0" fontId="0" fillId="0" borderId="44" xfId="0" applyBorder="1" applyProtection="1">
      <protection locked="0"/>
    </xf>
    <xf numFmtId="0" fontId="0" fillId="0" borderId="66" xfId="0" applyFill="1" applyBorder="1" applyAlignment="1" applyProtection="1">
      <alignment horizontal="center"/>
    </xf>
    <xf numFmtId="172" fontId="0" fillId="0" borderId="66" xfId="0" applyNumberFormat="1" applyBorder="1" applyProtection="1"/>
    <xf numFmtId="0" fontId="0" fillId="0" borderId="0" xfId="0" applyFill="1" applyBorder="1" applyAlignment="1" applyProtection="1">
      <alignment horizontal="center"/>
    </xf>
    <xf numFmtId="172" fontId="0" fillId="0" borderId="0" xfId="0" applyNumberFormat="1" applyBorder="1" applyProtection="1"/>
    <xf numFmtId="0" fontId="0" fillId="19" borderId="0" xfId="0" applyFill="1" applyBorder="1" applyProtection="1">
      <protection locked="0"/>
    </xf>
    <xf numFmtId="0" fontId="0" fillId="0" borderId="0" xfId="0" applyNumberFormat="1" applyBorder="1" applyAlignment="1" applyProtection="1">
      <alignment horizontal="left" vertical="center"/>
      <protection locked="0"/>
    </xf>
    <xf numFmtId="172" fontId="0" fillId="0" borderId="75" xfId="0" applyNumberFormat="1" applyBorder="1" applyProtection="1">
      <protection locked="0"/>
    </xf>
    <xf numFmtId="0" fontId="0" fillId="3" borderId="0" xfId="0" applyFill="1" applyAlignment="1" applyProtection="1">
      <alignment horizontal="center" vertical="center"/>
    </xf>
    <xf numFmtId="0" fontId="47" fillId="0" borderId="0" xfId="0" applyFont="1" applyAlignment="1" applyProtection="1">
      <alignment horizontal="center" vertical="center"/>
    </xf>
    <xf numFmtId="0" fontId="0" fillId="8" borderId="71" xfId="0" applyFill="1" applyBorder="1" applyProtection="1"/>
    <xf numFmtId="0" fontId="43" fillId="4" borderId="0" xfId="0" applyFont="1" applyFill="1" applyBorder="1" applyAlignment="1" applyProtection="1">
      <alignment horizontal="center"/>
      <protection locked="0"/>
    </xf>
    <xf numFmtId="0" fontId="0" fillId="8" borderId="43" xfId="0" applyFill="1" applyBorder="1" applyProtection="1"/>
    <xf numFmtId="0" fontId="43" fillId="4" borderId="44" xfId="0" applyFont="1" applyFill="1" applyBorder="1" applyAlignment="1" applyProtection="1">
      <alignment horizontal="center"/>
      <protection locked="0"/>
    </xf>
    <xf numFmtId="0" fontId="47" fillId="19" borderId="44" xfId="0" applyFont="1" applyFill="1" applyBorder="1" applyAlignment="1" applyProtection="1">
      <alignment vertical="center"/>
    </xf>
    <xf numFmtId="0" fontId="47" fillId="19" borderId="44" xfId="0" applyFont="1" applyFill="1" applyBorder="1" applyAlignment="1" applyProtection="1">
      <alignment horizontal="center" vertical="center"/>
    </xf>
    <xf numFmtId="0" fontId="43" fillId="4" borderId="0" xfId="0" applyFont="1" applyFill="1" applyBorder="1" applyAlignment="1" applyProtection="1">
      <alignment horizontal="center"/>
    </xf>
    <xf numFmtId="0" fontId="52" fillId="0" borderId="0" xfId="0" applyFont="1" applyProtection="1"/>
    <xf numFmtId="0" fontId="0" fillId="17" borderId="0" xfId="0" applyFill="1" applyProtection="1"/>
    <xf numFmtId="0" fontId="0" fillId="19" borderId="72" xfId="0" applyFill="1" applyBorder="1" applyProtection="1"/>
    <xf numFmtId="0" fontId="0" fillId="19" borderId="73" xfId="0" applyFill="1" applyBorder="1" applyProtection="1"/>
    <xf numFmtId="0" fontId="0" fillId="0" borderId="66" xfId="0" quotePrefix="1" applyBorder="1" applyProtection="1"/>
    <xf numFmtId="0" fontId="42" fillId="0" borderId="66" xfId="0" applyFont="1" applyBorder="1" applyProtection="1"/>
    <xf numFmtId="0" fontId="0" fillId="17" borderId="66" xfId="0" applyFill="1" applyBorder="1" applyProtection="1"/>
    <xf numFmtId="0" fontId="0" fillId="19" borderId="2" xfId="0" applyFill="1" applyBorder="1" applyProtection="1"/>
    <xf numFmtId="0" fontId="0" fillId="19" borderId="1" xfId="0" applyFill="1" applyBorder="1" applyProtection="1"/>
    <xf numFmtId="0" fontId="42" fillId="0" borderId="0" xfId="0" applyFont="1" applyBorder="1" applyProtection="1"/>
    <xf numFmtId="0" fontId="0" fillId="17" borderId="0" xfId="0" applyFill="1" applyBorder="1" applyProtection="1"/>
    <xf numFmtId="0" fontId="0" fillId="19" borderId="22" xfId="0" applyFill="1" applyBorder="1" applyProtection="1"/>
    <xf numFmtId="0" fontId="0" fillId="19" borderId="24" xfId="0" applyFill="1" applyBorder="1" applyProtection="1"/>
    <xf numFmtId="0" fontId="47" fillId="0" borderId="23" xfId="0" applyFont="1" applyBorder="1" applyProtection="1"/>
    <xf numFmtId="0" fontId="0" fillId="17" borderId="23" xfId="0" applyFill="1" applyBorder="1" applyProtection="1"/>
    <xf numFmtId="0" fontId="42" fillId="4" borderId="66" xfId="0" applyFont="1" applyFill="1" applyBorder="1" applyAlignment="1" applyProtection="1">
      <alignment horizontal="center" vertical="center"/>
    </xf>
    <xf numFmtId="0" fontId="42" fillId="0" borderId="0" xfId="0" applyFont="1" applyBorder="1" applyAlignment="1" applyProtection="1">
      <alignment horizontal="center" vertical="center"/>
    </xf>
    <xf numFmtId="0" fontId="42" fillId="0" borderId="23" xfId="0" applyFont="1" applyBorder="1" applyAlignment="1" applyProtection="1">
      <alignment horizontal="center" vertical="center"/>
    </xf>
    <xf numFmtId="49" fontId="0" fillId="0" borderId="75" xfId="0" quotePrefix="1" applyNumberFormat="1" applyBorder="1" applyProtection="1"/>
    <xf numFmtId="2" fontId="57" fillId="0" borderId="0" xfId="0" applyNumberFormat="1" applyFont="1" applyAlignment="1">
      <alignment vertical="center" wrapText="1"/>
    </xf>
    <xf numFmtId="2" fontId="57" fillId="0" borderId="66" xfId="0" applyNumberFormat="1" applyFont="1" applyBorder="1" applyAlignment="1">
      <alignment vertical="center" wrapText="1"/>
    </xf>
    <xf numFmtId="0" fontId="43" fillId="4" borderId="44" xfId="0" applyFont="1" applyFill="1" applyBorder="1" applyAlignment="1" applyProtection="1">
      <alignment horizontal="center"/>
    </xf>
    <xf numFmtId="0" fontId="0" fillId="0" borderId="44" xfId="0" applyBorder="1" applyProtection="1"/>
    <xf numFmtId="49" fontId="0" fillId="0" borderId="44" xfId="0" quotePrefix="1" applyNumberFormat="1" applyBorder="1" applyProtection="1"/>
    <xf numFmtId="0" fontId="52" fillId="0" borderId="44" xfId="0" applyFont="1" applyBorder="1" applyProtection="1"/>
    <xf numFmtId="49" fontId="47" fillId="0" borderId="44" xfId="0" applyNumberFormat="1" applyFont="1" applyBorder="1" applyProtection="1"/>
    <xf numFmtId="0" fontId="0" fillId="17" borderId="44" xfId="0" applyFill="1" applyBorder="1" applyProtection="1"/>
    <xf numFmtId="49" fontId="0" fillId="0" borderId="44" xfId="0" quotePrefix="1" applyNumberFormat="1" applyBorder="1" applyProtection="1">
      <protection locked="0"/>
    </xf>
    <xf numFmtId="0" fontId="0" fillId="0" borderId="44" xfId="0" quotePrefix="1" applyNumberFormat="1" applyBorder="1" applyProtection="1"/>
    <xf numFmtId="0" fontId="0" fillId="19" borderId="36" xfId="0" applyFill="1" applyBorder="1" applyProtection="1"/>
    <xf numFmtId="0" fontId="0" fillId="19" borderId="76" xfId="0" applyFill="1" applyBorder="1" applyProtection="1"/>
    <xf numFmtId="0" fontId="0" fillId="19" borderId="77" xfId="0" applyFill="1" applyBorder="1" applyProtection="1"/>
    <xf numFmtId="0" fontId="0" fillId="2" borderId="0" xfId="0" applyFill="1" applyBorder="1" applyProtection="1">
      <protection locked="0"/>
    </xf>
    <xf numFmtId="0" fontId="0" fillId="2" borderId="44" xfId="0" applyFill="1" applyBorder="1" applyProtection="1">
      <protection locked="0"/>
    </xf>
    <xf numFmtId="0" fontId="0" fillId="20" borderId="3" xfId="1" applyFont="1" applyFill="1" applyBorder="1"/>
    <xf numFmtId="0" fontId="10" fillId="20" borderId="3" xfId="1" applyFill="1" applyBorder="1"/>
    <xf numFmtId="0" fontId="0" fillId="20" borderId="3" xfId="0" applyFill="1" applyBorder="1" applyProtection="1">
      <protection locked="0"/>
    </xf>
    <xf numFmtId="0" fontId="0" fillId="21" borderId="44" xfId="0" applyFill="1" applyBorder="1" applyProtection="1">
      <protection locked="0"/>
    </xf>
    <xf numFmtId="0" fontId="38" fillId="0" borderId="60" xfId="5" applyFont="1" applyBorder="1" applyAlignment="1">
      <alignment horizontal="center" vertical="center" wrapText="1"/>
    </xf>
    <xf numFmtId="0" fontId="38" fillId="0" borderId="70" xfId="5" applyFont="1" applyBorder="1" applyAlignment="1">
      <alignment horizontal="center" vertical="center" wrapText="1"/>
    </xf>
    <xf numFmtId="0" fontId="59" fillId="22" borderId="69" xfId="5" applyFont="1" applyFill="1" applyBorder="1" applyAlignment="1">
      <alignment horizontal="center" vertical="center" wrapText="1"/>
    </xf>
    <xf numFmtId="3" fontId="58" fillId="0" borderId="0" xfId="5" applyNumberFormat="1" applyAlignment="1">
      <alignment horizontal="center" vertical="center" wrapText="1"/>
    </xf>
    <xf numFmtId="0" fontId="58" fillId="23" borderId="0" xfId="5" applyFill="1"/>
    <xf numFmtId="0" fontId="58" fillId="24" borderId="0" xfId="5" applyFill="1" applyAlignment="1">
      <alignment horizontal="left"/>
    </xf>
    <xf numFmtId="0" fontId="58" fillId="0" borderId="0" xfId="5" applyAlignment="1">
      <alignment horizontal="center" vertical="center" wrapText="1"/>
    </xf>
    <xf numFmtId="0" fontId="60" fillId="25" borderId="17" xfId="5" applyFont="1" applyFill="1" applyBorder="1" applyAlignment="1">
      <alignment horizontal="center" vertical="center"/>
    </xf>
    <xf numFmtId="0" fontId="60" fillId="25" borderId="24" xfId="5" applyFont="1" applyFill="1" applyBorder="1" applyAlignment="1">
      <alignment horizontal="center" vertical="center"/>
    </xf>
    <xf numFmtId="0" fontId="58" fillId="26" borderId="8" xfId="5" applyFill="1" applyBorder="1" applyAlignment="1">
      <alignment horizontal="center"/>
    </xf>
    <xf numFmtId="3" fontId="58" fillId="0" borderId="0" xfId="5" applyNumberFormat="1" applyAlignment="1">
      <alignment horizontal="center"/>
    </xf>
    <xf numFmtId="49" fontId="58" fillId="24" borderId="0" xfId="5" applyNumberFormat="1" applyFill="1"/>
    <xf numFmtId="173" fontId="58" fillId="0" borderId="0" xfId="5" applyNumberFormat="1"/>
    <xf numFmtId="49" fontId="58" fillId="0" borderId="0" xfId="5" applyNumberFormat="1" applyAlignment="1">
      <alignment horizontal="center"/>
    </xf>
    <xf numFmtId="0" fontId="58" fillId="0" borderId="0" xfId="5" applyAlignment="1">
      <alignment horizontal="center"/>
    </xf>
    <xf numFmtId="0" fontId="60" fillId="27" borderId="17" xfId="5" applyFont="1" applyFill="1" applyBorder="1" applyAlignment="1">
      <alignment horizontal="center" vertical="center"/>
    </xf>
    <xf numFmtId="0" fontId="60" fillId="0" borderId="24" xfId="5" applyFont="1" applyBorder="1" applyAlignment="1">
      <alignment horizontal="center" vertical="center"/>
    </xf>
    <xf numFmtId="0" fontId="58" fillId="0" borderId="8" xfId="5" applyBorder="1" applyAlignment="1">
      <alignment horizontal="center"/>
    </xf>
    <xf numFmtId="0" fontId="43" fillId="0" borderId="0" xfId="5" applyFont="1" applyAlignment="1">
      <alignment horizontal="center"/>
    </xf>
    <xf numFmtId="0" fontId="58" fillId="0" borderId="0" xfId="5" applyAlignment="1">
      <alignment horizontal="left"/>
    </xf>
    <xf numFmtId="0" fontId="60" fillId="28" borderId="17" xfId="5" applyFont="1" applyFill="1" applyBorder="1" applyAlignment="1">
      <alignment horizontal="center" vertical="center"/>
    </xf>
    <xf numFmtId="0" fontId="60" fillId="28" borderId="24" xfId="5" applyFont="1" applyFill="1" applyBorder="1" applyAlignment="1">
      <alignment horizontal="center" vertical="center"/>
    </xf>
    <xf numFmtId="49" fontId="58" fillId="0" borderId="0" xfId="5" applyNumberFormat="1" applyFill="1"/>
    <xf numFmtId="173" fontId="58" fillId="0" borderId="0" xfId="5" applyNumberFormat="1" applyFill="1"/>
    <xf numFmtId="0" fontId="58" fillId="0" borderId="0" xfId="5"/>
    <xf numFmtId="0" fontId="60" fillId="28" borderId="17" xfId="5" quotePrefix="1" applyFont="1" applyFill="1" applyBorder="1" applyAlignment="1">
      <alignment horizontal="center" vertical="center"/>
    </xf>
    <xf numFmtId="0" fontId="0" fillId="0" borderId="0" xfId="0" applyFill="1" applyProtection="1">
      <protection locked="0"/>
    </xf>
    <xf numFmtId="0" fontId="0" fillId="0" borderId="0" xfId="0" applyFill="1" applyProtection="1"/>
    <xf numFmtId="0" fontId="0" fillId="0" borderId="23" xfId="0" applyFill="1" applyBorder="1" applyProtection="1"/>
    <xf numFmtId="0" fontId="0" fillId="0" borderId="0" xfId="0" applyFill="1" applyBorder="1" applyProtection="1">
      <protection locked="0"/>
    </xf>
    <xf numFmtId="0" fontId="0" fillId="0" borderId="66" xfId="0" applyFill="1" applyBorder="1" applyProtection="1">
      <protection locked="0"/>
    </xf>
    <xf numFmtId="0" fontId="0" fillId="0" borderId="75" xfId="0" applyFill="1" applyBorder="1" applyProtection="1">
      <protection locked="0"/>
    </xf>
    <xf numFmtId="0" fontId="0" fillId="0" borderId="23" xfId="0" applyFill="1" applyBorder="1" applyProtection="1">
      <protection locked="0"/>
    </xf>
    <xf numFmtId="0" fontId="0" fillId="0" borderId="44" xfId="0" applyFill="1" applyBorder="1" applyProtection="1">
      <protection locked="0"/>
    </xf>
    <xf numFmtId="0" fontId="0" fillId="0" borderId="44" xfId="0" applyFill="1" applyBorder="1" applyProtection="1"/>
    <xf numFmtId="0" fontId="38" fillId="0" borderId="60" xfId="0" applyFont="1" applyBorder="1" applyAlignment="1">
      <alignment horizontal="center" vertical="center" wrapText="1"/>
    </xf>
    <xf numFmtId="0" fontId="38" fillId="0" borderId="70" xfId="0" applyFont="1" applyBorder="1" applyAlignment="1">
      <alignment horizontal="center" vertical="center" wrapText="1"/>
    </xf>
    <xf numFmtId="0" fontId="61" fillId="0" borderId="70" xfId="0" applyFont="1" applyBorder="1" applyAlignment="1">
      <alignment horizontal="center" vertical="center" wrapText="1"/>
    </xf>
    <xf numFmtId="0" fontId="59" fillId="22" borderId="69" xfId="0" applyFont="1" applyFill="1" applyBorder="1" applyAlignment="1">
      <alignment horizontal="center" vertical="center" wrapText="1"/>
    </xf>
    <xf numFmtId="0" fontId="38" fillId="0" borderId="63" xfId="0" applyFont="1" applyBorder="1" applyAlignment="1">
      <alignment horizontal="center" vertical="center" wrapText="1"/>
    </xf>
    <xf numFmtId="0" fontId="60" fillId="25" borderId="17" xfId="0" applyFont="1" applyFill="1" applyBorder="1" applyAlignment="1">
      <alignment horizontal="center" vertical="center"/>
    </xf>
    <xf numFmtId="0" fontId="60" fillId="25" borderId="24" xfId="0" applyFont="1" applyFill="1" applyBorder="1" applyAlignment="1">
      <alignment horizontal="center" vertical="center"/>
    </xf>
    <xf numFmtId="0" fontId="62" fillId="25" borderId="24" xfId="0" applyFont="1" applyFill="1" applyBorder="1" applyAlignment="1">
      <alignment horizontal="center" vertical="center"/>
    </xf>
    <xf numFmtId="0" fontId="60" fillId="29" borderId="23" xfId="0" applyFont="1" applyFill="1" applyBorder="1" applyAlignment="1">
      <alignment horizontal="center" vertical="center"/>
    </xf>
    <xf numFmtId="0" fontId="0" fillId="26" borderId="8" xfId="0" applyFill="1" applyBorder="1" applyAlignment="1">
      <alignment horizontal="center"/>
    </xf>
    <xf numFmtId="3" fontId="0" fillId="0" borderId="0" xfId="0" applyNumberFormat="1" applyAlignment="1">
      <alignment horizontal="center"/>
    </xf>
    <xf numFmtId="0" fontId="60" fillId="21" borderId="24" xfId="0" applyFont="1" applyFill="1" applyBorder="1" applyAlignment="1">
      <alignment horizontal="center" vertical="center"/>
    </xf>
    <xf numFmtId="0" fontId="60" fillId="21" borderId="23" xfId="0" applyFont="1" applyFill="1" applyBorder="1" applyAlignment="1">
      <alignment horizontal="center" vertical="center"/>
    </xf>
    <xf numFmtId="0" fontId="60" fillId="27" borderId="17" xfId="0" applyFont="1" applyFill="1" applyBorder="1" applyAlignment="1">
      <alignment horizontal="center" vertical="center"/>
    </xf>
    <xf numFmtId="0" fontId="60" fillId="0" borderId="24" xfId="0" applyFont="1" applyBorder="1" applyAlignment="1">
      <alignment horizontal="center" vertical="center"/>
    </xf>
    <xf numFmtId="0" fontId="62" fillId="0" borderId="24" xfId="0" applyFont="1" applyBorder="1" applyAlignment="1">
      <alignment horizontal="center" vertical="center"/>
    </xf>
    <xf numFmtId="0" fontId="60" fillId="0" borderId="23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60" fillId="28" borderId="17" xfId="0" quotePrefix="1" applyFont="1" applyFill="1" applyBorder="1" applyAlignment="1">
      <alignment horizontal="center" vertical="center"/>
    </xf>
    <xf numFmtId="0" fontId="60" fillId="28" borderId="24" xfId="0" applyFont="1" applyFill="1" applyBorder="1" applyAlignment="1">
      <alignment horizontal="center" vertical="center"/>
    </xf>
    <xf numFmtId="0" fontId="62" fillId="28" borderId="24" xfId="0" applyFont="1" applyFill="1" applyBorder="1" applyAlignment="1">
      <alignment horizontal="center" vertical="center"/>
    </xf>
    <xf numFmtId="0" fontId="60" fillId="16" borderId="23" xfId="0" applyFont="1" applyFill="1" applyBorder="1" applyAlignment="1">
      <alignment horizontal="center" vertical="center"/>
    </xf>
    <xf numFmtId="0" fontId="60" fillId="28" borderId="17" xfId="0" applyFont="1" applyFill="1" applyBorder="1" applyAlignment="1">
      <alignment horizontal="center" vertical="center"/>
    </xf>
    <xf numFmtId="0" fontId="60" fillId="0" borderId="17" xfId="0" applyFont="1" applyFill="1" applyBorder="1" applyAlignment="1">
      <alignment horizontal="center" vertical="center"/>
    </xf>
    <xf numFmtId="0" fontId="60" fillId="0" borderId="24" xfId="0" applyFont="1" applyFill="1" applyBorder="1" applyAlignment="1">
      <alignment horizontal="center" vertical="center"/>
    </xf>
    <xf numFmtId="0" fontId="62" fillId="0" borderId="24" xfId="0" applyFont="1" applyFill="1" applyBorder="1" applyAlignment="1">
      <alignment horizontal="center" vertical="center"/>
    </xf>
    <xf numFmtId="0" fontId="60" fillId="0" borderId="23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38" fillId="0" borderId="17" xfId="0" applyFont="1" applyBorder="1" applyAlignment="1">
      <alignment horizontal="center" vertical="center"/>
    </xf>
    <xf numFmtId="0" fontId="60" fillId="25" borderId="70" xfId="0" applyFont="1" applyFill="1" applyBorder="1" applyAlignment="1">
      <alignment horizontal="center" vertical="center"/>
    </xf>
    <xf numFmtId="0" fontId="6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" fontId="38" fillId="0" borderId="17" xfId="0" quotePrefix="1" applyNumberFormat="1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2" fontId="66" fillId="0" borderId="2" xfId="0" applyNumberFormat="1" applyFont="1" applyBorder="1" applyAlignment="1"/>
    <xf numFmtId="2" fontId="66" fillId="0" borderId="0" xfId="0" applyNumberFormat="1" applyFont="1" applyBorder="1" applyAlignment="1"/>
    <xf numFmtId="2" fontId="66" fillId="0" borderId="1" xfId="0" applyNumberFormat="1" applyFont="1" applyBorder="1" applyAlignment="1"/>
    <xf numFmtId="0" fontId="49" fillId="0" borderId="3" xfId="0" applyFont="1" applyBorder="1"/>
    <xf numFmtId="0" fontId="49" fillId="0" borderId="3" xfId="0" applyFont="1" applyBorder="1" applyAlignment="1">
      <alignment horizontal="center"/>
    </xf>
    <xf numFmtId="0" fontId="49" fillId="0" borderId="3" xfId="0" applyFont="1" applyBorder="1" applyAlignment="1">
      <alignment horizontal="left"/>
    </xf>
    <xf numFmtId="0" fontId="49" fillId="0" borderId="3" xfId="0" applyFont="1" applyBorder="1" applyAlignment="1">
      <alignment horizontal="center"/>
    </xf>
    <xf numFmtId="0" fontId="67" fillId="0" borderId="0" xfId="0" applyFont="1" applyBorder="1"/>
    <xf numFmtId="0" fontId="68" fillId="0" borderId="0" xfId="0" applyFont="1"/>
    <xf numFmtId="0" fontId="0" fillId="21" borderId="75" xfId="0" applyFill="1" applyBorder="1" applyProtection="1">
      <protection locked="0"/>
    </xf>
    <xf numFmtId="0" fontId="0" fillId="6" borderId="75" xfId="0" quotePrefix="1" applyFill="1" applyBorder="1" applyProtection="1">
      <protection locked="0"/>
    </xf>
    <xf numFmtId="0" fontId="41" fillId="16" borderId="4" xfId="3" applyFont="1" applyFill="1" applyBorder="1" applyAlignment="1">
      <alignment horizontal="center"/>
    </xf>
    <xf numFmtId="0" fontId="41" fillId="16" borderId="3" xfId="3" applyFont="1" applyFill="1" applyBorder="1" applyAlignment="1">
      <alignment horizontal="center"/>
    </xf>
    <xf numFmtId="2" fontId="41" fillId="16" borderId="4" xfId="3" applyNumberFormat="1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2" fontId="41" fillId="16" borderId="3" xfId="3" applyNumberFormat="1" applyFont="1" applyFill="1" applyBorder="1" applyAlignment="1">
      <alignment horizontal="center"/>
    </xf>
    <xf numFmtId="0" fontId="41" fillId="16" borderId="3" xfId="3" applyFill="1" applyBorder="1" applyAlignment="1">
      <alignment horizontal="center"/>
    </xf>
    <xf numFmtId="2" fontId="41" fillId="16" borderId="3" xfId="3" applyNumberFormat="1" applyFill="1" applyBorder="1" applyAlignment="1">
      <alignment horizontal="center"/>
    </xf>
    <xf numFmtId="0" fontId="41" fillId="6" borderId="3" xfId="3" applyFill="1" applyBorder="1" applyAlignment="1">
      <alignment horizontal="center"/>
    </xf>
    <xf numFmtId="174" fontId="41" fillId="6" borderId="3" xfId="3" applyNumberFormat="1" applyFill="1" applyBorder="1" applyAlignment="1">
      <alignment horizontal="center"/>
    </xf>
    <xf numFmtId="0" fontId="0" fillId="6" borderId="3" xfId="0" applyFont="1" applyFill="1" applyBorder="1" applyAlignment="1">
      <alignment horizontal="center"/>
    </xf>
    <xf numFmtId="2" fontId="41" fillId="6" borderId="3" xfId="3" applyNumberForma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69" fillId="6" borderId="3" xfId="0" applyFont="1" applyFill="1" applyBorder="1" applyAlignment="1">
      <alignment horizontal="center"/>
    </xf>
    <xf numFmtId="0" fontId="29" fillId="0" borderId="47" xfId="0" applyFont="1" applyBorder="1" applyAlignment="1">
      <alignment horizontal="center" vertical="center"/>
    </xf>
    <xf numFmtId="0" fontId="29" fillId="0" borderId="44" xfId="0" applyFont="1" applyBorder="1" applyAlignment="1">
      <alignment horizontal="center" vertical="center"/>
    </xf>
    <xf numFmtId="0" fontId="29" fillId="0" borderId="45" xfId="0" applyFont="1" applyBorder="1" applyAlignment="1">
      <alignment horizontal="center" vertical="center"/>
    </xf>
    <xf numFmtId="0" fontId="46" fillId="0" borderId="0" xfId="0" applyFont="1" applyFill="1" applyAlignment="1">
      <alignment horizontal="left" vertical="center"/>
    </xf>
    <xf numFmtId="14" fontId="14" fillId="0" borderId="30" xfId="0" applyNumberFormat="1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18" fillId="0" borderId="7" xfId="0" applyFont="1" applyBorder="1" applyAlignment="1">
      <alignment horizontal="left" vertical="center"/>
    </xf>
    <xf numFmtId="0" fontId="18" fillId="0" borderId="32" xfId="0" applyFont="1" applyBorder="1" applyAlignment="1">
      <alignment horizontal="left" vertical="center"/>
    </xf>
    <xf numFmtId="0" fontId="18" fillId="0" borderId="6" xfId="0" applyFont="1" applyBorder="1" applyAlignment="1">
      <alignment horizontal="left" vertical="center"/>
    </xf>
    <xf numFmtId="0" fontId="18" fillId="0" borderId="10" xfId="0" applyFont="1" applyBorder="1" applyAlignment="1">
      <alignment horizontal="left" vertical="center"/>
    </xf>
    <xf numFmtId="0" fontId="18" fillId="0" borderId="30" xfId="0" applyFont="1" applyBorder="1" applyAlignment="1">
      <alignment horizontal="left" vertical="center"/>
    </xf>
    <xf numFmtId="0" fontId="18" fillId="0" borderId="12" xfId="0" applyFont="1" applyBorder="1" applyAlignment="1">
      <alignment horizontal="left" vertical="center"/>
    </xf>
    <xf numFmtId="0" fontId="14" fillId="0" borderId="9" xfId="0" applyFont="1" applyBorder="1" applyAlignment="1">
      <alignment horizontal="left" vertical="center"/>
    </xf>
    <xf numFmtId="0" fontId="13" fillId="0" borderId="3" xfId="0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18" fillId="0" borderId="34" xfId="0" applyFont="1" applyBorder="1" applyAlignment="1">
      <alignment horizontal="left" vertical="center"/>
    </xf>
    <xf numFmtId="0" fontId="18" fillId="0" borderId="25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13" fillId="0" borderId="35" xfId="0" applyFont="1" applyBorder="1" applyAlignment="1">
      <alignment horizontal="left" vertical="center"/>
    </xf>
    <xf numFmtId="0" fontId="13" fillId="0" borderId="26" xfId="0" applyFont="1" applyBorder="1" applyAlignment="1">
      <alignment horizontal="left" vertical="center"/>
    </xf>
    <xf numFmtId="0" fontId="13" fillId="0" borderId="26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8" fillId="0" borderId="37" xfId="0" applyFont="1" applyBorder="1" applyAlignment="1">
      <alignment horizontal="left" vertical="center"/>
    </xf>
    <xf numFmtId="0" fontId="18" fillId="0" borderId="9" xfId="0" applyFont="1" applyBorder="1" applyAlignment="1">
      <alignment horizontal="left" vertical="center"/>
    </xf>
    <xf numFmtId="0" fontId="18" fillId="0" borderId="9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3" fillId="0" borderId="43" xfId="0" applyFont="1" applyBorder="1" applyAlignment="1">
      <alignment horizontal="left" vertical="center"/>
    </xf>
    <xf numFmtId="0" fontId="13" fillId="0" borderId="44" xfId="0" applyFont="1" applyBorder="1" applyAlignment="1">
      <alignment horizontal="left" vertical="center"/>
    </xf>
    <xf numFmtId="0" fontId="20" fillId="0" borderId="7" xfId="0" applyFont="1" applyBorder="1" applyAlignment="1">
      <alignment horizontal="center" vertical="center"/>
    </xf>
    <xf numFmtId="0" fontId="20" fillId="0" borderId="41" xfId="0" applyFont="1" applyBorder="1" applyAlignment="1">
      <alignment horizontal="center" vertical="center"/>
    </xf>
    <xf numFmtId="0" fontId="13" fillId="0" borderId="7" xfId="0" applyFont="1" applyBorder="1" applyAlignment="1">
      <alignment horizontal="left" vertical="center"/>
    </xf>
    <xf numFmtId="0" fontId="13" fillId="0" borderId="32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18" fillId="0" borderId="40" xfId="0" applyFont="1" applyBorder="1" applyAlignment="1">
      <alignment horizontal="center" vertical="center"/>
    </xf>
    <xf numFmtId="0" fontId="18" fillId="0" borderId="42" xfId="0" applyFont="1" applyBorder="1" applyAlignment="1">
      <alignment horizontal="center" vertical="center"/>
    </xf>
    <xf numFmtId="0" fontId="18" fillId="0" borderId="39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13" fillId="0" borderId="52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18" fillId="0" borderId="7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18" fillId="0" borderId="43" xfId="0" applyFont="1" applyBorder="1" applyAlignment="1">
      <alignment horizontal="center" vertical="center"/>
    </xf>
    <xf numFmtId="0" fontId="18" fillId="0" borderId="44" xfId="0" applyFont="1" applyBorder="1" applyAlignment="1">
      <alignment horizontal="center" vertical="center"/>
    </xf>
    <xf numFmtId="0" fontId="18" fillId="0" borderId="45" xfId="0" applyFont="1" applyBorder="1" applyAlignment="1">
      <alignment horizontal="center" vertical="center"/>
    </xf>
    <xf numFmtId="0" fontId="20" fillId="0" borderId="33" xfId="0" applyFont="1" applyBorder="1" applyAlignment="1">
      <alignment horizontal="center" vertical="center"/>
    </xf>
    <xf numFmtId="0" fontId="24" fillId="0" borderId="46" xfId="0" applyFont="1" applyBorder="1" applyAlignment="1">
      <alignment horizontal="left" vertical="center"/>
    </xf>
    <xf numFmtId="0" fontId="24" fillId="0" borderId="32" xfId="0" applyFont="1" applyBorder="1" applyAlignment="1">
      <alignment horizontal="left" vertical="center"/>
    </xf>
    <xf numFmtId="0" fontId="24" fillId="0" borderId="6" xfId="0" applyFont="1" applyBorder="1" applyAlignment="1">
      <alignment horizontal="left" vertical="center"/>
    </xf>
    <xf numFmtId="0" fontId="20" fillId="0" borderId="32" xfId="0" applyFont="1" applyBorder="1" applyAlignment="1">
      <alignment horizontal="center" vertical="center"/>
    </xf>
    <xf numFmtId="1" fontId="20" fillId="0" borderId="9" xfId="0" applyNumberFormat="1" applyFont="1" applyBorder="1" applyAlignment="1">
      <alignment horizontal="center" vertical="center"/>
    </xf>
    <xf numFmtId="1" fontId="20" fillId="0" borderId="38" xfId="0" applyNumberFormat="1" applyFont="1" applyBorder="1" applyAlignment="1">
      <alignment horizontal="center" vertical="center"/>
    </xf>
    <xf numFmtId="1" fontId="20" fillId="0" borderId="7" xfId="0" applyNumberFormat="1" applyFont="1" applyBorder="1" applyAlignment="1">
      <alignment horizontal="center" vertical="center"/>
    </xf>
    <xf numFmtId="1" fontId="20" fillId="0" borderId="41" xfId="0" applyNumberFormat="1" applyFont="1" applyBorder="1" applyAlignment="1">
      <alignment horizontal="center" vertical="center"/>
    </xf>
    <xf numFmtId="0" fontId="18" fillId="0" borderId="43" xfId="0" applyFont="1" applyFill="1" applyBorder="1" applyAlignment="1">
      <alignment horizontal="center" vertical="center"/>
    </xf>
    <xf numFmtId="0" fontId="18" fillId="0" borderId="44" xfId="0" applyFont="1" applyFill="1" applyBorder="1" applyAlignment="1">
      <alignment horizontal="center" vertical="center"/>
    </xf>
    <xf numFmtId="0" fontId="18" fillId="0" borderId="45" xfId="0" applyFont="1" applyFill="1" applyBorder="1" applyAlignment="1">
      <alignment horizontal="center" vertical="center"/>
    </xf>
    <xf numFmtId="49" fontId="20" fillId="0" borderId="3" xfId="0" applyNumberFormat="1" applyFont="1" applyBorder="1" applyAlignment="1">
      <alignment horizontal="center" vertical="center"/>
    </xf>
    <xf numFmtId="49" fontId="20" fillId="0" borderId="33" xfId="0" applyNumberFormat="1" applyFont="1" applyBorder="1" applyAlignment="1">
      <alignment horizontal="center" vertical="center"/>
    </xf>
    <xf numFmtId="1" fontId="20" fillId="0" borderId="6" xfId="0" applyNumberFormat="1" applyFont="1" applyBorder="1" applyAlignment="1">
      <alignment horizontal="center" vertical="center"/>
    </xf>
    <xf numFmtId="0" fontId="14" fillId="0" borderId="34" xfId="0" applyFont="1" applyBorder="1" applyAlignment="1">
      <alignment horizontal="left" vertical="center"/>
    </xf>
    <xf numFmtId="0" fontId="14" fillId="0" borderId="30" xfId="0" applyFont="1" applyBorder="1" applyAlignment="1">
      <alignment horizontal="left" vertical="center"/>
    </xf>
    <xf numFmtId="0" fontId="14" fillId="0" borderId="12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13" fillId="0" borderId="30" xfId="0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49" fontId="20" fillId="0" borderId="32" xfId="0" applyNumberFormat="1" applyFont="1" applyBorder="1" applyAlignment="1">
      <alignment horizontal="center" vertical="center"/>
    </xf>
    <xf numFmtId="49" fontId="20" fillId="0" borderId="6" xfId="0" applyNumberFormat="1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2" fontId="20" fillId="0" borderId="7" xfId="0" applyNumberFormat="1" applyFont="1" applyBorder="1" applyAlignment="1">
      <alignment horizontal="center" vertical="center"/>
    </xf>
    <xf numFmtId="2" fontId="20" fillId="0" borderId="6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8" fillId="0" borderId="19" xfId="0" applyFont="1" applyFill="1" applyBorder="1" applyAlignment="1">
      <alignment horizontal="center" vertical="center"/>
    </xf>
    <xf numFmtId="0" fontId="18" fillId="0" borderId="20" xfId="0" applyFont="1" applyFill="1" applyBorder="1" applyAlignment="1">
      <alignment horizontal="center" vertical="center"/>
    </xf>
    <xf numFmtId="0" fontId="18" fillId="0" borderId="21" xfId="0" applyFont="1" applyFill="1" applyBorder="1" applyAlignment="1">
      <alignment horizontal="center" vertical="center"/>
    </xf>
    <xf numFmtId="0" fontId="14" fillId="0" borderId="46" xfId="0" applyFont="1" applyBorder="1" applyAlignment="1">
      <alignment horizontal="left" vertical="center"/>
    </xf>
    <xf numFmtId="0" fontId="14" fillId="0" borderId="6" xfId="0" applyFont="1" applyBorder="1" applyAlignment="1">
      <alignment horizontal="left" vertical="center"/>
    </xf>
    <xf numFmtId="0" fontId="14" fillId="0" borderId="41" xfId="0" applyFont="1" applyBorder="1" applyAlignment="1">
      <alignment horizontal="center" vertical="center"/>
    </xf>
    <xf numFmtId="0" fontId="18" fillId="0" borderId="46" xfId="0" applyFont="1" applyBorder="1" applyAlignment="1">
      <alignment horizontal="left" vertical="center"/>
    </xf>
    <xf numFmtId="0" fontId="30" fillId="0" borderId="46" xfId="0" applyFont="1" applyBorder="1" applyAlignment="1">
      <alignment horizontal="left" vertical="center"/>
    </xf>
    <xf numFmtId="0" fontId="30" fillId="0" borderId="6" xfId="0" applyFont="1" applyBorder="1" applyAlignment="1">
      <alignment horizontal="left" vertical="center"/>
    </xf>
    <xf numFmtId="0" fontId="2" fillId="0" borderId="34" xfId="2" applyFont="1" applyBorder="1" applyAlignment="1">
      <alignment horizontal="right" vertical="center"/>
    </xf>
    <xf numFmtId="0" fontId="2" fillId="0" borderId="12" xfId="2" applyFont="1" applyBorder="1" applyAlignment="1">
      <alignment horizontal="right" vertical="center"/>
    </xf>
    <xf numFmtId="0" fontId="6" fillId="0" borderId="10" xfId="2" applyFont="1" applyBorder="1" applyAlignment="1">
      <alignment horizontal="center" vertical="center"/>
    </xf>
    <xf numFmtId="0" fontId="6" fillId="0" borderId="30" xfId="2" applyFont="1" applyBorder="1" applyAlignment="1">
      <alignment horizontal="center" vertical="center"/>
    </xf>
    <xf numFmtId="0" fontId="6" fillId="0" borderId="31" xfId="2" applyFont="1" applyBorder="1" applyAlignment="1">
      <alignment horizontal="center" vertical="center"/>
    </xf>
    <xf numFmtId="0" fontId="27" fillId="0" borderId="25" xfId="0" applyFont="1" applyBorder="1" applyAlignment="1">
      <alignment horizontal="left" vertical="center"/>
    </xf>
    <xf numFmtId="0" fontId="27" fillId="0" borderId="3" xfId="0" applyFont="1" applyBorder="1" applyAlignment="1">
      <alignment horizontal="left" vertical="center"/>
    </xf>
    <xf numFmtId="0" fontId="14" fillId="0" borderId="31" xfId="0" applyFont="1" applyBorder="1" applyAlignment="1">
      <alignment horizontal="left" vertical="center"/>
    </xf>
    <xf numFmtId="0" fontId="32" fillId="0" borderId="3" xfId="0" applyFont="1" applyBorder="1" applyAlignment="1">
      <alignment horizontal="center" vertical="center" wrapText="1"/>
    </xf>
    <xf numFmtId="0" fontId="13" fillId="0" borderId="50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5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0" fillId="0" borderId="40" xfId="0" applyFont="1" applyBorder="1" applyAlignment="1">
      <alignment horizontal="center" vertical="center"/>
    </xf>
    <xf numFmtId="0" fontId="20" fillId="0" borderId="42" xfId="0" applyFont="1" applyBorder="1" applyAlignment="1">
      <alignment horizontal="center" vertical="center"/>
    </xf>
    <xf numFmtId="14" fontId="20" fillId="0" borderId="9" xfId="0" applyNumberFormat="1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38" xfId="0" applyFont="1" applyBorder="1" applyAlignment="1">
      <alignment horizontal="center" vertical="center"/>
    </xf>
    <xf numFmtId="0" fontId="24" fillId="0" borderId="48" xfId="0" applyFont="1" applyBorder="1" applyAlignment="1">
      <alignment horizontal="left" vertical="center"/>
    </xf>
    <xf numFmtId="0" fontId="24" fillId="0" borderId="40" xfId="0" applyFont="1" applyBorder="1" applyAlignment="1">
      <alignment horizontal="left" vertical="center"/>
    </xf>
    <xf numFmtId="0" fontId="24" fillId="0" borderId="12" xfId="0" applyFont="1" applyBorder="1" applyAlignment="1">
      <alignment horizontal="left" vertical="center"/>
    </xf>
    <xf numFmtId="0" fontId="24" fillId="0" borderId="9" xfId="0" applyFont="1" applyBorder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26" fillId="0" borderId="63" xfId="0" applyFont="1" applyBorder="1" applyAlignment="1">
      <alignment horizontal="center" vertical="center"/>
    </xf>
    <xf numFmtId="0" fontId="26" fillId="0" borderId="64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26" fillId="0" borderId="56" xfId="0" applyFont="1" applyBorder="1" applyAlignment="1">
      <alignment horizontal="center" vertical="center"/>
    </xf>
    <xf numFmtId="0" fontId="26" fillId="0" borderId="65" xfId="0" applyFont="1" applyBorder="1" applyAlignment="1">
      <alignment horizontal="center" vertical="center"/>
    </xf>
    <xf numFmtId="0" fontId="26" fillId="0" borderId="62" xfId="0" applyFont="1" applyBorder="1" applyAlignment="1">
      <alignment horizontal="center" vertical="center"/>
    </xf>
    <xf numFmtId="0" fontId="13" fillId="0" borderId="40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20" fillId="0" borderId="43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0" fontId="20" fillId="0" borderId="49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5" fillId="0" borderId="22" xfId="0" applyFont="1" applyBorder="1" applyAlignment="1">
      <alignment horizontal="center" vertical="center"/>
    </xf>
    <xf numFmtId="0" fontId="25" fillId="0" borderId="23" xfId="0" applyFont="1" applyBorder="1" applyAlignment="1">
      <alignment horizontal="center" vertical="center"/>
    </xf>
    <xf numFmtId="0" fontId="25" fillId="0" borderId="24" xfId="0" applyFont="1" applyBorder="1" applyAlignment="1">
      <alignment horizontal="center" vertical="center"/>
    </xf>
    <xf numFmtId="0" fontId="20" fillId="0" borderId="34" xfId="0" applyFont="1" applyBorder="1" applyAlignment="1">
      <alignment horizontal="center" vertical="center"/>
    </xf>
    <xf numFmtId="0" fontId="13" fillId="0" borderId="49" xfId="0" applyFont="1" applyBorder="1" applyAlignment="1">
      <alignment horizontal="left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28" fillId="0" borderId="39" xfId="0" applyFont="1" applyBorder="1" applyAlignment="1">
      <alignment horizontal="left" vertical="center"/>
    </xf>
    <xf numFmtId="0" fontId="28" fillId="0" borderId="40" xfId="0" applyFont="1" applyBorder="1" applyAlignment="1">
      <alignment horizontal="left" vertical="center"/>
    </xf>
    <xf numFmtId="0" fontId="13" fillId="0" borderId="43" xfId="0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0" fontId="20" fillId="0" borderId="37" xfId="0" applyFont="1" applyBorder="1" applyAlignment="1">
      <alignment horizontal="center" vertical="center"/>
    </xf>
    <xf numFmtId="0" fontId="31" fillId="0" borderId="25" xfId="0" applyFont="1" applyBorder="1" applyAlignment="1">
      <alignment horizontal="center" vertical="center" wrapText="1"/>
    </xf>
    <xf numFmtId="0" fontId="31" fillId="0" borderId="3" xfId="0" applyFont="1" applyBorder="1" applyAlignment="1">
      <alignment horizontal="center" vertical="center" wrapText="1"/>
    </xf>
    <xf numFmtId="0" fontId="32" fillId="0" borderId="33" xfId="0" applyFont="1" applyBorder="1" applyAlignment="1">
      <alignment horizontal="center" vertical="center" wrapText="1"/>
    </xf>
    <xf numFmtId="2" fontId="20" fillId="0" borderId="9" xfId="0" applyNumberFormat="1" applyFont="1" applyBorder="1" applyAlignment="1">
      <alignment horizontal="center" vertical="center"/>
    </xf>
    <xf numFmtId="2" fontId="20" fillId="0" borderId="38" xfId="0" applyNumberFormat="1" applyFont="1" applyBorder="1" applyAlignment="1">
      <alignment horizontal="center" vertical="center"/>
    </xf>
    <xf numFmtId="0" fontId="13" fillId="0" borderId="37" xfId="0" applyFont="1" applyBorder="1" applyAlignment="1">
      <alignment horizontal="left" vertical="center"/>
    </xf>
    <xf numFmtId="0" fontId="2" fillId="0" borderId="46" xfId="2" applyFont="1" applyBorder="1" applyAlignment="1">
      <alignment horizontal="right" vertical="center"/>
    </xf>
    <xf numFmtId="0" fontId="2" fillId="0" borderId="6" xfId="2" applyFont="1" applyBorder="1" applyAlignment="1">
      <alignment horizontal="right" vertical="center"/>
    </xf>
    <xf numFmtId="0" fontId="6" fillId="0" borderId="47" xfId="2" applyFont="1" applyBorder="1" applyAlignment="1">
      <alignment horizontal="center" vertical="center"/>
    </xf>
    <xf numFmtId="0" fontId="6" fillId="0" borderId="44" xfId="2" applyFont="1" applyBorder="1" applyAlignment="1">
      <alignment horizontal="center" vertical="center"/>
    </xf>
    <xf numFmtId="0" fontId="6" fillId="0" borderId="45" xfId="2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6" fillId="0" borderId="32" xfId="2" applyFont="1" applyBorder="1" applyAlignment="1">
      <alignment horizontal="center" vertical="center"/>
    </xf>
    <xf numFmtId="0" fontId="6" fillId="0" borderId="41" xfId="2" applyFont="1" applyBorder="1" applyAlignment="1">
      <alignment horizontal="center" vertical="center"/>
    </xf>
    <xf numFmtId="0" fontId="2" fillId="0" borderId="43" xfId="2" applyFont="1" applyBorder="1" applyAlignment="1">
      <alignment horizontal="right" vertical="center"/>
    </xf>
    <xf numFmtId="0" fontId="2" fillId="0" borderId="48" xfId="2" applyFont="1" applyBorder="1" applyAlignment="1">
      <alignment horizontal="right" vertical="center"/>
    </xf>
    <xf numFmtId="0" fontId="0" fillId="2" borderId="7" xfId="0" applyFill="1" applyBorder="1" applyAlignment="1" applyProtection="1">
      <alignment horizontal="left"/>
      <protection locked="0"/>
    </xf>
    <xf numFmtId="0" fontId="0" fillId="2" borderId="6" xfId="0" applyFill="1" applyBorder="1" applyAlignment="1" applyProtection="1">
      <alignment horizontal="left"/>
      <protection locked="0"/>
    </xf>
    <xf numFmtId="0" fontId="0" fillId="0" borderId="0" xfId="0" applyBorder="1" applyAlignment="1" applyProtection="1">
      <alignment horizontal="left"/>
      <protection locked="0"/>
    </xf>
    <xf numFmtId="0" fontId="47" fillId="19" borderId="28" xfId="0" applyFont="1" applyFill="1" applyBorder="1" applyAlignment="1" applyProtection="1">
      <alignment horizontal="center" vertical="center" textRotation="90"/>
      <protection locked="0"/>
    </xf>
    <xf numFmtId="0" fontId="47" fillId="19" borderId="17" xfId="0" applyFont="1" applyFill="1" applyBorder="1" applyAlignment="1" applyProtection="1">
      <alignment horizontal="center" vertical="center" textRotation="90"/>
      <protection locked="0"/>
    </xf>
    <xf numFmtId="0" fontId="53" fillId="19" borderId="73" xfId="0" applyFont="1" applyFill="1" applyBorder="1" applyAlignment="1" applyProtection="1">
      <alignment horizontal="center" vertical="center" textRotation="90"/>
    </xf>
    <xf numFmtId="0" fontId="53" fillId="19" borderId="1" xfId="0" applyFont="1" applyFill="1" applyBorder="1" applyAlignment="1" applyProtection="1">
      <alignment horizontal="center" vertical="center" textRotation="90"/>
    </xf>
    <xf numFmtId="0" fontId="53" fillId="19" borderId="24" xfId="0" applyFont="1" applyFill="1" applyBorder="1" applyAlignment="1" applyProtection="1">
      <alignment horizontal="center" vertical="center" textRotation="90"/>
    </xf>
    <xf numFmtId="0" fontId="53" fillId="19" borderId="28" xfId="0" applyFont="1" applyFill="1" applyBorder="1" applyAlignment="1" applyProtection="1">
      <alignment horizontal="center" vertical="center" textRotation="90"/>
      <protection locked="0"/>
    </xf>
    <xf numFmtId="0" fontId="53" fillId="19" borderId="64" xfId="0" applyFont="1" applyFill="1" applyBorder="1" applyAlignment="1" applyProtection="1">
      <alignment horizontal="center" vertical="center" textRotation="90"/>
      <protection locked="0"/>
    </xf>
    <xf numFmtId="0" fontId="53" fillId="19" borderId="17" xfId="0" applyFont="1" applyFill="1" applyBorder="1" applyAlignment="1" applyProtection="1">
      <alignment horizontal="center" vertical="center" textRotation="90"/>
      <protection locked="0"/>
    </xf>
    <xf numFmtId="0" fontId="53" fillId="19" borderId="73" xfId="0" applyFont="1" applyFill="1" applyBorder="1" applyAlignment="1" applyProtection="1">
      <alignment horizontal="center" vertical="center" textRotation="90"/>
      <protection locked="0"/>
    </xf>
    <xf numFmtId="0" fontId="53" fillId="19" borderId="1" xfId="0" applyFont="1" applyFill="1" applyBorder="1" applyAlignment="1" applyProtection="1">
      <alignment horizontal="center" vertical="center" textRotation="90"/>
      <protection locked="0"/>
    </xf>
    <xf numFmtId="0" fontId="53" fillId="19" borderId="24" xfId="0" applyFont="1" applyFill="1" applyBorder="1" applyAlignment="1" applyProtection="1">
      <alignment horizontal="center" vertical="center" textRotation="90"/>
      <protection locked="0"/>
    </xf>
    <xf numFmtId="0" fontId="55" fillId="19" borderId="73" xfId="0" applyFont="1" applyFill="1" applyBorder="1" applyAlignment="1" applyProtection="1">
      <alignment horizontal="center" vertical="center" textRotation="90" wrapText="1"/>
      <protection locked="0"/>
    </xf>
    <xf numFmtId="0" fontId="55" fillId="19" borderId="1" xfId="0" applyFont="1" applyFill="1" applyBorder="1" applyAlignment="1" applyProtection="1">
      <alignment horizontal="center" vertical="center" textRotation="90" wrapText="1"/>
      <protection locked="0"/>
    </xf>
    <xf numFmtId="0" fontId="55" fillId="19" borderId="24" xfId="0" applyFont="1" applyFill="1" applyBorder="1" applyAlignment="1" applyProtection="1">
      <alignment horizontal="center" vertical="center" textRotation="90" wrapText="1"/>
      <protection locked="0"/>
    </xf>
    <xf numFmtId="0" fontId="43" fillId="19" borderId="68" xfId="0" applyFont="1" applyFill="1" applyBorder="1" applyAlignment="1" applyProtection="1">
      <alignment horizontal="center"/>
      <protection locked="0"/>
    </xf>
    <xf numFmtId="0" fontId="43" fillId="19" borderId="69" xfId="0" applyFont="1" applyFill="1" applyBorder="1" applyAlignment="1" applyProtection="1">
      <alignment horizontal="center"/>
      <protection locked="0"/>
    </xf>
    <xf numFmtId="0" fontId="43" fillId="19" borderId="70" xfId="0" applyFont="1" applyFill="1" applyBorder="1" applyAlignment="1" applyProtection="1">
      <alignment horizontal="center"/>
      <protection locked="0"/>
    </xf>
    <xf numFmtId="0" fontId="53" fillId="19" borderId="66" xfId="0" applyFont="1" applyFill="1" applyBorder="1" applyAlignment="1" applyProtection="1">
      <alignment horizontal="center" vertical="center" textRotation="90"/>
    </xf>
    <xf numFmtId="0" fontId="53" fillId="19" borderId="0" xfId="0" applyFont="1" applyFill="1" applyBorder="1" applyAlignment="1" applyProtection="1">
      <alignment horizontal="center" vertical="center" textRotation="90"/>
    </xf>
    <xf numFmtId="0" fontId="53" fillId="19" borderId="23" xfId="0" applyFont="1" applyFill="1" applyBorder="1" applyAlignment="1" applyProtection="1">
      <alignment horizontal="center" vertical="center" textRotation="90"/>
    </xf>
    <xf numFmtId="0" fontId="10" fillId="0" borderId="25" xfId="1" applyBorder="1" applyAlignment="1">
      <alignment horizontal="center"/>
    </xf>
    <xf numFmtId="0" fontId="10" fillId="0" borderId="3" xfId="1" applyBorder="1" applyAlignment="1">
      <alignment horizontal="center"/>
    </xf>
    <xf numFmtId="0" fontId="10" fillId="0" borderId="33" xfId="1" applyBorder="1" applyAlignment="1">
      <alignment horizontal="center"/>
    </xf>
    <xf numFmtId="0" fontId="21" fillId="0" borderId="57" xfId="1" applyFont="1" applyBorder="1" applyAlignment="1">
      <alignment horizontal="center" vertical="center"/>
    </xf>
    <xf numFmtId="0" fontId="21" fillId="0" borderId="58" xfId="1" applyFont="1" applyBorder="1" applyAlignment="1">
      <alignment horizontal="center" vertical="center"/>
    </xf>
    <xf numFmtId="0" fontId="21" fillId="0" borderId="59" xfId="1" applyFont="1" applyBorder="1" applyAlignment="1">
      <alignment horizontal="center" vertical="center"/>
    </xf>
    <xf numFmtId="0" fontId="10" fillId="0" borderId="52" xfId="1" applyBorder="1" applyAlignment="1">
      <alignment horizontal="center"/>
    </xf>
    <xf numFmtId="0" fontId="10" fillId="0" borderId="4" xfId="1" applyBorder="1" applyAlignment="1">
      <alignment horizontal="center"/>
    </xf>
    <xf numFmtId="0" fontId="10" fillId="0" borderId="53" xfId="1" applyBorder="1" applyAlignment="1">
      <alignment horizontal="center"/>
    </xf>
    <xf numFmtId="0" fontId="10" fillId="0" borderId="37" xfId="1" applyBorder="1" applyAlignment="1">
      <alignment horizontal="center"/>
    </xf>
    <xf numFmtId="0" fontId="10" fillId="0" borderId="9" xfId="1" applyBorder="1" applyAlignment="1">
      <alignment horizontal="center"/>
    </xf>
    <xf numFmtId="0" fontId="10" fillId="0" borderId="38" xfId="1" applyBorder="1" applyAlignment="1">
      <alignment horizontal="center"/>
    </xf>
    <xf numFmtId="0" fontId="35" fillId="0" borderId="56" xfId="1" applyFont="1" applyBorder="1" applyAlignment="1">
      <alignment horizontal="center" vertical="center" wrapText="1"/>
    </xf>
    <xf numFmtId="0" fontId="35" fillId="0" borderId="62" xfId="1" applyFont="1" applyBorder="1" applyAlignment="1">
      <alignment horizontal="center" vertical="center" wrapText="1"/>
    </xf>
    <xf numFmtId="0" fontId="10" fillId="0" borderId="54" xfId="1" applyBorder="1" applyAlignment="1">
      <alignment horizontal="center" vertical="center" wrapText="1"/>
    </xf>
    <xf numFmtId="0" fontId="10" fillId="0" borderId="15" xfId="1" applyBorder="1" applyAlignment="1">
      <alignment horizontal="center" vertical="center" wrapText="1"/>
    </xf>
    <xf numFmtId="0" fontId="10" fillId="0" borderId="54" xfId="1" applyFill="1" applyBorder="1" applyAlignment="1">
      <alignment horizontal="center" vertical="center" wrapText="1"/>
    </xf>
    <xf numFmtId="0" fontId="10" fillId="0" borderId="15" xfId="1" applyFill="1" applyBorder="1" applyAlignment="1">
      <alignment horizontal="center" vertical="center" wrapText="1"/>
    </xf>
    <xf numFmtId="0" fontId="22" fillId="0" borderId="55" xfId="1" applyFont="1" applyBorder="1" applyAlignment="1">
      <alignment horizontal="center" vertical="center" wrapText="1"/>
    </xf>
    <xf numFmtId="0" fontId="22" fillId="0" borderId="16" xfId="1" applyFont="1" applyBorder="1" applyAlignment="1">
      <alignment horizontal="center" vertical="center" wrapText="1"/>
    </xf>
    <xf numFmtId="0" fontId="10" fillId="2" borderId="19" xfId="1" applyFill="1" applyBorder="1" applyAlignment="1">
      <alignment horizontal="center" vertical="center"/>
    </xf>
    <xf numFmtId="0" fontId="10" fillId="2" borderId="20" xfId="1" applyFill="1" applyBorder="1" applyAlignment="1">
      <alignment horizontal="center" vertical="center"/>
    </xf>
    <xf numFmtId="0" fontId="10" fillId="2" borderId="21" xfId="1" applyFill="1" applyBorder="1" applyAlignment="1">
      <alignment horizontal="center" vertical="center"/>
    </xf>
    <xf numFmtId="0" fontId="10" fillId="2" borderId="43" xfId="1" applyFill="1" applyBorder="1" applyAlignment="1">
      <alignment horizontal="center" vertical="center"/>
    </xf>
    <xf numFmtId="0" fontId="10" fillId="2" borderId="44" xfId="1" applyFill="1" applyBorder="1" applyAlignment="1">
      <alignment horizontal="center" vertical="center"/>
    </xf>
    <xf numFmtId="0" fontId="10" fillId="2" borderId="45" xfId="1" applyFill="1" applyBorder="1" applyAlignment="1">
      <alignment horizontal="center" vertical="center"/>
    </xf>
    <xf numFmtId="0" fontId="10" fillId="2" borderId="56" xfId="1" applyFill="1" applyBorder="1" applyAlignment="1">
      <alignment horizontal="center" vertical="center"/>
    </xf>
    <xf numFmtId="0" fontId="10" fillId="2" borderId="54" xfId="1" applyFill="1" applyBorder="1" applyAlignment="1">
      <alignment horizontal="center" vertical="center"/>
    </xf>
    <xf numFmtId="0" fontId="10" fillId="2" borderId="50" xfId="1" applyFill="1" applyBorder="1" applyAlignment="1">
      <alignment horizontal="center" vertical="center"/>
    </xf>
    <xf numFmtId="0" fontId="10" fillId="2" borderId="39" xfId="1" applyFill="1" applyBorder="1" applyAlignment="1">
      <alignment horizontal="center" vertical="center"/>
    </xf>
    <xf numFmtId="0" fontId="10" fillId="2" borderId="40" xfId="1" applyFill="1" applyBorder="1" applyAlignment="1">
      <alignment horizontal="center" vertical="center"/>
    </xf>
    <xf numFmtId="0" fontId="10" fillId="2" borderId="42" xfId="1" applyFill="1" applyBorder="1" applyAlignment="1">
      <alignment horizontal="center" vertical="center"/>
    </xf>
    <xf numFmtId="0" fontId="44" fillId="0" borderId="2" xfId="1" applyFont="1" applyBorder="1" applyAlignment="1">
      <alignment horizontal="center"/>
    </xf>
    <xf numFmtId="0" fontId="44" fillId="0" borderId="0" xfId="1" applyFont="1" applyBorder="1" applyAlignment="1">
      <alignment horizontal="center"/>
    </xf>
    <xf numFmtId="0" fontId="10" fillId="2" borderId="39" xfId="1" applyFont="1" applyFill="1" applyBorder="1" applyAlignment="1">
      <alignment horizontal="center" vertical="center"/>
    </xf>
    <xf numFmtId="0" fontId="0" fillId="0" borderId="78" xfId="0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81" xfId="0" applyBorder="1" applyAlignment="1">
      <alignment horizontal="center"/>
    </xf>
    <xf numFmtId="0" fontId="0" fillId="0" borderId="82" xfId="0" applyBorder="1" applyAlignment="1">
      <alignment horizontal="center"/>
    </xf>
    <xf numFmtId="0" fontId="0" fillId="0" borderId="83" xfId="0" applyBorder="1" applyAlignment="1">
      <alignment horizontal="center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6" fontId="63" fillId="0" borderId="64" xfId="0" applyNumberFormat="1" applyFont="1" applyBorder="1" applyAlignment="1">
      <alignment horizontal="center" vertical="center" wrapText="1"/>
    </xf>
    <xf numFmtId="0" fontId="63" fillId="0" borderId="64" xfId="0" applyFont="1" applyBorder="1" applyAlignment="1">
      <alignment horizontal="center" vertical="center" wrapText="1"/>
    </xf>
    <xf numFmtId="0" fontId="63" fillId="0" borderId="17" xfId="0" applyFont="1" applyBorder="1" applyAlignment="1">
      <alignment horizontal="center" vertical="center" wrapText="1"/>
    </xf>
    <xf numFmtId="0" fontId="49" fillId="0" borderId="7" xfId="0" applyFont="1" applyBorder="1" applyAlignment="1">
      <alignment horizontal="center"/>
    </xf>
    <xf numFmtId="0" fontId="49" fillId="0" borderId="32" xfId="0" applyFont="1" applyBorder="1" applyAlignment="1">
      <alignment horizontal="center"/>
    </xf>
    <xf numFmtId="0" fontId="49" fillId="0" borderId="6" xfId="0" applyFont="1" applyBorder="1" applyAlignment="1">
      <alignment horizontal="center"/>
    </xf>
    <xf numFmtId="0" fontId="49" fillId="0" borderId="3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38" fillId="0" borderId="3" xfId="0" applyFont="1" applyBorder="1" applyAlignment="1">
      <alignment horizontal="left" vertical="center" wrapText="1"/>
    </xf>
    <xf numFmtId="0" fontId="38" fillId="0" borderId="3" xfId="0" applyFont="1" applyBorder="1" applyAlignment="1">
      <alignment horizontal="left" vertical="center"/>
    </xf>
    <xf numFmtId="0" fontId="47" fillId="0" borderId="0" xfId="0" applyFont="1" applyAlignment="1">
      <alignment horizontal="center"/>
    </xf>
  </cellXfs>
  <cellStyles count="6">
    <cellStyle name="Normalny" xfId="0" builtinId="0"/>
    <cellStyle name="Normalny 2" xfId="1"/>
    <cellStyle name="Normalny 3" xfId="5"/>
    <cellStyle name="Normalny_Wszystkie rodzaje szkła" xfId="3"/>
    <cellStyle name="Procentowy" xfId="4" builtinId="5"/>
    <cellStyle name="Standard_MODESG" xfId="2"/>
  </cellStyles>
  <dxfs count="550"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b/>
        <i val="0"/>
        <strike val="0"/>
      </font>
      <fill>
        <patternFill>
          <bgColor indexed="51"/>
        </patternFill>
      </fill>
    </dxf>
    <dxf>
      <font>
        <b/>
        <i val="0"/>
        <strike val="0"/>
      </font>
      <fill>
        <patternFill>
          <bgColor indexed="51"/>
        </patternFill>
      </fill>
    </dxf>
    <dxf>
      <font>
        <b/>
        <i val="0"/>
        <strike val="0"/>
      </font>
      <fill>
        <patternFill>
          <bgColor indexed="51"/>
        </patternFill>
      </fill>
    </dxf>
    <dxf>
      <font>
        <b/>
        <i val="0"/>
        <strike val="0"/>
      </font>
      <fill>
        <patternFill>
          <bgColor indexed="51"/>
        </patternFill>
      </fill>
    </dxf>
    <dxf>
      <font>
        <b/>
        <i val="0"/>
        <strike val="0"/>
      </font>
      <fill>
        <patternFill>
          <bgColor indexed="51"/>
        </patternFill>
      </fill>
    </dxf>
    <dxf>
      <font>
        <b/>
        <i val="0"/>
        <strike val="0"/>
      </font>
      <fill>
        <patternFill>
          <bgColor indexed="51"/>
        </patternFill>
      </fill>
    </dxf>
    <dxf>
      <font>
        <b/>
        <i val="0"/>
        <strike val="0"/>
      </font>
      <fill>
        <patternFill>
          <bgColor indexed="51"/>
        </patternFill>
      </fill>
    </dxf>
    <dxf>
      <font>
        <b/>
        <i val="0"/>
        <strike val="0"/>
      </font>
      <fill>
        <patternFill>
          <bgColor indexed="51"/>
        </patternFill>
      </fill>
    </dxf>
    <dxf>
      <font>
        <b/>
        <i val="0"/>
        <strike val="0"/>
      </font>
      <fill>
        <patternFill>
          <bgColor indexed="51"/>
        </patternFill>
      </fill>
    </dxf>
    <dxf>
      <font>
        <b/>
        <i val="0"/>
        <strike val="0"/>
      </font>
      <fill>
        <patternFill>
          <bgColor indexed="51"/>
        </patternFill>
      </fill>
    </dxf>
    <dxf>
      <font>
        <b/>
        <i val="0"/>
        <strike val="0"/>
      </font>
      <fill>
        <patternFill>
          <bgColor indexed="51"/>
        </patternFill>
      </fill>
    </dxf>
    <dxf>
      <font>
        <b/>
        <i val="0"/>
        <strike val="0"/>
      </font>
      <fill>
        <patternFill>
          <bgColor indexed="51"/>
        </patternFill>
      </fill>
    </dxf>
    <dxf>
      <font>
        <b/>
        <i val="0"/>
        <strike val="0"/>
      </font>
      <fill>
        <patternFill>
          <bgColor rgb="FF92D050"/>
        </patternFill>
      </fill>
    </dxf>
    <dxf>
      <font>
        <b/>
        <i val="0"/>
        <strike val="0"/>
      </font>
      <fill>
        <patternFill>
          <bgColor rgb="FF92D050"/>
        </patternFill>
      </fill>
    </dxf>
    <dxf>
      <font>
        <b/>
        <i val="0"/>
        <strike val="0"/>
      </font>
      <fill>
        <patternFill>
          <bgColor indexed="51"/>
        </patternFill>
      </fill>
    </dxf>
    <dxf>
      <font>
        <b/>
        <i val="0"/>
        <strike val="0"/>
      </font>
      <fill>
        <patternFill>
          <bgColor indexed="51"/>
        </patternFill>
      </fill>
    </dxf>
    <dxf>
      <font>
        <b/>
        <i val="0"/>
        <strike val="0"/>
      </font>
      <fill>
        <patternFill>
          <bgColor indexed="51"/>
        </patternFill>
      </fill>
    </dxf>
    <dxf>
      <font>
        <b/>
        <i val="0"/>
        <strike val="0"/>
      </font>
      <fill>
        <patternFill>
          <bgColor indexed="51"/>
        </patternFill>
      </fill>
    </dxf>
    <dxf>
      <font>
        <b/>
        <i val="0"/>
        <strike val="0"/>
      </font>
      <fill>
        <patternFill>
          <bgColor rgb="FF92D050"/>
        </patternFill>
      </fill>
    </dxf>
    <dxf>
      <font>
        <b/>
        <i val="0"/>
        <strike val="0"/>
      </font>
      <fill>
        <patternFill>
          <bgColor rgb="FF92D050"/>
        </patternFill>
      </fill>
    </dxf>
    <dxf>
      <font>
        <b/>
        <i val="0"/>
        <strike val="0"/>
      </font>
      <fill>
        <patternFill>
          <bgColor rgb="FF92D050"/>
        </patternFill>
      </fill>
    </dxf>
    <dxf>
      <font>
        <b/>
        <i val="0"/>
        <strike val="0"/>
      </font>
      <fill>
        <patternFill>
          <bgColor rgb="FF92D050"/>
        </patternFill>
      </fill>
    </dxf>
    <dxf>
      <font>
        <b/>
        <i val="0"/>
        <strike val="0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wmf"/><Relationship Id="rId2" Type="http://schemas.openxmlformats.org/officeDocument/2006/relationships/image" Target="../media/image2.e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222617</xdr:colOff>
      <xdr:row>27</xdr:row>
      <xdr:rowOff>260684</xdr:rowOff>
    </xdr:from>
    <xdr:to>
      <xdr:col>2</xdr:col>
      <xdr:colOff>792079</xdr:colOff>
      <xdr:row>27</xdr:row>
      <xdr:rowOff>268942</xdr:rowOff>
    </xdr:to>
    <xdr:cxnSp macro="">
      <xdr:nvCxnSpPr>
        <xdr:cNvPr id="4" name="Łącznik prostoliniowy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flipV="1">
          <a:off x="2318117" y="12999118"/>
          <a:ext cx="569462" cy="8258"/>
        </a:xfrm>
        <a:prstGeom prst="line">
          <a:avLst/>
        </a:prstGeom>
        <a:ln w="44450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238125</xdr:colOff>
          <xdr:row>46</xdr:row>
          <xdr:rowOff>428625</xdr:rowOff>
        </xdr:from>
        <xdr:to>
          <xdr:col>11</xdr:col>
          <xdr:colOff>266700</xdr:colOff>
          <xdr:row>55</xdr:row>
          <xdr:rowOff>438150</xdr:rowOff>
        </xdr:to>
        <xdr:sp macro="" textlink="">
          <xdr:nvSpPr>
            <xdr:cNvPr id="1340" name="Object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142875</xdr:colOff>
          <xdr:row>0</xdr:row>
          <xdr:rowOff>47625</xdr:rowOff>
        </xdr:from>
        <xdr:to>
          <xdr:col>29</xdr:col>
          <xdr:colOff>971550</xdr:colOff>
          <xdr:row>2</xdr:row>
          <xdr:rowOff>314325</xdr:rowOff>
        </xdr:to>
        <xdr:sp macro="" textlink="">
          <xdr:nvSpPr>
            <xdr:cNvPr id="1341" name="Object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0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95250</xdr:colOff>
          <xdr:row>0</xdr:row>
          <xdr:rowOff>123825</xdr:rowOff>
        </xdr:from>
        <xdr:to>
          <xdr:col>30</xdr:col>
          <xdr:colOff>1066800</xdr:colOff>
          <xdr:row>2</xdr:row>
          <xdr:rowOff>257175</xdr:rowOff>
        </xdr:to>
        <xdr:sp macro="" textlink="">
          <xdr:nvSpPr>
            <xdr:cNvPr id="1342" name="Object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0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333368</xdr:colOff>
      <xdr:row>0</xdr:row>
      <xdr:rowOff>47624</xdr:rowOff>
    </xdr:from>
    <xdr:to>
      <xdr:col>2</xdr:col>
      <xdr:colOff>685612</xdr:colOff>
      <xdr:row>2</xdr:row>
      <xdr:rowOff>349484</xdr:rowOff>
    </xdr:to>
    <xdr:pic>
      <xdr:nvPicPr>
        <xdr:cNvPr id="14" name="Obraz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978" t="17809" r="9054" b="17048"/>
        <a:stretch/>
      </xdr:blipFill>
      <xdr:spPr>
        <a:xfrm>
          <a:off x="333368" y="47624"/>
          <a:ext cx="2447744" cy="106386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400050</xdr:colOff>
          <xdr:row>47</xdr:row>
          <xdr:rowOff>95250</xdr:rowOff>
        </xdr:from>
        <xdr:to>
          <xdr:col>12</xdr:col>
          <xdr:colOff>409575</xdr:colOff>
          <xdr:row>56</xdr:row>
          <xdr:rowOff>95250</xdr:rowOff>
        </xdr:to>
        <xdr:sp macro="" textlink="">
          <xdr:nvSpPr>
            <xdr:cNvPr id="1364" name="Object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0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561975</xdr:colOff>
          <xdr:row>46</xdr:row>
          <xdr:rowOff>142875</xdr:rowOff>
        </xdr:from>
        <xdr:to>
          <xdr:col>13</xdr:col>
          <xdr:colOff>695325</xdr:colOff>
          <xdr:row>56</xdr:row>
          <xdr:rowOff>0</xdr:rowOff>
        </xdr:to>
        <xdr:sp macro="" textlink="">
          <xdr:nvSpPr>
            <xdr:cNvPr id="1365" name="Object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0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581025</xdr:colOff>
          <xdr:row>46</xdr:row>
          <xdr:rowOff>381000</xdr:rowOff>
        </xdr:from>
        <xdr:to>
          <xdr:col>17</xdr:col>
          <xdr:colOff>66675</xdr:colOff>
          <xdr:row>50</xdr:row>
          <xdr:rowOff>247650</xdr:rowOff>
        </xdr:to>
        <xdr:sp macro="" textlink="">
          <xdr:nvSpPr>
            <xdr:cNvPr id="1366" name="Object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790575</xdr:colOff>
          <xdr:row>49</xdr:row>
          <xdr:rowOff>428625</xdr:rowOff>
        </xdr:from>
        <xdr:to>
          <xdr:col>17</xdr:col>
          <xdr:colOff>457200</xdr:colOff>
          <xdr:row>52</xdr:row>
          <xdr:rowOff>95250</xdr:rowOff>
        </xdr:to>
        <xdr:sp macro="" textlink="">
          <xdr:nvSpPr>
            <xdr:cNvPr id="1367" name="Object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0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704850</xdr:colOff>
          <xdr:row>52</xdr:row>
          <xdr:rowOff>180975</xdr:rowOff>
        </xdr:from>
        <xdr:to>
          <xdr:col>17</xdr:col>
          <xdr:colOff>847725</xdr:colOff>
          <xdr:row>55</xdr:row>
          <xdr:rowOff>219075</xdr:rowOff>
        </xdr:to>
        <xdr:sp macro="" textlink="">
          <xdr:nvSpPr>
            <xdr:cNvPr id="1368" name="Object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0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119063</xdr:colOff>
      <xdr:row>5</xdr:row>
      <xdr:rowOff>333375</xdr:rowOff>
    </xdr:from>
    <xdr:to>
      <xdr:col>9</xdr:col>
      <xdr:colOff>944563</xdr:colOff>
      <xdr:row>15</xdr:row>
      <xdr:rowOff>436562</xdr:rowOff>
    </xdr:to>
    <xdr:sp macro="" textlink="">
      <xdr:nvSpPr>
        <xdr:cNvPr id="15" name="pole tekstow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5643563" y="2333625"/>
          <a:ext cx="5302250" cy="4889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l-PL" sz="3600"/>
            <a:t>stempel </a:t>
          </a:r>
          <a:r>
            <a:rPr lang="pl-PL" sz="3600" b="1"/>
            <a:t>SEKURIT</a:t>
          </a:r>
          <a:r>
            <a:rPr lang="pl-PL" sz="3600"/>
            <a:t> zgodnie ze wzorem </a:t>
          </a:r>
          <a:r>
            <a:rPr lang="pl-PL" sz="3600" b="1"/>
            <a:t>1012-0</a:t>
          </a:r>
          <a:r>
            <a:rPr lang="pl-PL" sz="3600"/>
            <a:t>1, stawiany przy krawędzi równolegle do niej w kolorze czarnym farbę typu </a:t>
          </a:r>
          <a:r>
            <a:rPr lang="pl-PL" sz="3600" b="1"/>
            <a:t>Ferro</a:t>
          </a:r>
          <a:r>
            <a:rPr lang="pl-PL" sz="3600" b="1" baseline="0"/>
            <a:t> 14509</a:t>
          </a:r>
          <a:r>
            <a:rPr lang="pl-PL" sz="3600" baseline="0"/>
            <a:t>. </a:t>
          </a:r>
          <a:endParaRPr lang="pl-PL" sz="3600"/>
        </a:p>
      </xdr:txBody>
    </xdr:sp>
    <xdr:clientData/>
  </xdr:twoCellAnchor>
  <xdr:twoCellAnchor>
    <xdr:from>
      <xdr:col>10</xdr:col>
      <xdr:colOff>404812</xdr:colOff>
      <xdr:row>6</xdr:row>
      <xdr:rowOff>71438</xdr:rowOff>
    </xdr:from>
    <xdr:to>
      <xdr:col>33</xdr:col>
      <xdr:colOff>164523</xdr:colOff>
      <xdr:row>15</xdr:row>
      <xdr:rowOff>119062</xdr:rowOff>
    </xdr:to>
    <xdr:sp macro="" textlink="">
      <xdr:nvSpPr>
        <xdr:cNvPr id="18" name="pole tekstow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11525250" y="2547938"/>
          <a:ext cx="26477336" cy="43576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3600"/>
            <a:t>Uwaga!</a:t>
          </a:r>
        </a:p>
        <a:p>
          <a:r>
            <a:rPr lang="pl-PL" sz="3600"/>
            <a:t>1. Wymiary na widoku głównym dla szyby płaskiej</a:t>
          </a:r>
        </a:p>
        <a:p>
          <a:r>
            <a:rPr lang="pl-PL" sz="3600"/>
            <a:t>2. Wykorzystać diapozytyw i sito o nr</a:t>
          </a:r>
          <a:r>
            <a:rPr lang="pl-PL" sz="3600" baseline="0"/>
            <a:t> </a:t>
          </a:r>
          <a:r>
            <a:rPr lang="pl-PL" sz="3600"/>
            <a:t>części: </a:t>
          </a:r>
        </a:p>
        <a:p>
          <a:r>
            <a:rPr lang="pl-PL" sz="3600"/>
            <a:t>3. Etykietę naklejać w odległości co</a:t>
          </a:r>
          <a:r>
            <a:rPr lang="pl-PL" sz="3600" baseline="0"/>
            <a:t> najmniej 100mm od otworów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3600">
              <a:solidFill>
                <a:schemeClr val="dk1"/>
              </a:solidFill>
              <a:latin typeface="+mn-lt"/>
              <a:ea typeface="+mn-ea"/>
              <a:cs typeface="+mn-cs"/>
            </a:rPr>
            <a:t>4. Przyleganie na środku krawędzi giętej od ….. do …..mm , przyleganie na narożnikach krawędzi giętej od…..  do …….mm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3600">
              <a:solidFill>
                <a:schemeClr val="dk1"/>
              </a:solidFill>
              <a:latin typeface="+mn-lt"/>
              <a:ea typeface="+mn-ea"/>
              <a:cs typeface="+mn-cs"/>
            </a:rPr>
            <a:t>5. Płaskość na krawędzi górnej i dolnej zgodnie z K-G04-IT-HEH-001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l-PL" sz="36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pl-PL" sz="36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352425</xdr:colOff>
          <xdr:row>4</xdr:row>
          <xdr:rowOff>66675</xdr:rowOff>
        </xdr:from>
        <xdr:to>
          <xdr:col>13</xdr:col>
          <xdr:colOff>1038225</xdr:colOff>
          <xdr:row>12</xdr:row>
          <xdr:rowOff>104775</xdr:rowOff>
        </xdr:to>
        <xdr:sp macro="" textlink="">
          <xdr:nvSpPr>
            <xdr:cNvPr id="2111" name="Object 63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1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352425</xdr:colOff>
          <xdr:row>16</xdr:row>
          <xdr:rowOff>66675</xdr:rowOff>
        </xdr:from>
        <xdr:to>
          <xdr:col>13</xdr:col>
          <xdr:colOff>1038225</xdr:colOff>
          <xdr:row>24</xdr:row>
          <xdr:rowOff>104775</xdr:rowOff>
        </xdr:to>
        <xdr:sp macro="" textlink="">
          <xdr:nvSpPr>
            <xdr:cNvPr id="2112" name="Object 64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1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352425</xdr:colOff>
          <xdr:row>4</xdr:row>
          <xdr:rowOff>66675</xdr:rowOff>
        </xdr:from>
        <xdr:to>
          <xdr:col>13</xdr:col>
          <xdr:colOff>1038225</xdr:colOff>
          <xdr:row>12</xdr:row>
          <xdr:rowOff>104775</xdr:rowOff>
        </xdr:to>
        <xdr:sp macro="" textlink="">
          <xdr:nvSpPr>
            <xdr:cNvPr id="2115" name="Object 67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1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352425</xdr:colOff>
          <xdr:row>16</xdr:row>
          <xdr:rowOff>66675</xdr:rowOff>
        </xdr:from>
        <xdr:to>
          <xdr:col>13</xdr:col>
          <xdr:colOff>1038225</xdr:colOff>
          <xdr:row>24</xdr:row>
          <xdr:rowOff>104775</xdr:rowOff>
        </xdr:to>
        <xdr:sp macro="" textlink="">
          <xdr:nvSpPr>
            <xdr:cNvPr id="2116" name="Object 68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1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chiwum/K-G02-FO-ODR-037F_karta_modelu_szyby_pojedynczej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G"/>
      <sheetName val="DANE CONTROLLINGU"/>
      <sheetName val="MARSZRUTA_WER 6"/>
      <sheetName val="MARSZRUTA_WER 5"/>
      <sheetName val="Batch_size"/>
      <sheetName val="Uwagi"/>
      <sheetName val="Ilość farby"/>
      <sheetName val="charakterystyki"/>
      <sheetName val="ETYKIETOWANIE"/>
      <sheetName val="szkła"/>
      <sheetName val="SCRAP"/>
    </sheetNames>
    <sheetDataSet>
      <sheetData sheetId="0"/>
      <sheetData sheetId="1">
        <row r="4">
          <cell r="B4">
            <v>2.1</v>
          </cell>
          <cell r="D4" t="str">
            <v>Planilux/bezbarwne</v>
          </cell>
          <cell r="F4" t="str">
            <v>Czarna FERRO 14509 IR</v>
          </cell>
        </row>
        <row r="5">
          <cell r="B5">
            <v>2.6</v>
          </cell>
          <cell r="D5" t="str">
            <v>TSAnX/zielone</v>
          </cell>
          <cell r="F5" t="str">
            <v>Czarna 1T1405-IR</v>
          </cell>
        </row>
        <row r="6">
          <cell r="B6">
            <v>2.85</v>
          </cell>
          <cell r="D6" t="str">
            <v>Parsol Bronze/brąz</v>
          </cell>
          <cell r="F6" t="str">
            <v>Czarna JM 1L6030 -IR701</v>
          </cell>
        </row>
        <row r="7">
          <cell r="B7">
            <v>2.9</v>
          </cell>
          <cell r="D7" t="str">
            <v>Venus Grey10/szary</v>
          </cell>
          <cell r="F7" t="str">
            <v>Biała AF2000-IR</v>
          </cell>
        </row>
        <row r="8">
          <cell r="B8">
            <v>3.15</v>
          </cell>
          <cell r="D8" t="str">
            <v>Venus Grey20/szary</v>
          </cell>
          <cell r="F8" t="str">
            <v>srebrowa JM Ag 2315</v>
          </cell>
        </row>
        <row r="9">
          <cell r="B9">
            <v>3.5</v>
          </cell>
          <cell r="D9" t="str">
            <v>Venus Grey40/szary</v>
          </cell>
          <cell r="F9" t="str">
            <v>Szara FERRO 154030AL</v>
          </cell>
        </row>
        <row r="10">
          <cell r="B10">
            <v>3.85</v>
          </cell>
          <cell r="D10" t="str">
            <v>Parsol Grey/szary</v>
          </cell>
          <cell r="F10" t="str">
            <v>Biała PAF39G3250-828-63</v>
          </cell>
        </row>
        <row r="11">
          <cell r="B11">
            <v>4.8499999999999996</v>
          </cell>
          <cell r="D11" t="str">
            <v>Venus Green35/zielone</v>
          </cell>
          <cell r="F11" t="str">
            <v>Transparentna PAF4901-828-63</v>
          </cell>
        </row>
        <row r="12">
          <cell r="B12">
            <v>5.85</v>
          </cell>
          <cell r="D12" t="str">
            <v>Venus Green55/zielone</v>
          </cell>
          <cell r="F12" t="str">
            <v>Szara FERRO 154030 AL.</v>
          </cell>
        </row>
        <row r="13">
          <cell r="B13">
            <v>8</v>
          </cell>
          <cell r="D13" t="str">
            <v>Planilux/bezbarwne+RFLC</v>
          </cell>
        </row>
        <row r="14">
          <cell r="B14">
            <v>10</v>
          </cell>
          <cell r="D14" t="str">
            <v>TSA3+/zielone</v>
          </cell>
        </row>
        <row r="15">
          <cell r="B15">
            <v>12</v>
          </cell>
          <cell r="D15" t="str">
            <v>TSA4+/zielone</v>
          </cell>
        </row>
        <row r="16">
          <cell r="D16" t="str">
            <v>Planitherm XN II</v>
          </cell>
        </row>
      </sheetData>
      <sheetData sheetId="2"/>
      <sheetData sheetId="3"/>
      <sheetData sheetId="4"/>
      <sheetData sheetId="5"/>
      <sheetData sheetId="6"/>
      <sheetData sheetId="7">
        <row r="2">
          <cell r="D2" t="str">
            <v>&lt;= 3</v>
          </cell>
        </row>
        <row r="3">
          <cell r="D3" t="str">
            <v>&gt;3</v>
          </cell>
        </row>
        <row r="4">
          <cell r="D4">
            <v>1</v>
          </cell>
        </row>
        <row r="5">
          <cell r="D5">
            <v>2</v>
          </cell>
        </row>
        <row r="6">
          <cell r="D6">
            <v>3</v>
          </cell>
        </row>
        <row r="7">
          <cell r="D7" t="str">
            <v>ogrzewana szyba</v>
          </cell>
        </row>
        <row r="8">
          <cell r="D8" t="str">
            <v>nieogrzewana szyba</v>
          </cell>
        </row>
      </sheetData>
      <sheetData sheetId="8">
        <row r="3">
          <cell r="C3" t="str">
            <v>EVOBUS</v>
          </cell>
          <cell r="D3" t="str">
            <v>TAK</v>
          </cell>
          <cell r="F3" t="str">
            <v>K-G05-KT-DLM-045</v>
          </cell>
          <cell r="I3" t="str">
            <v>ZRÓB IMDS</v>
          </cell>
        </row>
        <row r="4">
          <cell r="C4" t="str">
            <v>IVECO_CR</v>
          </cell>
          <cell r="D4" t="str">
            <v>TAK</v>
          </cell>
          <cell r="F4" t="str">
            <v>K-G05-KT-DLM-379</v>
          </cell>
          <cell r="I4" t="str">
            <v>ZRÓB IMDS</v>
          </cell>
        </row>
        <row r="5">
          <cell r="C5" t="str">
            <v>IVECO</v>
          </cell>
          <cell r="D5" t="str">
            <v>TAK</v>
          </cell>
          <cell r="F5" t="str">
            <v>K-G05-KT-DLM-379</v>
          </cell>
          <cell r="I5" t="str">
            <v>ZRÓB IMDS</v>
          </cell>
        </row>
        <row r="6">
          <cell r="C6" t="str">
            <v>CLEFF</v>
          </cell>
          <cell r="D6" t="str">
            <v>TAK</v>
          </cell>
          <cell r="F6" t="str">
            <v>K-G05-KT-DLM-379</v>
          </cell>
        </row>
        <row r="7">
          <cell r="C7" t="str">
            <v>SOLARIS</v>
          </cell>
          <cell r="D7" t="str">
            <v>TAK</v>
          </cell>
          <cell r="F7" t="str">
            <v>K-G05-KT-DLM-045</v>
          </cell>
        </row>
        <row r="8">
          <cell r="C8" t="str">
            <v>BODE</v>
          </cell>
          <cell r="D8" t="str">
            <v>TAK</v>
          </cell>
          <cell r="F8" t="str">
            <v>K-G05-KT-DLM-335</v>
          </cell>
          <cell r="I8" t="str">
            <v>ZRÓB IMDS</v>
          </cell>
        </row>
        <row r="9">
          <cell r="C9" t="str">
            <v>SGS PORTUGAL</v>
          </cell>
          <cell r="D9" t="str">
            <v>TAK</v>
          </cell>
          <cell r="F9" t="str">
            <v>K-G05-KT-DLM-045</v>
          </cell>
        </row>
        <row r="10">
          <cell r="C10" t="str">
            <v>PLAXTON</v>
          </cell>
          <cell r="D10" t="str">
            <v>TAK</v>
          </cell>
          <cell r="F10" t="str">
            <v>K-G05-KT-DLM-379</v>
          </cell>
          <cell r="I10" t="str">
            <v>ZRÓB IMDS</v>
          </cell>
        </row>
        <row r="11">
          <cell r="C11" t="str">
            <v>VOLVO POLSKA</v>
          </cell>
          <cell r="D11" t="str">
            <v>TAK</v>
          </cell>
          <cell r="F11" t="str">
            <v>K-G05-KT-DLM-045</v>
          </cell>
          <cell r="I11" t="str">
            <v>ZRÓB IMDS</v>
          </cell>
        </row>
        <row r="12">
          <cell r="C12" t="str">
            <v>NEOPLAN</v>
          </cell>
          <cell r="D12" t="str">
            <v>TAK</v>
          </cell>
          <cell r="F12" t="str">
            <v>K-G05-KT-DLM-379</v>
          </cell>
        </row>
        <row r="13">
          <cell r="C13" t="str">
            <v>DC</v>
          </cell>
          <cell r="D13" t="str">
            <v>TAK</v>
          </cell>
          <cell r="F13" t="str">
            <v>K-G05-KT-DLM-379</v>
          </cell>
          <cell r="I13" t="str">
            <v>ZRÓB IMDS</v>
          </cell>
        </row>
        <row r="14">
          <cell r="C14" t="str">
            <v>STAALGLAS</v>
          </cell>
          <cell r="D14" t="str">
            <v>TAK</v>
          </cell>
          <cell r="F14" t="str">
            <v>K-G05-KT-DLM-335</v>
          </cell>
          <cell r="I14" t="str">
            <v>ZRÓB IMDS</v>
          </cell>
        </row>
        <row r="15">
          <cell r="C15" t="str">
            <v>OMTY</v>
          </cell>
          <cell r="D15" t="str">
            <v>TAK</v>
          </cell>
          <cell r="F15" t="str">
            <v>K-G05-KT-DLM-045</v>
          </cell>
        </row>
        <row r="16">
          <cell r="C16" t="str">
            <v>HEULIEZ</v>
          </cell>
          <cell r="D16" t="str">
            <v>TAK</v>
          </cell>
          <cell r="F16" t="str">
            <v>K-G05-KT-DLM-379</v>
          </cell>
          <cell r="I16" t="str">
            <v>ZRÓB IMDS</v>
          </cell>
        </row>
        <row r="17">
          <cell r="C17" t="str">
            <v>WRIGHTBUS</v>
          </cell>
          <cell r="D17" t="str">
            <v>TAK</v>
          </cell>
          <cell r="F17" t="str">
            <v>K-G05-KT-DLM-379</v>
          </cell>
          <cell r="I17" t="str">
            <v>ZRÓB IMDS</v>
          </cell>
        </row>
        <row r="18">
          <cell r="C18" t="str">
            <v>CNH</v>
          </cell>
          <cell r="D18" t="str">
            <v>TAK</v>
          </cell>
          <cell r="F18" t="str">
            <v>K-G05-KT-DLM-379</v>
          </cell>
          <cell r="I18" t="str">
            <v>ZRÓB IMDS</v>
          </cell>
        </row>
        <row r="19">
          <cell r="C19" t="str">
            <v>SGUINZI</v>
          </cell>
          <cell r="D19" t="str">
            <v>TAK</v>
          </cell>
          <cell r="F19" t="str">
            <v>K-G05-KT-DLM-335</v>
          </cell>
        </row>
        <row r="20">
          <cell r="C20" t="str">
            <v>IVECODRZWI</v>
          </cell>
          <cell r="D20" t="str">
            <v>TAK</v>
          </cell>
          <cell r="F20" t="str">
            <v>K-G05-KT-DLM-379</v>
          </cell>
          <cell r="I20" t="str">
            <v>ZRÓB IMDS</v>
          </cell>
        </row>
        <row r="21">
          <cell r="C21" t="str">
            <v>STAALGLASDRZWI</v>
          </cell>
          <cell r="D21" t="str">
            <v>TAK</v>
          </cell>
          <cell r="F21" t="str">
            <v>K-G05-KT-DLM-379</v>
          </cell>
          <cell r="I21" t="str">
            <v>ZRÓB IMDS</v>
          </cell>
        </row>
        <row r="22">
          <cell r="C22" t="str">
            <v>BRAK KLIENTA</v>
          </cell>
          <cell r="D22" t="str">
            <v>TAK</v>
          </cell>
          <cell r="F22" t="str">
            <v>K-G05-KT-DLM-045</v>
          </cell>
        </row>
        <row r="23">
          <cell r="C23" t="str">
            <v>BRAK KLIENTADRZWI</v>
          </cell>
          <cell r="D23" t="str">
            <v>TAK</v>
          </cell>
          <cell r="F23" t="str">
            <v>K-G05-KT-DLM-045</v>
          </cell>
        </row>
        <row r="24">
          <cell r="C24" t="str">
            <v>IVECO_CRDRZWI</v>
          </cell>
          <cell r="D24" t="str">
            <v>TAK</v>
          </cell>
          <cell r="F24" t="str">
            <v>K-G05-KT-DLM-379</v>
          </cell>
          <cell r="I24" t="str">
            <v>ZRÓB IMDS</v>
          </cell>
        </row>
        <row r="25">
          <cell r="C25" t="str">
            <v>CNHDRZWI</v>
          </cell>
          <cell r="D25" t="str">
            <v>TAK</v>
          </cell>
          <cell r="F25" t="str">
            <v>K-G05-KT-DLM-379</v>
          </cell>
          <cell r="I25" t="str">
            <v>ZRÓB IMDS</v>
          </cell>
        </row>
        <row r="26">
          <cell r="C26" t="str">
            <v>HEULIEZDRZWI</v>
          </cell>
          <cell r="D26" t="str">
            <v>TAK</v>
          </cell>
          <cell r="F26" t="str">
            <v>K-G05-KT-DLM-379</v>
          </cell>
          <cell r="I26" t="str">
            <v>ZRÓB IMDS</v>
          </cell>
        </row>
        <row r="27">
          <cell r="C27" t="str">
            <v>HEULIEZBUSDRZWI</v>
          </cell>
          <cell r="D27" t="str">
            <v>TAK</v>
          </cell>
          <cell r="F27" t="str">
            <v>K-G05-KT-DLM-379</v>
          </cell>
          <cell r="I27" t="str">
            <v>ZRÓB IMDS</v>
          </cell>
        </row>
        <row r="28">
          <cell r="C28" t="str">
            <v>HEULIEZBUS</v>
          </cell>
          <cell r="D28" t="str">
            <v>TAK</v>
          </cell>
          <cell r="F28" t="str">
            <v>K-G05-KT-DLM-379</v>
          </cell>
          <cell r="I28" t="str">
            <v>ZRÓB IMDS</v>
          </cell>
        </row>
        <row r="29">
          <cell r="C29" t="str">
            <v>IFE</v>
          </cell>
          <cell r="D29" t="str">
            <v>TAK</v>
          </cell>
          <cell r="F29" t="str">
            <v>K-G05-KT-DLM-379</v>
          </cell>
        </row>
        <row r="30">
          <cell r="C30" t="str">
            <v>KOENIG</v>
          </cell>
          <cell r="F30" t="str">
            <v>K-G05-KT-DLM-045</v>
          </cell>
          <cell r="I30" t="str">
            <v>ZRÓB IMDS</v>
          </cell>
        </row>
        <row r="31">
          <cell r="C31" t="str">
            <v>KONIG</v>
          </cell>
          <cell r="F31" t="str">
            <v>K-G05-KT-DLM-045</v>
          </cell>
          <cell r="I31" t="str">
            <v>ZRÓB IMDS</v>
          </cell>
        </row>
        <row r="32">
          <cell r="C32" t="str">
            <v>KÖNIG</v>
          </cell>
          <cell r="F32" t="str">
            <v>K-G05-KT-DLM-045</v>
          </cell>
          <cell r="I32" t="str">
            <v>ZRÓB IMDS</v>
          </cell>
        </row>
        <row r="33">
          <cell r="C33" t="str">
            <v>CECOMP</v>
          </cell>
          <cell r="I33" t="str">
            <v>ZRÓB IMDS</v>
          </cell>
        </row>
        <row r="34">
          <cell r="C34" t="str">
            <v>FRITZMEIER</v>
          </cell>
          <cell r="I34" t="str">
            <v>ZRÓB IMDS</v>
          </cell>
        </row>
        <row r="35">
          <cell r="C35" t="str">
            <v>DAIMLER</v>
          </cell>
          <cell r="I35" t="str">
            <v>ZRÓB IMDS</v>
          </cell>
        </row>
        <row r="36">
          <cell r="C36" t="str">
            <v>MAN</v>
          </cell>
          <cell r="I36" t="str">
            <v>ZRÓB IMDS</v>
          </cell>
        </row>
        <row r="37">
          <cell r="C37" t="str">
            <v>SCANIA</v>
          </cell>
          <cell r="I37" t="str">
            <v>ZRÓB IMDS</v>
          </cell>
        </row>
        <row r="38">
          <cell r="C38" t="str">
            <v>VW</v>
          </cell>
          <cell r="I38" t="str">
            <v>ZRÓB IMDS</v>
          </cell>
        </row>
        <row r="39">
          <cell r="C39" t="str">
            <v>WEBASTO</v>
          </cell>
          <cell r="I39" t="str">
            <v>ZRÓB IMDS</v>
          </cell>
        </row>
        <row r="40">
          <cell r="C40" t="str">
            <v>WIDNEY</v>
          </cell>
          <cell r="I40" t="str">
            <v>ZRÓB IMDS</v>
          </cell>
        </row>
        <row r="41">
          <cell r="C41" t="str">
            <v>BMW</v>
          </cell>
          <cell r="I41" t="str">
            <v>ZRÓB IMDS</v>
          </cell>
        </row>
        <row r="42">
          <cell r="C42" t="str">
            <v>IRIZAR</v>
          </cell>
          <cell r="D42" t="str">
            <v>TAK</v>
          </cell>
          <cell r="I42" t="str">
            <v>ZRÓB IMDS</v>
          </cell>
        </row>
      </sheetData>
      <sheetData sheetId="9"/>
      <sheetData sheetId="10">
        <row r="1">
          <cell r="A1" t="str">
            <v>STR</v>
          </cell>
          <cell r="B1" t="str">
            <v>SKĄD</v>
          </cell>
          <cell r="C1" t="str">
            <v>% braków używany aktualnie</v>
          </cell>
          <cell r="D1" t="str">
            <v>% braków na 2016</v>
          </cell>
          <cell r="E1" t="str">
            <v>% braków na 2017</v>
          </cell>
          <cell r="F1" t="str">
            <v>dane od Bogdana 2019.12</v>
          </cell>
          <cell r="G1" t="str">
            <v>% braków z kalkulacji</v>
          </cell>
          <cell r="H1"/>
        </row>
        <row r="2">
          <cell r="A2" t="str">
            <v>STR60007500</v>
          </cell>
          <cell r="B2" t="str">
            <v>MAIL OD ANNY</v>
          </cell>
          <cell r="C2">
            <v>27</v>
          </cell>
          <cell r="D2">
            <v>0.3820919003115264</v>
          </cell>
          <cell r="E2">
            <v>0.27258159221020689</v>
          </cell>
          <cell r="F2">
            <v>34.721020023203799</v>
          </cell>
          <cell r="G2">
            <v>0.3820919003115264</v>
          </cell>
          <cell r="H2">
            <v>0.11209190031152599</v>
          </cell>
        </row>
        <row r="3">
          <cell r="A3" t="str">
            <v>STR60007501</v>
          </cell>
          <cell r="B3" t="str">
            <v>MAIL OD ANNY</v>
          </cell>
          <cell r="C3">
            <v>27</v>
          </cell>
          <cell r="D3">
            <v>25</v>
          </cell>
          <cell r="E3">
            <v>0.25171339563862916</v>
          </cell>
          <cell r="F3">
            <v>25.171339563862915</v>
          </cell>
          <cell r="G3">
            <v>0.25171339563862932</v>
          </cell>
          <cell r="H3">
            <v>-1.8286604361370695E-2</v>
          </cell>
        </row>
        <row r="4">
          <cell r="A4" t="str">
            <v>STR60007504</v>
          </cell>
          <cell r="B4" t="str">
            <v>MAIL OD ANNY</v>
          </cell>
          <cell r="C4">
            <v>47.93</v>
          </cell>
          <cell r="D4">
            <v>0.38986138821799854</v>
          </cell>
          <cell r="E4">
            <v>0.33191462490527918</v>
          </cell>
          <cell r="F4">
            <v>33.191462490527918</v>
          </cell>
          <cell r="G4">
            <v>0.38986138821799854</v>
          </cell>
          <cell r="H4">
            <v>-8.9438611782001465E-2</v>
          </cell>
        </row>
        <row r="5">
          <cell r="A5" t="str">
            <v>STR60011785</v>
          </cell>
          <cell r="B5" t="str">
            <v>MAIL OD ANNY</v>
          </cell>
          <cell r="C5"/>
          <cell r="D5">
            <v>0.37947895373136142</v>
          </cell>
          <cell r="E5">
            <v>0.23298104709714207</v>
          </cell>
          <cell r="F5">
            <v>34.963895981087468</v>
          </cell>
          <cell r="G5">
            <v>0.37947895373136142</v>
          </cell>
          <cell r="H5">
            <v>0.37947895373136142</v>
          </cell>
        </row>
        <row r="6">
          <cell r="A6" t="str">
            <v>STR60002561</v>
          </cell>
          <cell r="B6" t="str">
            <v>MAIL OD ANNY</v>
          </cell>
          <cell r="C6">
            <v>81.69</v>
          </cell>
          <cell r="D6">
            <v>0.29854531489226788</v>
          </cell>
          <cell r="E6">
            <v>0.27743224988283272</v>
          </cell>
          <cell r="F6">
            <v>30.507981150604202</v>
          </cell>
          <cell r="G6">
            <v>0.29854531489226788</v>
          </cell>
          <cell r="H6">
            <v>-0.51835468510773208</v>
          </cell>
        </row>
        <row r="7">
          <cell r="A7" t="str">
            <v>STR60007513</v>
          </cell>
          <cell r="B7" t="str">
            <v>MAIL OD ANNY</v>
          </cell>
          <cell r="C7">
            <v>8.3800000000000008</v>
          </cell>
          <cell r="D7">
            <v>0.19303789828914292</v>
          </cell>
          <cell r="E7">
            <v>0.19117527855549907</v>
          </cell>
          <cell r="F7">
            <v>21.82158930194533</v>
          </cell>
          <cell r="G7">
            <v>0.19303789828914292</v>
          </cell>
          <cell r="H7">
            <v>0.1092378982891429</v>
          </cell>
        </row>
        <row r="8">
          <cell r="A8" t="str">
            <v>STR60007515</v>
          </cell>
          <cell r="B8" t="str">
            <v>MAIL OD ANNY</v>
          </cell>
          <cell r="C8">
            <v>38.03</v>
          </cell>
          <cell r="D8">
            <v>0.22718570266255569</v>
          </cell>
          <cell r="E8">
            <v>0.23213342623588126</v>
          </cell>
          <cell r="F8">
            <v>21.468570098747019</v>
          </cell>
          <cell r="G8">
            <v>0.22718570266255569</v>
          </cell>
          <cell r="H8">
            <v>-0.15311429733744433</v>
          </cell>
        </row>
        <row r="9">
          <cell r="A9" t="str">
            <v>STR60000593</v>
          </cell>
          <cell r="B9" t="str">
            <v>MAIL OD ANNY</v>
          </cell>
          <cell r="C9">
            <v>23.46</v>
          </cell>
          <cell r="D9">
            <v>0.29036827195467418</v>
          </cell>
          <cell r="E9">
            <v>0.29037000000000002</v>
          </cell>
          <cell r="F9">
            <v>27.037712500495502</v>
          </cell>
          <cell r="G9">
            <v>0.29036827195467418</v>
          </cell>
          <cell r="H9">
            <v>5.5768271954674181E-2</v>
          </cell>
        </row>
        <row r="10">
          <cell r="A10" t="str">
            <v>STR60000756</v>
          </cell>
          <cell r="B10" t="str">
            <v>MAIL OD ANNY</v>
          </cell>
          <cell r="C10">
            <v>23.78</v>
          </cell>
          <cell r="D10">
            <v>0.17279554742253619</v>
          </cell>
          <cell r="E10">
            <v>0.16777112689549389</v>
          </cell>
          <cell r="F10">
            <v>16.578291250079204</v>
          </cell>
          <cell r="G10">
            <v>0.17279554742253619</v>
          </cell>
          <cell r="H10">
            <v>-6.5004452577463817E-2</v>
          </cell>
        </row>
        <row r="11">
          <cell r="A11" t="str">
            <v>STR60002386</v>
          </cell>
          <cell r="B11" t="str">
            <v>MAIL OD ANNY</v>
          </cell>
          <cell r="C11">
            <v>24.08</v>
          </cell>
          <cell r="D11">
            <v>0.15850968696554271</v>
          </cell>
          <cell r="E11">
            <v>0.16001126400244925</v>
          </cell>
          <cell r="F11">
            <v>16.18743938625925</v>
          </cell>
          <cell r="G11">
            <v>0.15850968696554271</v>
          </cell>
          <cell r="H11">
            <v>-8.2290313034457274E-2</v>
          </cell>
        </row>
        <row r="12">
          <cell r="A12" t="str">
            <v>STR60000763</v>
          </cell>
          <cell r="B12" t="str">
            <v>MAIL OD ANNY</v>
          </cell>
          <cell r="C12">
            <v>26.37</v>
          </cell>
          <cell r="D12">
            <v>0.16883680132096754</v>
          </cell>
          <cell r="E12">
            <v>0.15199202801803391</v>
          </cell>
          <cell r="F12">
            <v>15.104609446163019</v>
          </cell>
          <cell r="G12">
            <v>0.16883680132096754</v>
          </cell>
          <cell r="H12">
            <v>-9.4863198679032451E-2</v>
          </cell>
        </row>
        <row r="13">
          <cell r="A13" t="str">
            <v>STR60002388</v>
          </cell>
          <cell r="B13" t="str">
            <v>MAIL OD ANNY</v>
          </cell>
          <cell r="C13">
            <v>31.51</v>
          </cell>
          <cell r="D13">
            <v>0.18180417059235784</v>
          </cell>
          <cell r="E13">
            <v>0.18931651506388317</v>
          </cell>
          <cell r="F13">
            <v>18.939784654291536</v>
          </cell>
          <cell r="G13">
            <v>0.18180417059235784</v>
          </cell>
          <cell r="H13">
            <v>-0.13329582940764215</v>
          </cell>
        </row>
        <row r="14">
          <cell r="A14" t="str">
            <v>STR60000771</v>
          </cell>
          <cell r="B14" t="str">
            <v>MAIL OD ANNY</v>
          </cell>
          <cell r="C14">
            <v>29.05</v>
          </cell>
          <cell r="D14">
            <v>0.18372893018865163</v>
          </cell>
          <cell r="E14">
            <v>0.1800152366533718</v>
          </cell>
          <cell r="F14">
            <v>17.468345904567173</v>
          </cell>
          <cell r="G14">
            <v>0.18372893018865163</v>
          </cell>
          <cell r="H14">
            <v>-0.10677106981134835</v>
          </cell>
        </row>
        <row r="15">
          <cell r="A15" t="str">
            <v>STR60002389</v>
          </cell>
          <cell r="B15" t="str">
            <v>MAIL OD ANNY</v>
          </cell>
          <cell r="C15">
            <v>33.33</v>
          </cell>
          <cell r="D15">
            <v>0.23455564748587648</v>
          </cell>
          <cell r="E15">
            <v>0.24190863746817309</v>
          </cell>
          <cell r="F15">
            <v>23.905117510976503</v>
          </cell>
          <cell r="G15">
            <v>0.23455564748587648</v>
          </cell>
          <cell r="H15">
            <v>-9.8744352514123501E-2</v>
          </cell>
        </row>
        <row r="16">
          <cell r="A16" t="str">
            <v>STR60007524</v>
          </cell>
          <cell r="B16" t="str">
            <v>MAIL OD ANNY</v>
          </cell>
          <cell r="C16">
            <v>50.76</v>
          </cell>
          <cell r="D16">
            <v>0.23748173401469391</v>
          </cell>
          <cell r="E16">
            <v>0.2</v>
          </cell>
          <cell r="F16">
            <v>21.717693535534575</v>
          </cell>
          <cell r="G16">
            <v>0.23748173401469391</v>
          </cell>
          <cell r="H16">
            <v>-0.27011826598530603</v>
          </cell>
        </row>
        <row r="17">
          <cell r="A17" t="str">
            <v>STR60008400</v>
          </cell>
          <cell r="B17" t="str">
            <v>MAIL OD ANNY</v>
          </cell>
          <cell r="C17">
            <v>88.11</v>
          </cell>
          <cell r="D17">
            <v>0.27125626191046726</v>
          </cell>
          <cell r="E17">
            <v>0.22557520412110857</v>
          </cell>
          <cell r="F17">
            <v>23.009291513263474</v>
          </cell>
          <cell r="G17">
            <v>0.27125626191046726</v>
          </cell>
          <cell r="H17">
            <v>-0.60984373808953274</v>
          </cell>
        </row>
        <row r="18">
          <cell r="A18" t="str">
            <v>STR60007527</v>
          </cell>
          <cell r="B18" t="str">
            <v>MAIL OD ANNY</v>
          </cell>
          <cell r="C18">
            <v>26.44</v>
          </cell>
          <cell r="D18">
            <v>0.16400025382136418</v>
          </cell>
          <cell r="E18">
            <v>0.18438279862995258</v>
          </cell>
          <cell r="F18">
            <v>19.986798940437001</v>
          </cell>
          <cell r="G18">
            <v>0.16400025382136418</v>
          </cell>
          <cell r="H18">
            <v>-0.10039974617863584</v>
          </cell>
        </row>
        <row r="19">
          <cell r="A19" t="str">
            <v>STR60008610</v>
          </cell>
          <cell r="B19" t="str">
            <v>MAIL OD ANNY</v>
          </cell>
          <cell r="C19">
            <v>21.33</v>
          </cell>
          <cell r="D19">
            <v>0.1479293429188106</v>
          </cell>
          <cell r="E19">
            <v>0.14228985072973513</v>
          </cell>
          <cell r="F19">
            <v>12.456071808116942</v>
          </cell>
          <cell r="G19">
            <v>0.1479293429188106</v>
          </cell>
          <cell r="H19">
            <v>-6.5370657081189387E-2</v>
          </cell>
        </row>
        <row r="20">
          <cell r="A20" t="str">
            <v>STR60011266</v>
          </cell>
          <cell r="B20" t="str">
            <v>MAIL OD ANNY</v>
          </cell>
          <cell r="C20"/>
          <cell r="D20">
            <v>0.20101755945415686</v>
          </cell>
          <cell r="E20">
            <v>0.20437923861077287</v>
          </cell>
          <cell r="F20">
            <v>22.068788151445329</v>
          </cell>
          <cell r="G20">
            <v>0.20101755945415686</v>
          </cell>
          <cell r="H20">
            <v>0.20101755945415686</v>
          </cell>
        </row>
        <row r="21">
          <cell r="A21" t="str">
            <v>STR60007532</v>
          </cell>
          <cell r="B21" t="str">
            <v>MAIL OD ANNY</v>
          </cell>
          <cell r="C21">
            <v>51.15</v>
          </cell>
          <cell r="D21">
            <v>0.24142457085897387</v>
          </cell>
          <cell r="E21">
            <v>0.23656290579219788</v>
          </cell>
          <cell r="F21">
            <v>28.112345748854249</v>
          </cell>
          <cell r="G21">
            <v>0.24142457085897387</v>
          </cell>
          <cell r="H21">
            <v>-0.27007542914102611</v>
          </cell>
        </row>
        <row r="22">
          <cell r="A22" t="str">
            <v>STR60007534</v>
          </cell>
          <cell r="B22" t="str">
            <v>MAIL OD ANNY</v>
          </cell>
          <cell r="C22">
            <v>72.89</v>
          </cell>
          <cell r="D22">
            <v>0.29962525864671286</v>
          </cell>
          <cell r="E22">
            <v>0.27353237230353267</v>
          </cell>
          <cell r="F22">
            <v>35.442878583540363</v>
          </cell>
          <cell r="G22">
            <v>0.29962525864671286</v>
          </cell>
          <cell r="H22">
            <v>-0.42927474135328714</v>
          </cell>
        </row>
        <row r="23">
          <cell r="A23" t="str">
            <v>STR60008245</v>
          </cell>
          <cell r="B23" t="str">
            <v>MAIL OD ANNY</v>
          </cell>
          <cell r="C23">
            <v>92.2</v>
          </cell>
          <cell r="D23">
            <v>0.32420420858239807</v>
          </cell>
          <cell r="E23">
            <v>0.27148692426874504</v>
          </cell>
          <cell r="F23">
            <v>26.797754793411876</v>
          </cell>
          <cell r="G23">
            <v>0.32420420858239807</v>
          </cell>
          <cell r="H23">
            <v>-0.59779579141760197</v>
          </cell>
        </row>
        <row r="24">
          <cell r="A24" t="str">
            <v>STR60005217</v>
          </cell>
          <cell r="B24" t="str">
            <v>MAIL OD ANNY</v>
          </cell>
          <cell r="C24"/>
          <cell r="D24">
            <v>0.13586865389995481</v>
          </cell>
          <cell r="E24">
            <v>0.12956768565076793</v>
          </cell>
          <cell r="F24">
            <v>18.071680530824096</v>
          </cell>
          <cell r="G24">
            <v>0.13586865389995481</v>
          </cell>
          <cell r="H24">
            <v>0.13586865389995481</v>
          </cell>
        </row>
        <row r="25">
          <cell r="A25" t="str">
            <v>STR60005625</v>
          </cell>
          <cell r="B25" t="str">
            <v>MAIL OD ANNY</v>
          </cell>
          <cell r="C25"/>
          <cell r="D25">
            <v>0.13455995258620806</v>
          </cell>
          <cell r="E25">
            <v>0.17145513198317794</v>
          </cell>
          <cell r="F25">
            <v>18.628820831387149</v>
          </cell>
          <cell r="G25">
            <v>0.13455995258620806</v>
          </cell>
          <cell r="H25">
            <v>0.13455995258620806</v>
          </cell>
        </row>
        <row r="26">
          <cell r="A26" t="str">
            <v>STR60000917</v>
          </cell>
          <cell r="B26" t="str">
            <v>MAIL OD ANNY</v>
          </cell>
          <cell r="C26">
            <v>32.57</v>
          </cell>
          <cell r="D26">
            <v>0.1784902062515307</v>
          </cell>
          <cell r="E26">
            <v>0.16056028961545149</v>
          </cell>
          <cell r="F26">
            <v>18.652082272882708</v>
          </cell>
          <cell r="G26">
            <v>0.1784902062515307</v>
          </cell>
          <cell r="H26">
            <v>-0.14720979374846929</v>
          </cell>
        </row>
        <row r="27">
          <cell r="A27" t="str">
            <v>STR60011285</v>
          </cell>
          <cell r="B27" t="str">
            <v>MAIL OD ANNY</v>
          </cell>
          <cell r="C27"/>
          <cell r="D27">
            <v>0.20824205491247993</v>
          </cell>
          <cell r="E27">
            <v>0.21204375298540024</v>
          </cell>
          <cell r="F27">
            <v>22.487727231375175</v>
          </cell>
          <cell r="G27">
            <v>0.20824205491247993</v>
          </cell>
          <cell r="H27">
            <v>0.20824205491247993</v>
          </cell>
        </row>
        <row r="28">
          <cell r="A28" t="str">
            <v>STR60005960</v>
          </cell>
          <cell r="B28" t="str">
            <v>MAIL OD ANNY</v>
          </cell>
          <cell r="C28">
            <v>23.46</v>
          </cell>
          <cell r="D28">
            <v>0.29856224739945653</v>
          </cell>
          <cell r="E28">
            <v>0.26128096709492066</v>
          </cell>
          <cell r="F28">
            <v>24.931425163983313</v>
          </cell>
          <cell r="G28">
            <v>0.29856224739945653</v>
          </cell>
          <cell r="H28">
            <v>6.3962247399456523E-2</v>
          </cell>
        </row>
        <row r="29">
          <cell r="A29" t="str">
            <v>STR60005474</v>
          </cell>
          <cell r="B29" t="str">
            <v>MAIL OD ANNY</v>
          </cell>
          <cell r="C29">
            <v>23.46</v>
          </cell>
          <cell r="D29">
            <v>9.4775594775595204E-2</v>
          </cell>
          <cell r="E29">
            <v>0.33452938365981849</v>
          </cell>
          <cell r="F29">
            <v>38.473697951615463</v>
          </cell>
          <cell r="G29">
            <v>9.4775594775595204E-2</v>
          </cell>
          <cell r="H29">
            <v>-0.13982440522440481</v>
          </cell>
        </row>
        <row r="30">
          <cell r="A30" t="str">
            <v>STR60011290</v>
          </cell>
          <cell r="B30" t="str">
            <v>MAIL OD ANNY</v>
          </cell>
          <cell r="C30"/>
          <cell r="D30">
            <v>0.26153846153846144</v>
          </cell>
          <cell r="E30">
            <v>0.29425101214574906</v>
          </cell>
          <cell r="F30">
            <v>26.153788533563805</v>
          </cell>
          <cell r="G30">
            <v>0.26153846153846144</v>
          </cell>
          <cell r="H30">
            <v>0.26153846153846144</v>
          </cell>
        </row>
        <row r="31">
          <cell r="A31" t="str">
            <v>STR60011295</v>
          </cell>
          <cell r="B31" t="str">
            <v>MAIL OD ANNY</v>
          </cell>
          <cell r="C31"/>
          <cell r="D31">
            <v>0.16654591784259992</v>
          </cell>
          <cell r="E31">
            <v>0.16321968148302163</v>
          </cell>
          <cell r="F31">
            <v>16.920714829434282</v>
          </cell>
          <cell r="G31">
            <v>0.16654591784259992</v>
          </cell>
          <cell r="H31">
            <v>0.16654591784259992</v>
          </cell>
        </row>
        <row r="32">
          <cell r="A32" t="str">
            <v>STR60004430</v>
          </cell>
          <cell r="B32" t="str">
            <v>MAIL OD ANNY</v>
          </cell>
          <cell r="C32">
            <v>25.88</v>
          </cell>
          <cell r="D32">
            <v>0.13650672937247957</v>
          </cell>
          <cell r="E32">
            <v>0.12514288664547818</v>
          </cell>
          <cell r="F32">
            <v>12.309234490646649</v>
          </cell>
          <cell r="G32">
            <v>0.13650672937247957</v>
          </cell>
          <cell r="H32">
            <v>-0.12229327062752041</v>
          </cell>
        </row>
        <row r="33">
          <cell r="A33" t="str">
            <v>STR60003725</v>
          </cell>
          <cell r="B33" t="str">
            <v>MAIL OD ANNY</v>
          </cell>
          <cell r="C33">
            <v>19.329999999999998</v>
          </cell>
          <cell r="D33">
            <v>0.15885243955136572</v>
          </cell>
          <cell r="E33">
            <v>0.14839681442343042</v>
          </cell>
          <cell r="F33">
            <v>16.633013501530936</v>
          </cell>
          <cell r="G33">
            <v>0.15885243955136572</v>
          </cell>
          <cell r="H33">
            <v>-3.4447560448634257E-2</v>
          </cell>
        </row>
        <row r="34">
          <cell r="A34" t="str">
            <v>STR60000702</v>
          </cell>
          <cell r="B34" t="str">
            <v>MAIL OD ANNY</v>
          </cell>
          <cell r="C34">
            <v>28.34</v>
          </cell>
          <cell r="D34">
            <v>0.1800836940590137</v>
          </cell>
          <cell r="E34">
            <v>0.17098621206876638</v>
          </cell>
          <cell r="F34">
            <v>19.577059125839781</v>
          </cell>
          <cell r="G34">
            <v>0.1800836940590137</v>
          </cell>
          <cell r="H34">
            <v>-0.10331630594098629</v>
          </cell>
        </row>
        <row r="35">
          <cell r="A35" t="str">
            <v>STR60007867</v>
          </cell>
          <cell r="B35" t="str">
            <v>MAIL OD ANNY</v>
          </cell>
          <cell r="C35">
            <v>88.75</v>
          </cell>
          <cell r="D35">
            <v>0.4829459221982586</v>
          </cell>
          <cell r="E35">
            <v>0.48294999999999999</v>
          </cell>
          <cell r="F35">
            <v>48.295000000000002</v>
          </cell>
          <cell r="G35">
            <v>0.4829459221982586</v>
          </cell>
          <cell r="H35">
            <v>-0.40455407780174135</v>
          </cell>
        </row>
        <row r="36">
          <cell r="A36" t="str">
            <v>STR60000707</v>
          </cell>
          <cell r="B36" t="str">
            <v>MAIL OD ANNY</v>
          </cell>
          <cell r="C36">
            <v>27.88</v>
          </cell>
          <cell r="D36">
            <v>0.17401942025247635</v>
          </cell>
          <cell r="E36">
            <v>0.17599251824796236</v>
          </cell>
          <cell r="F36">
            <v>16.060552826323814</v>
          </cell>
          <cell r="G36">
            <v>0.17401942025247635</v>
          </cell>
          <cell r="H36">
            <v>-0.10478057974752364</v>
          </cell>
        </row>
        <row r="37">
          <cell r="A37" t="str">
            <v>STR60011314</v>
          </cell>
          <cell r="B37" t="str">
            <v>MAIL OD ANNY</v>
          </cell>
          <cell r="C37"/>
          <cell r="D37">
            <v>0.171144994180322</v>
          </cell>
          <cell r="E37">
            <v>0.16349737833876715</v>
          </cell>
          <cell r="F37">
            <v>15.26785765418942</v>
          </cell>
          <cell r="G37">
            <v>0.171144994180322</v>
          </cell>
          <cell r="H37">
            <v>0.171144994180322</v>
          </cell>
        </row>
        <row r="38">
          <cell r="A38" t="str">
            <v>STR60011315</v>
          </cell>
          <cell r="B38" t="str">
            <v>MAIL OD ANNY</v>
          </cell>
          <cell r="C38"/>
          <cell r="D38">
            <v>0.22008916961389832</v>
          </cell>
          <cell r="E38">
            <v>0.21122380891118822</v>
          </cell>
          <cell r="F38">
            <v>22.316397304881519</v>
          </cell>
          <cell r="G38">
            <v>0.22008916961389832</v>
          </cell>
          <cell r="H38">
            <v>0.22008916961389832</v>
          </cell>
        </row>
        <row r="39">
          <cell r="A39" t="str">
            <v>STR60007960</v>
          </cell>
          <cell r="B39" t="str">
            <v>MAIL OD ANNY</v>
          </cell>
          <cell r="C39">
            <v>28.12</v>
          </cell>
          <cell r="D39">
            <v>0.18115535492139231</v>
          </cell>
          <cell r="E39">
            <v>0.16266499951419555</v>
          </cell>
          <cell r="F39">
            <v>13.589641960628885</v>
          </cell>
          <cell r="G39">
            <v>0.18115535492139231</v>
          </cell>
          <cell r="H39">
            <v>-0.10004464507860769</v>
          </cell>
        </row>
        <row r="40">
          <cell r="A40" t="str">
            <v>STR60011340</v>
          </cell>
          <cell r="B40" t="str">
            <v>MAIL OD ANNY</v>
          </cell>
          <cell r="C40"/>
          <cell r="D40">
            <v>0.15359289272828583</v>
          </cell>
          <cell r="E40">
            <v>0.14586858092461991</v>
          </cell>
          <cell r="F40">
            <v>14.348062439241538</v>
          </cell>
          <cell r="G40">
            <v>0.15359289272828583</v>
          </cell>
          <cell r="H40">
            <v>0.15359289272828583</v>
          </cell>
        </row>
        <row r="41">
          <cell r="A41" t="str">
            <v>STR60007539</v>
          </cell>
          <cell r="B41" t="str">
            <v>MAIL OD ANNY</v>
          </cell>
          <cell r="C41">
            <v>28.97</v>
          </cell>
          <cell r="D41">
            <v>0.17621388424171672</v>
          </cell>
          <cell r="E41">
            <v>0.15954975663638613</v>
          </cell>
          <cell r="F41">
            <v>17.853871608319682</v>
          </cell>
          <cell r="G41">
            <v>0.17621388424171672</v>
          </cell>
          <cell r="H41">
            <v>-0.1134861157582833</v>
          </cell>
        </row>
        <row r="42">
          <cell r="A42" t="str">
            <v>STR60007540</v>
          </cell>
          <cell r="B42" t="str">
            <v>MAIL OD ANNY</v>
          </cell>
          <cell r="C42">
            <v>54.56</v>
          </cell>
          <cell r="D42">
            <v>0.15700768128252462</v>
          </cell>
          <cell r="E42">
            <v>0.14550017307026644</v>
          </cell>
          <cell r="F42">
            <v>20.308820806169937</v>
          </cell>
          <cell r="G42">
            <v>0.15700768128252462</v>
          </cell>
          <cell r="H42">
            <v>-0.38859231871747535</v>
          </cell>
        </row>
        <row r="43">
          <cell r="A43" t="str">
            <v>STR60007774</v>
          </cell>
          <cell r="B43" t="str">
            <v>MAIL OD ANNY</v>
          </cell>
          <cell r="C43">
            <v>54.77</v>
          </cell>
          <cell r="D43">
            <v>0.23070395736434002</v>
          </cell>
          <cell r="E43">
            <v>0.20793460606544703</v>
          </cell>
          <cell r="F43">
            <v>21.229120310837978</v>
          </cell>
          <cell r="G43">
            <v>0.23070395736434002</v>
          </cell>
          <cell r="H43">
            <v>-0.31699604263566006</v>
          </cell>
        </row>
        <row r="44">
          <cell r="A44" t="str">
            <v>STR00009006</v>
          </cell>
          <cell r="B44" t="str">
            <v>MAIL OD ANNY</v>
          </cell>
          <cell r="C44"/>
          <cell r="D44">
            <v>0.10150089795031682</v>
          </cell>
          <cell r="E44">
            <v>8.1790882655694855E-2</v>
          </cell>
          <cell r="F44">
            <v>7.4747474747474669</v>
          </cell>
          <cell r="G44">
            <v>0.10150089795031682</v>
          </cell>
          <cell r="H44">
            <v>0.10150089795031682</v>
          </cell>
        </row>
        <row r="45">
          <cell r="A45" t="str">
            <v>STR00008048</v>
          </cell>
          <cell r="B45" t="str">
            <v>MAIL OD ANNY</v>
          </cell>
          <cell r="C45"/>
          <cell r="D45">
            <v>5.3729865282556639E-2</v>
          </cell>
          <cell r="E45">
            <v>5.8516778944725886E-2</v>
          </cell>
          <cell r="F45">
            <v>69.8</v>
          </cell>
          <cell r="G45">
            <v>5.3729865282556639E-2</v>
          </cell>
          <cell r="H45">
            <v>5.3729865282556639E-2</v>
          </cell>
        </row>
        <row r="46">
          <cell r="A46" t="str">
            <v>STR00010435</v>
          </cell>
          <cell r="B46" t="str">
            <v>MAIL OD ANNY</v>
          </cell>
          <cell r="C46"/>
          <cell r="D46">
            <v>0.2093285872405804</v>
          </cell>
          <cell r="E46">
            <v>6.0816733191002087E-2</v>
          </cell>
          <cell r="F46">
            <v>49.0089671984136</v>
          </cell>
          <cell r="G46">
            <v>0.2093285872405804</v>
          </cell>
          <cell r="H46">
            <v>0.2093285872405804</v>
          </cell>
        </row>
        <row r="47">
          <cell r="A47" t="str">
            <v>STR00010407</v>
          </cell>
          <cell r="B47" t="str">
            <v>MAIL OD ANNY</v>
          </cell>
          <cell r="C47"/>
          <cell r="D47">
            <v>9.5788768146943884E-2</v>
          </cell>
          <cell r="E47">
            <v>8.5488812460468244E-2</v>
          </cell>
          <cell r="F47">
            <v>26.822165898617513</v>
          </cell>
          <cell r="G47">
            <v>9.5788768146943884E-2</v>
          </cell>
          <cell r="H47">
            <v>9.5788768146943884E-2</v>
          </cell>
        </row>
        <row r="48">
          <cell r="A48" t="str">
            <v>STR00010446</v>
          </cell>
          <cell r="B48" t="str">
            <v>MAIL OD ANNY</v>
          </cell>
          <cell r="C48"/>
          <cell r="D48">
            <v>9.8005338527976035E-2</v>
          </cell>
          <cell r="E48">
            <v>0.10726823668190348</v>
          </cell>
          <cell r="F48">
            <v>60.649512243878064</v>
          </cell>
          <cell r="G48">
            <v>9.8005338527976035E-2</v>
          </cell>
          <cell r="H48">
            <v>9.8005338527976035E-2</v>
          </cell>
        </row>
        <row r="49">
          <cell r="A49" t="str">
            <v>STR00022290</v>
          </cell>
          <cell r="B49" t="str">
            <v>MAIL OD ANNY</v>
          </cell>
          <cell r="C49"/>
          <cell r="D49">
            <v>3.2858761389994537E-2</v>
          </cell>
          <cell r="E49">
            <v>3.4910499432806899E-2</v>
          </cell>
          <cell r="F49">
            <v>35.917721518987342</v>
          </cell>
          <cell r="G49">
            <v>3.2858761389994537E-2</v>
          </cell>
          <cell r="H49">
            <v>3.2858761389994537E-2</v>
          </cell>
        </row>
        <row r="50">
          <cell r="A50" t="str">
            <v>STR60007529</v>
          </cell>
          <cell r="B50" t="str">
            <v>Z BOM</v>
          </cell>
          <cell r="C50">
            <v>25.31</v>
          </cell>
          <cell r="D50">
            <v>0.16805976677549711</v>
          </cell>
          <cell r="E50">
            <v>0.15344706383376139</v>
          </cell>
          <cell r="F50">
            <v>14.924495538657833</v>
          </cell>
          <cell r="G50">
            <v>0.16805976677549711</v>
          </cell>
          <cell r="H50">
            <v>-8.5040233224502881E-2</v>
          </cell>
        </row>
        <row r="51">
          <cell r="A51" t="str">
            <v>STR60004508</v>
          </cell>
          <cell r="B51" t="str">
            <v>Z BOM</v>
          </cell>
          <cell r="C51">
            <v>24.25</v>
          </cell>
          <cell r="D51">
            <v>0.18271790724992676</v>
          </cell>
          <cell r="E51">
            <v>0.18271790724992676</v>
          </cell>
          <cell r="F51">
            <v>19.811929889359103</v>
          </cell>
          <cell r="G51">
            <v>0.18271790724992676</v>
          </cell>
          <cell r="H51">
            <v>-5.9782092750073235E-2</v>
          </cell>
        </row>
        <row r="52">
          <cell r="A52" t="str">
            <v>STR00023339</v>
          </cell>
          <cell r="C52">
            <v>0.2230215827338129</v>
          </cell>
          <cell r="F52">
            <v>22.302158273381288</v>
          </cell>
          <cell r="G52"/>
          <cell r="H52"/>
        </row>
        <row r="53">
          <cell r="A53" t="str">
            <v>STR00023390</v>
          </cell>
          <cell r="C53">
            <v>0.32499999999999996</v>
          </cell>
          <cell r="F53">
            <v>32.499999999999993</v>
          </cell>
          <cell r="G53"/>
          <cell r="H53"/>
        </row>
        <row r="54">
          <cell r="A54" t="str">
            <v>STR00030052</v>
          </cell>
          <cell r="C54">
            <v>0.46859903381642509</v>
          </cell>
          <cell r="F54">
            <v>46.859903381642511</v>
          </cell>
          <cell r="G54"/>
          <cell r="H54"/>
        </row>
        <row r="55">
          <cell r="A55" t="str">
            <v>STR00030053</v>
          </cell>
          <cell r="C55">
            <v>0.46859903381642509</v>
          </cell>
          <cell r="F55">
            <v>46.859903381642511</v>
          </cell>
          <cell r="G55"/>
          <cell r="H55"/>
        </row>
        <row r="56">
          <cell r="A56" t="str">
            <v>STR00030096</v>
          </cell>
          <cell r="C56">
            <v>0.51333333333333331</v>
          </cell>
          <cell r="F56">
            <v>51.333333333333329</v>
          </cell>
          <cell r="G56"/>
          <cell r="H56"/>
        </row>
        <row r="57">
          <cell r="A57" t="str">
            <v>STR60000701</v>
          </cell>
          <cell r="C57">
            <v>0.15672185415742423</v>
          </cell>
          <cell r="F57">
            <v>15.672185415742423</v>
          </cell>
          <cell r="G57"/>
          <cell r="H57"/>
        </row>
        <row r="58">
          <cell r="A58" t="str">
            <v>STR60000710</v>
          </cell>
          <cell r="C58">
            <v>0.15251260623598983</v>
          </cell>
          <cell r="F58">
            <v>15.251260623598984</v>
          </cell>
          <cell r="G58"/>
          <cell r="H58"/>
        </row>
        <row r="59">
          <cell r="A59" t="str">
            <v>STR60000803</v>
          </cell>
          <cell r="C59">
            <v>0.14712954909334885</v>
          </cell>
          <cell r="F59">
            <v>14.712954909334886</v>
          </cell>
          <cell r="G59"/>
          <cell r="H59"/>
        </row>
        <row r="60">
          <cell r="A60" t="str">
            <v>STR600012320</v>
          </cell>
          <cell r="C60">
            <v>0.2111724898714108</v>
          </cell>
          <cell r="F60">
            <v>21.117248987141078</v>
          </cell>
          <cell r="G60"/>
          <cell r="H60"/>
        </row>
        <row r="61">
          <cell r="A61" t="str">
            <v>STR600013771</v>
          </cell>
          <cell r="C61">
            <v>0.17461193099613759</v>
          </cell>
          <cell r="F61">
            <v>17.461193099613759</v>
          </cell>
          <cell r="G61"/>
          <cell r="H61"/>
        </row>
        <row r="62">
          <cell r="A62" t="str">
            <v>STR60002427</v>
          </cell>
          <cell r="C62">
            <v>0.4326766833611575</v>
          </cell>
          <cell r="F62">
            <v>43.267668336115747</v>
          </cell>
          <cell r="G62"/>
          <cell r="H62"/>
        </row>
        <row r="63">
          <cell r="A63" t="str">
            <v>STR60002564</v>
          </cell>
          <cell r="C63">
            <v>0.37372692861688939</v>
          </cell>
          <cell r="F63">
            <v>37.37269286168894</v>
          </cell>
          <cell r="G63"/>
          <cell r="H63"/>
        </row>
        <row r="64">
          <cell r="A64" t="str">
            <v>STR60003735</v>
          </cell>
          <cell r="C64">
            <v>0.19012011772853188</v>
          </cell>
          <cell r="F64">
            <v>19.012011772853189</v>
          </cell>
          <cell r="G64"/>
          <cell r="H64"/>
        </row>
        <row r="65">
          <cell r="A65" t="str">
            <v>STR60003746</v>
          </cell>
          <cell r="C65">
            <v>0.14743377715093198</v>
          </cell>
          <cell r="F65">
            <v>14.743377715093198</v>
          </cell>
          <cell r="G65"/>
          <cell r="H65"/>
        </row>
        <row r="66">
          <cell r="A66" t="str">
            <v>STR60011323</v>
          </cell>
          <cell r="C66">
            <v>0.17403278241676201</v>
          </cell>
          <cell r="F66">
            <v>17.403278241676201</v>
          </cell>
          <cell r="G66"/>
          <cell r="H66"/>
        </row>
        <row r="67">
          <cell r="A67" t="str">
            <v>STR60011328</v>
          </cell>
          <cell r="C67">
            <v>0.19231461787565074</v>
          </cell>
          <cell r="F67">
            <v>19.231461787565074</v>
          </cell>
          <cell r="G67"/>
          <cell r="H67"/>
        </row>
        <row r="68">
          <cell r="A68" t="str">
            <v>STR60011371</v>
          </cell>
          <cell r="C68">
            <v>0.30798348327233038</v>
          </cell>
          <cell r="F68">
            <v>30.79834832723304</v>
          </cell>
          <cell r="G68"/>
          <cell r="H68"/>
        </row>
        <row r="69">
          <cell r="A69" t="str">
            <v>STR60011372</v>
          </cell>
          <cell r="C69">
            <v>0.15173653098960149</v>
          </cell>
          <cell r="F69">
            <v>15.173653098960148</v>
          </cell>
          <cell r="G69"/>
          <cell r="H69"/>
        </row>
        <row r="70">
          <cell r="A70" t="str">
            <v>STR60011756</v>
          </cell>
          <cell r="C70">
            <v>0.21432270708869294</v>
          </cell>
          <cell r="F70">
            <v>21.432270708869293</v>
          </cell>
          <cell r="G70"/>
          <cell r="H70"/>
        </row>
        <row r="71">
          <cell r="A71" t="str">
            <v>STR60012140</v>
          </cell>
          <cell r="C71">
            <v>0.43208798605304743</v>
          </cell>
          <cell r="F71">
            <v>43.208798605304743</v>
          </cell>
          <cell r="G71"/>
          <cell r="H71"/>
        </row>
        <row r="72">
          <cell r="A72" t="str">
            <v>STR60012306</v>
          </cell>
          <cell r="C72">
            <v>0.16778801193724857</v>
          </cell>
          <cell r="F72">
            <v>16.778801193724856</v>
          </cell>
          <cell r="G72"/>
          <cell r="H72"/>
        </row>
        <row r="73">
          <cell r="A73" t="str">
            <v>STR60012310</v>
          </cell>
          <cell r="C73">
            <v>0.31729790842283778</v>
          </cell>
          <cell r="F73">
            <v>31.729790842283776</v>
          </cell>
          <cell r="G73"/>
          <cell r="H73"/>
        </row>
        <row r="74">
          <cell r="A74" t="str">
            <v>STR60012314</v>
          </cell>
          <cell r="C74">
            <v>0.14580592093161138</v>
          </cell>
          <cell r="F74">
            <v>14.580592093161137</v>
          </cell>
          <cell r="G74"/>
          <cell r="H74"/>
        </row>
        <row r="75">
          <cell r="A75" t="str">
            <v>STR60012321</v>
          </cell>
          <cell r="C75">
            <v>0.12953149612134829</v>
          </cell>
          <cell r="F75">
            <v>12.95314961213483</v>
          </cell>
          <cell r="G75"/>
          <cell r="H75"/>
        </row>
        <row r="76">
          <cell r="A76" t="str">
            <v>STR60012324</v>
          </cell>
          <cell r="C76">
            <v>0.10286210664243844</v>
          </cell>
          <cell r="F76">
            <v>10.286210664243844</v>
          </cell>
          <cell r="G76"/>
          <cell r="H76"/>
        </row>
        <row r="77">
          <cell r="A77" t="str">
            <v>STR60012345</v>
          </cell>
          <cell r="C77">
            <v>0.49569724949606608</v>
          </cell>
          <cell r="F77">
            <v>49.569724949606609</v>
          </cell>
          <cell r="G77"/>
          <cell r="H77"/>
        </row>
        <row r="78">
          <cell r="A78" t="str">
            <v>STR60012454</v>
          </cell>
          <cell r="C78">
            <v>0.26331803027818779</v>
          </cell>
          <cell r="F78">
            <v>26.331803027818779</v>
          </cell>
          <cell r="G78"/>
          <cell r="H78"/>
        </row>
        <row r="79">
          <cell r="A79" t="str">
            <v>STR60012528</v>
          </cell>
          <cell r="C79">
            <v>0.2430354090354091</v>
          </cell>
          <cell r="F79">
            <v>24.30354090354091</v>
          </cell>
          <cell r="G79"/>
          <cell r="H79"/>
        </row>
        <row r="80">
          <cell r="A80" t="str">
            <v>STR60013033</v>
          </cell>
          <cell r="C80">
            <v>0.23376135966844225</v>
          </cell>
          <cell r="F80">
            <v>23.376135966844224</v>
          </cell>
          <cell r="G80"/>
          <cell r="H80"/>
        </row>
        <row r="81">
          <cell r="A81" t="str">
            <v>STR60013072</v>
          </cell>
          <cell r="C81">
            <v>0.22269642704934223</v>
          </cell>
          <cell r="F81">
            <v>22.269642704934224</v>
          </cell>
          <cell r="G81"/>
          <cell r="H81"/>
        </row>
        <row r="82">
          <cell r="A82" t="str">
            <v>STR60013127</v>
          </cell>
          <cell r="C82">
            <v>0.17800646390574448</v>
          </cell>
          <cell r="F82">
            <v>17.80064639057445</v>
          </cell>
          <cell r="G82"/>
          <cell r="H82"/>
        </row>
        <row r="83">
          <cell r="A83" t="str">
            <v>STR60013288</v>
          </cell>
          <cell r="C83">
            <v>0.29945771316487824</v>
          </cell>
          <cell r="F83">
            <v>29.945771316487825</v>
          </cell>
          <cell r="G83"/>
          <cell r="H83"/>
        </row>
        <row r="84">
          <cell r="A84" t="str">
            <v>STR60014043</v>
          </cell>
          <cell r="C84">
            <v>0.2320462912059944</v>
          </cell>
          <cell r="F84">
            <v>23.204629120599442</v>
          </cell>
          <cell r="G84"/>
          <cell r="H84"/>
        </row>
        <row r="85">
          <cell r="A85" t="str">
            <v>STR60014151</v>
          </cell>
          <cell r="C85">
            <v>0.34952744453776807</v>
          </cell>
          <cell r="F85">
            <v>34.952744453776809</v>
          </cell>
          <cell r="G85"/>
          <cell r="H85"/>
        </row>
        <row r="86">
          <cell r="A86" t="str">
            <v>STR60014183</v>
          </cell>
          <cell r="C86">
            <v>0.27351820532982141</v>
          </cell>
          <cell r="F86">
            <v>27.351820532982142</v>
          </cell>
          <cell r="G86"/>
          <cell r="H86"/>
        </row>
        <row r="87">
          <cell r="A87" t="str">
            <v>STR60014386</v>
          </cell>
          <cell r="C87">
            <v>0.15640626106516264</v>
          </cell>
          <cell r="F87">
            <v>15.640626106516265</v>
          </cell>
          <cell r="G87"/>
          <cell r="H87"/>
        </row>
        <row r="88">
          <cell r="A88" t="str">
            <v>STR60014409</v>
          </cell>
          <cell r="C88">
            <v>0.26367448107448099</v>
          </cell>
          <cell r="F88">
            <v>26.367448107448098</v>
          </cell>
          <cell r="G88"/>
          <cell r="H88"/>
        </row>
        <row r="89">
          <cell r="A89" t="str">
            <v>STR60014414</v>
          </cell>
          <cell r="C89">
            <v>0.12450251306590654</v>
          </cell>
          <cell r="F89">
            <v>12.450251306590655</v>
          </cell>
          <cell r="G89"/>
          <cell r="H89"/>
        </row>
        <row r="90">
          <cell r="A90" t="str">
            <v>STR60014466</v>
          </cell>
          <cell r="C90">
            <v>0.42013070051160961</v>
          </cell>
          <cell r="F90">
            <v>42.013070051160959</v>
          </cell>
          <cell r="G90"/>
          <cell r="H90"/>
        </row>
        <row r="91">
          <cell r="A91" t="str">
            <v>STR60015581</v>
          </cell>
          <cell r="C91">
            <v>0.20089732167071539</v>
          </cell>
          <cell r="F91">
            <v>20.089732167071539</v>
          </cell>
          <cell r="G91"/>
          <cell r="H91"/>
        </row>
        <row r="92">
          <cell r="A92" t="str">
            <v>STR60015640</v>
          </cell>
          <cell r="C92">
            <v>0.24402907580477673</v>
          </cell>
          <cell r="F92">
            <v>24.402907580477674</v>
          </cell>
          <cell r="G92"/>
          <cell r="H92"/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18" Type="http://schemas.openxmlformats.org/officeDocument/2006/relationships/oleObject" Target="../embeddings/oleObject8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w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7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wmf"/><Relationship Id="rId15" Type="http://schemas.openxmlformats.org/officeDocument/2006/relationships/image" Target="../media/image6.wmf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8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2.bin"/><Relationship Id="rId3" Type="http://schemas.openxmlformats.org/officeDocument/2006/relationships/vmlDrawing" Target="../drawings/vmlDrawing2.vml"/><Relationship Id="rId7" Type="http://schemas.openxmlformats.org/officeDocument/2006/relationships/oleObject" Target="../embeddings/oleObject11.bin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10.bin"/><Relationship Id="rId5" Type="http://schemas.openxmlformats.org/officeDocument/2006/relationships/image" Target="../media/image10.emf"/><Relationship Id="rId4" Type="http://schemas.openxmlformats.org/officeDocument/2006/relationships/oleObject" Target="../embeddings/oleObject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1">
    <pageSetUpPr fitToPage="1"/>
  </sheetPr>
  <dimension ref="A1:AP59"/>
  <sheetViews>
    <sheetView tabSelected="1" view="pageBreakPreview" zoomScale="40" zoomScaleNormal="70" zoomScaleSheetLayoutView="40" workbookViewId="0">
      <selection activeCell="E26" sqref="E26:F26"/>
    </sheetView>
  </sheetViews>
  <sheetFormatPr defaultRowHeight="15"/>
  <cols>
    <col min="1" max="2" width="15.7109375" customWidth="1"/>
    <col min="3" max="4" width="16.7109375" customWidth="1"/>
    <col min="5" max="5" width="17.85546875" customWidth="1"/>
    <col min="6" max="14" width="16.7109375" customWidth="1"/>
    <col min="15" max="15" width="31.42578125" customWidth="1"/>
    <col min="16" max="35" width="16.7109375" customWidth="1"/>
    <col min="36" max="36" width="32" customWidth="1"/>
    <col min="37" max="45" width="16.7109375" customWidth="1"/>
  </cols>
  <sheetData>
    <row r="1" spans="1:42" ht="30" customHeight="1">
      <c r="A1" s="627"/>
      <c r="B1" s="628"/>
      <c r="C1" s="629"/>
      <c r="D1" s="607" t="s">
        <v>31</v>
      </c>
      <c r="E1" s="607"/>
      <c r="F1" s="607"/>
      <c r="G1" s="607"/>
      <c r="H1" s="607"/>
      <c r="I1" s="607"/>
      <c r="J1" s="607"/>
      <c r="K1" s="607"/>
      <c r="L1" s="607"/>
      <c r="M1" s="607"/>
      <c r="N1" s="607"/>
      <c r="O1" s="607"/>
      <c r="P1" s="607"/>
      <c r="Q1" s="607"/>
      <c r="R1" s="607"/>
      <c r="S1" s="607"/>
      <c r="T1" s="607"/>
      <c r="U1" s="607"/>
      <c r="V1" s="607"/>
      <c r="W1" s="607"/>
      <c r="X1" s="607"/>
      <c r="Y1" s="607"/>
      <c r="Z1" s="607"/>
      <c r="AA1" s="607"/>
      <c r="AB1" s="607"/>
      <c r="AC1" s="607"/>
      <c r="AD1" s="607"/>
      <c r="AE1" s="610"/>
      <c r="AF1" s="591" t="s">
        <v>759</v>
      </c>
      <c r="AG1" s="592"/>
      <c r="AH1" s="593"/>
      <c r="AJ1" s="144"/>
    </row>
    <row r="2" spans="1:42" ht="30" customHeight="1">
      <c r="A2" s="630"/>
      <c r="B2" s="631"/>
      <c r="C2" s="632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  <c r="R2" s="608"/>
      <c r="S2" s="608"/>
      <c r="T2" s="608"/>
      <c r="U2" s="608"/>
      <c r="V2" s="608"/>
      <c r="W2" s="608"/>
      <c r="X2" s="608"/>
      <c r="Y2" s="608"/>
      <c r="Z2" s="608"/>
      <c r="AA2" s="608"/>
      <c r="AB2" s="608"/>
      <c r="AC2" s="608"/>
      <c r="AD2" s="608"/>
      <c r="AE2" s="611"/>
      <c r="AF2" s="594" t="s">
        <v>760</v>
      </c>
      <c r="AG2" s="595"/>
      <c r="AH2" s="596"/>
    </row>
    <row r="3" spans="1:42" ht="30" customHeight="1" thickBot="1">
      <c r="A3" s="630"/>
      <c r="B3" s="631"/>
      <c r="C3" s="632"/>
      <c r="D3" s="609"/>
      <c r="E3" s="609"/>
      <c r="F3" s="609"/>
      <c r="G3" s="609"/>
      <c r="H3" s="609"/>
      <c r="I3" s="609"/>
      <c r="J3" s="609"/>
      <c r="K3" s="609"/>
      <c r="L3" s="609"/>
      <c r="M3" s="609"/>
      <c r="N3" s="609"/>
      <c r="O3" s="609"/>
      <c r="P3" s="609"/>
      <c r="Q3" s="609"/>
      <c r="R3" s="609"/>
      <c r="S3" s="609"/>
      <c r="T3" s="609"/>
      <c r="U3" s="609"/>
      <c r="V3" s="609"/>
      <c r="W3" s="609"/>
      <c r="X3" s="609"/>
      <c r="Y3" s="609"/>
      <c r="Z3" s="609"/>
      <c r="AA3" s="609"/>
      <c r="AB3" s="609"/>
      <c r="AC3" s="609"/>
      <c r="AD3" s="609"/>
      <c r="AE3" s="612"/>
      <c r="AF3" s="594" t="s">
        <v>28</v>
      </c>
      <c r="AG3" s="595"/>
      <c r="AH3" s="596"/>
    </row>
    <row r="4" spans="1:42" ht="35.1" customHeight="1">
      <c r="A4" s="633" t="s">
        <v>22</v>
      </c>
      <c r="B4" s="634"/>
      <c r="C4" s="613" t="s">
        <v>23</v>
      </c>
      <c r="D4" s="613"/>
      <c r="E4" s="615"/>
      <c r="F4" s="616"/>
      <c r="G4" s="616"/>
      <c r="H4" s="626" t="s">
        <v>25</v>
      </c>
      <c r="I4" s="626"/>
      <c r="J4" s="617"/>
      <c r="K4" s="617"/>
      <c r="L4" s="617"/>
      <c r="M4" s="635" t="s">
        <v>27</v>
      </c>
      <c r="N4" s="636"/>
      <c r="O4" s="619" t="str">
        <f>IF(C26&gt;=2,Uwagi!B34,Uwagi!B40)</f>
        <v>WIDOK  SZYBY  Z  ZEWNĄTRZ (strona cynowa/ogniowa nieistotna)</v>
      </c>
      <c r="P4" s="620"/>
      <c r="Q4" s="620"/>
      <c r="R4" s="620"/>
      <c r="S4" s="620"/>
      <c r="T4" s="620"/>
      <c r="U4" s="620"/>
      <c r="V4" s="620"/>
      <c r="W4" s="620"/>
      <c r="X4" s="620"/>
      <c r="Y4" s="620"/>
      <c r="Z4" s="620"/>
      <c r="AA4" s="620"/>
      <c r="AB4" s="621"/>
      <c r="AC4" s="602" t="s">
        <v>29</v>
      </c>
      <c r="AD4" s="603"/>
      <c r="AE4" s="603"/>
      <c r="AF4" s="597"/>
      <c r="AG4" s="597"/>
      <c r="AH4" s="598"/>
      <c r="AJ4" s="208"/>
    </row>
    <row r="5" spans="1:42" ht="35.1" customHeight="1" thickBot="1">
      <c r="A5" s="637"/>
      <c r="B5" s="600"/>
      <c r="C5" s="614" t="s">
        <v>24</v>
      </c>
      <c r="D5" s="614"/>
      <c r="E5" s="625"/>
      <c r="F5" s="565"/>
      <c r="G5" s="565"/>
      <c r="H5" s="606" t="s">
        <v>26</v>
      </c>
      <c r="I5" s="606"/>
      <c r="J5" s="618"/>
      <c r="K5" s="618"/>
      <c r="L5" s="618"/>
      <c r="M5" s="600"/>
      <c r="N5" s="601"/>
      <c r="O5" s="622"/>
      <c r="P5" s="623"/>
      <c r="Q5" s="623"/>
      <c r="R5" s="623"/>
      <c r="S5" s="623"/>
      <c r="T5" s="623"/>
      <c r="U5" s="623"/>
      <c r="V5" s="623"/>
      <c r="W5" s="623"/>
      <c r="X5" s="623"/>
      <c r="Y5" s="623"/>
      <c r="Z5" s="623"/>
      <c r="AA5" s="623"/>
      <c r="AB5" s="624"/>
      <c r="AC5" s="604" t="s">
        <v>30</v>
      </c>
      <c r="AD5" s="605"/>
      <c r="AE5" s="605"/>
      <c r="AF5" s="599"/>
      <c r="AG5" s="600"/>
      <c r="AH5" s="601"/>
      <c r="AJ5" s="497" t="str">
        <f>IFERROR(IF(VLOOKUP($E$4,ETYKIETOWANIE!C3:I203,7,0)=0,"",VLOOKUP($E$4,ETYKIETOWANIE!C3:I203,7,0)),"")</f>
        <v/>
      </c>
      <c r="AK5" s="497"/>
    </row>
    <row r="6" spans="1:42" ht="38.1" customHeight="1">
      <c r="A6" s="523" t="s">
        <v>20</v>
      </c>
      <c r="B6" s="524"/>
      <c r="C6" s="494" t="s">
        <v>214</v>
      </c>
      <c r="D6" s="495"/>
      <c r="E6" s="496"/>
      <c r="F6" s="38"/>
      <c r="G6" s="45"/>
      <c r="H6" s="39"/>
      <c r="I6" s="39"/>
      <c r="J6" s="40"/>
      <c r="K6" s="1"/>
      <c r="L6" s="52"/>
      <c r="M6" s="1"/>
      <c r="N6" s="1"/>
      <c r="O6" s="52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3"/>
      <c r="AJ6" s="497"/>
      <c r="AK6" s="497"/>
    </row>
    <row r="7" spans="1:42" ht="38.1" customHeight="1">
      <c r="A7" s="510" t="s">
        <v>0</v>
      </c>
      <c r="B7" s="511"/>
      <c r="C7" s="533">
        <v>5.85</v>
      </c>
      <c r="D7" s="533"/>
      <c r="E7" s="542"/>
      <c r="F7" s="46"/>
      <c r="G7" s="49"/>
      <c r="H7" s="47"/>
      <c r="I7" s="47"/>
      <c r="J7" s="41"/>
      <c r="K7" s="1"/>
      <c r="L7" s="53"/>
      <c r="M7" s="37"/>
      <c r="N7" s="37"/>
      <c r="O7" s="54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3"/>
    </row>
    <row r="8" spans="1:42" ht="38.1" customHeight="1">
      <c r="A8" s="510" t="s">
        <v>19</v>
      </c>
      <c r="B8" s="511"/>
      <c r="C8" s="533"/>
      <c r="D8" s="533"/>
      <c r="E8" s="542"/>
      <c r="F8" s="46"/>
      <c r="G8" s="50"/>
      <c r="H8" s="47"/>
      <c r="I8" s="47"/>
      <c r="J8" s="41"/>
      <c r="K8" s="1"/>
      <c r="L8" s="53"/>
      <c r="M8" s="1"/>
      <c r="N8" s="1"/>
      <c r="O8" s="54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3"/>
    </row>
    <row r="9" spans="1:42" ht="38.1" customHeight="1">
      <c r="A9" s="510" t="s">
        <v>21</v>
      </c>
      <c r="B9" s="511"/>
      <c r="C9" s="533"/>
      <c r="D9" s="533"/>
      <c r="E9" s="542"/>
      <c r="F9" s="46"/>
      <c r="G9" s="50"/>
      <c r="H9" s="47"/>
      <c r="I9" s="47"/>
      <c r="J9" s="41"/>
      <c r="K9" s="1"/>
      <c r="L9" s="53"/>
      <c r="M9" s="1"/>
      <c r="N9" s="1"/>
      <c r="O9" s="54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3"/>
      <c r="AJ9" s="497" t="str">
        <f>IF('MARSZRUTA_WER 6'!AX276&lt;&gt;"","SPRAWDŹ MARSZRUTĘ","")</f>
        <v>SPRAWDŹ MARSZRUTĘ</v>
      </c>
      <c r="AK9" s="497"/>
      <c r="AL9" s="497"/>
      <c r="AM9" s="497"/>
      <c r="AN9" s="497"/>
      <c r="AO9" s="497"/>
      <c r="AP9" s="497"/>
    </row>
    <row r="10" spans="1:42" ht="38.1" customHeight="1">
      <c r="A10" s="510" t="s">
        <v>18</v>
      </c>
      <c r="B10" s="511"/>
      <c r="C10" s="533"/>
      <c r="D10" s="533"/>
      <c r="E10" s="542"/>
      <c r="F10" s="470"/>
      <c r="G10" s="471"/>
      <c r="H10" s="471"/>
      <c r="I10" s="471"/>
      <c r="J10" s="472"/>
      <c r="K10" s="1"/>
      <c r="L10" s="53"/>
      <c r="M10" s="1"/>
      <c r="N10" s="1"/>
      <c r="O10" s="54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3"/>
      <c r="AJ10" s="497"/>
      <c r="AK10" s="497"/>
      <c r="AL10" s="497"/>
      <c r="AM10" s="497"/>
      <c r="AN10" s="497"/>
      <c r="AO10" s="497"/>
      <c r="AP10" s="497"/>
    </row>
    <row r="11" spans="1:42" ht="38.1" customHeight="1">
      <c r="A11" s="587" t="s">
        <v>17</v>
      </c>
      <c r="B11" s="588"/>
      <c r="C11" s="533"/>
      <c r="D11" s="533"/>
      <c r="E11" s="542"/>
      <c r="F11" s="470"/>
      <c r="G11" s="471"/>
      <c r="H11" s="471"/>
      <c r="I11" s="471"/>
      <c r="J11" s="472"/>
      <c r="K11" s="1"/>
      <c r="L11" s="53"/>
      <c r="M11" s="196"/>
      <c r="N11" s="1"/>
      <c r="O11" s="53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3"/>
      <c r="AJ11" s="478" t="str">
        <f>'MARSZRUTA_WER 6'!AX276</f>
        <v>SVEC,SVEC,SVEC,SVEC,SVEC,JB04,JB04,JB04,LGSM,LGSM,PLAN,POLR,BK02,BK04,</v>
      </c>
    </row>
    <row r="12" spans="1:42" ht="38.1" customHeight="1">
      <c r="A12" s="587" t="s">
        <v>16</v>
      </c>
      <c r="B12" s="588"/>
      <c r="C12" s="533" t="s">
        <v>215</v>
      </c>
      <c r="D12" s="533"/>
      <c r="E12" s="542"/>
      <c r="F12" s="46"/>
      <c r="G12" s="50"/>
      <c r="H12" s="47"/>
      <c r="I12" s="47"/>
      <c r="J12" s="41"/>
      <c r="K12" s="1"/>
      <c r="L12" s="53"/>
      <c r="M12" s="1"/>
      <c r="N12" s="1"/>
      <c r="O12" s="53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3"/>
    </row>
    <row r="13" spans="1:42" ht="38.1" customHeight="1" thickBot="1">
      <c r="A13" s="643" t="s">
        <v>15</v>
      </c>
      <c r="B13" s="614"/>
      <c r="C13" s="641">
        <f>E26*C7*2.45</f>
        <v>11.523863885625</v>
      </c>
      <c r="D13" s="641"/>
      <c r="E13" s="642"/>
      <c r="F13" s="48"/>
      <c r="G13" s="49"/>
      <c r="H13" s="47"/>
      <c r="I13" s="47"/>
      <c r="J13" s="41"/>
      <c r="K13" s="1"/>
      <c r="L13" s="53"/>
      <c r="M13" s="1"/>
      <c r="N13" s="1"/>
      <c r="O13" s="53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3"/>
    </row>
    <row r="14" spans="1:42" ht="39.950000000000003" customHeight="1">
      <c r="A14" s="532" t="s">
        <v>11</v>
      </c>
      <c r="B14" s="530"/>
      <c r="C14" s="530"/>
      <c r="D14" s="530"/>
      <c r="E14" s="531"/>
      <c r="F14" s="48"/>
      <c r="G14" s="50"/>
      <c r="H14" s="47"/>
      <c r="I14" s="47"/>
      <c r="J14" s="41"/>
      <c r="K14" s="1"/>
      <c r="L14" s="53"/>
      <c r="M14" s="1"/>
      <c r="N14" s="1"/>
      <c r="O14" s="53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3"/>
    </row>
    <row r="15" spans="1:42" ht="38.1" customHeight="1">
      <c r="A15" s="510" t="s">
        <v>7</v>
      </c>
      <c r="B15" s="511"/>
      <c r="C15" s="511"/>
      <c r="D15" s="533" t="s">
        <v>215</v>
      </c>
      <c r="E15" s="542"/>
      <c r="F15" s="48"/>
      <c r="G15" s="50"/>
      <c r="H15" s="47"/>
      <c r="I15" s="47"/>
      <c r="J15" s="41"/>
      <c r="K15" s="1"/>
      <c r="L15" s="53"/>
      <c r="M15" s="1"/>
      <c r="O15" s="53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3"/>
    </row>
    <row r="16" spans="1:42" ht="38.1" customHeight="1" thickBot="1">
      <c r="A16" s="510" t="s">
        <v>8</v>
      </c>
      <c r="B16" s="511"/>
      <c r="C16" s="511"/>
      <c r="D16" s="533" t="s">
        <v>215</v>
      </c>
      <c r="E16" s="542"/>
      <c r="F16" s="42"/>
      <c r="G16" s="43"/>
      <c r="H16" s="43"/>
      <c r="I16" s="43"/>
      <c r="J16" s="44"/>
      <c r="K16" s="1"/>
      <c r="L16" s="53"/>
      <c r="M16" s="1"/>
      <c r="N16" s="1"/>
      <c r="O16" s="53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3"/>
    </row>
    <row r="17" spans="1:34" ht="38.1" customHeight="1">
      <c r="A17" s="510" t="s">
        <v>226</v>
      </c>
      <c r="B17" s="511"/>
      <c r="C17" s="511"/>
      <c r="D17" s="533" t="s">
        <v>215</v>
      </c>
      <c r="E17" s="542"/>
      <c r="F17" s="652" t="s">
        <v>13</v>
      </c>
      <c r="G17" s="653"/>
      <c r="H17" s="646" t="s">
        <v>215</v>
      </c>
      <c r="I17" s="647"/>
      <c r="J17" s="648"/>
      <c r="K17" s="1"/>
      <c r="L17" s="53"/>
      <c r="M17" s="1"/>
      <c r="N17" s="1"/>
      <c r="O17" s="53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3"/>
    </row>
    <row r="18" spans="1:34" ht="38.1" customHeight="1">
      <c r="A18" s="510" t="s">
        <v>227</v>
      </c>
      <c r="B18" s="511"/>
      <c r="C18" s="511"/>
      <c r="D18" s="533" t="s">
        <v>215</v>
      </c>
      <c r="E18" s="542"/>
      <c r="F18" s="644" t="s">
        <v>14</v>
      </c>
      <c r="G18" s="645"/>
      <c r="H18" s="649" t="s">
        <v>215</v>
      </c>
      <c r="I18" s="650"/>
      <c r="J18" s="651"/>
      <c r="K18" s="1"/>
      <c r="L18" s="53"/>
      <c r="M18" s="1"/>
      <c r="N18" s="477"/>
      <c r="O18" s="53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3"/>
    </row>
    <row r="19" spans="1:34" ht="38.1" customHeight="1" thickBot="1">
      <c r="A19" s="643" t="s">
        <v>9</v>
      </c>
      <c r="B19" s="614"/>
      <c r="C19" s="614"/>
      <c r="D19" s="600" t="s">
        <v>215</v>
      </c>
      <c r="E19" s="601"/>
      <c r="F19" s="582" t="s">
        <v>12</v>
      </c>
      <c r="G19" s="583"/>
      <c r="H19" s="584" t="s">
        <v>215</v>
      </c>
      <c r="I19" s="585"/>
      <c r="J19" s="586"/>
      <c r="K19" s="1"/>
      <c r="L19" s="53"/>
      <c r="M19" s="1"/>
      <c r="N19" s="1"/>
      <c r="O19" s="53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3"/>
    </row>
    <row r="20" spans="1:34" ht="39.950000000000003" customHeight="1">
      <c r="A20" s="539" t="s">
        <v>6</v>
      </c>
      <c r="B20" s="540"/>
      <c r="C20" s="540"/>
      <c r="D20" s="540"/>
      <c r="E20" s="540"/>
      <c r="F20" s="540"/>
      <c r="G20" s="540"/>
      <c r="H20" s="540"/>
      <c r="I20" s="540"/>
      <c r="J20" s="541"/>
      <c r="K20" s="1"/>
      <c r="L20" s="53"/>
      <c r="M20" s="1"/>
      <c r="N20" s="1"/>
      <c r="O20" s="53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3"/>
    </row>
    <row r="21" spans="1:34" s="2" customFormat="1" ht="39.950000000000003" customHeight="1" thickBot="1">
      <c r="A21" s="557" t="str">
        <f>'MARSZRUTA_WER 6'!AP298</f>
        <v>, P71</v>
      </c>
      <c r="B21" s="558"/>
      <c r="C21" s="558"/>
      <c r="D21" s="558"/>
      <c r="E21" s="558"/>
      <c r="F21" s="558"/>
      <c r="G21" s="558"/>
      <c r="H21" s="558"/>
      <c r="I21" s="558"/>
      <c r="J21" s="589"/>
      <c r="K21" s="34"/>
      <c r="L21" s="53"/>
      <c r="M21" s="35"/>
      <c r="N21" s="35"/>
      <c r="O21" s="53"/>
      <c r="P21" s="35"/>
      <c r="Q21" s="35"/>
      <c r="R21" s="35"/>
      <c r="S21" s="35"/>
      <c r="T21" s="35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5"/>
    </row>
    <row r="22" spans="1:34" ht="39.950000000000003" customHeight="1">
      <c r="A22" s="551" t="s">
        <v>765</v>
      </c>
      <c r="B22" s="552"/>
      <c r="C22" s="552"/>
      <c r="D22" s="552"/>
      <c r="E22" s="552"/>
      <c r="F22" s="552"/>
      <c r="G22" s="552"/>
      <c r="H22" s="552"/>
      <c r="I22" s="552"/>
      <c r="J22" s="553"/>
      <c r="K22" s="34"/>
      <c r="L22" s="1"/>
      <c r="M22" s="1"/>
      <c r="N22" s="1"/>
      <c r="O22" s="53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3"/>
    </row>
    <row r="23" spans="1:34" ht="45" customHeight="1">
      <c r="A23" s="638"/>
      <c r="B23" s="639"/>
      <c r="C23" s="590" t="s">
        <v>1</v>
      </c>
      <c r="D23" s="590"/>
      <c r="E23" s="590" t="s">
        <v>543</v>
      </c>
      <c r="F23" s="590"/>
      <c r="G23" s="590" t="s">
        <v>4</v>
      </c>
      <c r="H23" s="590"/>
      <c r="I23" s="590" t="s">
        <v>5</v>
      </c>
      <c r="J23" s="640"/>
      <c r="K23" s="34"/>
      <c r="L23" s="1"/>
      <c r="M23" s="1"/>
      <c r="N23" s="1"/>
      <c r="O23" s="53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3"/>
    </row>
    <row r="24" spans="1:34" ht="38.1" customHeight="1">
      <c r="A24" s="510" t="s">
        <v>2</v>
      </c>
      <c r="B24" s="511"/>
      <c r="C24" s="525">
        <v>559</v>
      </c>
      <c r="D24" s="538"/>
      <c r="E24" s="525">
        <v>560.5</v>
      </c>
      <c r="F24" s="538"/>
      <c r="G24" s="549">
        <f>INT(E24+40)</f>
        <v>600</v>
      </c>
      <c r="H24" s="556"/>
      <c r="I24" s="525" t="s">
        <v>215</v>
      </c>
      <c r="J24" s="526"/>
      <c r="K24" s="34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3"/>
    </row>
    <row r="25" spans="1:34" ht="38.1" customHeight="1">
      <c r="A25" s="510" t="s">
        <v>10</v>
      </c>
      <c r="B25" s="511"/>
      <c r="C25" s="525">
        <v>1433</v>
      </c>
      <c r="D25" s="538"/>
      <c r="E25" s="525">
        <v>1434.5</v>
      </c>
      <c r="F25" s="538"/>
      <c r="G25" s="549">
        <f>INT(E25+40)</f>
        <v>1474</v>
      </c>
      <c r="H25" s="556"/>
      <c r="I25" s="525" t="s">
        <v>215</v>
      </c>
      <c r="J25" s="526"/>
      <c r="K25" s="34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3"/>
    </row>
    <row r="26" spans="1:34" ht="38.1" customHeight="1" thickBot="1">
      <c r="A26" s="580" t="s">
        <v>3</v>
      </c>
      <c r="B26" s="581"/>
      <c r="C26" s="568">
        <f t="shared" ref="C26:E26" si="0">C24*C25/1000000</f>
        <v>0.80104699999999995</v>
      </c>
      <c r="D26" s="569"/>
      <c r="E26" s="568">
        <f t="shared" si="0"/>
        <v>0.80403725000000004</v>
      </c>
      <c r="F26" s="569"/>
      <c r="G26" s="568">
        <f>G24*G25/1000000</f>
        <v>0.88439999999999996</v>
      </c>
      <c r="H26" s="569"/>
      <c r="I26" s="525" t="s">
        <v>215</v>
      </c>
      <c r="J26" s="52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3"/>
    </row>
    <row r="27" spans="1:34" ht="39.950000000000003" customHeight="1">
      <c r="A27" s="551" t="s">
        <v>766</v>
      </c>
      <c r="B27" s="552"/>
      <c r="C27" s="552"/>
      <c r="D27" s="552"/>
      <c r="E27" s="552"/>
      <c r="F27" s="552"/>
      <c r="G27" s="552"/>
      <c r="H27" s="552"/>
      <c r="I27" s="552"/>
      <c r="J27" s="553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3"/>
    </row>
    <row r="28" spans="1:34" ht="38.1" customHeight="1" thickBot="1">
      <c r="A28" s="557" t="s">
        <v>229</v>
      </c>
      <c r="B28" s="558"/>
      <c r="C28" s="559"/>
      <c r="D28" s="549">
        <f>2*C24+2*C25</f>
        <v>3984</v>
      </c>
      <c r="E28" s="556"/>
      <c r="F28" s="570" t="s">
        <v>228</v>
      </c>
      <c r="G28" s="571"/>
      <c r="H28" s="572"/>
      <c r="I28" s="549">
        <f>2*C24+2*C25</f>
        <v>3984</v>
      </c>
      <c r="J28" s="550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3"/>
    </row>
    <row r="29" spans="1:34" ht="38.1" customHeight="1">
      <c r="A29" s="551" t="s">
        <v>767</v>
      </c>
      <c r="B29" s="552"/>
      <c r="C29" s="552"/>
      <c r="D29" s="552"/>
      <c r="E29" s="552"/>
      <c r="F29" s="552"/>
      <c r="G29" s="552"/>
      <c r="H29" s="552"/>
      <c r="I29" s="552"/>
      <c r="J29" s="553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3"/>
    </row>
    <row r="30" spans="1:34" ht="38.1" customHeight="1">
      <c r="A30" s="55" t="s">
        <v>527</v>
      </c>
      <c r="B30" s="525" t="s">
        <v>215</v>
      </c>
      <c r="C30" s="538"/>
      <c r="D30" s="563" t="s">
        <v>215</v>
      </c>
      <c r="E30" s="564"/>
      <c r="F30" s="527" t="s">
        <v>224</v>
      </c>
      <c r="G30" s="528"/>
      <c r="H30" s="529"/>
      <c r="I30" s="554" t="s">
        <v>215</v>
      </c>
      <c r="J30" s="555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3"/>
    </row>
    <row r="31" spans="1:34" ht="38.1" customHeight="1" thickBot="1">
      <c r="A31" s="55" t="s">
        <v>527</v>
      </c>
      <c r="B31" s="567" t="s">
        <v>215</v>
      </c>
      <c r="C31" s="566"/>
      <c r="D31" s="565" t="s">
        <v>215</v>
      </c>
      <c r="E31" s="566"/>
      <c r="F31" s="560" t="s">
        <v>224</v>
      </c>
      <c r="G31" s="561"/>
      <c r="H31" s="562"/>
      <c r="I31" s="547" t="s">
        <v>215</v>
      </c>
      <c r="J31" s="548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3"/>
    </row>
    <row r="32" spans="1:34" ht="39.950000000000003" customHeight="1">
      <c r="A32" s="573" t="s">
        <v>768</v>
      </c>
      <c r="B32" s="574"/>
      <c r="C32" s="574"/>
      <c r="D32" s="574"/>
      <c r="E32" s="574"/>
      <c r="F32" s="574"/>
      <c r="G32" s="574"/>
      <c r="H32" s="574"/>
      <c r="I32" s="574"/>
      <c r="J32" s="575"/>
      <c r="K32" s="1"/>
      <c r="L32" s="36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3"/>
    </row>
    <row r="33" spans="1:34" ht="38.1" customHeight="1">
      <c r="A33" s="579" t="s">
        <v>230</v>
      </c>
      <c r="B33" s="502"/>
      <c r="C33" s="502"/>
      <c r="D33" s="502"/>
      <c r="E33" s="502"/>
      <c r="F33" s="502"/>
      <c r="G33" s="503"/>
      <c r="H33" s="571" t="s">
        <v>32</v>
      </c>
      <c r="I33" s="571"/>
      <c r="J33" s="578"/>
      <c r="K33" s="6"/>
      <c r="L33" s="8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3"/>
    </row>
    <row r="34" spans="1:34" ht="38.1" customHeight="1">
      <c r="A34" s="576" t="s">
        <v>33</v>
      </c>
      <c r="B34" s="577"/>
      <c r="C34" s="525"/>
      <c r="D34" s="546"/>
      <c r="E34" s="546"/>
      <c r="F34" s="546"/>
      <c r="G34" s="538"/>
      <c r="H34" s="546" t="s">
        <v>518</v>
      </c>
      <c r="I34" s="546"/>
      <c r="J34" s="526"/>
      <c r="K34" s="6"/>
      <c r="L34" s="8"/>
      <c r="M34" s="1"/>
      <c r="N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3"/>
    </row>
    <row r="35" spans="1:34" ht="38.1" customHeight="1">
      <c r="A35" s="576" t="s">
        <v>34</v>
      </c>
      <c r="B35" s="577"/>
      <c r="C35" s="525"/>
      <c r="D35" s="546"/>
      <c r="E35" s="546"/>
      <c r="F35" s="546"/>
      <c r="G35" s="538"/>
      <c r="H35" s="546" t="s">
        <v>518</v>
      </c>
      <c r="I35" s="546"/>
      <c r="J35" s="526"/>
      <c r="K35" s="1"/>
      <c r="L35" s="8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3"/>
    </row>
    <row r="36" spans="1:34" ht="38.1" customHeight="1">
      <c r="A36" s="576" t="s">
        <v>631</v>
      </c>
      <c r="B36" s="577"/>
      <c r="C36" s="525"/>
      <c r="D36" s="546"/>
      <c r="E36" s="546"/>
      <c r="F36" s="546"/>
      <c r="G36" s="538"/>
      <c r="H36" s="546" t="s">
        <v>518</v>
      </c>
      <c r="I36" s="546"/>
      <c r="J36" s="526"/>
      <c r="K36" s="1"/>
      <c r="L36" s="8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3"/>
    </row>
    <row r="37" spans="1:34" ht="38.1" customHeight="1">
      <c r="A37" s="576" t="s">
        <v>632</v>
      </c>
      <c r="B37" s="577"/>
      <c r="C37" s="525"/>
      <c r="D37" s="546"/>
      <c r="E37" s="546"/>
      <c r="F37" s="546"/>
      <c r="G37" s="538"/>
      <c r="H37" s="546" t="s">
        <v>518</v>
      </c>
      <c r="I37" s="546"/>
      <c r="J37" s="526"/>
      <c r="K37" s="1"/>
      <c r="L37" s="8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3"/>
    </row>
    <row r="38" spans="1:34" ht="39.950000000000003" customHeight="1" thickBot="1">
      <c r="A38" s="557" t="s">
        <v>633</v>
      </c>
      <c r="B38" s="559"/>
      <c r="C38" s="567"/>
      <c r="D38" s="565"/>
      <c r="E38" s="565"/>
      <c r="F38" s="565"/>
      <c r="G38" s="566"/>
      <c r="H38" s="546" t="s">
        <v>518</v>
      </c>
      <c r="I38" s="546"/>
      <c r="J38" s="526"/>
      <c r="K38" s="8"/>
      <c r="L38" s="8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3"/>
    </row>
    <row r="39" spans="1:34" ht="39.950000000000003" customHeight="1">
      <c r="A39" s="539" t="s">
        <v>35</v>
      </c>
      <c r="B39" s="540"/>
      <c r="C39" s="540"/>
      <c r="D39" s="540"/>
      <c r="E39" s="540"/>
      <c r="F39" s="540"/>
      <c r="G39" s="540"/>
      <c r="H39" s="540"/>
      <c r="I39" s="540"/>
      <c r="J39" s="541"/>
      <c r="K39" s="6"/>
      <c r="L39" s="36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3"/>
    </row>
    <row r="40" spans="1:34" ht="38.1" customHeight="1">
      <c r="A40" s="543" t="s">
        <v>59</v>
      </c>
      <c r="B40" s="544"/>
      <c r="C40" s="544"/>
      <c r="D40" s="544"/>
      <c r="E40" s="545"/>
      <c r="F40" s="533" t="s">
        <v>215</v>
      </c>
      <c r="G40" s="533"/>
      <c r="H40" s="533"/>
      <c r="I40" s="533"/>
      <c r="J40" s="542"/>
      <c r="K40" s="6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3"/>
    </row>
    <row r="41" spans="1:34" ht="38.1" customHeight="1">
      <c r="A41" s="543" t="s">
        <v>36</v>
      </c>
      <c r="B41" s="544"/>
      <c r="C41" s="544"/>
      <c r="D41" s="544"/>
      <c r="E41" s="545"/>
      <c r="F41" s="525" t="s">
        <v>215</v>
      </c>
      <c r="G41" s="546"/>
      <c r="H41" s="546"/>
      <c r="I41" s="546"/>
      <c r="J41" s="526"/>
      <c r="K41" s="6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3"/>
    </row>
    <row r="42" spans="1:34" ht="38.1" customHeight="1" thickBot="1">
      <c r="A42" s="543" t="s">
        <v>37</v>
      </c>
      <c r="B42" s="544"/>
      <c r="C42" s="544"/>
      <c r="D42" s="544"/>
      <c r="E42" s="545"/>
      <c r="F42" s="525" t="s">
        <v>215</v>
      </c>
      <c r="G42" s="546"/>
      <c r="H42" s="546"/>
      <c r="I42" s="546"/>
      <c r="J42" s="526"/>
      <c r="K42" s="6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3"/>
    </row>
    <row r="43" spans="1:34" ht="39.950000000000003" customHeight="1">
      <c r="A43" s="539" t="s">
        <v>38</v>
      </c>
      <c r="B43" s="540"/>
      <c r="C43" s="540"/>
      <c r="D43" s="540"/>
      <c r="E43" s="540"/>
      <c r="F43" s="540"/>
      <c r="G43" s="540"/>
      <c r="H43" s="540"/>
      <c r="I43" s="540"/>
      <c r="J43" s="541"/>
      <c r="K43" s="6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3"/>
    </row>
    <row r="44" spans="1:34" ht="38.1" customHeight="1">
      <c r="A44" s="510" t="s">
        <v>39</v>
      </c>
      <c r="B44" s="511"/>
      <c r="C44" s="511"/>
      <c r="D44" s="533" t="s">
        <v>215</v>
      </c>
      <c r="E44" s="533"/>
      <c r="F44" s="527" t="s">
        <v>45</v>
      </c>
      <c r="G44" s="528"/>
      <c r="H44" s="529"/>
      <c r="I44" s="533" t="s">
        <v>215</v>
      </c>
      <c r="J44" s="542"/>
      <c r="K44" s="6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3"/>
    </row>
    <row r="45" spans="1:34" ht="38.1" customHeight="1">
      <c r="A45" s="510" t="s">
        <v>40</v>
      </c>
      <c r="B45" s="511"/>
      <c r="C45" s="511"/>
      <c r="D45" s="525" t="s">
        <v>215</v>
      </c>
      <c r="E45" s="538"/>
      <c r="F45" s="527" t="s">
        <v>46</v>
      </c>
      <c r="G45" s="528"/>
      <c r="H45" s="529"/>
      <c r="I45" s="533" t="s">
        <v>215</v>
      </c>
      <c r="J45" s="542"/>
      <c r="K45" s="6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3"/>
    </row>
    <row r="46" spans="1:34" ht="38.1" customHeight="1">
      <c r="A46" s="510" t="s">
        <v>41</v>
      </c>
      <c r="B46" s="511"/>
      <c r="C46" s="511"/>
      <c r="D46" s="525" t="s">
        <v>215</v>
      </c>
      <c r="E46" s="538"/>
      <c r="F46" s="527" t="s">
        <v>47</v>
      </c>
      <c r="G46" s="528"/>
      <c r="H46" s="529"/>
      <c r="I46" s="533" t="s">
        <v>215</v>
      </c>
      <c r="J46" s="542"/>
      <c r="K46" s="6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3"/>
    </row>
    <row r="47" spans="1:34" ht="38.1" customHeight="1">
      <c r="A47" s="510" t="s">
        <v>42</v>
      </c>
      <c r="B47" s="511"/>
      <c r="C47" s="511"/>
      <c r="D47" s="533" t="s">
        <v>215</v>
      </c>
      <c r="E47" s="533"/>
      <c r="F47" s="527" t="s">
        <v>48</v>
      </c>
      <c r="G47" s="528"/>
      <c r="H47" s="529"/>
      <c r="I47" s="533" t="s">
        <v>215</v>
      </c>
      <c r="J47" s="542"/>
      <c r="K47" s="6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3"/>
    </row>
    <row r="48" spans="1:34" ht="38.1" customHeight="1">
      <c r="A48" s="510" t="s">
        <v>586</v>
      </c>
      <c r="B48" s="511"/>
      <c r="C48" s="511"/>
      <c r="D48" s="533" t="s">
        <v>215</v>
      </c>
      <c r="E48" s="533"/>
      <c r="F48" s="527" t="s">
        <v>49</v>
      </c>
      <c r="G48" s="528"/>
      <c r="H48" s="529"/>
      <c r="I48" s="533" t="s">
        <v>215</v>
      </c>
      <c r="J48" s="542"/>
      <c r="K48" s="6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3"/>
    </row>
    <row r="49" spans="1:34" ht="38.1" customHeight="1">
      <c r="A49" s="510" t="s">
        <v>770</v>
      </c>
      <c r="B49" s="511"/>
      <c r="C49" s="511"/>
      <c r="D49" s="533" t="s">
        <v>215</v>
      </c>
      <c r="E49" s="533"/>
      <c r="F49" s="527" t="s">
        <v>50</v>
      </c>
      <c r="G49" s="528"/>
      <c r="H49" s="529"/>
      <c r="I49" s="533" t="s">
        <v>215</v>
      </c>
      <c r="J49" s="542"/>
      <c r="K49" s="6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3"/>
    </row>
    <row r="50" spans="1:34" ht="38.1" customHeight="1">
      <c r="A50" s="510" t="s">
        <v>43</v>
      </c>
      <c r="B50" s="511"/>
      <c r="C50" s="511"/>
      <c r="D50" s="536" t="s">
        <v>764</v>
      </c>
      <c r="E50" s="537"/>
      <c r="F50" s="527" t="s">
        <v>51</v>
      </c>
      <c r="G50" s="528"/>
      <c r="H50" s="529"/>
      <c r="I50" s="525" t="s">
        <v>215</v>
      </c>
      <c r="J50" s="526"/>
      <c r="K50" s="6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3"/>
    </row>
    <row r="51" spans="1:34" ht="38.1" customHeight="1" thickBot="1">
      <c r="A51" s="534" t="s">
        <v>44</v>
      </c>
      <c r="B51" s="535"/>
      <c r="C51" s="535"/>
      <c r="D51" s="525" t="s">
        <v>215</v>
      </c>
      <c r="E51" s="538"/>
      <c r="F51" s="527" t="s">
        <v>517</v>
      </c>
      <c r="G51" s="528"/>
      <c r="H51" s="529"/>
      <c r="I51" s="525" t="s">
        <v>215</v>
      </c>
      <c r="J51" s="526"/>
      <c r="K51" s="6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3"/>
    </row>
    <row r="52" spans="1:34" ht="39.950000000000003" customHeight="1">
      <c r="A52" s="532" t="s">
        <v>52</v>
      </c>
      <c r="B52" s="530"/>
      <c r="C52" s="530"/>
      <c r="D52" s="530"/>
      <c r="E52" s="530"/>
      <c r="F52" s="530"/>
      <c r="G52" s="530" t="s">
        <v>53</v>
      </c>
      <c r="H52" s="530"/>
      <c r="I52" s="530" t="s">
        <v>54</v>
      </c>
      <c r="J52" s="531"/>
      <c r="K52" s="6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3"/>
    </row>
    <row r="53" spans="1:34" ht="38.1" customHeight="1">
      <c r="A53" s="510"/>
      <c r="B53" s="511"/>
      <c r="C53" s="511"/>
      <c r="D53" s="511"/>
      <c r="E53" s="511"/>
      <c r="F53" s="511"/>
      <c r="G53" s="508"/>
      <c r="H53" s="508"/>
      <c r="I53" s="508"/>
      <c r="J53" s="509"/>
      <c r="K53" s="6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3"/>
    </row>
    <row r="54" spans="1:34" ht="38.1" customHeight="1">
      <c r="A54" s="510"/>
      <c r="B54" s="511"/>
      <c r="C54" s="511"/>
      <c r="D54" s="511"/>
      <c r="E54" s="511"/>
      <c r="F54" s="511"/>
      <c r="G54" s="508"/>
      <c r="H54" s="508"/>
      <c r="I54" s="508"/>
      <c r="J54" s="509"/>
      <c r="K54" s="6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3"/>
    </row>
    <row r="55" spans="1:34" ht="38.1" customHeight="1">
      <c r="A55" s="510"/>
      <c r="B55" s="511"/>
      <c r="C55" s="511"/>
      <c r="D55" s="511"/>
      <c r="E55" s="511"/>
      <c r="F55" s="511"/>
      <c r="G55" s="508"/>
      <c r="H55" s="508"/>
      <c r="I55" s="508"/>
      <c r="J55" s="509"/>
      <c r="K55" s="6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3"/>
    </row>
    <row r="56" spans="1:34" ht="38.1" customHeight="1">
      <c r="A56" s="510"/>
      <c r="B56" s="511"/>
      <c r="C56" s="511"/>
      <c r="D56" s="511"/>
      <c r="E56" s="511"/>
      <c r="F56" s="511"/>
      <c r="G56" s="508"/>
      <c r="H56" s="508"/>
      <c r="I56" s="508"/>
      <c r="J56" s="509"/>
      <c r="K56" s="7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9"/>
    </row>
    <row r="57" spans="1:34" ht="38.1" customHeight="1">
      <c r="A57" s="510"/>
      <c r="B57" s="511"/>
      <c r="C57" s="511"/>
      <c r="D57" s="511"/>
      <c r="E57" s="511"/>
      <c r="F57" s="511"/>
      <c r="G57" s="508"/>
      <c r="H57" s="508"/>
      <c r="I57" s="508"/>
      <c r="J57" s="509"/>
      <c r="K57" s="7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9"/>
    </row>
    <row r="58" spans="1:34" ht="38.1" customHeight="1">
      <c r="A58" s="515"/>
      <c r="B58" s="516"/>
      <c r="C58" s="516"/>
      <c r="D58" s="516"/>
      <c r="E58" s="516"/>
      <c r="F58" s="516"/>
      <c r="G58" s="517"/>
      <c r="H58" s="517"/>
      <c r="I58" s="517"/>
      <c r="J58" s="518"/>
      <c r="K58" s="513" t="s">
        <v>61</v>
      </c>
      <c r="L58" s="514"/>
      <c r="M58" s="514"/>
      <c r="N58" s="501" t="s">
        <v>785</v>
      </c>
      <c r="O58" s="502"/>
      <c r="P58" s="502"/>
      <c r="Q58" s="502"/>
      <c r="R58" s="502"/>
      <c r="S58" s="502"/>
      <c r="T58" s="502"/>
      <c r="U58" s="503"/>
      <c r="V58" s="51"/>
      <c r="W58" s="51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9"/>
    </row>
    <row r="59" spans="1:34" ht="38.1" customHeight="1" thickBot="1">
      <c r="A59" s="519" t="s">
        <v>55</v>
      </c>
      <c r="B59" s="520"/>
      <c r="C59" s="520"/>
      <c r="D59" s="195" t="str">
        <f>IF('MARSZRUTA_WER 5'!Y79="","-",IFERROR(IF(VLOOKUP($E$4,ETYKIETOWANIE,2,0)=0,"-",VLOOKUP($E$4,ETYKIETOWANIE,2,0)),"-"))</f>
        <v>-</v>
      </c>
      <c r="E59" s="521" t="s">
        <v>56</v>
      </c>
      <c r="F59" s="521"/>
      <c r="G59" s="521" t="str">
        <f>IF('MARSZRUTA_WER 5'!Y79="","-",IF(NOT(ISERROR((VLOOKUP(UPPER(E4)&amp;ETYKIETOWANIE!A2,ETYKIETOWANIE!C:F,4,FALSE)))),VLOOKUP(UPPER(E4)&amp;ETYKIETOWANIE!A2,ETYKIETOWANIE!C:F,4,FALSE),VLOOKUP("BRAK KLIENTA"&amp;ETYKIETOWANIE!A2,ETYKIETOWANIE!C:F,4,FALSE)))</f>
        <v>K-G05-KT-DLM-045</v>
      </c>
      <c r="H59" s="521"/>
      <c r="I59" s="521"/>
      <c r="J59" s="522"/>
      <c r="K59" s="512" t="s">
        <v>60</v>
      </c>
      <c r="L59" s="505"/>
      <c r="M59" s="506"/>
      <c r="N59" s="504" t="s">
        <v>401</v>
      </c>
      <c r="O59" s="505"/>
      <c r="P59" s="505"/>
      <c r="Q59" s="505"/>
      <c r="R59" s="505"/>
      <c r="S59" s="505"/>
      <c r="T59" s="505"/>
      <c r="U59" s="506"/>
      <c r="V59" s="507" t="s">
        <v>58</v>
      </c>
      <c r="W59" s="507"/>
      <c r="X59" s="507"/>
      <c r="Y59" s="507"/>
      <c r="Z59" s="507"/>
      <c r="AA59" s="507"/>
      <c r="AB59" s="507"/>
      <c r="AC59" s="507" t="s">
        <v>57</v>
      </c>
      <c r="AD59" s="507"/>
      <c r="AE59" s="507"/>
      <c r="AF59" s="498"/>
      <c r="AG59" s="499"/>
      <c r="AH59" s="500"/>
    </row>
  </sheetData>
  <mergeCells count="186">
    <mergeCell ref="AJ9:AP10"/>
    <mergeCell ref="A23:B23"/>
    <mergeCell ref="G23:H23"/>
    <mergeCell ref="I23:J23"/>
    <mergeCell ref="G24:H24"/>
    <mergeCell ref="A9:B9"/>
    <mergeCell ref="C13:E13"/>
    <mergeCell ref="C9:E9"/>
    <mergeCell ref="A19:C19"/>
    <mergeCell ref="A17:C17"/>
    <mergeCell ref="C10:E10"/>
    <mergeCell ref="F18:G18"/>
    <mergeCell ref="H17:J17"/>
    <mergeCell ref="H18:J18"/>
    <mergeCell ref="F17:G17"/>
    <mergeCell ref="A18:C18"/>
    <mergeCell ref="D18:E18"/>
    <mergeCell ref="D19:E19"/>
    <mergeCell ref="A10:B10"/>
    <mergeCell ref="A14:E14"/>
    <mergeCell ref="A15:C15"/>
    <mergeCell ref="A13:B13"/>
    <mergeCell ref="D17:E17"/>
    <mergeCell ref="I24:J24"/>
    <mergeCell ref="AF1:AH1"/>
    <mergeCell ref="AF2:AH2"/>
    <mergeCell ref="AF3:AH3"/>
    <mergeCell ref="AF4:AH4"/>
    <mergeCell ref="AF5:AH5"/>
    <mergeCell ref="AC4:AE4"/>
    <mergeCell ref="AC5:AE5"/>
    <mergeCell ref="H5:I5"/>
    <mergeCell ref="M5:N5"/>
    <mergeCell ref="AD1:AD3"/>
    <mergeCell ref="AE1:AE3"/>
    <mergeCell ref="D1:AC3"/>
    <mergeCell ref="C4:D4"/>
    <mergeCell ref="C5:D5"/>
    <mergeCell ref="E4:G4"/>
    <mergeCell ref="J4:L4"/>
    <mergeCell ref="J5:L5"/>
    <mergeCell ref="O4:AB5"/>
    <mergeCell ref="E5:G5"/>
    <mergeCell ref="H4:I4"/>
    <mergeCell ref="A1:C3"/>
    <mergeCell ref="A4:B4"/>
    <mergeCell ref="M4:N4"/>
    <mergeCell ref="A5:B5"/>
    <mergeCell ref="A7:B7"/>
    <mergeCell ref="C7:E7"/>
    <mergeCell ref="A24:B24"/>
    <mergeCell ref="A26:B26"/>
    <mergeCell ref="A25:B25"/>
    <mergeCell ref="A22:J22"/>
    <mergeCell ref="C24:D24"/>
    <mergeCell ref="F19:G19"/>
    <mergeCell ref="H19:J19"/>
    <mergeCell ref="C12:E12"/>
    <mergeCell ref="C11:E11"/>
    <mergeCell ref="D15:E15"/>
    <mergeCell ref="D16:E16"/>
    <mergeCell ref="C8:E8"/>
    <mergeCell ref="A16:C16"/>
    <mergeCell ref="A11:B11"/>
    <mergeCell ref="A8:B8"/>
    <mergeCell ref="A12:B12"/>
    <mergeCell ref="A21:J21"/>
    <mergeCell ref="A20:J20"/>
    <mergeCell ref="C23:D23"/>
    <mergeCell ref="E23:F23"/>
    <mergeCell ref="I25:J25"/>
    <mergeCell ref="E24:F24"/>
    <mergeCell ref="A32:J32"/>
    <mergeCell ref="A34:B34"/>
    <mergeCell ref="A38:B38"/>
    <mergeCell ref="C38:G38"/>
    <mergeCell ref="H38:J38"/>
    <mergeCell ref="H33:J33"/>
    <mergeCell ref="A33:G33"/>
    <mergeCell ref="C34:G34"/>
    <mergeCell ref="H34:J34"/>
    <mergeCell ref="A35:B35"/>
    <mergeCell ref="C35:G35"/>
    <mergeCell ref="H35:J35"/>
    <mergeCell ref="A36:B36"/>
    <mergeCell ref="C36:G36"/>
    <mergeCell ref="H36:J36"/>
    <mergeCell ref="A37:B37"/>
    <mergeCell ref="C37:G37"/>
    <mergeCell ref="H37:J37"/>
    <mergeCell ref="B30:C30"/>
    <mergeCell ref="B31:C31"/>
    <mergeCell ref="C25:D25"/>
    <mergeCell ref="C26:D26"/>
    <mergeCell ref="E25:F25"/>
    <mergeCell ref="E26:F26"/>
    <mergeCell ref="G26:H26"/>
    <mergeCell ref="F28:H28"/>
    <mergeCell ref="G25:H25"/>
    <mergeCell ref="I26:J26"/>
    <mergeCell ref="A39:J39"/>
    <mergeCell ref="A48:C48"/>
    <mergeCell ref="A40:E40"/>
    <mergeCell ref="F40:J40"/>
    <mergeCell ref="A47:C47"/>
    <mergeCell ref="D47:E47"/>
    <mergeCell ref="A41:E41"/>
    <mergeCell ref="F41:J41"/>
    <mergeCell ref="A42:E42"/>
    <mergeCell ref="F42:J42"/>
    <mergeCell ref="F47:H47"/>
    <mergeCell ref="F48:H48"/>
    <mergeCell ref="I31:J31"/>
    <mergeCell ref="F30:H30"/>
    <mergeCell ref="I28:J28"/>
    <mergeCell ref="A27:J27"/>
    <mergeCell ref="A29:J29"/>
    <mergeCell ref="I30:J30"/>
    <mergeCell ref="D28:E28"/>
    <mergeCell ref="A28:C28"/>
    <mergeCell ref="F31:H31"/>
    <mergeCell ref="D30:E30"/>
    <mergeCell ref="D31:E31"/>
    <mergeCell ref="A49:C49"/>
    <mergeCell ref="D48:E48"/>
    <mergeCell ref="D49:E49"/>
    <mergeCell ref="A50:C50"/>
    <mergeCell ref="A51:C51"/>
    <mergeCell ref="D50:E50"/>
    <mergeCell ref="D51:E51"/>
    <mergeCell ref="A43:J43"/>
    <mergeCell ref="A44:C44"/>
    <mergeCell ref="A45:C45"/>
    <mergeCell ref="D44:E44"/>
    <mergeCell ref="D45:E45"/>
    <mergeCell ref="D46:E46"/>
    <mergeCell ref="A46:C46"/>
    <mergeCell ref="F44:H44"/>
    <mergeCell ref="F45:H45"/>
    <mergeCell ref="F46:H46"/>
    <mergeCell ref="F49:H49"/>
    <mergeCell ref="I44:J44"/>
    <mergeCell ref="I45:J45"/>
    <mergeCell ref="I46:J46"/>
    <mergeCell ref="I47:J47"/>
    <mergeCell ref="I48:J48"/>
    <mergeCell ref="I49:J49"/>
    <mergeCell ref="I54:J54"/>
    <mergeCell ref="A55:F55"/>
    <mergeCell ref="G55:H55"/>
    <mergeCell ref="A57:F57"/>
    <mergeCell ref="I50:J50"/>
    <mergeCell ref="I51:J51"/>
    <mergeCell ref="F50:H50"/>
    <mergeCell ref="F51:H51"/>
    <mergeCell ref="G54:H54"/>
    <mergeCell ref="I52:J52"/>
    <mergeCell ref="G52:H52"/>
    <mergeCell ref="A53:F53"/>
    <mergeCell ref="G53:H53"/>
    <mergeCell ref="I53:J53"/>
    <mergeCell ref="A52:F52"/>
    <mergeCell ref="C6:E6"/>
    <mergeCell ref="AJ5:AK6"/>
    <mergeCell ref="AF59:AH59"/>
    <mergeCell ref="N58:U58"/>
    <mergeCell ref="N59:U59"/>
    <mergeCell ref="V59:X59"/>
    <mergeCell ref="Y59:AB59"/>
    <mergeCell ref="AC59:AE59"/>
    <mergeCell ref="I55:J55"/>
    <mergeCell ref="A54:F54"/>
    <mergeCell ref="K59:M59"/>
    <mergeCell ref="K58:M58"/>
    <mergeCell ref="A58:F58"/>
    <mergeCell ref="G58:H58"/>
    <mergeCell ref="I58:J58"/>
    <mergeCell ref="A59:C59"/>
    <mergeCell ref="E59:F59"/>
    <mergeCell ref="G59:J59"/>
    <mergeCell ref="A56:F56"/>
    <mergeCell ref="G56:H56"/>
    <mergeCell ref="I56:J56"/>
    <mergeCell ref="G57:H57"/>
    <mergeCell ref="I57:J57"/>
    <mergeCell ref="A6:B6"/>
  </mergeCells>
  <dataValidations count="6">
    <dataValidation type="list" showInputMessage="1" showErrorMessage="1" sqref="C7:E7">
      <formula1>grubosc</formula1>
    </dataValidation>
    <dataValidation type="list" showInputMessage="1" sqref="C34:G38">
      <formula1>farby</formula1>
    </dataValidation>
    <dataValidation type="list" allowBlank="1" showInputMessage="1" showErrorMessage="1" sqref="AJ1">
      <formula1>otwory</formula1>
    </dataValidation>
    <dataValidation type="list" allowBlank="1" showInputMessage="1" showErrorMessage="1" sqref="AJ2">
      <formula1>wycięcia</formula1>
    </dataValidation>
    <dataValidation type="list" allowBlank="1" showInputMessage="1" showErrorMessage="1" sqref="AJ3">
      <formula1>mal</formula1>
    </dataValidation>
    <dataValidation type="list" allowBlank="1" showInputMessage="1" showErrorMessage="1" sqref="C6:E6">
      <formula1>kolory</formula1>
    </dataValidation>
  </dataValidations>
  <printOptions horizontalCentered="1" verticalCentered="1"/>
  <pageMargins left="0" right="0" top="0" bottom="0" header="0" footer="0"/>
  <pageSetup paperSize="9" scale="24" orientation="landscape" r:id="rId1"/>
  <drawing r:id="rId2"/>
  <legacyDrawing r:id="rId3"/>
  <oleObjects>
    <mc:AlternateContent xmlns:mc="http://schemas.openxmlformats.org/markup-compatibility/2006">
      <mc:Choice Requires="x14">
        <oleObject progId="AutoCADLT.Drawing.19" shapeId="1340" r:id="rId4">
          <objectPr defaultSize="0" autoPict="0" r:id="rId5">
            <anchor moveWithCells="1" sizeWithCells="1">
              <from>
                <xdr:col>10</xdr:col>
                <xdr:colOff>238125</xdr:colOff>
                <xdr:row>46</xdr:row>
                <xdr:rowOff>428625</xdr:rowOff>
              </from>
              <to>
                <xdr:col>11</xdr:col>
                <xdr:colOff>266700</xdr:colOff>
                <xdr:row>55</xdr:row>
                <xdr:rowOff>438150</xdr:rowOff>
              </to>
            </anchor>
          </objectPr>
        </oleObject>
      </mc:Choice>
      <mc:Fallback>
        <oleObject progId="AutoCADLT.Drawing.19" shapeId="1340" r:id="rId4"/>
      </mc:Fallback>
    </mc:AlternateContent>
    <mc:AlternateContent xmlns:mc="http://schemas.openxmlformats.org/markup-compatibility/2006">
      <mc:Choice Requires="x14">
        <oleObject progId="AutoCAD.Drawing.15" shapeId="1341" r:id="rId6">
          <objectPr defaultSize="0" autoPict="0" r:id="rId7">
            <anchor moveWithCells="1" sizeWithCells="1">
              <from>
                <xdr:col>29</xdr:col>
                <xdr:colOff>142875</xdr:colOff>
                <xdr:row>0</xdr:row>
                <xdr:rowOff>47625</xdr:rowOff>
              </from>
              <to>
                <xdr:col>29</xdr:col>
                <xdr:colOff>971550</xdr:colOff>
                <xdr:row>2</xdr:row>
                <xdr:rowOff>314325</xdr:rowOff>
              </to>
            </anchor>
          </objectPr>
        </oleObject>
      </mc:Choice>
      <mc:Fallback>
        <oleObject progId="AutoCAD.Drawing.15" shapeId="1341" r:id="rId6"/>
      </mc:Fallback>
    </mc:AlternateContent>
    <mc:AlternateContent xmlns:mc="http://schemas.openxmlformats.org/markup-compatibility/2006">
      <mc:Choice Requires="x14">
        <oleObject progId="Word.Picture.8" shapeId="1342" r:id="rId8">
          <objectPr defaultSize="0" autoPict="0" r:id="rId9">
            <anchor moveWithCells="1" sizeWithCells="1">
              <from>
                <xdr:col>30</xdr:col>
                <xdr:colOff>95250</xdr:colOff>
                <xdr:row>0</xdr:row>
                <xdr:rowOff>123825</xdr:rowOff>
              </from>
              <to>
                <xdr:col>30</xdr:col>
                <xdr:colOff>1066800</xdr:colOff>
                <xdr:row>2</xdr:row>
                <xdr:rowOff>257175</xdr:rowOff>
              </to>
            </anchor>
          </objectPr>
        </oleObject>
      </mc:Choice>
      <mc:Fallback>
        <oleObject progId="Word.Picture.8" shapeId="1342" r:id="rId8"/>
      </mc:Fallback>
    </mc:AlternateContent>
    <mc:AlternateContent xmlns:mc="http://schemas.openxmlformats.org/markup-compatibility/2006">
      <mc:Choice Requires="x14">
        <oleObject progId="AutoCADLT.Drawing.19" shapeId="1364" r:id="rId10">
          <objectPr defaultSize="0" autoPict="0" r:id="rId11">
            <anchor moveWithCells="1" sizeWithCells="1">
              <from>
                <xdr:col>11</xdr:col>
                <xdr:colOff>400050</xdr:colOff>
                <xdr:row>47</xdr:row>
                <xdr:rowOff>95250</xdr:rowOff>
              </from>
              <to>
                <xdr:col>12</xdr:col>
                <xdr:colOff>409575</xdr:colOff>
                <xdr:row>56</xdr:row>
                <xdr:rowOff>95250</xdr:rowOff>
              </to>
            </anchor>
          </objectPr>
        </oleObject>
      </mc:Choice>
      <mc:Fallback>
        <oleObject progId="AutoCADLT.Drawing.19" shapeId="1364" r:id="rId10"/>
      </mc:Fallback>
    </mc:AlternateContent>
    <mc:AlternateContent xmlns:mc="http://schemas.openxmlformats.org/markup-compatibility/2006">
      <mc:Choice Requires="x14">
        <oleObject progId="AutoCAD LT.Drawing.16" shapeId="1365" r:id="rId12">
          <objectPr defaultSize="0" autoPict="0" r:id="rId13">
            <anchor moveWithCells="1">
              <from>
                <xdr:col>12</xdr:col>
                <xdr:colOff>561975</xdr:colOff>
                <xdr:row>46</xdr:row>
                <xdr:rowOff>142875</xdr:rowOff>
              </from>
              <to>
                <xdr:col>13</xdr:col>
                <xdr:colOff>695325</xdr:colOff>
                <xdr:row>56</xdr:row>
                <xdr:rowOff>0</xdr:rowOff>
              </to>
            </anchor>
          </objectPr>
        </oleObject>
      </mc:Choice>
      <mc:Fallback>
        <oleObject progId="AutoCAD LT.Drawing.16" shapeId="1365" r:id="rId12"/>
      </mc:Fallback>
    </mc:AlternateContent>
    <mc:AlternateContent xmlns:mc="http://schemas.openxmlformats.org/markup-compatibility/2006">
      <mc:Choice Requires="x14">
        <oleObject progId="AutoCADLT.Drawing.19" shapeId="1366" r:id="rId14">
          <objectPr defaultSize="0" autoPict="0" r:id="rId15">
            <anchor moveWithCells="1" sizeWithCells="1">
              <from>
                <xdr:col>13</xdr:col>
                <xdr:colOff>581025</xdr:colOff>
                <xdr:row>46</xdr:row>
                <xdr:rowOff>381000</xdr:rowOff>
              </from>
              <to>
                <xdr:col>17</xdr:col>
                <xdr:colOff>66675</xdr:colOff>
                <xdr:row>50</xdr:row>
                <xdr:rowOff>247650</xdr:rowOff>
              </to>
            </anchor>
          </objectPr>
        </oleObject>
      </mc:Choice>
      <mc:Fallback>
        <oleObject progId="AutoCADLT.Drawing.19" shapeId="1366" r:id="rId14"/>
      </mc:Fallback>
    </mc:AlternateContent>
    <mc:AlternateContent xmlns:mc="http://schemas.openxmlformats.org/markup-compatibility/2006">
      <mc:Choice Requires="x14">
        <oleObject progId="AutoCADLT.Drawing.20" shapeId="1367" r:id="rId16">
          <objectPr defaultSize="0" autoPict="0" r:id="rId17">
            <anchor moveWithCells="1" sizeWithCells="1">
              <from>
                <xdr:col>13</xdr:col>
                <xdr:colOff>790575</xdr:colOff>
                <xdr:row>49</xdr:row>
                <xdr:rowOff>428625</xdr:rowOff>
              </from>
              <to>
                <xdr:col>17</xdr:col>
                <xdr:colOff>457200</xdr:colOff>
                <xdr:row>52</xdr:row>
                <xdr:rowOff>95250</xdr:rowOff>
              </to>
            </anchor>
          </objectPr>
        </oleObject>
      </mc:Choice>
      <mc:Fallback>
        <oleObject progId="AutoCADLT.Drawing.20" shapeId="1367" r:id="rId16"/>
      </mc:Fallback>
    </mc:AlternateContent>
    <mc:AlternateContent xmlns:mc="http://schemas.openxmlformats.org/markup-compatibility/2006">
      <mc:Choice Requires="x14">
        <oleObject progId="AutoCAD LT.Drawing.16" shapeId="1368" r:id="rId18">
          <objectPr defaultSize="0" autoPict="0" r:id="rId19">
            <anchor moveWithCells="1">
              <from>
                <xdr:col>13</xdr:col>
                <xdr:colOff>704850</xdr:colOff>
                <xdr:row>52</xdr:row>
                <xdr:rowOff>180975</xdr:rowOff>
              </from>
              <to>
                <xdr:col>17</xdr:col>
                <xdr:colOff>847725</xdr:colOff>
                <xdr:row>55</xdr:row>
                <xdr:rowOff>219075</xdr:rowOff>
              </to>
            </anchor>
          </objectPr>
        </oleObject>
      </mc:Choice>
      <mc:Fallback>
        <oleObject progId="AutoCAD LT.Drawing.16" shapeId="1368" r:id="rId18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7"/>
  <dimension ref="A2:M43"/>
  <sheetViews>
    <sheetView workbookViewId="0">
      <selection activeCell="I28" sqref="I28"/>
    </sheetView>
  </sheetViews>
  <sheetFormatPr defaultRowHeight="15"/>
  <cols>
    <col min="2" max="2" width="14.140625" bestFit="1" customWidth="1"/>
    <col min="3" max="3" width="16.5703125" customWidth="1"/>
    <col min="4" max="5" width="7.42578125" customWidth="1"/>
    <col min="6" max="6" width="17.5703125" bestFit="1" customWidth="1"/>
    <col min="7" max="8" width="9.140625" customWidth="1"/>
    <col min="9" max="9" width="10.7109375" bestFit="1" customWidth="1"/>
    <col min="12" max="12" width="18.7109375" customWidth="1"/>
  </cols>
  <sheetData>
    <row r="2" spans="1:13">
      <c r="A2" t="str">
        <f>IF(UPPER(ESG!J5)="DRZWI","DRZWI","")</f>
        <v/>
      </c>
      <c r="C2" s="731" t="s">
        <v>515</v>
      </c>
      <c r="D2" s="731"/>
      <c r="E2" s="209"/>
      <c r="F2" s="210" t="s">
        <v>530</v>
      </c>
      <c r="G2" s="211"/>
      <c r="H2" s="211"/>
      <c r="I2" s="210" t="s">
        <v>552</v>
      </c>
    </row>
    <row r="3" spans="1:13">
      <c r="C3" t="s">
        <v>508</v>
      </c>
      <c r="D3" t="s">
        <v>516</v>
      </c>
      <c r="F3" t="s">
        <v>551</v>
      </c>
      <c r="I3" t="s">
        <v>553</v>
      </c>
      <c r="L3" t="s">
        <v>551</v>
      </c>
      <c r="M3" t="s">
        <v>796</v>
      </c>
    </row>
    <row r="4" spans="1:13">
      <c r="C4" t="s">
        <v>501</v>
      </c>
      <c r="D4" t="s">
        <v>516</v>
      </c>
      <c r="F4" t="s">
        <v>551</v>
      </c>
      <c r="I4" t="s">
        <v>553</v>
      </c>
      <c r="L4" t="s">
        <v>538</v>
      </c>
      <c r="M4" t="s">
        <v>795</v>
      </c>
    </row>
    <row r="5" spans="1:13">
      <c r="C5" t="s">
        <v>528</v>
      </c>
      <c r="D5" t="s">
        <v>516</v>
      </c>
      <c r="F5" t="s">
        <v>551</v>
      </c>
      <c r="I5" t="s">
        <v>553</v>
      </c>
    </row>
    <row r="6" spans="1:13">
      <c r="C6" t="s">
        <v>502</v>
      </c>
      <c r="D6" t="s">
        <v>516</v>
      </c>
      <c r="F6" t="s">
        <v>551</v>
      </c>
    </row>
    <row r="7" spans="1:13">
      <c r="C7" t="s">
        <v>514</v>
      </c>
      <c r="D7" t="s">
        <v>516</v>
      </c>
      <c r="F7" t="s">
        <v>538</v>
      </c>
    </row>
    <row r="8" spans="1:13">
      <c r="C8" t="s">
        <v>509</v>
      </c>
      <c r="D8" t="s">
        <v>516</v>
      </c>
      <c r="F8" t="s">
        <v>529</v>
      </c>
      <c r="I8" t="s">
        <v>553</v>
      </c>
    </row>
    <row r="9" spans="1:13">
      <c r="C9" t="s">
        <v>510</v>
      </c>
      <c r="D9" t="s">
        <v>516</v>
      </c>
      <c r="F9" t="s">
        <v>551</v>
      </c>
    </row>
    <row r="10" spans="1:13">
      <c r="C10" t="s">
        <v>513</v>
      </c>
      <c r="D10" t="s">
        <v>516</v>
      </c>
      <c r="F10" t="s">
        <v>538</v>
      </c>
      <c r="I10" t="s">
        <v>553</v>
      </c>
    </row>
    <row r="11" spans="1:13">
      <c r="C11" t="s">
        <v>503</v>
      </c>
      <c r="D11" t="s">
        <v>516</v>
      </c>
      <c r="F11" t="s">
        <v>538</v>
      </c>
      <c r="I11" t="s">
        <v>553</v>
      </c>
    </row>
    <row r="12" spans="1:13">
      <c r="C12" t="s">
        <v>504</v>
      </c>
      <c r="D12" t="s">
        <v>516</v>
      </c>
      <c r="F12" t="s">
        <v>551</v>
      </c>
    </row>
    <row r="13" spans="1:13">
      <c r="C13" t="s">
        <v>505</v>
      </c>
      <c r="D13" t="s">
        <v>516</v>
      </c>
      <c r="F13" t="s">
        <v>529</v>
      </c>
      <c r="I13" t="s">
        <v>553</v>
      </c>
    </row>
    <row r="14" spans="1:13">
      <c r="C14" t="s">
        <v>511</v>
      </c>
      <c r="D14" t="s">
        <v>516</v>
      </c>
      <c r="F14" t="s">
        <v>529</v>
      </c>
      <c r="I14" t="s">
        <v>553</v>
      </c>
    </row>
    <row r="15" spans="1:13">
      <c r="C15" t="s">
        <v>506</v>
      </c>
      <c r="D15" t="s">
        <v>516</v>
      </c>
      <c r="F15" t="s">
        <v>551</v>
      </c>
    </row>
    <row r="16" spans="1:13">
      <c r="C16" t="s">
        <v>507</v>
      </c>
      <c r="D16" t="s">
        <v>516</v>
      </c>
      <c r="F16" t="s">
        <v>538</v>
      </c>
    </row>
    <row r="17" spans="3:9">
      <c r="C17" t="s">
        <v>512</v>
      </c>
      <c r="D17" t="s">
        <v>516</v>
      </c>
      <c r="F17" t="s">
        <v>538</v>
      </c>
      <c r="I17" t="s">
        <v>553</v>
      </c>
    </row>
    <row r="18" spans="3:9">
      <c r="C18" t="s">
        <v>522</v>
      </c>
      <c r="D18" t="s">
        <v>516</v>
      </c>
      <c r="F18" t="s">
        <v>551</v>
      </c>
      <c r="I18" t="s">
        <v>553</v>
      </c>
    </row>
    <row r="19" spans="3:9">
      <c r="C19" t="s">
        <v>531</v>
      </c>
      <c r="D19" t="s">
        <v>516</v>
      </c>
      <c r="F19" t="s">
        <v>529</v>
      </c>
    </row>
    <row r="20" spans="3:9">
      <c r="C20" t="s">
        <v>532</v>
      </c>
      <c r="D20" t="s">
        <v>516</v>
      </c>
      <c r="F20" t="s">
        <v>538</v>
      </c>
      <c r="I20" t="s">
        <v>553</v>
      </c>
    </row>
    <row r="21" spans="3:9">
      <c r="C21" t="s">
        <v>533</v>
      </c>
      <c r="D21" t="s">
        <v>516</v>
      </c>
      <c r="F21" t="s">
        <v>529</v>
      </c>
      <c r="I21" t="s">
        <v>553</v>
      </c>
    </row>
    <row r="22" spans="3:9">
      <c r="C22" t="s">
        <v>534</v>
      </c>
      <c r="D22" t="s">
        <v>516</v>
      </c>
      <c r="F22" t="s">
        <v>551</v>
      </c>
    </row>
    <row r="23" spans="3:9">
      <c r="C23" t="s">
        <v>535</v>
      </c>
      <c r="D23" t="s">
        <v>516</v>
      </c>
      <c r="F23" t="s">
        <v>551</v>
      </c>
    </row>
    <row r="24" spans="3:9">
      <c r="C24" t="s">
        <v>536</v>
      </c>
      <c r="D24" t="s">
        <v>516</v>
      </c>
      <c r="F24" t="s">
        <v>538</v>
      </c>
      <c r="I24" t="s">
        <v>553</v>
      </c>
    </row>
    <row r="25" spans="3:9">
      <c r="C25" t="s">
        <v>537</v>
      </c>
      <c r="D25" t="s">
        <v>516</v>
      </c>
      <c r="F25" t="s">
        <v>538</v>
      </c>
      <c r="I25" t="s">
        <v>553</v>
      </c>
    </row>
    <row r="26" spans="3:9">
      <c r="C26" t="s">
        <v>540</v>
      </c>
      <c r="D26" t="s">
        <v>516</v>
      </c>
      <c r="F26" t="s">
        <v>538</v>
      </c>
    </row>
    <row r="27" spans="3:9">
      <c r="C27" t="s">
        <v>541</v>
      </c>
      <c r="D27" t="s">
        <v>516</v>
      </c>
      <c r="F27" t="s">
        <v>538</v>
      </c>
    </row>
    <row r="28" spans="3:9">
      <c r="C28" t="s">
        <v>539</v>
      </c>
      <c r="D28" t="s">
        <v>516</v>
      </c>
      <c r="F28" t="s">
        <v>551</v>
      </c>
    </row>
    <row r="29" spans="3:9">
      <c r="C29" t="s">
        <v>549</v>
      </c>
      <c r="D29" t="s">
        <v>516</v>
      </c>
      <c r="F29" t="s">
        <v>538</v>
      </c>
    </row>
    <row r="30" spans="3:9">
      <c r="C30" t="s">
        <v>554</v>
      </c>
      <c r="F30" t="s">
        <v>551</v>
      </c>
      <c r="I30" t="s">
        <v>553</v>
      </c>
    </row>
    <row r="31" spans="3:9">
      <c r="C31" t="s">
        <v>582</v>
      </c>
      <c r="F31" t="s">
        <v>551</v>
      </c>
      <c r="I31" t="s">
        <v>553</v>
      </c>
    </row>
    <row r="32" spans="3:9">
      <c r="C32" t="s">
        <v>583</v>
      </c>
      <c r="F32" t="s">
        <v>551</v>
      </c>
      <c r="I32" t="s">
        <v>553</v>
      </c>
    </row>
    <row r="33" spans="3:9">
      <c r="C33" t="s">
        <v>572</v>
      </c>
      <c r="I33" t="s">
        <v>553</v>
      </c>
    </row>
    <row r="34" spans="3:9">
      <c r="C34" t="s">
        <v>573</v>
      </c>
      <c r="I34" t="s">
        <v>553</v>
      </c>
    </row>
    <row r="35" spans="3:9">
      <c r="C35" t="s">
        <v>574</v>
      </c>
      <c r="I35" t="s">
        <v>553</v>
      </c>
    </row>
    <row r="36" spans="3:9">
      <c r="C36" t="s">
        <v>575</v>
      </c>
      <c r="I36" t="s">
        <v>553</v>
      </c>
    </row>
    <row r="37" spans="3:9">
      <c r="C37" t="s">
        <v>576</v>
      </c>
      <c r="I37" t="s">
        <v>553</v>
      </c>
    </row>
    <row r="38" spans="3:9">
      <c r="C38" t="s">
        <v>577</v>
      </c>
      <c r="I38" t="s">
        <v>553</v>
      </c>
    </row>
    <row r="39" spans="3:9">
      <c r="C39" t="s">
        <v>578</v>
      </c>
      <c r="I39" t="s">
        <v>553</v>
      </c>
    </row>
    <row r="40" spans="3:9">
      <c r="C40" t="s">
        <v>579</v>
      </c>
      <c r="I40" t="s">
        <v>553</v>
      </c>
    </row>
    <row r="41" spans="3:9">
      <c r="C41" t="s">
        <v>580</v>
      </c>
      <c r="I41" t="s">
        <v>553</v>
      </c>
    </row>
    <row r="42" spans="3:9">
      <c r="C42" t="s">
        <v>581</v>
      </c>
      <c r="D42" t="s">
        <v>516</v>
      </c>
      <c r="I42" t="s">
        <v>553</v>
      </c>
    </row>
    <row r="43" spans="3:9">
      <c r="C43" t="s">
        <v>786</v>
      </c>
      <c r="F43" t="s">
        <v>538</v>
      </c>
    </row>
  </sheetData>
  <autoFilter ref="C2:I43">
    <filterColumn colId="0" showButton="0"/>
  </autoFilter>
  <mergeCells count="1">
    <mergeCell ref="C2:D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8"/>
  <dimension ref="A1:XFC132"/>
  <sheetViews>
    <sheetView zoomScaleNormal="100" workbookViewId="0">
      <pane ySplit="1" topLeftCell="A58" activePane="bottomLeft" state="frozen"/>
      <selection pane="bottomLeft" activeCell="D89" sqref="D89"/>
    </sheetView>
  </sheetViews>
  <sheetFormatPr defaultRowHeight="15"/>
  <cols>
    <col min="1" max="1" width="34.85546875" bestFit="1" customWidth="1"/>
    <col min="2" max="2" width="18.28515625" style="89" customWidth="1"/>
    <col min="3" max="3" width="37.7109375" style="89" bestFit="1" customWidth="1"/>
    <col min="4" max="4" width="25.42578125" style="89" customWidth="1"/>
    <col min="5" max="5" width="6" style="89" bestFit="1" customWidth="1"/>
    <col min="6" max="6" width="10.140625" style="89" customWidth="1"/>
    <col min="7" max="7" width="8" style="89" customWidth="1"/>
    <col min="8" max="8" width="7.5703125" style="89" customWidth="1"/>
    <col min="9" max="9" width="14.7109375" customWidth="1"/>
    <col min="10" max="10" width="34.85546875" bestFit="1" customWidth="1"/>
    <col min="11" max="11" width="12.5703125" bestFit="1" customWidth="1"/>
    <col min="12" max="12" width="18.5703125" bestFit="1" customWidth="1"/>
    <col min="13" max="13" width="23.28515625" bestFit="1" customWidth="1"/>
    <col min="241" max="241" width="18.28515625" customWidth="1"/>
    <col min="242" max="243" width="24.7109375" bestFit="1" customWidth="1"/>
    <col min="244" max="244" width="6.5703125" customWidth="1"/>
    <col min="245" max="245" width="10.140625" customWidth="1"/>
    <col min="246" max="246" width="8" customWidth="1"/>
    <col min="247" max="247" width="7.5703125" customWidth="1"/>
    <col min="497" max="497" width="18.28515625" customWidth="1"/>
    <col min="498" max="499" width="24.7109375" bestFit="1" customWidth="1"/>
    <col min="500" max="500" width="6.5703125" customWidth="1"/>
    <col min="501" max="501" width="10.140625" customWidth="1"/>
    <col min="502" max="502" width="8" customWidth="1"/>
    <col min="503" max="503" width="7.5703125" customWidth="1"/>
    <col min="753" max="753" width="18.28515625" customWidth="1"/>
    <col min="754" max="755" width="24.7109375" bestFit="1" customWidth="1"/>
    <col min="756" max="756" width="6.5703125" customWidth="1"/>
    <col min="757" max="757" width="10.140625" customWidth="1"/>
    <col min="758" max="758" width="8" customWidth="1"/>
    <col min="759" max="759" width="7.5703125" customWidth="1"/>
    <col min="1009" max="1009" width="18.28515625" customWidth="1"/>
    <col min="1010" max="1011" width="24.7109375" bestFit="1" customWidth="1"/>
    <col min="1012" max="1012" width="6.5703125" customWidth="1"/>
    <col min="1013" max="1013" width="10.140625" customWidth="1"/>
    <col min="1014" max="1014" width="8" customWidth="1"/>
    <col min="1015" max="1015" width="7.5703125" customWidth="1"/>
    <col min="1265" max="1265" width="18.28515625" customWidth="1"/>
    <col min="1266" max="1267" width="24.7109375" bestFit="1" customWidth="1"/>
    <col min="1268" max="1268" width="6.5703125" customWidth="1"/>
    <col min="1269" max="1269" width="10.140625" customWidth="1"/>
    <col min="1270" max="1270" width="8" customWidth="1"/>
    <col min="1271" max="1271" width="7.5703125" customWidth="1"/>
    <col min="1521" max="1521" width="18.28515625" customWidth="1"/>
    <col min="1522" max="1523" width="24.7109375" bestFit="1" customWidth="1"/>
    <col min="1524" max="1524" width="6.5703125" customWidth="1"/>
    <col min="1525" max="1525" width="10.140625" customWidth="1"/>
    <col min="1526" max="1526" width="8" customWidth="1"/>
    <col min="1527" max="1527" width="7.5703125" customWidth="1"/>
    <col min="1777" max="1777" width="18.28515625" customWidth="1"/>
    <col min="1778" max="1779" width="24.7109375" bestFit="1" customWidth="1"/>
    <col min="1780" max="1780" width="6.5703125" customWidth="1"/>
    <col min="1781" max="1781" width="10.140625" customWidth="1"/>
    <col min="1782" max="1782" width="8" customWidth="1"/>
    <col min="1783" max="1783" width="7.5703125" customWidth="1"/>
    <col min="2033" max="2033" width="18.28515625" customWidth="1"/>
    <col min="2034" max="2035" width="24.7109375" bestFit="1" customWidth="1"/>
    <col min="2036" max="2036" width="6.5703125" customWidth="1"/>
    <col min="2037" max="2037" width="10.140625" customWidth="1"/>
    <col min="2038" max="2038" width="8" customWidth="1"/>
    <col min="2039" max="2039" width="7.5703125" customWidth="1"/>
    <col min="2289" max="2289" width="18.28515625" customWidth="1"/>
    <col min="2290" max="2291" width="24.7109375" bestFit="1" customWidth="1"/>
    <col min="2292" max="2292" width="6.5703125" customWidth="1"/>
    <col min="2293" max="2293" width="10.140625" customWidth="1"/>
    <col min="2294" max="2294" width="8" customWidth="1"/>
    <col min="2295" max="2295" width="7.5703125" customWidth="1"/>
    <col min="2545" max="2545" width="18.28515625" customWidth="1"/>
    <col min="2546" max="2547" width="24.7109375" bestFit="1" customWidth="1"/>
    <col min="2548" max="2548" width="6.5703125" customWidth="1"/>
    <col min="2549" max="2549" width="10.140625" customWidth="1"/>
    <col min="2550" max="2550" width="8" customWidth="1"/>
    <col min="2551" max="2551" width="7.5703125" customWidth="1"/>
    <col min="2801" max="2801" width="18.28515625" customWidth="1"/>
    <col min="2802" max="2803" width="24.7109375" bestFit="1" customWidth="1"/>
    <col min="2804" max="2804" width="6.5703125" customWidth="1"/>
    <col min="2805" max="2805" width="10.140625" customWidth="1"/>
    <col min="2806" max="2806" width="8" customWidth="1"/>
    <col min="2807" max="2807" width="7.5703125" customWidth="1"/>
    <col min="3057" max="3057" width="18.28515625" customWidth="1"/>
    <col min="3058" max="3059" width="24.7109375" bestFit="1" customWidth="1"/>
    <col min="3060" max="3060" width="6.5703125" customWidth="1"/>
    <col min="3061" max="3061" width="10.140625" customWidth="1"/>
    <col min="3062" max="3062" width="8" customWidth="1"/>
    <col min="3063" max="3063" width="7.5703125" customWidth="1"/>
    <col min="3313" max="3313" width="18.28515625" customWidth="1"/>
    <col min="3314" max="3315" width="24.7109375" bestFit="1" customWidth="1"/>
    <col min="3316" max="3316" width="6.5703125" customWidth="1"/>
    <col min="3317" max="3317" width="10.140625" customWidth="1"/>
    <col min="3318" max="3318" width="8" customWidth="1"/>
    <col min="3319" max="3319" width="7.5703125" customWidth="1"/>
    <col min="3569" max="3569" width="18.28515625" customWidth="1"/>
    <col min="3570" max="3571" width="24.7109375" bestFit="1" customWidth="1"/>
    <col min="3572" max="3572" width="6.5703125" customWidth="1"/>
    <col min="3573" max="3573" width="10.140625" customWidth="1"/>
    <col min="3574" max="3574" width="8" customWidth="1"/>
    <col min="3575" max="3575" width="7.5703125" customWidth="1"/>
    <col min="3825" max="3825" width="18.28515625" customWidth="1"/>
    <col min="3826" max="3827" width="24.7109375" bestFit="1" customWidth="1"/>
    <col min="3828" max="3828" width="6.5703125" customWidth="1"/>
    <col min="3829" max="3829" width="10.140625" customWidth="1"/>
    <col min="3830" max="3830" width="8" customWidth="1"/>
    <col min="3831" max="3831" width="7.5703125" customWidth="1"/>
    <col min="4081" max="4081" width="18.28515625" customWidth="1"/>
    <col min="4082" max="4083" width="24.7109375" bestFit="1" customWidth="1"/>
    <col min="4084" max="4084" width="6.5703125" customWidth="1"/>
    <col min="4085" max="4085" width="10.140625" customWidth="1"/>
    <col min="4086" max="4086" width="8" customWidth="1"/>
    <col min="4087" max="4087" width="7.5703125" customWidth="1"/>
    <col min="4337" max="4337" width="18.28515625" customWidth="1"/>
    <col min="4338" max="4339" width="24.7109375" bestFit="1" customWidth="1"/>
    <col min="4340" max="4340" width="6.5703125" customWidth="1"/>
    <col min="4341" max="4341" width="10.140625" customWidth="1"/>
    <col min="4342" max="4342" width="8" customWidth="1"/>
    <col min="4343" max="4343" width="7.5703125" customWidth="1"/>
    <col min="4593" max="4593" width="18.28515625" customWidth="1"/>
    <col min="4594" max="4595" width="24.7109375" bestFit="1" customWidth="1"/>
    <col min="4596" max="4596" width="6.5703125" customWidth="1"/>
    <col min="4597" max="4597" width="10.140625" customWidth="1"/>
    <col min="4598" max="4598" width="8" customWidth="1"/>
    <col min="4599" max="4599" width="7.5703125" customWidth="1"/>
    <col min="4849" max="4849" width="18.28515625" customWidth="1"/>
    <col min="4850" max="4851" width="24.7109375" bestFit="1" customWidth="1"/>
    <col min="4852" max="4852" width="6.5703125" customWidth="1"/>
    <col min="4853" max="4853" width="10.140625" customWidth="1"/>
    <col min="4854" max="4854" width="8" customWidth="1"/>
    <col min="4855" max="4855" width="7.5703125" customWidth="1"/>
    <col min="5105" max="5105" width="18.28515625" customWidth="1"/>
    <col min="5106" max="5107" width="24.7109375" bestFit="1" customWidth="1"/>
    <col min="5108" max="5108" width="6.5703125" customWidth="1"/>
    <col min="5109" max="5109" width="10.140625" customWidth="1"/>
    <col min="5110" max="5110" width="8" customWidth="1"/>
    <col min="5111" max="5111" width="7.5703125" customWidth="1"/>
    <col min="5361" max="5361" width="18.28515625" customWidth="1"/>
    <col min="5362" max="5363" width="24.7109375" bestFit="1" customWidth="1"/>
    <col min="5364" max="5364" width="6.5703125" customWidth="1"/>
    <col min="5365" max="5365" width="10.140625" customWidth="1"/>
    <col min="5366" max="5366" width="8" customWidth="1"/>
    <col min="5367" max="5367" width="7.5703125" customWidth="1"/>
    <col min="5617" max="5617" width="18.28515625" customWidth="1"/>
    <col min="5618" max="5619" width="24.7109375" bestFit="1" customWidth="1"/>
    <col min="5620" max="5620" width="6.5703125" customWidth="1"/>
    <col min="5621" max="5621" width="10.140625" customWidth="1"/>
    <col min="5622" max="5622" width="8" customWidth="1"/>
    <col min="5623" max="5623" width="7.5703125" customWidth="1"/>
    <col min="5873" max="5873" width="18.28515625" customWidth="1"/>
    <col min="5874" max="5875" width="24.7109375" bestFit="1" customWidth="1"/>
    <col min="5876" max="5876" width="6.5703125" customWidth="1"/>
    <col min="5877" max="5877" width="10.140625" customWidth="1"/>
    <col min="5878" max="5878" width="8" customWidth="1"/>
    <col min="5879" max="5879" width="7.5703125" customWidth="1"/>
    <col min="6129" max="6129" width="18.28515625" customWidth="1"/>
    <col min="6130" max="6131" width="24.7109375" bestFit="1" customWidth="1"/>
    <col min="6132" max="6132" width="6.5703125" customWidth="1"/>
    <col min="6133" max="6133" width="10.140625" customWidth="1"/>
    <col min="6134" max="6134" width="8" customWidth="1"/>
    <col min="6135" max="6135" width="7.5703125" customWidth="1"/>
    <col min="6385" max="6385" width="18.28515625" customWidth="1"/>
    <col min="6386" max="6387" width="24.7109375" bestFit="1" customWidth="1"/>
    <col min="6388" max="6388" width="6.5703125" customWidth="1"/>
    <col min="6389" max="6389" width="10.140625" customWidth="1"/>
    <col min="6390" max="6390" width="8" customWidth="1"/>
    <col min="6391" max="6391" width="7.5703125" customWidth="1"/>
    <col min="6641" max="6641" width="18.28515625" customWidth="1"/>
    <col min="6642" max="6643" width="24.7109375" bestFit="1" customWidth="1"/>
    <col min="6644" max="6644" width="6.5703125" customWidth="1"/>
    <col min="6645" max="6645" width="10.140625" customWidth="1"/>
    <col min="6646" max="6646" width="8" customWidth="1"/>
    <col min="6647" max="6647" width="7.5703125" customWidth="1"/>
    <col min="6897" max="6897" width="18.28515625" customWidth="1"/>
    <col min="6898" max="6899" width="24.7109375" bestFit="1" customWidth="1"/>
    <col min="6900" max="6900" width="6.5703125" customWidth="1"/>
    <col min="6901" max="6901" width="10.140625" customWidth="1"/>
    <col min="6902" max="6902" width="8" customWidth="1"/>
    <col min="6903" max="6903" width="7.5703125" customWidth="1"/>
    <col min="7153" max="7153" width="18.28515625" customWidth="1"/>
    <col min="7154" max="7155" width="24.7109375" bestFit="1" customWidth="1"/>
    <col min="7156" max="7156" width="6.5703125" customWidth="1"/>
    <col min="7157" max="7157" width="10.140625" customWidth="1"/>
    <col min="7158" max="7158" width="8" customWidth="1"/>
    <col min="7159" max="7159" width="7.5703125" customWidth="1"/>
    <col min="7409" max="7409" width="18.28515625" customWidth="1"/>
    <col min="7410" max="7411" width="24.7109375" bestFit="1" customWidth="1"/>
    <col min="7412" max="7412" width="6.5703125" customWidth="1"/>
    <col min="7413" max="7413" width="10.140625" customWidth="1"/>
    <col min="7414" max="7414" width="8" customWidth="1"/>
    <col min="7415" max="7415" width="7.5703125" customWidth="1"/>
    <col min="7665" max="7665" width="18.28515625" customWidth="1"/>
    <col min="7666" max="7667" width="24.7109375" bestFit="1" customWidth="1"/>
    <col min="7668" max="7668" width="6.5703125" customWidth="1"/>
    <col min="7669" max="7669" width="10.140625" customWidth="1"/>
    <col min="7670" max="7670" width="8" customWidth="1"/>
    <col min="7671" max="7671" width="7.5703125" customWidth="1"/>
    <col min="7921" max="7921" width="18.28515625" customWidth="1"/>
    <col min="7922" max="7923" width="24.7109375" bestFit="1" customWidth="1"/>
    <col min="7924" max="7924" width="6.5703125" customWidth="1"/>
    <col min="7925" max="7925" width="10.140625" customWidth="1"/>
    <col min="7926" max="7926" width="8" customWidth="1"/>
    <col min="7927" max="7927" width="7.5703125" customWidth="1"/>
    <col min="8177" max="8177" width="18.28515625" customWidth="1"/>
    <col min="8178" max="8179" width="24.7109375" bestFit="1" customWidth="1"/>
    <col min="8180" max="8180" width="6.5703125" customWidth="1"/>
    <col min="8181" max="8181" width="10.140625" customWidth="1"/>
    <col min="8182" max="8182" width="8" customWidth="1"/>
    <col min="8183" max="8183" width="7.5703125" customWidth="1"/>
    <col min="8433" max="8433" width="18.28515625" customWidth="1"/>
    <col min="8434" max="8435" width="24.7109375" bestFit="1" customWidth="1"/>
    <col min="8436" max="8436" width="6.5703125" customWidth="1"/>
    <col min="8437" max="8437" width="10.140625" customWidth="1"/>
    <col min="8438" max="8438" width="8" customWidth="1"/>
    <col min="8439" max="8439" width="7.5703125" customWidth="1"/>
    <col min="8689" max="8689" width="18.28515625" customWidth="1"/>
    <col min="8690" max="8691" width="24.7109375" bestFit="1" customWidth="1"/>
    <col min="8692" max="8692" width="6.5703125" customWidth="1"/>
    <col min="8693" max="8693" width="10.140625" customWidth="1"/>
    <col min="8694" max="8694" width="8" customWidth="1"/>
    <col min="8695" max="8695" width="7.5703125" customWidth="1"/>
    <col min="8945" max="8945" width="18.28515625" customWidth="1"/>
    <col min="8946" max="8947" width="24.7109375" bestFit="1" customWidth="1"/>
    <col min="8948" max="8948" width="6.5703125" customWidth="1"/>
    <col min="8949" max="8949" width="10.140625" customWidth="1"/>
    <col min="8950" max="8950" width="8" customWidth="1"/>
    <col min="8951" max="8951" width="7.5703125" customWidth="1"/>
    <col min="9201" max="9201" width="18.28515625" customWidth="1"/>
    <col min="9202" max="9203" width="24.7109375" bestFit="1" customWidth="1"/>
    <col min="9204" max="9204" width="6.5703125" customWidth="1"/>
    <col min="9205" max="9205" width="10.140625" customWidth="1"/>
    <col min="9206" max="9206" width="8" customWidth="1"/>
    <col min="9207" max="9207" width="7.5703125" customWidth="1"/>
    <col min="9457" max="9457" width="18.28515625" customWidth="1"/>
    <col min="9458" max="9459" width="24.7109375" bestFit="1" customWidth="1"/>
    <col min="9460" max="9460" width="6.5703125" customWidth="1"/>
    <col min="9461" max="9461" width="10.140625" customWidth="1"/>
    <col min="9462" max="9462" width="8" customWidth="1"/>
    <col min="9463" max="9463" width="7.5703125" customWidth="1"/>
    <col min="9713" max="9713" width="18.28515625" customWidth="1"/>
    <col min="9714" max="9715" width="24.7109375" bestFit="1" customWidth="1"/>
    <col min="9716" max="9716" width="6.5703125" customWidth="1"/>
    <col min="9717" max="9717" width="10.140625" customWidth="1"/>
    <col min="9718" max="9718" width="8" customWidth="1"/>
    <col min="9719" max="9719" width="7.5703125" customWidth="1"/>
    <col min="9969" max="9969" width="18.28515625" customWidth="1"/>
    <col min="9970" max="9971" width="24.7109375" bestFit="1" customWidth="1"/>
    <col min="9972" max="9972" width="6.5703125" customWidth="1"/>
    <col min="9973" max="9973" width="10.140625" customWidth="1"/>
    <col min="9974" max="9974" width="8" customWidth="1"/>
    <col min="9975" max="9975" width="7.5703125" customWidth="1"/>
    <col min="10225" max="10225" width="18.28515625" customWidth="1"/>
    <col min="10226" max="10227" width="24.7109375" bestFit="1" customWidth="1"/>
    <col min="10228" max="10228" width="6.5703125" customWidth="1"/>
    <col min="10229" max="10229" width="10.140625" customWidth="1"/>
    <col min="10230" max="10230" width="8" customWidth="1"/>
    <col min="10231" max="10231" width="7.5703125" customWidth="1"/>
    <col min="10481" max="10481" width="18.28515625" customWidth="1"/>
    <col min="10482" max="10483" width="24.7109375" bestFit="1" customWidth="1"/>
    <col min="10484" max="10484" width="6.5703125" customWidth="1"/>
    <col min="10485" max="10485" width="10.140625" customWidth="1"/>
    <col min="10486" max="10486" width="8" customWidth="1"/>
    <col min="10487" max="10487" width="7.5703125" customWidth="1"/>
    <col min="10737" max="10737" width="18.28515625" customWidth="1"/>
    <col min="10738" max="10739" width="24.7109375" bestFit="1" customWidth="1"/>
    <col min="10740" max="10740" width="6.5703125" customWidth="1"/>
    <col min="10741" max="10741" width="10.140625" customWidth="1"/>
    <col min="10742" max="10742" width="8" customWidth="1"/>
    <col min="10743" max="10743" width="7.5703125" customWidth="1"/>
    <col min="10993" max="10993" width="18.28515625" customWidth="1"/>
    <col min="10994" max="10995" width="24.7109375" bestFit="1" customWidth="1"/>
    <col min="10996" max="10996" width="6.5703125" customWidth="1"/>
    <col min="10997" max="10997" width="10.140625" customWidth="1"/>
    <col min="10998" max="10998" width="8" customWidth="1"/>
    <col min="10999" max="10999" width="7.5703125" customWidth="1"/>
    <col min="11249" max="11249" width="18.28515625" customWidth="1"/>
    <col min="11250" max="11251" width="24.7109375" bestFit="1" customWidth="1"/>
    <col min="11252" max="11252" width="6.5703125" customWidth="1"/>
    <col min="11253" max="11253" width="10.140625" customWidth="1"/>
    <col min="11254" max="11254" width="8" customWidth="1"/>
    <col min="11255" max="11255" width="7.5703125" customWidth="1"/>
    <col min="11505" max="11505" width="18.28515625" customWidth="1"/>
    <col min="11506" max="11507" width="24.7109375" bestFit="1" customWidth="1"/>
    <col min="11508" max="11508" width="6.5703125" customWidth="1"/>
    <col min="11509" max="11509" width="10.140625" customWidth="1"/>
    <col min="11510" max="11510" width="8" customWidth="1"/>
    <col min="11511" max="11511" width="7.5703125" customWidth="1"/>
    <col min="11761" max="11761" width="18.28515625" customWidth="1"/>
    <col min="11762" max="11763" width="24.7109375" bestFit="1" customWidth="1"/>
    <col min="11764" max="11764" width="6.5703125" customWidth="1"/>
    <col min="11765" max="11765" width="10.140625" customWidth="1"/>
    <col min="11766" max="11766" width="8" customWidth="1"/>
    <col min="11767" max="11767" width="7.5703125" customWidth="1"/>
    <col min="12017" max="12017" width="18.28515625" customWidth="1"/>
    <col min="12018" max="12019" width="24.7109375" bestFit="1" customWidth="1"/>
    <col min="12020" max="12020" width="6.5703125" customWidth="1"/>
    <col min="12021" max="12021" width="10.140625" customWidth="1"/>
    <col min="12022" max="12022" width="8" customWidth="1"/>
    <col min="12023" max="12023" width="7.5703125" customWidth="1"/>
    <col min="12273" max="12273" width="18.28515625" customWidth="1"/>
    <col min="12274" max="12275" width="24.7109375" bestFit="1" customWidth="1"/>
    <col min="12276" max="12276" width="6.5703125" customWidth="1"/>
    <col min="12277" max="12277" width="10.140625" customWidth="1"/>
    <col min="12278" max="12278" width="8" customWidth="1"/>
    <col min="12279" max="12279" width="7.5703125" customWidth="1"/>
    <col min="12529" max="12529" width="18.28515625" customWidth="1"/>
    <col min="12530" max="12531" width="24.7109375" bestFit="1" customWidth="1"/>
    <col min="12532" max="12532" width="6.5703125" customWidth="1"/>
    <col min="12533" max="12533" width="10.140625" customWidth="1"/>
    <col min="12534" max="12534" width="8" customWidth="1"/>
    <col min="12535" max="12535" width="7.5703125" customWidth="1"/>
    <col min="12785" max="12785" width="18.28515625" customWidth="1"/>
    <col min="12786" max="12787" width="24.7109375" bestFit="1" customWidth="1"/>
    <col min="12788" max="12788" width="6.5703125" customWidth="1"/>
    <col min="12789" max="12789" width="10.140625" customWidth="1"/>
    <col min="12790" max="12790" width="8" customWidth="1"/>
    <col min="12791" max="12791" width="7.5703125" customWidth="1"/>
    <col min="13041" max="13041" width="18.28515625" customWidth="1"/>
    <col min="13042" max="13043" width="24.7109375" bestFit="1" customWidth="1"/>
    <col min="13044" max="13044" width="6.5703125" customWidth="1"/>
    <col min="13045" max="13045" width="10.140625" customWidth="1"/>
    <col min="13046" max="13046" width="8" customWidth="1"/>
    <col min="13047" max="13047" width="7.5703125" customWidth="1"/>
    <col min="13297" max="13297" width="18.28515625" customWidth="1"/>
    <col min="13298" max="13299" width="24.7109375" bestFit="1" customWidth="1"/>
    <col min="13300" max="13300" width="6.5703125" customWidth="1"/>
    <col min="13301" max="13301" width="10.140625" customWidth="1"/>
    <col min="13302" max="13302" width="8" customWidth="1"/>
    <col min="13303" max="13303" width="7.5703125" customWidth="1"/>
    <col min="13553" max="13553" width="18.28515625" customWidth="1"/>
    <col min="13554" max="13555" width="24.7109375" bestFit="1" customWidth="1"/>
    <col min="13556" max="13556" width="6.5703125" customWidth="1"/>
    <col min="13557" max="13557" width="10.140625" customWidth="1"/>
    <col min="13558" max="13558" width="8" customWidth="1"/>
    <col min="13559" max="13559" width="7.5703125" customWidth="1"/>
    <col min="13809" max="13809" width="18.28515625" customWidth="1"/>
    <col min="13810" max="13811" width="24.7109375" bestFit="1" customWidth="1"/>
    <col min="13812" max="13812" width="6.5703125" customWidth="1"/>
    <col min="13813" max="13813" width="10.140625" customWidth="1"/>
    <col min="13814" max="13814" width="8" customWidth="1"/>
    <col min="13815" max="13815" width="7.5703125" customWidth="1"/>
    <col min="14065" max="14065" width="18.28515625" customWidth="1"/>
    <col min="14066" max="14067" width="24.7109375" bestFit="1" customWidth="1"/>
    <col min="14068" max="14068" width="6.5703125" customWidth="1"/>
    <col min="14069" max="14069" width="10.140625" customWidth="1"/>
    <col min="14070" max="14070" width="8" customWidth="1"/>
    <col min="14071" max="14071" width="7.5703125" customWidth="1"/>
    <col min="14321" max="14321" width="18.28515625" customWidth="1"/>
    <col min="14322" max="14323" width="24.7109375" bestFit="1" customWidth="1"/>
    <col min="14324" max="14324" width="6.5703125" customWidth="1"/>
    <col min="14325" max="14325" width="10.140625" customWidth="1"/>
    <col min="14326" max="14326" width="8" customWidth="1"/>
    <col min="14327" max="14327" width="7.5703125" customWidth="1"/>
    <col min="14577" max="14577" width="18.28515625" customWidth="1"/>
    <col min="14578" max="14579" width="24.7109375" bestFit="1" customWidth="1"/>
    <col min="14580" max="14580" width="6.5703125" customWidth="1"/>
    <col min="14581" max="14581" width="10.140625" customWidth="1"/>
    <col min="14582" max="14582" width="8" customWidth="1"/>
    <col min="14583" max="14583" width="7.5703125" customWidth="1"/>
    <col min="14833" max="14833" width="18.28515625" customWidth="1"/>
    <col min="14834" max="14835" width="24.7109375" bestFit="1" customWidth="1"/>
    <col min="14836" max="14836" width="6.5703125" customWidth="1"/>
    <col min="14837" max="14837" width="10.140625" customWidth="1"/>
    <col min="14838" max="14838" width="8" customWidth="1"/>
    <col min="14839" max="14839" width="7.5703125" customWidth="1"/>
    <col min="15089" max="15089" width="18.28515625" customWidth="1"/>
    <col min="15090" max="15091" width="24.7109375" bestFit="1" customWidth="1"/>
    <col min="15092" max="15092" width="6.5703125" customWidth="1"/>
    <col min="15093" max="15093" width="10.140625" customWidth="1"/>
    <col min="15094" max="15094" width="8" customWidth="1"/>
    <col min="15095" max="15095" width="7.5703125" customWidth="1"/>
    <col min="15345" max="15345" width="18.28515625" customWidth="1"/>
    <col min="15346" max="15347" width="24.7109375" bestFit="1" customWidth="1"/>
    <col min="15348" max="15348" width="6.5703125" customWidth="1"/>
    <col min="15349" max="15349" width="10.140625" customWidth="1"/>
    <col min="15350" max="15350" width="8" customWidth="1"/>
    <col min="15351" max="15351" width="7.5703125" customWidth="1"/>
    <col min="15601" max="15601" width="18.28515625" customWidth="1"/>
    <col min="15602" max="15603" width="24.7109375" bestFit="1" customWidth="1"/>
    <col min="15604" max="15604" width="6.5703125" customWidth="1"/>
    <col min="15605" max="15605" width="10.140625" customWidth="1"/>
    <col min="15606" max="15606" width="8" customWidth="1"/>
    <col min="15607" max="15607" width="7.5703125" customWidth="1"/>
    <col min="15857" max="15857" width="18.28515625" customWidth="1"/>
    <col min="15858" max="15859" width="24.7109375" bestFit="1" customWidth="1"/>
    <col min="15860" max="15860" width="6.5703125" customWidth="1"/>
    <col min="15861" max="15861" width="10.140625" customWidth="1"/>
    <col min="15862" max="15862" width="8" customWidth="1"/>
    <col min="15863" max="15863" width="7.5703125" customWidth="1"/>
    <col min="16113" max="16113" width="18.28515625" customWidth="1"/>
    <col min="16114" max="16115" width="24.7109375" bestFit="1" customWidth="1"/>
    <col min="16116" max="16116" width="6.5703125" customWidth="1"/>
    <col min="16117" max="16117" width="10.140625" customWidth="1"/>
    <col min="16118" max="16118" width="8" customWidth="1"/>
    <col min="16119" max="16119" width="7.5703125" customWidth="1"/>
  </cols>
  <sheetData>
    <row r="1" spans="1:10" ht="15.75" thickBot="1">
      <c r="A1" s="178" t="s">
        <v>476</v>
      </c>
      <c r="B1" s="178" t="s">
        <v>408</v>
      </c>
      <c r="C1" s="178" t="s">
        <v>409</v>
      </c>
      <c r="D1" s="178" t="s">
        <v>410</v>
      </c>
      <c r="E1" s="178" t="s">
        <v>411</v>
      </c>
      <c r="F1" s="178" t="s">
        <v>407</v>
      </c>
      <c r="G1" s="178" t="s">
        <v>412</v>
      </c>
      <c r="H1" s="178" t="s">
        <v>413</v>
      </c>
      <c r="I1" s="238"/>
      <c r="J1" s="247" t="s">
        <v>615</v>
      </c>
    </row>
    <row r="2" spans="1:10">
      <c r="A2" s="177" t="str">
        <f t="shared" ref="A2:A68" si="0">D2&amp;" / "&amp;E2&amp;" / "&amp;F2</f>
        <v>Planilux/bezbarwne / 2,6 / DLF</v>
      </c>
      <c r="B2" s="481" t="s">
        <v>414</v>
      </c>
      <c r="C2" s="481" t="s">
        <v>798</v>
      </c>
      <c r="D2" s="482" t="s">
        <v>211</v>
      </c>
      <c r="E2" s="483">
        <v>2.6</v>
      </c>
      <c r="F2" s="481" t="s">
        <v>415</v>
      </c>
      <c r="G2" s="481">
        <v>3210</v>
      </c>
      <c r="H2" s="481">
        <v>2200</v>
      </c>
    </row>
    <row r="3" spans="1:10">
      <c r="A3" s="176" t="str">
        <f>D3&amp;" / "&amp;E3&amp;" / "&amp;F3</f>
        <v>Planilux/bezbarwne / 2,85 / DLF</v>
      </c>
      <c r="B3" s="484" t="s">
        <v>602</v>
      </c>
      <c r="C3" s="484" t="s">
        <v>798</v>
      </c>
      <c r="D3" s="482" t="s">
        <v>211</v>
      </c>
      <c r="E3" s="484">
        <v>2.85</v>
      </c>
      <c r="F3" s="484" t="s">
        <v>415</v>
      </c>
      <c r="G3" s="484">
        <v>2267</v>
      </c>
      <c r="H3" s="484">
        <v>3210</v>
      </c>
      <c r="J3" t="s">
        <v>799</v>
      </c>
    </row>
    <row r="4" spans="1:10">
      <c r="A4" s="87" t="str">
        <f t="shared" si="0"/>
        <v>Planilux/bezbarwne / 3,15 / PLF</v>
      </c>
      <c r="B4" s="154" t="s">
        <v>417</v>
      </c>
      <c r="C4" s="154" t="s">
        <v>798</v>
      </c>
      <c r="D4" s="154" t="s">
        <v>211</v>
      </c>
      <c r="E4" s="155">
        <v>3.15</v>
      </c>
      <c r="F4" s="154" t="s">
        <v>416</v>
      </c>
      <c r="G4" s="154">
        <v>3210</v>
      </c>
      <c r="H4" s="154">
        <v>6000</v>
      </c>
    </row>
    <row r="5" spans="1:10">
      <c r="A5" s="176" t="str">
        <f t="shared" si="0"/>
        <v>Planilux/bezbarwne / 3,85 / DLF</v>
      </c>
      <c r="B5" s="482" t="s">
        <v>418</v>
      </c>
      <c r="C5" s="482" t="s">
        <v>798</v>
      </c>
      <c r="D5" s="482" t="s">
        <v>211</v>
      </c>
      <c r="E5" s="485">
        <v>3.85</v>
      </c>
      <c r="F5" s="482" t="s">
        <v>415</v>
      </c>
      <c r="G5" s="482">
        <v>3210</v>
      </c>
      <c r="H5" s="482">
        <v>2400</v>
      </c>
    </row>
    <row r="6" spans="1:10">
      <c r="A6" s="176" t="str">
        <f t="shared" si="0"/>
        <v>Planilux/bezbarwne / 4,85 / DLF</v>
      </c>
      <c r="B6" s="482" t="s">
        <v>420</v>
      </c>
      <c r="C6" s="482" t="s">
        <v>798</v>
      </c>
      <c r="D6" s="482" t="s">
        <v>211</v>
      </c>
      <c r="E6" s="485">
        <v>4.8499999999999996</v>
      </c>
      <c r="F6" s="482" t="s">
        <v>415</v>
      </c>
      <c r="G6" s="482">
        <v>3210</v>
      </c>
      <c r="H6" s="482">
        <v>2400</v>
      </c>
    </row>
    <row r="7" spans="1:10">
      <c r="A7" s="176" t="str">
        <f t="shared" si="0"/>
        <v>Planilux/bezbarwne / 5,85 / DLF</v>
      </c>
      <c r="B7" s="486" t="s">
        <v>422</v>
      </c>
      <c r="C7" s="482" t="s">
        <v>798</v>
      </c>
      <c r="D7" s="482" t="s">
        <v>211</v>
      </c>
      <c r="E7" s="487">
        <v>5.85</v>
      </c>
      <c r="F7" s="482" t="s">
        <v>415</v>
      </c>
      <c r="G7" s="482">
        <v>3210</v>
      </c>
      <c r="H7" s="486">
        <v>2400</v>
      </c>
    </row>
    <row r="8" spans="1:10">
      <c r="A8" s="87" t="str">
        <f t="shared" si="0"/>
        <v>Planilux/bezbarwne / 8 / PLF</v>
      </c>
      <c r="B8" s="488" t="s">
        <v>423</v>
      </c>
      <c r="C8" s="154" t="s">
        <v>798</v>
      </c>
      <c r="D8" s="154" t="s">
        <v>211</v>
      </c>
      <c r="E8" s="489">
        <v>8</v>
      </c>
      <c r="F8" s="154" t="s">
        <v>416</v>
      </c>
      <c r="G8" s="154">
        <v>3210</v>
      </c>
      <c r="H8" s="488">
        <v>6000</v>
      </c>
    </row>
    <row r="9" spans="1:10">
      <c r="A9" s="176" t="str">
        <f t="shared" si="0"/>
        <v>Planilux/bezbarwne / 10 / DLF</v>
      </c>
      <c r="B9" s="486" t="s">
        <v>424</v>
      </c>
      <c r="C9" s="482" t="s">
        <v>798</v>
      </c>
      <c r="D9" s="482" t="s">
        <v>211</v>
      </c>
      <c r="E9" s="487">
        <v>10</v>
      </c>
      <c r="F9" s="482" t="s">
        <v>415</v>
      </c>
      <c r="G9" s="482">
        <v>3210</v>
      </c>
      <c r="H9" s="486">
        <v>2000</v>
      </c>
    </row>
    <row r="10" spans="1:10">
      <c r="A10" s="176" t="str">
        <f t="shared" si="0"/>
        <v>TSA3+/zielone / 3,15 / DLF</v>
      </c>
      <c r="B10" s="482" t="s">
        <v>425</v>
      </c>
      <c r="C10" s="482" t="s">
        <v>800</v>
      </c>
      <c r="D10" s="482" t="s">
        <v>473</v>
      </c>
      <c r="E10" s="485">
        <v>3.15</v>
      </c>
      <c r="F10" s="482" t="s">
        <v>415</v>
      </c>
      <c r="G10" s="482">
        <v>3300</v>
      </c>
      <c r="H10" s="482">
        <v>1933</v>
      </c>
    </row>
    <row r="11" spans="1:10">
      <c r="A11" s="176" t="str">
        <f t="shared" si="0"/>
        <v>TSA3+/zielone / 3,5 / DLF</v>
      </c>
      <c r="B11" s="482" t="s">
        <v>426</v>
      </c>
      <c r="C11" s="482" t="s">
        <v>800</v>
      </c>
      <c r="D11" s="482" t="s">
        <v>473</v>
      </c>
      <c r="E11" s="485">
        <v>3.5</v>
      </c>
      <c r="F11" s="482" t="s">
        <v>415</v>
      </c>
      <c r="G11" s="482">
        <v>3200</v>
      </c>
      <c r="H11" s="482">
        <v>1708</v>
      </c>
    </row>
    <row r="12" spans="1:10">
      <c r="A12" s="176" t="str">
        <f t="shared" si="0"/>
        <v>TSA3+/zielone / 3,85 / DLF</v>
      </c>
      <c r="B12" s="482" t="s">
        <v>427</v>
      </c>
      <c r="C12" s="482" t="s">
        <v>800</v>
      </c>
      <c r="D12" s="482" t="s">
        <v>473</v>
      </c>
      <c r="E12" s="485">
        <v>3.85</v>
      </c>
      <c r="F12" s="482" t="s">
        <v>415</v>
      </c>
      <c r="G12" s="482">
        <v>3300</v>
      </c>
      <c r="H12" s="482">
        <v>1933</v>
      </c>
      <c r="J12" t="s">
        <v>799</v>
      </c>
    </row>
    <row r="13" spans="1:10">
      <c r="A13" s="87" t="str">
        <f t="shared" si="0"/>
        <v>TSA3+/zielone / 3,85 / PLF</v>
      </c>
      <c r="B13" s="490" t="s">
        <v>428</v>
      </c>
      <c r="C13" s="154" t="s">
        <v>800</v>
      </c>
      <c r="D13" s="154" t="s">
        <v>473</v>
      </c>
      <c r="E13" s="491">
        <v>3.85</v>
      </c>
      <c r="F13" s="488" t="s">
        <v>416</v>
      </c>
      <c r="G13" s="154">
        <v>3300</v>
      </c>
      <c r="H13" s="488">
        <v>6000</v>
      </c>
      <c r="J13" t="s">
        <v>799</v>
      </c>
    </row>
    <row r="14" spans="1:10">
      <c r="A14" s="176" t="str">
        <f t="shared" si="0"/>
        <v>TSA4+/zielone / 3,15 / DLF</v>
      </c>
      <c r="B14" s="482" t="s">
        <v>429</v>
      </c>
      <c r="C14" s="482" t="s">
        <v>801</v>
      </c>
      <c r="D14" s="482" t="s">
        <v>474</v>
      </c>
      <c r="E14" s="487">
        <v>3.15</v>
      </c>
      <c r="F14" s="482" t="s">
        <v>415</v>
      </c>
      <c r="G14" s="486">
        <v>3015</v>
      </c>
      <c r="H14" s="486">
        <v>1786</v>
      </c>
    </row>
    <row r="15" spans="1:10">
      <c r="A15" s="176" t="str">
        <f t="shared" si="0"/>
        <v>TSANX/zielone / 2,1 / DLF</v>
      </c>
      <c r="B15" s="482" t="s">
        <v>430</v>
      </c>
      <c r="C15" s="482" t="s">
        <v>802</v>
      </c>
      <c r="D15" s="482" t="s">
        <v>802</v>
      </c>
      <c r="E15" s="485">
        <v>2.1</v>
      </c>
      <c r="F15" s="482" t="s">
        <v>415</v>
      </c>
      <c r="G15" s="482">
        <v>3210</v>
      </c>
      <c r="H15" s="482">
        <v>1740</v>
      </c>
      <c r="J15" t="s">
        <v>803</v>
      </c>
    </row>
    <row r="16" spans="1:10">
      <c r="A16" s="176" t="str">
        <f t="shared" si="0"/>
        <v>TSANX/zielone / 2,6 / DLF</v>
      </c>
      <c r="B16" s="482" t="s">
        <v>804</v>
      </c>
      <c r="C16" s="482" t="s">
        <v>802</v>
      </c>
      <c r="D16" s="482" t="s">
        <v>802</v>
      </c>
      <c r="E16" s="487">
        <v>2.6</v>
      </c>
      <c r="F16" s="486" t="s">
        <v>415</v>
      </c>
      <c r="G16" s="482">
        <v>3060</v>
      </c>
      <c r="H16" s="486">
        <v>2385</v>
      </c>
    </row>
    <row r="17" spans="1:10">
      <c r="A17" s="176" t="str">
        <f t="shared" si="0"/>
        <v>TSANX/zielone / 3,15 / DLF</v>
      </c>
      <c r="B17" s="482" t="s">
        <v>500</v>
      </c>
      <c r="C17" s="482" t="s">
        <v>802</v>
      </c>
      <c r="D17" s="482" t="s">
        <v>802</v>
      </c>
      <c r="E17" s="485">
        <v>3.15</v>
      </c>
      <c r="F17" s="482" t="s">
        <v>415</v>
      </c>
      <c r="G17" s="482">
        <v>3210</v>
      </c>
      <c r="H17" s="482">
        <v>2000</v>
      </c>
    </row>
    <row r="18" spans="1:10">
      <c r="A18" s="176" t="str">
        <f t="shared" si="0"/>
        <v>TSANX/zielone / 3,5 / DLF</v>
      </c>
      <c r="B18" s="482" t="s">
        <v>431</v>
      </c>
      <c r="C18" s="482" t="s">
        <v>802</v>
      </c>
      <c r="D18" s="482" t="s">
        <v>802</v>
      </c>
      <c r="E18" s="485">
        <v>3.5</v>
      </c>
      <c r="F18" s="482" t="s">
        <v>415</v>
      </c>
      <c r="G18" s="482">
        <v>2900</v>
      </c>
      <c r="H18" s="482">
        <v>1883</v>
      </c>
    </row>
    <row r="19" spans="1:10">
      <c r="A19" s="87" t="str">
        <f t="shared" si="0"/>
        <v>TSANX/zielone / 3,85 / PLF</v>
      </c>
      <c r="B19" s="154" t="s">
        <v>432</v>
      </c>
      <c r="C19" s="154" t="s">
        <v>802</v>
      </c>
      <c r="D19" s="154" t="s">
        <v>802</v>
      </c>
      <c r="E19" s="155">
        <v>3.85</v>
      </c>
      <c r="F19" s="154" t="s">
        <v>416</v>
      </c>
      <c r="G19" s="154">
        <v>2985</v>
      </c>
      <c r="H19" s="154">
        <v>5665</v>
      </c>
    </row>
    <row r="20" spans="1:10">
      <c r="A20" s="87" t="str">
        <f>D20&amp;" / "&amp;E20&amp;" / "&amp;F20</f>
        <v>TSANX/zielone / 3,85 / PLF</v>
      </c>
      <c r="B20" s="492" t="s">
        <v>594</v>
      </c>
      <c r="C20" s="492" t="s">
        <v>802</v>
      </c>
      <c r="D20" s="492" t="s">
        <v>802</v>
      </c>
      <c r="E20" s="492">
        <v>3.85</v>
      </c>
      <c r="F20" s="492" t="s">
        <v>416</v>
      </c>
      <c r="G20" s="492">
        <v>3210</v>
      </c>
      <c r="H20" s="492">
        <v>6000</v>
      </c>
      <c r="J20" t="s">
        <v>799</v>
      </c>
    </row>
    <row r="21" spans="1:10">
      <c r="A21" s="176" t="str">
        <f t="shared" si="0"/>
        <v>TSANX/zielone / 4,85 / DLF</v>
      </c>
      <c r="B21" s="482" t="s">
        <v>433</v>
      </c>
      <c r="C21" s="482" t="s">
        <v>802</v>
      </c>
      <c r="D21" s="482" t="s">
        <v>802</v>
      </c>
      <c r="E21" s="485">
        <v>4.8499999999999996</v>
      </c>
      <c r="F21" s="482" t="s">
        <v>415</v>
      </c>
      <c r="G21" s="482">
        <v>3300</v>
      </c>
      <c r="H21" s="482">
        <v>2000</v>
      </c>
    </row>
    <row r="22" spans="1:10">
      <c r="A22" s="87" t="str">
        <f>D22&amp;" / "&amp;E22&amp;" / "&amp;F22</f>
        <v>TSANX/zielone / 4,85 / PLF</v>
      </c>
      <c r="B22" s="492" t="s">
        <v>592</v>
      </c>
      <c r="C22" s="492" t="s">
        <v>802</v>
      </c>
      <c r="D22" s="492" t="s">
        <v>802</v>
      </c>
      <c r="E22" s="492">
        <v>4.8499999999999996</v>
      </c>
      <c r="F22" s="492" t="s">
        <v>416</v>
      </c>
      <c r="G22" s="492">
        <v>3210</v>
      </c>
      <c r="H22" s="492">
        <v>6000</v>
      </c>
      <c r="J22" t="s">
        <v>799</v>
      </c>
    </row>
    <row r="23" spans="1:10">
      <c r="A23" s="87" t="str">
        <f>D23&amp;" / "&amp;E23&amp;" / "&amp;F23</f>
        <v>TSANX/zielone / 4,85 / PLF</v>
      </c>
      <c r="B23" s="492" t="s">
        <v>598</v>
      </c>
      <c r="C23" s="492" t="s">
        <v>802</v>
      </c>
      <c r="D23" s="492" t="s">
        <v>802</v>
      </c>
      <c r="E23" s="492">
        <v>4.8499999999999996</v>
      </c>
      <c r="F23" s="492" t="s">
        <v>416</v>
      </c>
      <c r="G23" s="492">
        <v>3150</v>
      </c>
      <c r="H23" s="492">
        <v>5540</v>
      </c>
      <c r="J23" t="s">
        <v>799</v>
      </c>
    </row>
    <row r="24" spans="1:10">
      <c r="A24" s="87" t="str">
        <f t="shared" si="0"/>
        <v>TSANX/zielone / 5,85 / PLF</v>
      </c>
      <c r="B24" s="154" t="s">
        <v>435</v>
      </c>
      <c r="C24" s="154" t="s">
        <v>802</v>
      </c>
      <c r="D24" s="154" t="s">
        <v>802</v>
      </c>
      <c r="E24" s="155">
        <v>5.85</v>
      </c>
      <c r="F24" s="154" t="s">
        <v>416</v>
      </c>
      <c r="G24" s="154">
        <v>3210</v>
      </c>
      <c r="H24" s="154">
        <v>6000</v>
      </c>
    </row>
    <row r="25" spans="1:10">
      <c r="A25" s="87" t="str">
        <f t="shared" si="0"/>
        <v>TSANX/zielone / 8 / PLF</v>
      </c>
      <c r="B25" s="154" t="s">
        <v>436</v>
      </c>
      <c r="C25" s="154" t="s">
        <v>802</v>
      </c>
      <c r="D25" s="154" t="s">
        <v>802</v>
      </c>
      <c r="E25" s="155">
        <v>8</v>
      </c>
      <c r="F25" s="154" t="s">
        <v>416</v>
      </c>
      <c r="G25" s="154">
        <v>3210</v>
      </c>
      <c r="H25" s="154">
        <v>6000</v>
      </c>
    </row>
    <row r="26" spans="1:10">
      <c r="A26" s="87" t="str">
        <f t="shared" si="0"/>
        <v>TSANX/zielone / 10 / PLF</v>
      </c>
      <c r="B26" s="493" t="s">
        <v>437</v>
      </c>
      <c r="C26" s="154" t="s">
        <v>802</v>
      </c>
      <c r="D26" s="154" t="s">
        <v>802</v>
      </c>
      <c r="E26" s="491">
        <v>10</v>
      </c>
      <c r="F26" s="488" t="s">
        <v>416</v>
      </c>
      <c r="G26" s="154">
        <v>3210</v>
      </c>
      <c r="H26" s="154">
        <v>6000</v>
      </c>
    </row>
    <row r="27" spans="1:10">
      <c r="A27" s="87" t="str">
        <f t="shared" si="0"/>
        <v>Parsol Grey/szary / 3,15 / PLF</v>
      </c>
      <c r="B27" s="493" t="s">
        <v>484</v>
      </c>
      <c r="C27" s="154" t="s">
        <v>805</v>
      </c>
      <c r="D27" s="154" t="s">
        <v>214</v>
      </c>
      <c r="E27" s="491">
        <v>3.15</v>
      </c>
      <c r="F27" s="488" t="s">
        <v>416</v>
      </c>
      <c r="G27" s="154">
        <v>3210</v>
      </c>
      <c r="H27" s="154">
        <v>6000</v>
      </c>
    </row>
    <row r="28" spans="1:10">
      <c r="A28" s="87" t="str">
        <f t="shared" si="0"/>
        <v>Parsol Grey/szary / 3,85 / PLF</v>
      </c>
      <c r="B28" s="154" t="s">
        <v>439</v>
      </c>
      <c r="C28" s="154" t="s">
        <v>805</v>
      </c>
      <c r="D28" s="154" t="s">
        <v>214</v>
      </c>
      <c r="E28" s="155">
        <v>3.85</v>
      </c>
      <c r="F28" s="154" t="s">
        <v>416</v>
      </c>
      <c r="G28" s="154">
        <v>3300</v>
      </c>
      <c r="H28" s="154">
        <v>6000</v>
      </c>
    </row>
    <row r="29" spans="1:10">
      <c r="A29" s="176" t="str">
        <f t="shared" si="0"/>
        <v>Parsol Grey/szary / 4,85 / DLF</v>
      </c>
      <c r="B29" s="482" t="s">
        <v>440</v>
      </c>
      <c r="C29" s="482" t="s">
        <v>805</v>
      </c>
      <c r="D29" s="482" t="s">
        <v>214</v>
      </c>
      <c r="E29" s="485">
        <v>4.8499999999999996</v>
      </c>
      <c r="F29" s="482" t="s">
        <v>415</v>
      </c>
      <c r="G29" s="482">
        <v>3300</v>
      </c>
      <c r="H29" s="482">
        <v>2450</v>
      </c>
    </row>
    <row r="30" spans="1:10">
      <c r="A30" s="176" t="str">
        <f t="shared" si="0"/>
        <v>Parsol Grey/szary / 5,85 / DLF</v>
      </c>
      <c r="B30" s="482" t="s">
        <v>441</v>
      </c>
      <c r="C30" s="482" t="s">
        <v>805</v>
      </c>
      <c r="D30" s="482" t="s">
        <v>214</v>
      </c>
      <c r="E30" s="485">
        <v>5.85</v>
      </c>
      <c r="F30" s="482" t="s">
        <v>415</v>
      </c>
      <c r="G30" s="482">
        <v>3210</v>
      </c>
      <c r="H30" s="482">
        <v>2000</v>
      </c>
    </row>
    <row r="31" spans="1:10">
      <c r="A31" s="176" t="str">
        <f t="shared" si="0"/>
        <v>Parsol Grey/szary / 8 / DLF</v>
      </c>
      <c r="B31" s="482" t="s">
        <v>442</v>
      </c>
      <c r="C31" s="482" t="s">
        <v>805</v>
      </c>
      <c r="D31" s="482" t="s">
        <v>214</v>
      </c>
      <c r="E31" s="485">
        <v>8</v>
      </c>
      <c r="F31" s="482" t="s">
        <v>415</v>
      </c>
      <c r="G31" s="482">
        <v>3210</v>
      </c>
      <c r="H31" s="482">
        <v>2000</v>
      </c>
    </row>
    <row r="32" spans="1:10">
      <c r="A32" s="176" t="str">
        <f t="shared" si="0"/>
        <v>Venus Grey10/szary / 2,1 / DLF</v>
      </c>
      <c r="B32" s="482" t="s">
        <v>443</v>
      </c>
      <c r="C32" s="482" t="s">
        <v>806</v>
      </c>
      <c r="D32" s="482" t="s">
        <v>216</v>
      </c>
      <c r="E32" s="485">
        <v>2.1</v>
      </c>
      <c r="F32" s="482" t="s">
        <v>415</v>
      </c>
      <c r="G32" s="482">
        <v>3210</v>
      </c>
      <c r="H32" s="482">
        <v>1723</v>
      </c>
    </row>
    <row r="33" spans="1:10">
      <c r="A33" s="176" t="str">
        <f>D33&amp;" / "&amp;E33&amp;" / "&amp;F33</f>
        <v>Venus Grey10/szary / 2,1 / DLF</v>
      </c>
      <c r="B33" s="484" t="s">
        <v>443</v>
      </c>
      <c r="C33" s="484" t="s">
        <v>806</v>
      </c>
      <c r="D33" s="484" t="s">
        <v>216</v>
      </c>
      <c r="E33" s="484">
        <v>2.1</v>
      </c>
      <c r="F33" s="484" t="s">
        <v>415</v>
      </c>
      <c r="G33" s="484">
        <v>3210</v>
      </c>
      <c r="H33" s="484">
        <v>1723</v>
      </c>
      <c r="J33" t="s">
        <v>807</v>
      </c>
    </row>
    <row r="34" spans="1:10">
      <c r="A34" s="87" t="str">
        <f t="shared" si="0"/>
        <v>Venus Grey10/szary / 3,15 / PLF</v>
      </c>
      <c r="B34" s="154" t="s">
        <v>444</v>
      </c>
      <c r="C34" s="154" t="s">
        <v>806</v>
      </c>
      <c r="D34" s="154" t="s">
        <v>216</v>
      </c>
      <c r="E34" s="155">
        <v>3.15</v>
      </c>
      <c r="F34" s="154" t="s">
        <v>416</v>
      </c>
      <c r="G34" s="154">
        <v>3210</v>
      </c>
      <c r="H34" s="154">
        <v>6000</v>
      </c>
    </row>
    <row r="35" spans="1:10" s="156" customFormat="1">
      <c r="A35" s="87" t="str">
        <f t="shared" si="0"/>
        <v>Venus Grey10/szary / 3,85 / PLF</v>
      </c>
      <c r="B35" s="154" t="s">
        <v>445</v>
      </c>
      <c r="C35" s="154" t="s">
        <v>806</v>
      </c>
      <c r="D35" s="154" t="s">
        <v>216</v>
      </c>
      <c r="E35" s="155">
        <v>3.85</v>
      </c>
      <c r="F35" s="154" t="s">
        <v>416</v>
      </c>
      <c r="G35" s="154">
        <v>3300</v>
      </c>
      <c r="H35" s="154">
        <v>5680</v>
      </c>
      <c r="I35"/>
    </row>
    <row r="36" spans="1:10" s="156" customFormat="1">
      <c r="A36" s="87" t="str">
        <f>D36&amp;" / "&amp;E36&amp;" / "&amp;F36</f>
        <v>Venus Grey10/szary / 3,85 / PLF</v>
      </c>
      <c r="B36" s="492" t="s">
        <v>593</v>
      </c>
      <c r="C36" s="492" t="s">
        <v>806</v>
      </c>
      <c r="D36" s="492" t="s">
        <v>216</v>
      </c>
      <c r="E36" s="492">
        <v>3.85</v>
      </c>
      <c r="F36" s="492" t="s">
        <v>416</v>
      </c>
      <c r="G36" s="492">
        <v>3210</v>
      </c>
      <c r="H36" s="492">
        <v>6000</v>
      </c>
      <c r="I36"/>
      <c r="J36" t="s">
        <v>808</v>
      </c>
    </row>
    <row r="37" spans="1:10">
      <c r="A37" s="176" t="str">
        <f t="shared" si="0"/>
        <v>Venus Grey10/szary / 4,85 / DLF</v>
      </c>
      <c r="B37" s="482" t="s">
        <v>446</v>
      </c>
      <c r="C37" s="482" t="s">
        <v>806</v>
      </c>
      <c r="D37" s="482" t="s">
        <v>216</v>
      </c>
      <c r="E37" s="485">
        <v>4.8499999999999996</v>
      </c>
      <c r="F37" s="482" t="s">
        <v>415</v>
      </c>
      <c r="G37" s="482">
        <v>3000</v>
      </c>
      <c r="H37" s="482">
        <v>1500</v>
      </c>
      <c r="J37" t="s">
        <v>799</v>
      </c>
    </row>
    <row r="38" spans="1:10" s="156" customFormat="1">
      <c r="A38" s="87" t="str">
        <f t="shared" si="0"/>
        <v>Venus Grey20/szary / 3,15 / PLF</v>
      </c>
      <c r="B38" s="154" t="s">
        <v>447</v>
      </c>
      <c r="C38" s="154" t="s">
        <v>809</v>
      </c>
      <c r="D38" s="154" t="s">
        <v>217</v>
      </c>
      <c r="E38" s="155">
        <v>3.15</v>
      </c>
      <c r="F38" s="154" t="s">
        <v>416</v>
      </c>
      <c r="G38" s="154">
        <v>3215</v>
      </c>
      <c r="H38" s="154">
        <v>5920</v>
      </c>
      <c r="I38"/>
    </row>
    <row r="39" spans="1:10" s="156" customFormat="1">
      <c r="A39" s="87" t="str">
        <f t="shared" si="0"/>
        <v>Venus Grey20/szary / 3,85 / PLF</v>
      </c>
      <c r="B39" s="154" t="s">
        <v>448</v>
      </c>
      <c r="C39" s="154" t="s">
        <v>809</v>
      </c>
      <c r="D39" s="154" t="s">
        <v>217</v>
      </c>
      <c r="E39" s="155">
        <v>3.85</v>
      </c>
      <c r="F39" s="154" t="s">
        <v>416</v>
      </c>
      <c r="G39" s="154">
        <v>2900</v>
      </c>
      <c r="H39" s="154">
        <v>5825</v>
      </c>
      <c r="I39"/>
    </row>
    <row r="40" spans="1:10" s="156" customFormat="1">
      <c r="A40" s="87" t="str">
        <f t="shared" si="0"/>
        <v>Venus Grey20/szary / 4,85 / DLF</v>
      </c>
      <c r="B40" s="154" t="s">
        <v>769</v>
      </c>
      <c r="C40" s="154" t="s">
        <v>809</v>
      </c>
      <c r="D40" s="154" t="s">
        <v>217</v>
      </c>
      <c r="E40" s="155">
        <v>4.8499999999999996</v>
      </c>
      <c r="F40" s="154" t="s">
        <v>415</v>
      </c>
      <c r="G40" s="154">
        <v>3210</v>
      </c>
      <c r="H40" s="154">
        <v>2000</v>
      </c>
      <c r="I40"/>
    </row>
    <row r="41" spans="1:10" s="156" customFormat="1">
      <c r="A41" s="87" t="str">
        <f t="shared" si="0"/>
        <v>Venus Grey40/szary / 3,15 / PLF</v>
      </c>
      <c r="B41" s="154" t="s">
        <v>449</v>
      </c>
      <c r="C41" s="154" t="s">
        <v>810</v>
      </c>
      <c r="D41" s="154" t="s">
        <v>218</v>
      </c>
      <c r="E41" s="155">
        <v>3.15</v>
      </c>
      <c r="F41" s="154" t="s">
        <v>416</v>
      </c>
      <c r="G41" s="154">
        <v>2990</v>
      </c>
      <c r="H41" s="154">
        <v>5480</v>
      </c>
      <c r="I41"/>
    </row>
    <row r="42" spans="1:10" s="156" customFormat="1">
      <c r="A42" s="87" t="str">
        <f t="shared" si="0"/>
        <v>Venus Grey40/szary / 3,85 / PLF</v>
      </c>
      <c r="B42" s="154" t="s">
        <v>450</v>
      </c>
      <c r="C42" s="154" t="s">
        <v>810</v>
      </c>
      <c r="D42" s="154" t="s">
        <v>218</v>
      </c>
      <c r="E42" s="155">
        <v>3.85</v>
      </c>
      <c r="F42" s="154" t="s">
        <v>416</v>
      </c>
      <c r="G42" s="154">
        <v>3210</v>
      </c>
      <c r="H42" s="154">
        <v>5770</v>
      </c>
      <c r="I42"/>
    </row>
    <row r="43" spans="1:10" s="156" customFormat="1">
      <c r="A43" s="87" t="str">
        <f>D43&amp;" / "&amp;E43&amp;" / "&amp;F43</f>
        <v>Venus Grey40/szary / 3,85 / PLF</v>
      </c>
      <c r="B43" s="492" t="s">
        <v>600</v>
      </c>
      <c r="C43" s="492" t="s">
        <v>810</v>
      </c>
      <c r="D43" s="492" t="s">
        <v>218</v>
      </c>
      <c r="E43" s="492">
        <v>3.85</v>
      </c>
      <c r="F43" s="492" t="s">
        <v>416</v>
      </c>
      <c r="G43" s="492">
        <v>2915</v>
      </c>
      <c r="H43" s="492">
        <v>6070</v>
      </c>
      <c r="I43"/>
      <c r="J43"/>
    </row>
    <row r="44" spans="1:10" s="156" customFormat="1">
      <c r="A44" s="87" t="str">
        <f t="shared" si="0"/>
        <v>Venus Grey40/szary / 4,85 / PLF</v>
      </c>
      <c r="B44" s="154" t="s">
        <v>451</v>
      </c>
      <c r="C44" s="154" t="s">
        <v>810</v>
      </c>
      <c r="D44" s="154" t="s">
        <v>218</v>
      </c>
      <c r="E44" s="155">
        <v>4.8499999999999996</v>
      </c>
      <c r="F44" s="154" t="s">
        <v>416</v>
      </c>
      <c r="G44" s="154">
        <v>2900</v>
      </c>
      <c r="H44" s="154">
        <v>5750</v>
      </c>
      <c r="I44"/>
    </row>
    <row r="45" spans="1:10" s="156" customFormat="1">
      <c r="A45" s="87" t="str">
        <f>D45&amp;" / "&amp;E45&amp;" / "&amp;F45</f>
        <v>Venus Grey40/szary / 4,85 / PLF</v>
      </c>
      <c r="B45" s="492" t="s">
        <v>601</v>
      </c>
      <c r="C45" s="492" t="s">
        <v>810</v>
      </c>
      <c r="D45" s="492" t="s">
        <v>218</v>
      </c>
      <c r="E45" s="492">
        <v>4.8499999999999996</v>
      </c>
      <c r="F45" s="492" t="s">
        <v>416</v>
      </c>
      <c r="G45" s="492">
        <v>3250</v>
      </c>
      <c r="H45" s="492">
        <v>5150</v>
      </c>
      <c r="I45"/>
      <c r="J45"/>
    </row>
    <row r="46" spans="1:10">
      <c r="A46" s="176" t="str">
        <f t="shared" si="0"/>
        <v>Parsol Bronze/brąz / 3,85 / DLF</v>
      </c>
      <c r="B46" s="482" t="s">
        <v>452</v>
      </c>
      <c r="C46" s="482" t="s">
        <v>811</v>
      </c>
      <c r="D46" s="482" t="s">
        <v>213</v>
      </c>
      <c r="E46" s="485">
        <v>3.85</v>
      </c>
      <c r="F46" s="482" t="s">
        <v>415</v>
      </c>
      <c r="G46" s="482">
        <v>3210</v>
      </c>
      <c r="H46" s="482">
        <v>2550</v>
      </c>
    </row>
    <row r="47" spans="1:10">
      <c r="A47" s="176" t="str">
        <f t="shared" si="0"/>
        <v>Parsol Bronze/brąz / 4,85 / DLF</v>
      </c>
      <c r="B47" s="482" t="s">
        <v>453</v>
      </c>
      <c r="C47" s="482" t="s">
        <v>811</v>
      </c>
      <c r="D47" s="482" t="s">
        <v>213</v>
      </c>
      <c r="E47" s="485">
        <v>4.8499999999999996</v>
      </c>
      <c r="F47" s="482" t="s">
        <v>415</v>
      </c>
      <c r="G47" s="482">
        <v>3210</v>
      </c>
      <c r="H47" s="482">
        <v>2000</v>
      </c>
    </row>
    <row r="48" spans="1:10">
      <c r="A48" s="176" t="str">
        <f t="shared" si="0"/>
        <v>Parsol Bronze/brąz / 5,85 / DLF</v>
      </c>
      <c r="B48" s="482" t="s">
        <v>454</v>
      </c>
      <c r="C48" s="482" t="s">
        <v>811</v>
      </c>
      <c r="D48" s="482" t="s">
        <v>213</v>
      </c>
      <c r="E48" s="485">
        <v>5.85</v>
      </c>
      <c r="F48" s="482" t="s">
        <v>415</v>
      </c>
      <c r="G48" s="482">
        <v>3210</v>
      </c>
      <c r="H48" s="482">
        <v>2000</v>
      </c>
    </row>
    <row r="49" spans="1:10">
      <c r="A49" s="176" t="str">
        <f t="shared" si="0"/>
        <v>Parsol Bronze/brąz / 8 / DLF</v>
      </c>
      <c r="B49" s="482" t="s">
        <v>455</v>
      </c>
      <c r="C49" s="482" t="s">
        <v>811</v>
      </c>
      <c r="D49" s="482" t="s">
        <v>213</v>
      </c>
      <c r="E49" s="485">
        <v>8</v>
      </c>
      <c r="F49" s="482" t="s">
        <v>415</v>
      </c>
      <c r="G49" s="482">
        <v>3210</v>
      </c>
      <c r="H49" s="482">
        <v>2000</v>
      </c>
      <c r="J49" s="156" t="s">
        <v>812</v>
      </c>
    </row>
    <row r="50" spans="1:10">
      <c r="A50" s="176" t="str">
        <f t="shared" si="0"/>
        <v>Parsol Bronze/brąz / 10 / DLF</v>
      </c>
      <c r="B50" s="482" t="s">
        <v>456</v>
      </c>
      <c r="C50" s="482" t="s">
        <v>811</v>
      </c>
      <c r="D50" s="482" t="s">
        <v>213</v>
      </c>
      <c r="E50" s="485">
        <v>10</v>
      </c>
      <c r="F50" s="482" t="s">
        <v>415</v>
      </c>
      <c r="G50" s="482">
        <v>3210</v>
      </c>
      <c r="H50" s="482">
        <v>2250</v>
      </c>
      <c r="J50" s="156" t="s">
        <v>812</v>
      </c>
    </row>
    <row r="51" spans="1:10">
      <c r="A51" s="176" t="str">
        <f t="shared" si="0"/>
        <v>Venus Green35/zielone / 3,15 / DLF</v>
      </c>
      <c r="B51" s="482" t="s">
        <v>457</v>
      </c>
      <c r="C51" s="482" t="s">
        <v>813</v>
      </c>
      <c r="D51" s="482" t="s">
        <v>219</v>
      </c>
      <c r="E51" s="485">
        <v>3.15</v>
      </c>
      <c r="F51" s="482" t="s">
        <v>415</v>
      </c>
      <c r="G51" s="482">
        <v>3225</v>
      </c>
      <c r="H51" s="482">
        <v>2000</v>
      </c>
      <c r="J51" s="156" t="s">
        <v>812</v>
      </c>
    </row>
    <row r="52" spans="1:10">
      <c r="A52" s="176" t="str">
        <f>D52&amp;" / "&amp;E52&amp;" / "&amp;F52</f>
        <v>Venus Green35/zielone / 3,15 / DLF</v>
      </c>
      <c r="B52" s="484" t="s">
        <v>596</v>
      </c>
      <c r="C52" s="484" t="s">
        <v>813</v>
      </c>
      <c r="D52" s="484" t="s">
        <v>219</v>
      </c>
      <c r="E52" s="484">
        <v>3.15</v>
      </c>
      <c r="F52" s="484" t="s">
        <v>415</v>
      </c>
      <c r="G52" s="484">
        <v>3210</v>
      </c>
      <c r="H52" s="484">
        <v>1867</v>
      </c>
      <c r="J52" s="156" t="s">
        <v>812</v>
      </c>
    </row>
    <row r="53" spans="1:10" s="156" customFormat="1">
      <c r="A53" s="87" t="str">
        <f t="shared" si="0"/>
        <v>Venus Green35/zielone / 3,85 / PLF</v>
      </c>
      <c r="B53" s="154" t="s">
        <v>458</v>
      </c>
      <c r="C53" s="154" t="s">
        <v>813</v>
      </c>
      <c r="D53" s="154" t="s">
        <v>219</v>
      </c>
      <c r="E53" s="155">
        <v>3.85</v>
      </c>
      <c r="F53" s="154" t="s">
        <v>416</v>
      </c>
      <c r="G53" s="154">
        <v>3300</v>
      </c>
      <c r="H53" s="154">
        <v>5750</v>
      </c>
      <c r="I53"/>
    </row>
    <row r="54" spans="1:10">
      <c r="A54" s="176" t="str">
        <f t="shared" si="0"/>
        <v>Venus Green35/zielone / 4,85 / DLF</v>
      </c>
      <c r="B54" s="482" t="s">
        <v>459</v>
      </c>
      <c r="C54" s="482" t="s">
        <v>813</v>
      </c>
      <c r="D54" s="482" t="s">
        <v>219</v>
      </c>
      <c r="E54" s="485">
        <v>4.8499999999999996</v>
      </c>
      <c r="F54" s="482" t="s">
        <v>415</v>
      </c>
      <c r="G54" s="482">
        <v>3000</v>
      </c>
      <c r="H54" s="482">
        <v>1933</v>
      </c>
    </row>
    <row r="55" spans="1:10" s="156" customFormat="1">
      <c r="A55" s="87" t="str">
        <f t="shared" si="0"/>
        <v>Venus Green35/zielone / 4,85 / PLF</v>
      </c>
      <c r="B55" s="154" t="s">
        <v>460</v>
      </c>
      <c r="C55" s="154" t="s">
        <v>813</v>
      </c>
      <c r="D55" s="154" t="s">
        <v>219</v>
      </c>
      <c r="E55" s="155">
        <v>4.8499999999999996</v>
      </c>
      <c r="F55" s="154" t="s">
        <v>416</v>
      </c>
      <c r="G55" s="154">
        <v>3000</v>
      </c>
      <c r="H55" s="154">
        <v>5200</v>
      </c>
      <c r="I55"/>
    </row>
    <row r="56" spans="1:10" s="156" customFormat="1">
      <c r="A56" s="176" t="str">
        <f>D56&amp;" / "&amp;E56&amp;" / "&amp;F56</f>
        <v>Venus Green55/zielone / 3,85 / DLF</v>
      </c>
      <c r="B56" s="484" t="s">
        <v>607</v>
      </c>
      <c r="C56" s="484" t="s">
        <v>814</v>
      </c>
      <c r="D56" s="484" t="s">
        <v>220</v>
      </c>
      <c r="E56" s="484">
        <v>3.85</v>
      </c>
      <c r="F56" s="484" t="s">
        <v>415</v>
      </c>
      <c r="G56" s="484">
        <v>3300</v>
      </c>
      <c r="H56" s="484">
        <v>2100</v>
      </c>
      <c r="I56"/>
      <c r="J56" t="s">
        <v>799</v>
      </c>
    </row>
    <row r="57" spans="1:10" s="156" customFormat="1">
      <c r="A57" s="176" t="str">
        <f>D57&amp;" / "&amp;E57&amp;" / "&amp;F57</f>
        <v>Venus Green55/zielone / 4,85 / DLF</v>
      </c>
      <c r="B57" s="484" t="s">
        <v>606</v>
      </c>
      <c r="C57" s="484" t="s">
        <v>814</v>
      </c>
      <c r="D57" s="484" t="s">
        <v>220</v>
      </c>
      <c r="E57" s="484">
        <v>4.8499999999999996</v>
      </c>
      <c r="F57" s="484" t="s">
        <v>415</v>
      </c>
      <c r="G57" s="484">
        <v>3300</v>
      </c>
      <c r="H57" s="484">
        <v>2100</v>
      </c>
      <c r="I57"/>
      <c r="J57" t="s">
        <v>799</v>
      </c>
    </row>
    <row r="58" spans="1:10">
      <c r="A58" s="87" t="str">
        <f t="shared" si="0"/>
        <v>TSANX comfortsky / 4,85 / PLF</v>
      </c>
      <c r="B58" s="154" t="s">
        <v>461</v>
      </c>
      <c r="C58" s="154" t="s">
        <v>815</v>
      </c>
      <c r="D58" s="154" t="s">
        <v>815</v>
      </c>
      <c r="E58" s="155">
        <v>4.8499999999999996</v>
      </c>
      <c r="F58" s="154" t="s">
        <v>416</v>
      </c>
      <c r="G58" s="154">
        <v>3210</v>
      </c>
      <c r="H58" s="154">
        <v>6000</v>
      </c>
    </row>
    <row r="59" spans="1:10">
      <c r="A59" s="87" t="str">
        <f t="shared" si="0"/>
        <v>VG40 comfortsky / 3,85 / PLF</v>
      </c>
      <c r="B59" s="154" t="s">
        <v>584</v>
      </c>
      <c r="C59" s="154" t="s">
        <v>816</v>
      </c>
      <c r="D59" s="154" t="s">
        <v>816</v>
      </c>
      <c r="E59" s="155">
        <v>3.85</v>
      </c>
      <c r="F59" s="154" t="s">
        <v>416</v>
      </c>
      <c r="G59" s="154">
        <v>3210</v>
      </c>
      <c r="H59" s="154">
        <v>5030</v>
      </c>
      <c r="J59" s="156" t="s">
        <v>812</v>
      </c>
    </row>
    <row r="60" spans="1:10">
      <c r="A60" s="87" t="str">
        <f t="shared" si="0"/>
        <v>VG10 comfortsky / 3,85 / PLF</v>
      </c>
      <c r="B60" s="154" t="s">
        <v>817</v>
      </c>
      <c r="C60" s="154" t="s">
        <v>818</v>
      </c>
      <c r="D60" s="154" t="s">
        <v>818</v>
      </c>
      <c r="E60" s="155">
        <v>3.85</v>
      </c>
      <c r="F60" s="154" t="s">
        <v>416</v>
      </c>
      <c r="G60" s="154">
        <v>3210</v>
      </c>
      <c r="H60" s="154">
        <v>6000</v>
      </c>
      <c r="J60" s="156" t="s">
        <v>812</v>
      </c>
    </row>
    <row r="61" spans="1:10">
      <c r="A61" s="87" t="str">
        <f t="shared" si="0"/>
        <v>PLANILUX Cool-Lite ST136 / 8 / PLF</v>
      </c>
      <c r="B61" s="154" t="s">
        <v>464</v>
      </c>
      <c r="C61" s="154" t="s">
        <v>819</v>
      </c>
      <c r="D61" s="154" t="s">
        <v>819</v>
      </c>
      <c r="E61" s="155">
        <v>8</v>
      </c>
      <c r="F61" s="154" t="s">
        <v>416</v>
      </c>
      <c r="G61" s="154">
        <v>3210</v>
      </c>
      <c r="H61" s="154">
        <v>6000</v>
      </c>
    </row>
    <row r="62" spans="1:10">
      <c r="A62" s="176" t="str">
        <f t="shared" si="0"/>
        <v>Antelio Clear / 4,85 / DLF</v>
      </c>
      <c r="B62" s="482" t="s">
        <v>465</v>
      </c>
      <c r="C62" s="482" t="s">
        <v>820</v>
      </c>
      <c r="D62" s="482" t="s">
        <v>820</v>
      </c>
      <c r="E62" s="485">
        <v>4.8499999999999996</v>
      </c>
      <c r="F62" s="482" t="s">
        <v>415</v>
      </c>
      <c r="G62" s="482">
        <v>3210</v>
      </c>
      <c r="H62" s="482">
        <v>2000</v>
      </c>
    </row>
    <row r="63" spans="1:10">
      <c r="A63" s="176" t="str">
        <f t="shared" si="0"/>
        <v>ANTELIO-BRĄZ / 5,85 / DLF</v>
      </c>
      <c r="B63" s="482" t="s">
        <v>821</v>
      </c>
      <c r="C63" s="482" t="s">
        <v>822</v>
      </c>
      <c r="D63" s="482" t="s">
        <v>822</v>
      </c>
      <c r="E63" s="485">
        <v>5.85</v>
      </c>
      <c r="F63" s="482" t="s">
        <v>415</v>
      </c>
      <c r="G63" s="482">
        <v>3210</v>
      </c>
      <c r="H63" s="482">
        <v>2250</v>
      </c>
      <c r="J63" s="156" t="s">
        <v>812</v>
      </c>
    </row>
    <row r="64" spans="1:10">
      <c r="A64" s="176" t="str">
        <f t="shared" si="0"/>
        <v>ANTEL-SILVER / 5,85 / DLF</v>
      </c>
      <c r="B64" s="482" t="s">
        <v>467</v>
      </c>
      <c r="C64" s="482" t="s">
        <v>823</v>
      </c>
      <c r="D64" s="482" t="s">
        <v>823</v>
      </c>
      <c r="E64" s="485">
        <v>5.85</v>
      </c>
      <c r="F64" s="482" t="s">
        <v>415</v>
      </c>
      <c r="G64" s="482">
        <v>3210</v>
      </c>
      <c r="H64" s="482">
        <v>2000</v>
      </c>
    </row>
    <row r="65" spans="1:17">
      <c r="A65" s="176" t="str">
        <f t="shared" si="0"/>
        <v>ANTEL-EMERALD / 5,85 / DLF</v>
      </c>
      <c r="B65" s="482" t="s">
        <v>824</v>
      </c>
      <c r="C65" s="482" t="s">
        <v>825</v>
      </c>
      <c r="D65" s="482" t="s">
        <v>825</v>
      </c>
      <c r="E65" s="485">
        <v>5.85</v>
      </c>
      <c r="F65" s="482" t="s">
        <v>415</v>
      </c>
      <c r="G65" s="482">
        <v>3210</v>
      </c>
      <c r="H65" s="482">
        <v>2000</v>
      </c>
      <c r="J65" s="156" t="s">
        <v>812</v>
      </c>
    </row>
    <row r="66" spans="1:17">
      <c r="A66" s="176" t="str">
        <f t="shared" si="0"/>
        <v>DIAMANT  / 3,15 / DLF</v>
      </c>
      <c r="B66" s="482" t="s">
        <v>826</v>
      </c>
      <c r="C66" s="482" t="s">
        <v>827</v>
      </c>
      <c r="D66" s="482" t="s">
        <v>827</v>
      </c>
      <c r="E66" s="485">
        <v>3.15</v>
      </c>
      <c r="F66" s="482" t="s">
        <v>415</v>
      </c>
      <c r="G66" s="482">
        <v>3210</v>
      </c>
      <c r="H66" s="482">
        <v>2000</v>
      </c>
      <c r="J66" s="156" t="s">
        <v>812</v>
      </c>
    </row>
    <row r="67" spans="1:17">
      <c r="A67" s="176" t="str">
        <f t="shared" si="0"/>
        <v>DIAMANT  / 5,85 / DLF</v>
      </c>
      <c r="B67" s="482" t="s">
        <v>828</v>
      </c>
      <c r="C67" s="482" t="s">
        <v>827</v>
      </c>
      <c r="D67" s="482" t="s">
        <v>827</v>
      </c>
      <c r="E67" s="485">
        <v>5.85</v>
      </c>
      <c r="F67" s="482" t="s">
        <v>415</v>
      </c>
      <c r="G67" s="482">
        <v>3210</v>
      </c>
      <c r="H67" s="482">
        <v>2000</v>
      </c>
      <c r="J67" s="156" t="s">
        <v>812</v>
      </c>
    </row>
    <row r="68" spans="1:17">
      <c r="A68" s="176" t="str">
        <f t="shared" si="0"/>
        <v>DIAMANT  / 10 / DLF</v>
      </c>
      <c r="B68" s="482" t="s">
        <v>829</v>
      </c>
      <c r="C68" s="482" t="s">
        <v>827</v>
      </c>
      <c r="D68" s="482" t="s">
        <v>827</v>
      </c>
      <c r="E68" s="485">
        <v>10</v>
      </c>
      <c r="F68" s="482" t="s">
        <v>415</v>
      </c>
      <c r="G68" s="482">
        <v>3210</v>
      </c>
      <c r="H68" s="482">
        <v>2000</v>
      </c>
      <c r="J68" s="156" t="s">
        <v>812</v>
      </c>
    </row>
    <row r="69" spans="1:17">
      <c r="A69" s="87" t="str">
        <f t="shared" ref="A69:A79" si="1">D69&amp;" / "&amp;E69&amp;" / "&amp;F69</f>
        <v>K-GLASS / 3,85 / PLF</v>
      </c>
      <c r="B69" s="154" t="s">
        <v>468</v>
      </c>
      <c r="C69" s="154" t="s">
        <v>469</v>
      </c>
      <c r="D69" s="154" t="s">
        <v>469</v>
      </c>
      <c r="E69" s="155">
        <v>3.85</v>
      </c>
      <c r="F69" s="154" t="s">
        <v>416</v>
      </c>
      <c r="G69" s="154">
        <v>3210</v>
      </c>
      <c r="H69" s="154">
        <v>6000</v>
      </c>
    </row>
    <row r="70" spans="1:17">
      <c r="A70" s="87" t="str">
        <f t="shared" si="1"/>
        <v>K-GLASS / 5,85 / PLF</v>
      </c>
      <c r="B70" s="154" t="s">
        <v>830</v>
      </c>
      <c r="C70" s="154" t="s">
        <v>469</v>
      </c>
      <c r="D70" s="154" t="s">
        <v>469</v>
      </c>
      <c r="E70" s="155">
        <v>5.85</v>
      </c>
      <c r="F70" s="154" t="s">
        <v>416</v>
      </c>
      <c r="G70" s="154">
        <v>3210</v>
      </c>
      <c r="H70" s="154">
        <v>6000</v>
      </c>
      <c r="J70" s="156" t="s">
        <v>812</v>
      </c>
    </row>
    <row r="71" spans="1:17">
      <c r="A71" s="176" t="str">
        <f t="shared" si="1"/>
        <v>MIRASTAR / 3,85 / DLF</v>
      </c>
      <c r="B71" s="482" t="s">
        <v>470</v>
      </c>
      <c r="C71" s="482" t="s">
        <v>471</v>
      </c>
      <c r="D71" s="482" t="s">
        <v>471</v>
      </c>
      <c r="E71" s="485">
        <v>3.85</v>
      </c>
      <c r="F71" s="482" t="s">
        <v>415</v>
      </c>
      <c r="G71" s="482">
        <v>3210</v>
      </c>
      <c r="H71" s="482">
        <v>2000</v>
      </c>
    </row>
    <row r="72" spans="1:17">
      <c r="A72" s="176" t="str">
        <f t="shared" si="1"/>
        <v>MIRASTAR / 5,85 / DLF</v>
      </c>
      <c r="B72" s="482" t="s">
        <v>831</v>
      </c>
      <c r="C72" s="482" t="s">
        <v>471</v>
      </c>
      <c r="D72" s="482" t="s">
        <v>471</v>
      </c>
      <c r="E72" s="485">
        <v>5.85</v>
      </c>
      <c r="F72" s="482" t="s">
        <v>415</v>
      </c>
      <c r="G72" s="482">
        <v>3210</v>
      </c>
      <c r="H72" s="482">
        <v>2000</v>
      </c>
      <c r="J72" s="156" t="s">
        <v>812</v>
      </c>
    </row>
    <row r="73" spans="1:17">
      <c r="A73" s="87" t="str">
        <f t="shared" si="1"/>
        <v>Planitherm XN II / 2,9 / PLF</v>
      </c>
      <c r="B73" s="154" t="s">
        <v>489</v>
      </c>
      <c r="C73" s="154" t="s">
        <v>525</v>
      </c>
      <c r="D73" s="154" t="s">
        <v>525</v>
      </c>
      <c r="E73" s="155">
        <v>2.9</v>
      </c>
      <c r="F73" s="154" t="s">
        <v>416</v>
      </c>
      <c r="G73" s="154">
        <v>3210</v>
      </c>
      <c r="H73" s="154">
        <v>6000</v>
      </c>
    </row>
    <row r="74" spans="1:17">
      <c r="A74" s="87" t="str">
        <f t="shared" si="1"/>
        <v>Planitherm XN II / 3,85 / PLF</v>
      </c>
      <c r="B74" s="154" t="s">
        <v>490</v>
      </c>
      <c r="C74" s="154" t="s">
        <v>525</v>
      </c>
      <c r="D74" s="154" t="s">
        <v>525</v>
      </c>
      <c r="E74" s="155">
        <v>3.85</v>
      </c>
      <c r="F74" s="154" t="s">
        <v>416</v>
      </c>
      <c r="G74" s="154">
        <v>3210</v>
      </c>
      <c r="H74" s="154">
        <v>6000</v>
      </c>
    </row>
    <row r="75" spans="1:17">
      <c r="A75" s="87" t="str">
        <f t="shared" si="1"/>
        <v>Planilux/bezbarwne+RFLC / 3,85 / PLF</v>
      </c>
      <c r="B75" s="154" t="s">
        <v>491</v>
      </c>
      <c r="C75" s="154" t="s">
        <v>463</v>
      </c>
      <c r="D75" s="154" t="s">
        <v>225</v>
      </c>
      <c r="E75" s="155">
        <v>3.85</v>
      </c>
      <c r="F75" s="154" t="s">
        <v>416</v>
      </c>
      <c r="G75" s="154">
        <v>3210</v>
      </c>
      <c r="H75" s="154">
        <v>6000</v>
      </c>
      <c r="J75" s="156" t="s">
        <v>812</v>
      </c>
    </row>
    <row r="76" spans="1:17">
      <c r="A76" s="87" t="str">
        <f t="shared" si="1"/>
        <v>Planilux/bezbarwne+RFLC / 5,85 / PLF</v>
      </c>
      <c r="B76" s="154" t="s">
        <v>492</v>
      </c>
      <c r="C76" s="154" t="s">
        <v>463</v>
      </c>
      <c r="D76" s="154" t="s">
        <v>225</v>
      </c>
      <c r="E76" s="155">
        <v>5.85</v>
      </c>
      <c r="F76" s="154" t="s">
        <v>416</v>
      </c>
      <c r="G76" s="154">
        <v>3210</v>
      </c>
      <c r="H76" s="154">
        <v>6000</v>
      </c>
      <c r="J76" s="156" t="s">
        <v>812</v>
      </c>
    </row>
    <row r="77" spans="1:17">
      <c r="A77" s="87" t="str">
        <f t="shared" si="1"/>
        <v>Planilux/bezbarwne+RFLC / 8 / PLF</v>
      </c>
      <c r="B77" s="154" t="s">
        <v>462</v>
      </c>
      <c r="C77" s="154" t="s">
        <v>463</v>
      </c>
      <c r="D77" s="154" t="s">
        <v>225</v>
      </c>
      <c r="E77" s="155">
        <v>8</v>
      </c>
      <c r="F77" s="154" t="s">
        <v>416</v>
      </c>
      <c r="G77" s="154">
        <v>3210</v>
      </c>
      <c r="H77" s="154">
        <v>6000</v>
      </c>
    </row>
    <row r="78" spans="1:17">
      <c r="A78" s="87" t="str">
        <f t="shared" si="1"/>
        <v>Planilux/bezbarwne+RFLC / 10 / PLF</v>
      </c>
      <c r="B78" s="154" t="s">
        <v>832</v>
      </c>
      <c r="C78" s="154" t="s">
        <v>463</v>
      </c>
      <c r="D78" s="154" t="s">
        <v>225</v>
      </c>
      <c r="E78" s="155">
        <v>10</v>
      </c>
      <c r="F78" s="154" t="s">
        <v>416</v>
      </c>
      <c r="G78" s="154">
        <v>3210</v>
      </c>
      <c r="H78" s="154">
        <v>6000</v>
      </c>
      <c r="J78" s="156" t="s">
        <v>812</v>
      </c>
      <c r="K78" s="89"/>
      <c r="L78" s="89"/>
      <c r="M78" s="89"/>
      <c r="N78" s="89"/>
      <c r="O78" s="89"/>
      <c r="P78" s="89"/>
      <c r="Q78" s="89"/>
    </row>
    <row r="79" spans="1:17">
      <c r="A79" s="87" t="str">
        <f t="shared" si="1"/>
        <v>Planilux/bezbarwne+RFLC / 4,85 / PLF</v>
      </c>
      <c r="B79" s="154" t="s">
        <v>585</v>
      </c>
      <c r="C79" s="154" t="s">
        <v>833</v>
      </c>
      <c r="D79" s="154" t="s">
        <v>225</v>
      </c>
      <c r="E79" s="155">
        <v>4.8499999999999996</v>
      </c>
      <c r="F79" s="154" t="s">
        <v>416</v>
      </c>
      <c r="G79" s="154">
        <v>3210</v>
      </c>
      <c r="H79" s="154">
        <v>6000</v>
      </c>
      <c r="J79" s="87" t="str">
        <f t="shared" ref="J79" si="2">M79&amp;" / "&amp;N79&amp;" / "&amp;O79</f>
        <v xml:space="preserve"> /  / </v>
      </c>
      <c r="K79" s="154"/>
      <c r="L79" s="154"/>
      <c r="M79" s="154"/>
      <c r="N79" s="155"/>
      <c r="O79" s="154"/>
      <c r="P79" s="154"/>
      <c r="Q79" s="154"/>
    </row>
    <row r="80" spans="1:17">
      <c r="A80" s="87" t="str">
        <f>D80&amp;" / "&amp;E80&amp;" / "&amp;F80</f>
        <v>COOL LITE SKN.144II / 6 / PLF</v>
      </c>
      <c r="B80" s="492" t="s">
        <v>604</v>
      </c>
      <c r="C80" s="492" t="s">
        <v>834</v>
      </c>
      <c r="D80" s="492" t="s">
        <v>834</v>
      </c>
      <c r="E80" s="492">
        <v>6</v>
      </c>
      <c r="F80" s="492" t="s">
        <v>416</v>
      </c>
      <c r="G80" s="492">
        <v>3210</v>
      </c>
      <c r="H80" s="492">
        <v>6000</v>
      </c>
    </row>
    <row r="81" spans="1:10 16383:16383">
      <c r="A81" s="87" t="str">
        <f>D81&amp;" / "&amp;E81&amp;" / "&amp;F81</f>
        <v>PLTH XN II / 3,2 / PLF</v>
      </c>
      <c r="B81" s="492" t="s">
        <v>605</v>
      </c>
      <c r="C81" s="492" t="s">
        <v>835</v>
      </c>
      <c r="D81" s="492" t="s">
        <v>835</v>
      </c>
      <c r="E81" s="492">
        <v>3.2</v>
      </c>
      <c r="F81" s="492" t="s">
        <v>416</v>
      </c>
      <c r="G81" s="492">
        <v>3210</v>
      </c>
      <c r="H81" s="492">
        <v>6000</v>
      </c>
      <c r="J81" t="s">
        <v>799</v>
      </c>
      <c r="XFC81" s="89"/>
    </row>
    <row r="82" spans="1:10 16383:16383">
      <c r="A82" s="87"/>
      <c r="B82" s="482"/>
      <c r="C82" s="482"/>
      <c r="D82" s="482"/>
      <c r="E82" s="485"/>
      <c r="F82" s="482"/>
      <c r="G82" s="482"/>
      <c r="H82" s="482"/>
    </row>
    <row r="83" spans="1:10 16383:16383">
      <c r="A83" s="176"/>
      <c r="B83" s="482"/>
      <c r="C83" s="482"/>
      <c r="D83" s="482"/>
      <c r="E83" s="485"/>
      <c r="F83" s="482"/>
      <c r="G83" s="482"/>
      <c r="H83" s="482"/>
    </row>
    <row r="84" spans="1:10 16383:16383">
      <c r="A84" s="176"/>
      <c r="B84" s="484"/>
      <c r="C84" s="484"/>
      <c r="D84" s="484"/>
      <c r="E84" s="484"/>
      <c r="F84" s="484"/>
      <c r="G84" s="484"/>
      <c r="H84" s="484"/>
    </row>
    <row r="85" spans="1:10 16383:16383">
      <c r="A85" s="176"/>
      <c r="B85" s="154"/>
      <c r="C85" s="154"/>
      <c r="D85" s="154"/>
      <c r="E85" s="155"/>
      <c r="F85" s="154"/>
      <c r="G85" s="154"/>
      <c r="H85" s="154"/>
    </row>
    <row r="86" spans="1:10 16383:16383">
      <c r="A86" s="176"/>
      <c r="B86" s="154"/>
      <c r="C86" s="154"/>
      <c r="D86" s="154"/>
      <c r="E86" s="155"/>
      <c r="F86" s="154"/>
      <c r="G86" s="154"/>
      <c r="H86" s="154"/>
      <c r="J86" s="156"/>
    </row>
    <row r="87" spans="1:10 16383:16383">
      <c r="A87" s="87"/>
      <c r="B87" s="492"/>
      <c r="C87" s="492"/>
      <c r="D87" s="492"/>
      <c r="E87" s="492"/>
      <c r="F87" s="492"/>
      <c r="G87" s="492"/>
      <c r="H87" s="492"/>
    </row>
    <row r="88" spans="1:10 16383:16383">
      <c r="A88" s="87"/>
      <c r="B88" s="482"/>
      <c r="C88" s="482"/>
      <c r="D88" s="482"/>
      <c r="E88" s="485"/>
      <c r="F88" s="482"/>
      <c r="G88" s="482"/>
      <c r="H88" s="482"/>
    </row>
    <row r="89" spans="1:10 16383:16383">
      <c r="A89" s="87"/>
      <c r="B89" s="154"/>
      <c r="C89" s="154"/>
      <c r="D89" s="154"/>
      <c r="E89" s="155"/>
      <c r="F89" s="154"/>
      <c r="G89" s="154"/>
      <c r="H89" s="154"/>
      <c r="J89" s="156"/>
    </row>
    <row r="90" spans="1:10 16383:16383">
      <c r="A90" s="87"/>
      <c r="B90" s="154"/>
      <c r="C90" s="154"/>
      <c r="D90" s="154"/>
      <c r="E90" s="155"/>
      <c r="F90" s="154"/>
      <c r="G90" s="154"/>
      <c r="H90" s="154"/>
      <c r="J90" s="156"/>
    </row>
    <row r="91" spans="1:10 16383:16383">
      <c r="A91" s="87"/>
      <c r="B91" s="154"/>
      <c r="C91" s="154"/>
      <c r="D91" s="154"/>
      <c r="E91" s="155"/>
      <c r="F91" s="154"/>
      <c r="G91" s="154"/>
      <c r="H91" s="154"/>
      <c r="J91" s="156"/>
    </row>
    <row r="92" spans="1:10 16383:16383">
      <c r="A92" s="87"/>
      <c r="B92" s="154"/>
      <c r="C92" s="154"/>
      <c r="D92" s="154"/>
      <c r="E92" s="155"/>
      <c r="F92" s="154"/>
      <c r="G92" s="154"/>
      <c r="H92" s="154"/>
      <c r="J92" s="156"/>
    </row>
    <row r="93" spans="1:10 16383:16383">
      <c r="A93" s="87"/>
      <c r="B93" s="154"/>
      <c r="C93" s="154"/>
      <c r="D93" s="154"/>
      <c r="E93" s="155"/>
      <c r="F93" s="154"/>
      <c r="G93" s="154"/>
      <c r="H93" s="154"/>
      <c r="J93" s="156"/>
    </row>
    <row r="94" spans="1:10 16383:16383">
      <c r="A94" s="87"/>
      <c r="B94" s="492"/>
      <c r="C94" s="492"/>
      <c r="D94" s="492"/>
      <c r="E94" s="492"/>
      <c r="F94" s="492"/>
      <c r="G94" s="492"/>
      <c r="H94" s="492"/>
    </row>
    <row r="95" spans="1:10 16383:16383">
      <c r="A95" s="87"/>
      <c r="B95" s="154"/>
      <c r="C95" s="154"/>
      <c r="D95" s="154"/>
      <c r="E95" s="155"/>
      <c r="F95" s="154"/>
      <c r="G95" s="154"/>
      <c r="H95" s="154"/>
      <c r="J95" s="156"/>
    </row>
    <row r="96" spans="1:10 16383:16383">
      <c r="B96" s="492"/>
      <c r="C96" s="492"/>
      <c r="D96" s="492"/>
      <c r="E96" s="492"/>
      <c r="F96" s="492"/>
      <c r="G96" s="492"/>
      <c r="H96" s="492"/>
    </row>
    <row r="97" spans="2:10">
      <c r="B97" s="482"/>
      <c r="C97" s="482"/>
      <c r="D97" s="482"/>
      <c r="E97" s="485"/>
      <c r="F97" s="482"/>
      <c r="G97" s="482"/>
      <c r="H97" s="482"/>
    </row>
    <row r="98" spans="2:10">
      <c r="B98" s="482"/>
      <c r="C98" s="482"/>
      <c r="D98" s="482"/>
      <c r="E98" s="485"/>
      <c r="F98" s="482"/>
      <c r="G98" s="482"/>
      <c r="H98" s="482"/>
    </row>
    <row r="99" spans="2:10">
      <c r="B99" s="482"/>
      <c r="C99" s="482"/>
      <c r="D99" s="482"/>
      <c r="E99" s="485"/>
      <c r="F99" s="482"/>
      <c r="G99" s="482"/>
      <c r="H99" s="482"/>
    </row>
    <row r="100" spans="2:10">
      <c r="B100" s="482"/>
      <c r="C100" s="482"/>
      <c r="D100" s="482"/>
      <c r="E100" s="485"/>
      <c r="F100" s="482"/>
      <c r="G100" s="482"/>
      <c r="H100" s="482"/>
      <c r="J100" s="156"/>
    </row>
    <row r="101" spans="2:10">
      <c r="B101" s="482"/>
      <c r="C101" s="482"/>
      <c r="D101" s="482"/>
      <c r="E101" s="485"/>
      <c r="F101" s="482"/>
      <c r="G101" s="482"/>
      <c r="H101" s="482"/>
      <c r="J101" s="156"/>
    </row>
    <row r="102" spans="2:10">
      <c r="B102" s="482"/>
      <c r="C102" s="482"/>
      <c r="D102" s="482"/>
      <c r="E102" s="485"/>
      <c r="F102" s="482"/>
      <c r="G102" s="482"/>
      <c r="H102" s="482"/>
      <c r="J102" s="156"/>
    </row>
    <row r="103" spans="2:10">
      <c r="B103" s="484"/>
      <c r="C103" s="484"/>
      <c r="D103" s="484"/>
      <c r="E103" s="484"/>
      <c r="F103" s="484"/>
      <c r="G103" s="484"/>
      <c r="H103" s="484"/>
      <c r="J103" s="156"/>
    </row>
    <row r="104" spans="2:10">
      <c r="B104" s="154"/>
      <c r="C104" s="154"/>
      <c r="D104" s="154"/>
      <c r="E104" s="155"/>
      <c r="F104" s="154"/>
      <c r="G104" s="154"/>
      <c r="H104" s="154"/>
      <c r="J104" s="156"/>
    </row>
    <row r="105" spans="2:10">
      <c r="B105" s="482"/>
      <c r="C105" s="482"/>
      <c r="D105" s="482"/>
      <c r="E105" s="485"/>
      <c r="F105" s="482"/>
      <c r="G105" s="482"/>
      <c r="H105" s="482"/>
    </row>
    <row r="106" spans="2:10">
      <c r="B106" s="154"/>
      <c r="C106" s="154"/>
      <c r="D106" s="154"/>
      <c r="E106" s="155"/>
      <c r="F106" s="154"/>
      <c r="G106" s="154"/>
      <c r="H106" s="154"/>
      <c r="J106" s="156"/>
    </row>
    <row r="107" spans="2:10">
      <c r="B107" s="484"/>
      <c r="C107" s="484"/>
      <c r="D107" s="484"/>
      <c r="E107" s="484"/>
      <c r="F107" s="484"/>
      <c r="G107" s="484"/>
      <c r="H107" s="484"/>
    </row>
    <row r="108" spans="2:10">
      <c r="B108" s="484"/>
      <c r="C108" s="484"/>
      <c r="D108" s="484"/>
      <c r="E108" s="484"/>
      <c r="F108" s="484"/>
      <c r="G108" s="484"/>
      <c r="H108" s="484"/>
    </row>
    <row r="109" spans="2:10">
      <c r="B109" s="154"/>
      <c r="C109" s="154"/>
      <c r="D109" s="154"/>
      <c r="E109" s="155"/>
      <c r="F109" s="154"/>
      <c r="G109" s="154"/>
      <c r="H109" s="154"/>
    </row>
    <row r="110" spans="2:10">
      <c r="B110" s="154"/>
      <c r="C110" s="154"/>
      <c r="D110" s="154"/>
      <c r="E110" s="155"/>
      <c r="F110" s="154"/>
      <c r="G110" s="154"/>
      <c r="H110" s="154"/>
      <c r="J110" s="156"/>
    </row>
    <row r="111" spans="2:10">
      <c r="B111" s="154"/>
      <c r="C111" s="154"/>
      <c r="D111" s="154"/>
      <c r="E111" s="155"/>
      <c r="F111" s="154"/>
      <c r="G111" s="154"/>
      <c r="H111" s="154"/>
      <c r="J111" s="156"/>
    </row>
    <row r="112" spans="2:10">
      <c r="B112" s="154"/>
      <c r="C112" s="154"/>
      <c r="D112" s="154"/>
      <c r="E112" s="155"/>
      <c r="F112" s="154"/>
      <c r="G112" s="154"/>
      <c r="H112" s="154"/>
    </row>
    <row r="113" spans="2:10">
      <c r="B113" s="482"/>
      <c r="C113" s="482"/>
      <c r="D113" s="482"/>
      <c r="E113" s="485"/>
      <c r="F113" s="482"/>
      <c r="G113" s="482"/>
      <c r="H113" s="482"/>
    </row>
    <row r="114" spans="2:10">
      <c r="B114" s="482"/>
      <c r="C114" s="482"/>
      <c r="D114" s="482"/>
      <c r="E114" s="485"/>
      <c r="F114" s="482"/>
      <c r="G114" s="482"/>
      <c r="H114" s="482"/>
      <c r="J114" s="156"/>
    </row>
    <row r="115" spans="2:10">
      <c r="B115" s="482"/>
      <c r="C115" s="482"/>
      <c r="D115" s="482"/>
      <c r="E115" s="485"/>
      <c r="F115" s="482"/>
      <c r="G115" s="482"/>
      <c r="H115" s="482"/>
    </row>
    <row r="116" spans="2:10">
      <c r="B116" s="482"/>
      <c r="C116" s="482"/>
      <c r="D116" s="482"/>
      <c r="E116" s="485"/>
      <c r="F116" s="482"/>
      <c r="G116" s="482"/>
      <c r="H116" s="482"/>
      <c r="J116" s="156"/>
    </row>
    <row r="117" spans="2:10">
      <c r="B117" s="482"/>
      <c r="C117" s="482"/>
      <c r="D117" s="482"/>
      <c r="E117" s="485"/>
      <c r="F117" s="482"/>
      <c r="G117" s="482"/>
      <c r="H117" s="482"/>
      <c r="J117" s="156"/>
    </row>
    <row r="118" spans="2:10">
      <c r="B118" s="482"/>
      <c r="C118" s="482"/>
      <c r="D118" s="482"/>
      <c r="E118" s="485"/>
      <c r="F118" s="482"/>
      <c r="G118" s="482"/>
      <c r="H118" s="482"/>
      <c r="J118" s="156"/>
    </row>
    <row r="119" spans="2:10">
      <c r="B119" s="482"/>
      <c r="C119" s="482"/>
      <c r="D119" s="482"/>
      <c r="E119" s="485"/>
      <c r="F119" s="482"/>
      <c r="G119" s="482"/>
      <c r="H119" s="482"/>
      <c r="J119" s="156"/>
    </row>
    <row r="120" spans="2:10">
      <c r="B120" s="154"/>
      <c r="C120" s="154"/>
      <c r="D120" s="154"/>
      <c r="E120" s="155"/>
      <c r="F120" s="154"/>
      <c r="G120" s="154"/>
      <c r="H120" s="154"/>
    </row>
    <row r="121" spans="2:10">
      <c r="B121" s="154"/>
      <c r="C121" s="154"/>
      <c r="D121" s="154"/>
      <c r="E121" s="155"/>
      <c r="F121" s="154"/>
      <c r="G121" s="154"/>
      <c r="H121" s="154"/>
      <c r="J121" s="156"/>
    </row>
    <row r="122" spans="2:10">
      <c r="B122" s="482"/>
      <c r="C122" s="482"/>
      <c r="D122" s="482"/>
      <c r="E122" s="485"/>
      <c r="F122" s="482"/>
      <c r="G122" s="482"/>
      <c r="H122" s="482"/>
    </row>
    <row r="123" spans="2:10">
      <c r="B123" s="482"/>
      <c r="C123" s="482"/>
      <c r="D123" s="482"/>
      <c r="E123" s="485"/>
      <c r="F123" s="482"/>
      <c r="G123" s="482"/>
      <c r="H123" s="482"/>
      <c r="J123" s="156"/>
    </row>
    <row r="124" spans="2:10">
      <c r="B124" s="154"/>
      <c r="C124" s="154"/>
      <c r="D124" s="154"/>
      <c r="E124" s="155"/>
      <c r="F124" s="154"/>
      <c r="G124" s="154"/>
      <c r="H124" s="154"/>
    </row>
    <row r="125" spans="2:10">
      <c r="B125" s="154"/>
      <c r="C125" s="154"/>
      <c r="D125" s="154"/>
      <c r="E125" s="155"/>
      <c r="F125" s="154"/>
      <c r="G125" s="154"/>
      <c r="H125" s="154"/>
    </row>
    <row r="126" spans="2:10">
      <c r="B126" s="154"/>
      <c r="C126" s="154"/>
      <c r="D126" s="154"/>
      <c r="E126" s="155"/>
      <c r="F126" s="154"/>
      <c r="G126" s="154"/>
      <c r="H126" s="154"/>
      <c r="J126" s="156"/>
    </row>
    <row r="127" spans="2:10">
      <c r="B127" s="154"/>
      <c r="C127" s="154"/>
      <c r="D127" s="154"/>
      <c r="E127" s="155"/>
      <c r="F127" s="154"/>
      <c r="G127" s="154"/>
      <c r="H127" s="154"/>
      <c r="J127" s="156"/>
    </row>
    <row r="128" spans="2:10">
      <c r="B128" s="154"/>
      <c r="C128" s="154"/>
      <c r="D128" s="154"/>
      <c r="E128" s="155"/>
      <c r="F128" s="154"/>
      <c r="G128" s="154"/>
      <c r="H128" s="154"/>
    </row>
    <row r="129" spans="2:10">
      <c r="B129" s="154"/>
      <c r="C129" s="154"/>
      <c r="D129" s="154"/>
      <c r="E129" s="155"/>
      <c r="F129" s="154"/>
      <c r="G129" s="154"/>
      <c r="H129" s="154"/>
      <c r="J129" s="156"/>
    </row>
    <row r="130" spans="2:10">
      <c r="B130" s="154"/>
      <c r="C130" s="154"/>
      <c r="D130" s="154"/>
      <c r="E130" s="155"/>
      <c r="F130" s="154"/>
      <c r="G130" s="154"/>
      <c r="H130" s="154"/>
      <c r="J130" s="87"/>
    </row>
    <row r="131" spans="2:10">
      <c r="B131" s="492"/>
      <c r="C131" s="492"/>
      <c r="D131" s="492"/>
      <c r="E131" s="492"/>
      <c r="F131" s="492"/>
      <c r="G131" s="492"/>
      <c r="H131" s="492"/>
    </row>
    <row r="132" spans="2:10">
      <c r="B132" s="492"/>
      <c r="C132" s="492"/>
      <c r="D132" s="492"/>
      <c r="E132" s="492"/>
      <c r="F132" s="492"/>
      <c r="G132" s="492"/>
      <c r="H132" s="492"/>
    </row>
  </sheetData>
  <autoFilter ref="A1:XFD95"/>
  <conditionalFormatting sqref="O79:Q79">
    <cfRule type="cellIs" dxfId="205" priority="281" stopIfTrue="1" operator="equal">
      <formula>#REF!</formula>
    </cfRule>
    <cfRule type="cellIs" dxfId="204" priority="282" stopIfTrue="1" operator="equal">
      <formula>#REF!</formula>
    </cfRule>
  </conditionalFormatting>
  <conditionalFormatting sqref="F85:H85 F110:F111 F112:H123">
    <cfRule type="cellIs" dxfId="203" priority="267" stopIfTrue="1" operator="equal">
      <formula>#REF!</formula>
    </cfRule>
    <cfRule type="cellIs" dxfId="202" priority="268" stopIfTrue="1" operator="equal">
      <formula>#REF!</formula>
    </cfRule>
  </conditionalFormatting>
  <conditionalFormatting sqref="G110:H111">
    <cfRule type="cellIs" dxfId="201" priority="265" stopIfTrue="1" operator="equal">
      <formula>#REF!</formula>
    </cfRule>
    <cfRule type="cellIs" dxfId="200" priority="266" stopIfTrue="1" operator="equal">
      <formula>#REF!</formula>
    </cfRule>
  </conditionalFormatting>
  <conditionalFormatting sqref="F83">
    <cfRule type="cellIs" dxfId="199" priority="205" stopIfTrue="1" operator="equal">
      <formula>#REF!</formula>
    </cfRule>
    <cfRule type="cellIs" dxfId="198" priority="206" stopIfTrue="1" operator="equal">
      <formula>#REF!</formula>
    </cfRule>
  </conditionalFormatting>
  <conditionalFormatting sqref="G82:H82">
    <cfRule type="cellIs" dxfId="197" priority="211" stopIfTrue="1" operator="equal">
      <formula>#REF!</formula>
    </cfRule>
    <cfRule type="cellIs" dxfId="196" priority="212" stopIfTrue="1" operator="equal">
      <formula>#REF!</formula>
    </cfRule>
  </conditionalFormatting>
  <conditionalFormatting sqref="F82">
    <cfRule type="cellIs" dxfId="195" priority="209" stopIfTrue="1" operator="equal">
      <formula>#REF!</formula>
    </cfRule>
    <cfRule type="cellIs" dxfId="194" priority="210" stopIfTrue="1" operator="equal">
      <formula>#REF!</formula>
    </cfRule>
  </conditionalFormatting>
  <conditionalFormatting sqref="G83:H83">
    <cfRule type="cellIs" dxfId="193" priority="207" stopIfTrue="1" operator="equal">
      <formula>#REF!</formula>
    </cfRule>
    <cfRule type="cellIs" dxfId="192" priority="208" stopIfTrue="1" operator="equal">
      <formula>#REF!</formula>
    </cfRule>
  </conditionalFormatting>
  <conditionalFormatting sqref="F86:H86">
    <cfRule type="cellIs" dxfId="191" priority="203" stopIfTrue="1" operator="equal">
      <formula>#REF!</formula>
    </cfRule>
    <cfRule type="cellIs" dxfId="190" priority="204" stopIfTrue="1" operator="equal">
      <formula>#REF!</formula>
    </cfRule>
  </conditionalFormatting>
  <conditionalFormatting sqref="G88:H88">
    <cfRule type="cellIs" dxfId="189" priority="201" stopIfTrue="1" operator="equal">
      <formula>#REF!</formula>
    </cfRule>
    <cfRule type="cellIs" dxfId="188" priority="202" stopIfTrue="1" operator="equal">
      <formula>#REF!</formula>
    </cfRule>
  </conditionalFormatting>
  <conditionalFormatting sqref="F88">
    <cfRule type="cellIs" dxfId="187" priority="199" stopIfTrue="1" operator="equal">
      <formula>#REF!</formula>
    </cfRule>
    <cfRule type="cellIs" dxfId="186" priority="200" stopIfTrue="1" operator="equal">
      <formula>#REF!</formula>
    </cfRule>
  </conditionalFormatting>
  <conditionalFormatting sqref="F89:H89">
    <cfRule type="cellIs" dxfId="185" priority="197" stopIfTrue="1" operator="equal">
      <formula>#REF!</formula>
    </cfRule>
    <cfRule type="cellIs" dxfId="184" priority="198" stopIfTrue="1" operator="equal">
      <formula>#REF!</formula>
    </cfRule>
  </conditionalFormatting>
  <conditionalFormatting sqref="F95:H95">
    <cfRule type="cellIs" dxfId="183" priority="189" stopIfTrue="1" operator="equal">
      <formula>#REF!</formula>
    </cfRule>
    <cfRule type="cellIs" dxfId="182" priority="190" stopIfTrue="1" operator="equal">
      <formula>#REF!</formula>
    </cfRule>
  </conditionalFormatting>
  <conditionalFormatting sqref="F90:H90">
    <cfRule type="cellIs" dxfId="181" priority="195" stopIfTrue="1" operator="equal">
      <formula>#REF!</formula>
    </cfRule>
    <cfRule type="cellIs" dxfId="180" priority="196" stopIfTrue="1" operator="equal">
      <formula>#REF!</formula>
    </cfRule>
  </conditionalFormatting>
  <conditionalFormatting sqref="F104:H104">
    <cfRule type="cellIs" dxfId="179" priority="167" stopIfTrue="1" operator="equal">
      <formula>#REF!</formula>
    </cfRule>
    <cfRule type="cellIs" dxfId="178" priority="168" stopIfTrue="1" operator="equal">
      <formula>#REF!</formula>
    </cfRule>
  </conditionalFormatting>
  <conditionalFormatting sqref="F92:H92">
    <cfRule type="cellIs" dxfId="177" priority="193" stopIfTrue="1" operator="equal">
      <formula>#REF!</formula>
    </cfRule>
    <cfRule type="cellIs" dxfId="176" priority="194" stopIfTrue="1" operator="equal">
      <formula>#REF!</formula>
    </cfRule>
  </conditionalFormatting>
  <conditionalFormatting sqref="F93:H93">
    <cfRule type="cellIs" dxfId="175" priority="191" stopIfTrue="1" operator="equal">
      <formula>#REF!</formula>
    </cfRule>
    <cfRule type="cellIs" dxfId="174" priority="192" stopIfTrue="1" operator="equal">
      <formula>#REF!</formula>
    </cfRule>
  </conditionalFormatting>
  <conditionalFormatting sqref="G97:H97">
    <cfRule type="cellIs" dxfId="173" priority="187" stopIfTrue="1" operator="equal">
      <formula>#REF!</formula>
    </cfRule>
    <cfRule type="cellIs" dxfId="172" priority="188" stopIfTrue="1" operator="equal">
      <formula>#REF!</formula>
    </cfRule>
  </conditionalFormatting>
  <conditionalFormatting sqref="F97">
    <cfRule type="cellIs" dxfId="171" priority="185" stopIfTrue="1" operator="equal">
      <formula>#REF!</formula>
    </cfRule>
    <cfRule type="cellIs" dxfId="170" priority="186" stopIfTrue="1" operator="equal">
      <formula>#REF!</formula>
    </cfRule>
  </conditionalFormatting>
  <conditionalFormatting sqref="G98:H98">
    <cfRule type="cellIs" dxfId="169" priority="183" stopIfTrue="1" operator="equal">
      <formula>#REF!</formula>
    </cfRule>
    <cfRule type="cellIs" dxfId="168" priority="184" stopIfTrue="1" operator="equal">
      <formula>#REF!</formula>
    </cfRule>
  </conditionalFormatting>
  <conditionalFormatting sqref="F98">
    <cfRule type="cellIs" dxfId="167" priority="181" stopIfTrue="1" operator="equal">
      <formula>#REF!</formula>
    </cfRule>
    <cfRule type="cellIs" dxfId="166" priority="182" stopIfTrue="1" operator="equal">
      <formula>#REF!</formula>
    </cfRule>
  </conditionalFormatting>
  <conditionalFormatting sqref="G99:H99">
    <cfRule type="cellIs" dxfId="165" priority="179" stopIfTrue="1" operator="equal">
      <formula>#REF!</formula>
    </cfRule>
    <cfRule type="cellIs" dxfId="164" priority="180" stopIfTrue="1" operator="equal">
      <formula>#REF!</formula>
    </cfRule>
  </conditionalFormatting>
  <conditionalFormatting sqref="F99">
    <cfRule type="cellIs" dxfId="163" priority="177" stopIfTrue="1" operator="equal">
      <formula>#REF!</formula>
    </cfRule>
    <cfRule type="cellIs" dxfId="162" priority="178" stopIfTrue="1" operator="equal">
      <formula>#REF!</formula>
    </cfRule>
  </conditionalFormatting>
  <conditionalFormatting sqref="G100:H101">
    <cfRule type="cellIs" dxfId="161" priority="175" stopIfTrue="1" operator="equal">
      <formula>#REF!</formula>
    </cfRule>
    <cfRule type="cellIs" dxfId="160" priority="176" stopIfTrue="1" operator="equal">
      <formula>#REF!</formula>
    </cfRule>
  </conditionalFormatting>
  <conditionalFormatting sqref="F100:F101">
    <cfRule type="cellIs" dxfId="159" priority="173" stopIfTrue="1" operator="equal">
      <formula>#REF!</formula>
    </cfRule>
    <cfRule type="cellIs" dxfId="158" priority="174" stopIfTrue="1" operator="equal">
      <formula>#REF!</formula>
    </cfRule>
  </conditionalFormatting>
  <conditionalFormatting sqref="G102:H102">
    <cfRule type="cellIs" dxfId="157" priority="171" stopIfTrue="1" operator="equal">
      <formula>#REF!</formula>
    </cfRule>
    <cfRule type="cellIs" dxfId="156" priority="172" stopIfTrue="1" operator="equal">
      <formula>#REF!</formula>
    </cfRule>
  </conditionalFormatting>
  <conditionalFormatting sqref="F102">
    <cfRule type="cellIs" dxfId="155" priority="169" stopIfTrue="1" operator="equal">
      <formula>#REF!</formula>
    </cfRule>
    <cfRule type="cellIs" dxfId="154" priority="170" stopIfTrue="1" operator="equal">
      <formula>#REF!</formula>
    </cfRule>
  </conditionalFormatting>
  <conditionalFormatting sqref="F106:H106">
    <cfRule type="cellIs" dxfId="153" priority="161" stopIfTrue="1" operator="equal">
      <formula>#REF!</formula>
    </cfRule>
    <cfRule type="cellIs" dxfId="152" priority="162" stopIfTrue="1" operator="equal">
      <formula>#REF!</formula>
    </cfRule>
  </conditionalFormatting>
  <conditionalFormatting sqref="G105:H105">
    <cfRule type="cellIs" dxfId="151" priority="165" stopIfTrue="1" operator="equal">
      <formula>#REF!</formula>
    </cfRule>
    <cfRule type="cellIs" dxfId="150" priority="166" stopIfTrue="1" operator="equal">
      <formula>#REF!</formula>
    </cfRule>
  </conditionalFormatting>
  <conditionalFormatting sqref="F105">
    <cfRule type="cellIs" dxfId="149" priority="163" stopIfTrue="1" operator="equal">
      <formula>#REF!</formula>
    </cfRule>
    <cfRule type="cellIs" dxfId="148" priority="164" stopIfTrue="1" operator="equal">
      <formula>#REF!</formula>
    </cfRule>
  </conditionalFormatting>
  <conditionalFormatting sqref="F109">
    <cfRule type="cellIs" dxfId="147" priority="155" stopIfTrue="1" operator="equal">
      <formula>#REF!</formula>
    </cfRule>
    <cfRule type="cellIs" dxfId="146" priority="156" stopIfTrue="1" operator="equal">
      <formula>#REF!</formula>
    </cfRule>
  </conditionalFormatting>
  <conditionalFormatting sqref="G109:H109">
    <cfRule type="cellIs" dxfId="145" priority="153" stopIfTrue="1" operator="equal">
      <formula>#REF!</formula>
    </cfRule>
    <cfRule type="cellIs" dxfId="144" priority="154" stopIfTrue="1" operator="equal">
      <formula>#REF!</formula>
    </cfRule>
  </conditionalFormatting>
  <conditionalFormatting sqref="F126:H129">
    <cfRule type="cellIs" dxfId="143" priority="149" stopIfTrue="1" operator="equal">
      <formula>#REF!</formula>
    </cfRule>
    <cfRule type="cellIs" dxfId="142" priority="150" stopIfTrue="1" operator="equal">
      <formula>#REF!</formula>
    </cfRule>
  </conditionalFormatting>
  <conditionalFormatting sqref="F124:H125">
    <cfRule type="cellIs" dxfId="141" priority="151" stopIfTrue="1" operator="equal">
      <formula>#REF!</formula>
    </cfRule>
    <cfRule type="cellIs" dxfId="140" priority="152" stopIfTrue="1" operator="equal">
      <formula>#REF!</formula>
    </cfRule>
  </conditionalFormatting>
  <conditionalFormatting sqref="F130:H130">
    <cfRule type="cellIs" dxfId="139" priority="147" stopIfTrue="1" operator="equal">
      <formula>#REF!</formula>
    </cfRule>
    <cfRule type="cellIs" dxfId="138" priority="148" stopIfTrue="1" operator="equal">
      <formula>#REF!</formula>
    </cfRule>
  </conditionalFormatting>
  <conditionalFormatting sqref="F91:H91">
    <cfRule type="cellIs" dxfId="137" priority="137" stopIfTrue="1" operator="equal">
      <formula>#REF!</formula>
    </cfRule>
    <cfRule type="cellIs" dxfId="136" priority="138" stopIfTrue="1" operator="equal">
      <formula>#REF!</formula>
    </cfRule>
  </conditionalFormatting>
  <conditionalFormatting sqref="F2:H2 G19:H19 F34:H34 F59:F60 F61:H72 F4:H5">
    <cfRule type="cellIs" dxfId="135" priority="131" stopIfTrue="1" operator="equal">
      <formula>#REF!</formula>
    </cfRule>
    <cfRule type="cellIs" dxfId="134" priority="132" stopIfTrue="1" operator="equal">
      <formula>#REF!</formula>
    </cfRule>
  </conditionalFormatting>
  <conditionalFormatting sqref="G59:H60">
    <cfRule type="cellIs" dxfId="133" priority="129" stopIfTrue="1" operator="equal">
      <formula>#REF!</formula>
    </cfRule>
    <cfRule type="cellIs" dxfId="132" priority="130" stopIfTrue="1" operator="equal">
      <formula>#REF!</formula>
    </cfRule>
  </conditionalFormatting>
  <conditionalFormatting sqref="F19 G25:H25">
    <cfRule type="cellIs" dxfId="131" priority="127" stopIfTrue="1" operator="equal">
      <formula>#REF!</formula>
    </cfRule>
    <cfRule type="cellIs" dxfId="130" priority="128" stopIfTrue="1" operator="equal">
      <formula>#REF!</formula>
    </cfRule>
  </conditionalFormatting>
  <conditionalFormatting sqref="F6:H6">
    <cfRule type="cellIs" dxfId="129" priority="125" stopIfTrue="1" operator="equal">
      <formula>#REF!</formula>
    </cfRule>
    <cfRule type="cellIs" dxfId="128" priority="126" stopIfTrue="1" operator="equal">
      <formula>#REF!</formula>
    </cfRule>
  </conditionalFormatting>
  <conditionalFormatting sqref="F7">
    <cfRule type="cellIs" dxfId="127" priority="123" stopIfTrue="1" operator="equal">
      <formula>#REF!</formula>
    </cfRule>
    <cfRule type="cellIs" dxfId="126" priority="124" stopIfTrue="1" operator="equal">
      <formula>#REF!</formula>
    </cfRule>
  </conditionalFormatting>
  <conditionalFormatting sqref="F8">
    <cfRule type="cellIs" dxfId="125" priority="121" stopIfTrue="1" operator="equal">
      <formula>#REF!</formula>
    </cfRule>
    <cfRule type="cellIs" dxfId="124" priority="122" stopIfTrue="1" operator="equal">
      <formula>#REF!</formula>
    </cfRule>
  </conditionalFormatting>
  <conditionalFormatting sqref="F9">
    <cfRule type="cellIs" dxfId="123" priority="119" stopIfTrue="1" operator="equal">
      <formula>#REF!</formula>
    </cfRule>
    <cfRule type="cellIs" dxfId="122" priority="120" stopIfTrue="1" operator="equal">
      <formula>#REF!</formula>
    </cfRule>
  </conditionalFormatting>
  <conditionalFormatting sqref="G10:H10">
    <cfRule type="cellIs" dxfId="121" priority="117" stopIfTrue="1" operator="equal">
      <formula>#REF!</formula>
    </cfRule>
    <cfRule type="cellIs" dxfId="120" priority="118" stopIfTrue="1" operator="equal">
      <formula>#REF!</formula>
    </cfRule>
  </conditionalFormatting>
  <conditionalFormatting sqref="F10">
    <cfRule type="cellIs" dxfId="119" priority="115" stopIfTrue="1" operator="equal">
      <formula>#REF!</formula>
    </cfRule>
    <cfRule type="cellIs" dxfId="118" priority="116" stopIfTrue="1" operator="equal">
      <formula>#REF!</formula>
    </cfRule>
  </conditionalFormatting>
  <conditionalFormatting sqref="G11:H11">
    <cfRule type="cellIs" dxfId="117" priority="113" stopIfTrue="1" operator="equal">
      <formula>#REF!</formula>
    </cfRule>
    <cfRule type="cellIs" dxfId="116" priority="114" stopIfTrue="1" operator="equal">
      <formula>#REF!</formula>
    </cfRule>
  </conditionalFormatting>
  <conditionalFormatting sqref="F11">
    <cfRule type="cellIs" dxfId="115" priority="111" stopIfTrue="1" operator="equal">
      <formula>#REF!</formula>
    </cfRule>
    <cfRule type="cellIs" dxfId="114" priority="112" stopIfTrue="1" operator="equal">
      <formula>#REF!</formula>
    </cfRule>
  </conditionalFormatting>
  <conditionalFormatting sqref="G13">
    <cfRule type="cellIs" dxfId="113" priority="105" stopIfTrue="1" operator="equal">
      <formula>#REF!</formula>
    </cfRule>
    <cfRule type="cellIs" dxfId="112" priority="106" stopIfTrue="1" operator="equal">
      <formula>#REF!</formula>
    </cfRule>
  </conditionalFormatting>
  <conditionalFormatting sqref="G12:H12">
    <cfRule type="cellIs" dxfId="111" priority="109" stopIfTrue="1" operator="equal">
      <formula>#REF!</formula>
    </cfRule>
    <cfRule type="cellIs" dxfId="110" priority="110" stopIfTrue="1" operator="equal">
      <formula>#REF!</formula>
    </cfRule>
  </conditionalFormatting>
  <conditionalFormatting sqref="F12">
    <cfRule type="cellIs" dxfId="109" priority="107" stopIfTrue="1" operator="equal">
      <formula>#REF!</formula>
    </cfRule>
    <cfRule type="cellIs" dxfId="108" priority="108" stopIfTrue="1" operator="equal">
      <formula>#REF!</formula>
    </cfRule>
  </conditionalFormatting>
  <conditionalFormatting sqref="H8 H13 G14:H14 F13:F14">
    <cfRule type="cellIs" dxfId="107" priority="133" stopIfTrue="1" operator="equal">
      <formula>$G$12</formula>
    </cfRule>
    <cfRule type="cellIs" dxfId="106" priority="134" stopIfTrue="1" operator="equal">
      <formula>#REF!</formula>
    </cfRule>
  </conditionalFormatting>
  <conditionalFormatting sqref="F15:H15">
    <cfRule type="cellIs" dxfId="105" priority="103" stopIfTrue="1" operator="equal">
      <formula>#REF!</formula>
    </cfRule>
    <cfRule type="cellIs" dxfId="104" priority="104" stopIfTrue="1" operator="equal">
      <formula>#REF!</formula>
    </cfRule>
  </conditionalFormatting>
  <conditionalFormatting sqref="F17:H17">
    <cfRule type="cellIs" dxfId="103" priority="101" stopIfTrue="1" operator="equal">
      <formula>#REF!</formula>
    </cfRule>
    <cfRule type="cellIs" dxfId="102" priority="102" stopIfTrue="1" operator="equal">
      <formula>#REF!</formula>
    </cfRule>
  </conditionalFormatting>
  <conditionalFormatting sqref="F18:H18">
    <cfRule type="cellIs" dxfId="101" priority="99" stopIfTrue="1" operator="equal">
      <formula>#REF!</formula>
    </cfRule>
    <cfRule type="cellIs" dxfId="100" priority="100" stopIfTrue="1" operator="equal">
      <formula>#REF!</formula>
    </cfRule>
  </conditionalFormatting>
  <conditionalFormatting sqref="F21:H21">
    <cfRule type="cellIs" dxfId="99" priority="97" stopIfTrue="1" operator="equal">
      <formula>#REF!</formula>
    </cfRule>
    <cfRule type="cellIs" dxfId="98" priority="98" stopIfTrue="1" operator="equal">
      <formula>#REF!</formula>
    </cfRule>
  </conditionalFormatting>
  <conditionalFormatting sqref="G24:H24">
    <cfRule type="cellIs" dxfId="97" priority="95" stopIfTrue="1" operator="equal">
      <formula>#REF!</formula>
    </cfRule>
    <cfRule type="cellIs" dxfId="96" priority="96" stopIfTrue="1" operator="equal">
      <formula>#REF!</formula>
    </cfRule>
  </conditionalFormatting>
  <conditionalFormatting sqref="F24">
    <cfRule type="cellIs" dxfId="95" priority="93" stopIfTrue="1" operator="equal">
      <formula>#REF!</formula>
    </cfRule>
    <cfRule type="cellIs" dxfId="94" priority="94" stopIfTrue="1" operator="equal">
      <formula>#REF!</formula>
    </cfRule>
  </conditionalFormatting>
  <conditionalFormatting sqref="F25">
    <cfRule type="cellIs" dxfId="93" priority="91" stopIfTrue="1" operator="equal">
      <formula>#REF!</formula>
    </cfRule>
    <cfRule type="cellIs" dxfId="92" priority="92" stopIfTrue="1" operator="equal">
      <formula>#REF!</formula>
    </cfRule>
  </conditionalFormatting>
  <conditionalFormatting sqref="F26:H26">
    <cfRule type="cellIs" dxfId="91" priority="89" stopIfTrue="1" operator="equal">
      <formula>$G$12</formula>
    </cfRule>
    <cfRule type="cellIs" dxfId="90" priority="90" stopIfTrue="1" operator="equal">
      <formula>#REF!</formula>
    </cfRule>
  </conditionalFormatting>
  <conditionalFormatting sqref="F32">
    <cfRule type="cellIs" dxfId="89" priority="69" stopIfTrue="1" operator="equal">
      <formula>#REF!</formula>
    </cfRule>
    <cfRule type="cellIs" dxfId="88" priority="70" stopIfTrue="1" operator="equal">
      <formula>#REF!</formula>
    </cfRule>
  </conditionalFormatting>
  <conditionalFormatting sqref="F28:H28">
    <cfRule type="cellIs" dxfId="87" priority="87" stopIfTrue="1" operator="equal">
      <formula>#REF!</formula>
    </cfRule>
    <cfRule type="cellIs" dxfId="86" priority="88" stopIfTrue="1" operator="equal">
      <formula>#REF!</formula>
    </cfRule>
  </conditionalFormatting>
  <conditionalFormatting sqref="G8">
    <cfRule type="cellIs" dxfId="85" priority="85" stopIfTrue="1" operator="equal">
      <formula>#REF!</formula>
    </cfRule>
    <cfRule type="cellIs" dxfId="84" priority="86" stopIfTrue="1" operator="equal">
      <formula>#REF!</formula>
    </cfRule>
  </conditionalFormatting>
  <conditionalFormatting sqref="G29:H29">
    <cfRule type="cellIs" dxfId="83" priority="83" stopIfTrue="1" operator="equal">
      <formula>#REF!</formula>
    </cfRule>
    <cfRule type="cellIs" dxfId="82" priority="84" stopIfTrue="1" operator="equal">
      <formula>#REF!</formula>
    </cfRule>
  </conditionalFormatting>
  <conditionalFormatting sqref="F29">
    <cfRule type="cellIs" dxfId="81" priority="81" stopIfTrue="1" operator="equal">
      <formula>#REF!</formula>
    </cfRule>
    <cfRule type="cellIs" dxfId="80" priority="82" stopIfTrue="1" operator="equal">
      <formula>#REF!</formula>
    </cfRule>
  </conditionalFormatting>
  <conditionalFormatting sqref="G30:H30">
    <cfRule type="cellIs" dxfId="79" priority="79" stopIfTrue="1" operator="equal">
      <formula>#REF!</formula>
    </cfRule>
    <cfRule type="cellIs" dxfId="78" priority="80" stopIfTrue="1" operator="equal">
      <formula>#REF!</formula>
    </cfRule>
  </conditionalFormatting>
  <conditionalFormatting sqref="F30">
    <cfRule type="cellIs" dxfId="77" priority="77" stopIfTrue="1" operator="equal">
      <formula>#REF!</formula>
    </cfRule>
    <cfRule type="cellIs" dxfId="76" priority="78" stopIfTrue="1" operator="equal">
      <formula>#REF!</formula>
    </cfRule>
  </conditionalFormatting>
  <conditionalFormatting sqref="G31:H31">
    <cfRule type="cellIs" dxfId="75" priority="75" stopIfTrue="1" operator="equal">
      <formula>#REF!</formula>
    </cfRule>
    <cfRule type="cellIs" dxfId="74" priority="76" stopIfTrue="1" operator="equal">
      <formula>#REF!</formula>
    </cfRule>
  </conditionalFormatting>
  <conditionalFormatting sqref="F31">
    <cfRule type="cellIs" dxfId="73" priority="73" stopIfTrue="1" operator="equal">
      <formula>#REF!</formula>
    </cfRule>
    <cfRule type="cellIs" dxfId="72" priority="74" stopIfTrue="1" operator="equal">
      <formula>#REF!</formula>
    </cfRule>
  </conditionalFormatting>
  <conditionalFormatting sqref="G32:H32">
    <cfRule type="cellIs" dxfId="71" priority="71" stopIfTrue="1" operator="equal">
      <formula>#REF!</formula>
    </cfRule>
    <cfRule type="cellIs" dxfId="70" priority="72" stopIfTrue="1" operator="equal">
      <formula>#REF!</formula>
    </cfRule>
  </conditionalFormatting>
  <conditionalFormatting sqref="F35:H35">
    <cfRule type="cellIs" dxfId="69" priority="67" stopIfTrue="1" operator="equal">
      <formula>#REF!</formula>
    </cfRule>
    <cfRule type="cellIs" dxfId="68" priority="68" stopIfTrue="1" operator="equal">
      <formula>#REF!</formula>
    </cfRule>
  </conditionalFormatting>
  <conditionalFormatting sqref="G37:H37">
    <cfRule type="cellIs" dxfId="67" priority="65" stopIfTrue="1" operator="equal">
      <formula>#REF!</formula>
    </cfRule>
    <cfRule type="cellIs" dxfId="66" priority="66" stopIfTrue="1" operator="equal">
      <formula>#REF!</formula>
    </cfRule>
  </conditionalFormatting>
  <conditionalFormatting sqref="F37">
    <cfRule type="cellIs" dxfId="65" priority="63" stopIfTrue="1" operator="equal">
      <formula>#REF!</formula>
    </cfRule>
    <cfRule type="cellIs" dxfId="64" priority="64" stopIfTrue="1" operator="equal">
      <formula>#REF!</formula>
    </cfRule>
  </conditionalFormatting>
  <conditionalFormatting sqref="F38:H38">
    <cfRule type="cellIs" dxfId="63" priority="61" stopIfTrue="1" operator="equal">
      <formula>#REF!</formula>
    </cfRule>
    <cfRule type="cellIs" dxfId="62" priority="62" stopIfTrue="1" operator="equal">
      <formula>#REF!</formula>
    </cfRule>
  </conditionalFormatting>
  <conditionalFormatting sqref="F44:H44">
    <cfRule type="cellIs" dxfId="61" priority="53" stopIfTrue="1" operator="equal">
      <formula>#REF!</formula>
    </cfRule>
    <cfRule type="cellIs" dxfId="60" priority="54" stopIfTrue="1" operator="equal">
      <formula>#REF!</formula>
    </cfRule>
  </conditionalFormatting>
  <conditionalFormatting sqref="F39:H39">
    <cfRule type="cellIs" dxfId="59" priority="59" stopIfTrue="1" operator="equal">
      <formula>#REF!</formula>
    </cfRule>
    <cfRule type="cellIs" dxfId="58" priority="60" stopIfTrue="1" operator="equal">
      <formula>#REF!</formula>
    </cfRule>
  </conditionalFormatting>
  <conditionalFormatting sqref="F53:H53">
    <cfRule type="cellIs" dxfId="57" priority="31" stopIfTrue="1" operator="equal">
      <formula>#REF!</formula>
    </cfRule>
    <cfRule type="cellIs" dxfId="56" priority="32" stopIfTrue="1" operator="equal">
      <formula>#REF!</formula>
    </cfRule>
  </conditionalFormatting>
  <conditionalFormatting sqref="F41:H41">
    <cfRule type="cellIs" dxfId="55" priority="57" stopIfTrue="1" operator="equal">
      <formula>#REF!</formula>
    </cfRule>
    <cfRule type="cellIs" dxfId="54" priority="58" stopIfTrue="1" operator="equal">
      <formula>#REF!</formula>
    </cfRule>
  </conditionalFormatting>
  <conditionalFormatting sqref="F42:H42">
    <cfRule type="cellIs" dxfId="53" priority="55" stopIfTrue="1" operator="equal">
      <formula>#REF!</formula>
    </cfRule>
    <cfRule type="cellIs" dxfId="52" priority="56" stopIfTrue="1" operator="equal">
      <formula>#REF!</formula>
    </cfRule>
  </conditionalFormatting>
  <conditionalFormatting sqref="G46:H46">
    <cfRule type="cellIs" dxfId="51" priority="51" stopIfTrue="1" operator="equal">
      <formula>#REF!</formula>
    </cfRule>
    <cfRule type="cellIs" dxfId="50" priority="52" stopIfTrue="1" operator="equal">
      <formula>#REF!</formula>
    </cfRule>
  </conditionalFormatting>
  <conditionalFormatting sqref="F46">
    <cfRule type="cellIs" dxfId="49" priority="49" stopIfTrue="1" operator="equal">
      <formula>#REF!</formula>
    </cfRule>
    <cfRule type="cellIs" dxfId="48" priority="50" stopIfTrue="1" operator="equal">
      <formula>#REF!</formula>
    </cfRule>
  </conditionalFormatting>
  <conditionalFormatting sqref="G47:H47">
    <cfRule type="cellIs" dxfId="47" priority="47" stopIfTrue="1" operator="equal">
      <formula>#REF!</formula>
    </cfRule>
    <cfRule type="cellIs" dxfId="46" priority="48" stopIfTrue="1" operator="equal">
      <formula>#REF!</formula>
    </cfRule>
  </conditionalFormatting>
  <conditionalFormatting sqref="F47">
    <cfRule type="cellIs" dxfId="45" priority="45" stopIfTrue="1" operator="equal">
      <formula>#REF!</formula>
    </cfRule>
    <cfRule type="cellIs" dxfId="44" priority="46" stopIfTrue="1" operator="equal">
      <formula>#REF!</formula>
    </cfRule>
  </conditionalFormatting>
  <conditionalFormatting sqref="G48:H48">
    <cfRule type="cellIs" dxfId="43" priority="43" stopIfTrue="1" operator="equal">
      <formula>#REF!</formula>
    </cfRule>
    <cfRule type="cellIs" dxfId="42" priority="44" stopIfTrue="1" operator="equal">
      <formula>#REF!</formula>
    </cfRule>
  </conditionalFormatting>
  <conditionalFormatting sqref="F48">
    <cfRule type="cellIs" dxfId="41" priority="41" stopIfTrue="1" operator="equal">
      <formula>#REF!</formula>
    </cfRule>
    <cfRule type="cellIs" dxfId="40" priority="42" stopIfTrue="1" operator="equal">
      <formula>#REF!</formula>
    </cfRule>
  </conditionalFormatting>
  <conditionalFormatting sqref="G49:H50">
    <cfRule type="cellIs" dxfId="39" priority="39" stopIfTrue="1" operator="equal">
      <formula>#REF!</formula>
    </cfRule>
    <cfRule type="cellIs" dxfId="38" priority="40" stopIfTrue="1" operator="equal">
      <formula>#REF!</formula>
    </cfRule>
  </conditionalFormatting>
  <conditionalFormatting sqref="F49:F50">
    <cfRule type="cellIs" dxfId="37" priority="37" stopIfTrue="1" operator="equal">
      <formula>#REF!</formula>
    </cfRule>
    <cfRule type="cellIs" dxfId="36" priority="38" stopIfTrue="1" operator="equal">
      <formula>#REF!</formula>
    </cfRule>
  </conditionalFormatting>
  <conditionalFormatting sqref="G51:H51">
    <cfRule type="cellIs" dxfId="35" priority="35" stopIfTrue="1" operator="equal">
      <formula>#REF!</formula>
    </cfRule>
    <cfRule type="cellIs" dxfId="34" priority="36" stopIfTrue="1" operator="equal">
      <formula>#REF!</formula>
    </cfRule>
  </conditionalFormatting>
  <conditionalFormatting sqref="F51">
    <cfRule type="cellIs" dxfId="33" priority="33" stopIfTrue="1" operator="equal">
      <formula>#REF!</formula>
    </cfRule>
    <cfRule type="cellIs" dxfId="32" priority="34" stopIfTrue="1" operator="equal">
      <formula>#REF!</formula>
    </cfRule>
  </conditionalFormatting>
  <conditionalFormatting sqref="F55:H55">
    <cfRule type="cellIs" dxfId="31" priority="25" stopIfTrue="1" operator="equal">
      <formula>#REF!</formula>
    </cfRule>
    <cfRule type="cellIs" dxfId="30" priority="26" stopIfTrue="1" operator="equal">
      <formula>#REF!</formula>
    </cfRule>
  </conditionalFormatting>
  <conditionalFormatting sqref="G54:H54">
    <cfRule type="cellIs" dxfId="29" priority="29" stopIfTrue="1" operator="equal">
      <formula>#REF!</formula>
    </cfRule>
    <cfRule type="cellIs" dxfId="28" priority="30" stopIfTrue="1" operator="equal">
      <formula>#REF!</formula>
    </cfRule>
  </conditionalFormatting>
  <conditionalFormatting sqref="F54">
    <cfRule type="cellIs" dxfId="27" priority="27" stopIfTrue="1" operator="equal">
      <formula>#REF!</formula>
    </cfRule>
    <cfRule type="cellIs" dxfId="26" priority="28" stopIfTrue="1" operator="equal">
      <formula>#REF!</formula>
    </cfRule>
  </conditionalFormatting>
  <conditionalFormatting sqref="G7">
    <cfRule type="cellIs" dxfId="25" priority="23" stopIfTrue="1" operator="equal">
      <formula>#REF!</formula>
    </cfRule>
    <cfRule type="cellIs" dxfId="24" priority="24" stopIfTrue="1" operator="equal">
      <formula>#REF!</formula>
    </cfRule>
  </conditionalFormatting>
  <conditionalFormatting sqref="G9">
    <cfRule type="cellIs" dxfId="23" priority="21" stopIfTrue="1" operator="equal">
      <formula>#REF!</formula>
    </cfRule>
    <cfRule type="cellIs" dxfId="22" priority="22" stopIfTrue="1" operator="equal">
      <formula>#REF!</formula>
    </cfRule>
  </conditionalFormatting>
  <conditionalFormatting sqref="F58">
    <cfRule type="cellIs" dxfId="21" priority="19" stopIfTrue="1" operator="equal">
      <formula>#REF!</formula>
    </cfRule>
    <cfRule type="cellIs" dxfId="20" priority="20" stopIfTrue="1" operator="equal">
      <formula>#REF!</formula>
    </cfRule>
  </conditionalFormatting>
  <conditionalFormatting sqref="G58:H58">
    <cfRule type="cellIs" dxfId="19" priority="17" stopIfTrue="1" operator="equal">
      <formula>#REF!</formula>
    </cfRule>
    <cfRule type="cellIs" dxfId="18" priority="18" stopIfTrue="1" operator="equal">
      <formula>#REF!</formula>
    </cfRule>
  </conditionalFormatting>
  <conditionalFormatting sqref="F75:H78">
    <cfRule type="cellIs" dxfId="17" priority="13" stopIfTrue="1" operator="equal">
      <formula>#REF!</formula>
    </cfRule>
    <cfRule type="cellIs" dxfId="16" priority="14" stopIfTrue="1" operator="equal">
      <formula>#REF!</formula>
    </cfRule>
  </conditionalFormatting>
  <conditionalFormatting sqref="F73:H74">
    <cfRule type="cellIs" dxfId="15" priority="15" stopIfTrue="1" operator="equal">
      <formula>#REF!</formula>
    </cfRule>
    <cfRule type="cellIs" dxfId="14" priority="16" stopIfTrue="1" operator="equal">
      <formula>#REF!</formula>
    </cfRule>
  </conditionalFormatting>
  <conditionalFormatting sqref="F79:H79">
    <cfRule type="cellIs" dxfId="13" priority="11" stopIfTrue="1" operator="equal">
      <formula>#REF!</formula>
    </cfRule>
    <cfRule type="cellIs" dxfId="12" priority="12" stopIfTrue="1" operator="equal">
      <formula>#REF!</formula>
    </cfRule>
  </conditionalFormatting>
  <conditionalFormatting sqref="H9 H7">
    <cfRule type="cellIs" dxfId="11" priority="135" stopIfTrue="1" operator="equal">
      <formula>#REF!</formula>
    </cfRule>
    <cfRule type="cellIs" dxfId="10" priority="136" stopIfTrue="1" operator="equal">
      <formula>$G$25</formula>
    </cfRule>
  </conditionalFormatting>
  <conditionalFormatting sqref="F27:H27">
    <cfRule type="cellIs" dxfId="9" priority="9" stopIfTrue="1" operator="equal">
      <formula>$G$12</formula>
    </cfRule>
    <cfRule type="cellIs" dxfId="8" priority="10" stopIfTrue="1" operator="equal">
      <formula>#REF!</formula>
    </cfRule>
  </conditionalFormatting>
  <conditionalFormatting sqref="H16">
    <cfRule type="cellIs" dxfId="7" priority="7" stopIfTrue="1" operator="equal">
      <formula>$G$19</formula>
    </cfRule>
    <cfRule type="cellIs" dxfId="6" priority="8" stopIfTrue="1" operator="equal">
      <formula>#REF!</formula>
    </cfRule>
  </conditionalFormatting>
  <conditionalFormatting sqref="F16">
    <cfRule type="cellIs" dxfId="5" priority="5" stopIfTrue="1" operator="equal">
      <formula>$G$19</formula>
    </cfRule>
    <cfRule type="cellIs" dxfId="4" priority="6" stopIfTrue="1" operator="equal">
      <formula>#REF!</formula>
    </cfRule>
  </conditionalFormatting>
  <conditionalFormatting sqref="G16">
    <cfRule type="cellIs" dxfId="3" priority="3" stopIfTrue="1" operator="equal">
      <formula>#REF!</formula>
    </cfRule>
    <cfRule type="cellIs" dxfId="2" priority="4" stopIfTrue="1" operator="equal">
      <formula>#REF!</formula>
    </cfRule>
  </conditionalFormatting>
  <conditionalFormatting sqref="F40:H40">
    <cfRule type="cellIs" dxfId="1" priority="1" stopIfTrue="1" operator="equal">
      <formula>#REF!</formula>
    </cfRule>
    <cfRule type="cellIs" dxfId="0" priority="2" stopIfTrue="1" operator="equal">
      <formula>#REF!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9"/>
  <dimension ref="A1:K92"/>
  <sheetViews>
    <sheetView workbookViewId="0">
      <selection activeCell="C16" sqref="C16"/>
    </sheetView>
  </sheetViews>
  <sheetFormatPr defaultRowHeight="15"/>
  <cols>
    <col min="1" max="1" width="15.28515625" customWidth="1"/>
    <col min="2" max="2" width="15.85546875" customWidth="1"/>
    <col min="3" max="3" width="15.7109375" customWidth="1"/>
    <col min="4" max="4" width="15.7109375" style="179" customWidth="1"/>
    <col min="5" max="5" width="15.7109375" style="156" customWidth="1"/>
    <col min="6" max="6" width="15.7109375" style="243" customWidth="1"/>
    <col min="7" max="8" width="15.7109375" customWidth="1"/>
    <col min="9" max="9" width="13.5703125" style="240" customWidth="1"/>
    <col min="11" max="11" width="15.7109375" style="175" customWidth="1"/>
  </cols>
  <sheetData>
    <row r="1" spans="1:11" ht="47.25" customHeight="1">
      <c r="A1" s="180" t="s">
        <v>288</v>
      </c>
      <c r="B1" s="180" t="s">
        <v>477</v>
      </c>
      <c r="C1" s="180" t="s">
        <v>478</v>
      </c>
      <c r="D1" s="181" t="s">
        <v>479</v>
      </c>
      <c r="E1" s="188" t="s">
        <v>480</v>
      </c>
      <c r="F1" s="245" t="s">
        <v>613</v>
      </c>
      <c r="G1" s="180" t="s">
        <v>481</v>
      </c>
      <c r="H1" s="180"/>
      <c r="I1" s="239" t="s">
        <v>613</v>
      </c>
      <c r="K1" s="180" t="s">
        <v>614</v>
      </c>
    </row>
    <row r="2" spans="1:11">
      <c r="A2" t="s">
        <v>465</v>
      </c>
      <c r="B2" t="s">
        <v>482</v>
      </c>
      <c r="C2" s="182">
        <v>27</v>
      </c>
      <c r="D2" s="183">
        <v>0.3820919003115264</v>
      </c>
      <c r="E2" s="189">
        <v>0.27258159221020689</v>
      </c>
      <c r="F2" s="246">
        <v>34.721020023203799</v>
      </c>
      <c r="G2" s="185">
        <v>0.3820919003115264</v>
      </c>
      <c r="H2" s="185">
        <v>0.11209190031152599</v>
      </c>
      <c r="I2" s="244">
        <v>34.721020023203799</v>
      </c>
      <c r="J2" s="182"/>
      <c r="K2" s="184">
        <v>27.26</v>
      </c>
    </row>
    <row r="3" spans="1:11">
      <c r="A3" t="s">
        <v>466</v>
      </c>
      <c r="B3" t="s">
        <v>482</v>
      </c>
      <c r="C3" s="182">
        <v>27</v>
      </c>
      <c r="D3" s="186">
        <v>25</v>
      </c>
      <c r="E3" s="189">
        <v>0.25171339563862916</v>
      </c>
      <c r="F3" s="246">
        <v>25.171339563862915</v>
      </c>
      <c r="G3" s="185">
        <v>0.25171339563862932</v>
      </c>
      <c r="H3" s="185">
        <v>-1.8286604361370695E-2</v>
      </c>
      <c r="I3" s="244">
        <v>25.171339563862915</v>
      </c>
      <c r="J3" s="182"/>
      <c r="K3" s="184">
        <v>25.17</v>
      </c>
    </row>
    <row r="4" spans="1:11">
      <c r="A4" t="s">
        <v>467</v>
      </c>
      <c r="B4" t="s">
        <v>482</v>
      </c>
      <c r="C4" s="182">
        <v>47.93</v>
      </c>
      <c r="D4" s="183">
        <v>0.38986138821799854</v>
      </c>
      <c r="E4" s="189">
        <v>0.33191462490527918</v>
      </c>
      <c r="F4" s="246">
        <v>33.191462490527918</v>
      </c>
      <c r="G4" s="185">
        <v>0.38986138821799854</v>
      </c>
      <c r="H4" s="185">
        <v>-8.9438611782001465E-2</v>
      </c>
      <c r="I4" s="244">
        <v>33.191462490527918</v>
      </c>
      <c r="J4" s="182"/>
      <c r="K4" s="184">
        <v>33.19</v>
      </c>
    </row>
    <row r="5" spans="1:11">
      <c r="A5" t="s">
        <v>452</v>
      </c>
      <c r="B5" t="s">
        <v>482</v>
      </c>
      <c r="C5" s="182"/>
      <c r="D5" s="183">
        <v>0.37947895373136142</v>
      </c>
      <c r="E5" s="189">
        <v>0.23298104709714207</v>
      </c>
      <c r="F5" s="246">
        <v>34.963895981087468</v>
      </c>
      <c r="G5" s="185">
        <v>0.37947895373136142</v>
      </c>
      <c r="H5" s="185">
        <v>0.37947895373136142</v>
      </c>
      <c r="I5" s="244">
        <v>34.963895981087468</v>
      </c>
      <c r="J5" s="182"/>
      <c r="K5" s="184">
        <v>23.3</v>
      </c>
    </row>
    <row r="6" spans="1:11">
      <c r="A6" t="s">
        <v>454</v>
      </c>
      <c r="B6" t="s">
        <v>482</v>
      </c>
      <c r="C6" s="182">
        <v>81.69</v>
      </c>
      <c r="D6" s="183">
        <v>0.29854531489226788</v>
      </c>
      <c r="E6" s="189">
        <v>0.27743224988283272</v>
      </c>
      <c r="F6" s="246">
        <v>30.507981150604202</v>
      </c>
      <c r="G6" s="185">
        <v>0.29854531489226788</v>
      </c>
      <c r="H6" s="185">
        <v>-0.51835468510773208</v>
      </c>
      <c r="I6" s="244">
        <v>30.507981150604202</v>
      </c>
      <c r="J6" s="182"/>
      <c r="K6" s="184">
        <v>27.74</v>
      </c>
    </row>
    <row r="7" spans="1:11">
      <c r="A7" t="s">
        <v>468</v>
      </c>
      <c r="B7" t="s">
        <v>482</v>
      </c>
      <c r="C7" s="182">
        <v>8.3800000000000008</v>
      </c>
      <c r="D7" s="183">
        <v>0.19303789828914292</v>
      </c>
      <c r="E7" s="189">
        <v>0.19117527855549907</v>
      </c>
      <c r="F7" s="246">
        <v>21.82158930194533</v>
      </c>
      <c r="G7" s="185">
        <v>0.19303789828914292</v>
      </c>
      <c r="H7" s="185">
        <v>0.1092378982891429</v>
      </c>
      <c r="I7" s="244">
        <v>21.82158930194533</v>
      </c>
      <c r="J7" s="182"/>
      <c r="K7" s="184">
        <v>19.12</v>
      </c>
    </row>
    <row r="8" spans="1:11">
      <c r="A8" t="s">
        <v>470</v>
      </c>
      <c r="B8" t="s">
        <v>482</v>
      </c>
      <c r="C8" s="182">
        <v>38.03</v>
      </c>
      <c r="D8" s="183">
        <v>0.22718570266255569</v>
      </c>
      <c r="E8" s="189">
        <v>0.23213342623588126</v>
      </c>
      <c r="F8" s="246">
        <v>21.468570098747019</v>
      </c>
      <c r="G8" s="185">
        <v>0.22718570266255569</v>
      </c>
      <c r="H8" s="185">
        <v>-0.15311429733744433</v>
      </c>
      <c r="I8" s="244">
        <v>21.468570098747019</v>
      </c>
      <c r="J8" s="182"/>
      <c r="K8" s="184">
        <v>23.21</v>
      </c>
    </row>
    <row r="9" spans="1:11">
      <c r="A9" t="s">
        <v>414</v>
      </c>
      <c r="B9" t="s">
        <v>482</v>
      </c>
      <c r="C9" s="182">
        <v>23.46</v>
      </c>
      <c r="D9" s="183">
        <v>0.29036827195467418</v>
      </c>
      <c r="E9" s="189">
        <v>0.29037000000000002</v>
      </c>
      <c r="F9" s="246">
        <v>27.037712500495502</v>
      </c>
      <c r="G9" s="185">
        <v>0.29036827195467418</v>
      </c>
      <c r="H9" s="185">
        <v>5.5768271954674181E-2</v>
      </c>
      <c r="I9" s="244">
        <v>27.037712500495502</v>
      </c>
      <c r="J9" s="182"/>
      <c r="K9" s="184">
        <v>29.04</v>
      </c>
    </row>
    <row r="10" spans="1:11">
      <c r="A10" t="s">
        <v>417</v>
      </c>
      <c r="B10" t="s">
        <v>482</v>
      </c>
      <c r="C10" s="182">
        <v>23.78</v>
      </c>
      <c r="D10" s="183">
        <v>0.17279554742253619</v>
      </c>
      <c r="E10" s="189">
        <v>0.16777112689549389</v>
      </c>
      <c r="F10" s="246">
        <v>16.578291250079204</v>
      </c>
      <c r="G10" s="185">
        <v>0.17279554742253619</v>
      </c>
      <c r="H10" s="185">
        <v>-6.5004452577463817E-2</v>
      </c>
      <c r="I10" s="244">
        <v>16.578291250079204</v>
      </c>
      <c r="J10" s="182"/>
      <c r="K10" s="184">
        <v>16.78</v>
      </c>
    </row>
    <row r="11" spans="1:11">
      <c r="A11" t="s">
        <v>418</v>
      </c>
      <c r="B11" t="s">
        <v>482</v>
      </c>
      <c r="C11" s="182">
        <v>24.08</v>
      </c>
      <c r="D11" s="183">
        <v>0.15850968696554271</v>
      </c>
      <c r="E11" s="189">
        <v>0.16001126400244925</v>
      </c>
      <c r="F11" s="246">
        <v>16.18743938625925</v>
      </c>
      <c r="G11" s="185">
        <v>0.15850968696554271</v>
      </c>
      <c r="H11" s="185">
        <v>-8.2290313034457274E-2</v>
      </c>
      <c r="I11" s="244">
        <v>16.18743938625925</v>
      </c>
      <c r="J11" s="182"/>
      <c r="K11" s="184">
        <v>16</v>
      </c>
    </row>
    <row r="12" spans="1:11">
      <c r="A12" t="s">
        <v>419</v>
      </c>
      <c r="B12" t="s">
        <v>482</v>
      </c>
      <c r="C12" s="182">
        <v>26.37</v>
      </c>
      <c r="D12" s="183">
        <v>0.16883680132096754</v>
      </c>
      <c r="E12" s="189">
        <v>0.15199202801803391</v>
      </c>
      <c r="F12" s="246">
        <v>15.104609446163019</v>
      </c>
      <c r="G12" s="185">
        <v>0.16883680132096754</v>
      </c>
      <c r="H12" s="185">
        <v>-9.4863198679032451E-2</v>
      </c>
      <c r="I12" s="244">
        <v>15.104609446163019</v>
      </c>
      <c r="J12" s="182"/>
      <c r="K12" s="184">
        <v>15.2</v>
      </c>
    </row>
    <row r="13" spans="1:11">
      <c r="A13" t="s">
        <v>420</v>
      </c>
      <c r="B13" t="s">
        <v>482</v>
      </c>
      <c r="C13" s="182">
        <v>31.51</v>
      </c>
      <c r="D13" s="183">
        <v>0.18180417059235784</v>
      </c>
      <c r="E13" s="189">
        <v>0.18931651506388317</v>
      </c>
      <c r="F13" s="246">
        <v>18.939784654291536</v>
      </c>
      <c r="G13" s="185">
        <v>0.18180417059235784</v>
      </c>
      <c r="H13" s="185">
        <v>-0.13329582940764215</v>
      </c>
      <c r="I13" s="244">
        <v>18.939784654291536</v>
      </c>
      <c r="J13" s="182"/>
      <c r="K13" s="184">
        <v>18.93</v>
      </c>
    </row>
    <row r="14" spans="1:11">
      <c r="A14" t="s">
        <v>421</v>
      </c>
      <c r="B14" t="s">
        <v>482</v>
      </c>
      <c r="C14" s="182">
        <v>29.05</v>
      </c>
      <c r="D14" s="183">
        <v>0.18372893018865163</v>
      </c>
      <c r="E14" s="189">
        <v>0.1800152366533718</v>
      </c>
      <c r="F14" s="246">
        <v>17.468345904567173</v>
      </c>
      <c r="G14" s="185">
        <v>0.18372893018865163</v>
      </c>
      <c r="H14" s="185">
        <v>-0.10677106981134835</v>
      </c>
      <c r="I14" s="244">
        <v>17.468345904567173</v>
      </c>
      <c r="J14" s="182"/>
      <c r="K14" s="184">
        <v>18</v>
      </c>
    </row>
    <row r="15" spans="1:11">
      <c r="A15" t="s">
        <v>422</v>
      </c>
      <c r="B15" t="s">
        <v>482</v>
      </c>
      <c r="C15" s="182">
        <v>33.33</v>
      </c>
      <c r="D15" s="183">
        <v>0.23455564748587648</v>
      </c>
      <c r="E15" s="189">
        <v>0.24190863746817309</v>
      </c>
      <c r="F15" s="246">
        <v>23.905117510976503</v>
      </c>
      <c r="G15" s="185">
        <v>0.23455564748587648</v>
      </c>
      <c r="H15" s="185">
        <v>-9.8744352514123501E-2</v>
      </c>
      <c r="I15" s="244">
        <v>23.905117510976503</v>
      </c>
      <c r="J15" s="182"/>
      <c r="K15" s="184">
        <v>24.19</v>
      </c>
    </row>
    <row r="16" spans="1:11">
      <c r="A16" t="s">
        <v>423</v>
      </c>
      <c r="B16" t="s">
        <v>482</v>
      </c>
      <c r="C16" s="182">
        <v>50.76</v>
      </c>
      <c r="D16" s="183">
        <v>0.23748173401469391</v>
      </c>
      <c r="E16" s="189">
        <v>0.2</v>
      </c>
      <c r="F16" s="246">
        <v>21.717693535534575</v>
      </c>
      <c r="G16" s="185">
        <v>0.23748173401469391</v>
      </c>
      <c r="H16" s="185">
        <v>-0.27011826598530603</v>
      </c>
      <c r="I16" s="244">
        <v>21.717693535534575</v>
      </c>
      <c r="J16" s="182"/>
      <c r="K16" s="184">
        <v>20</v>
      </c>
    </row>
    <row r="17" spans="1:11">
      <c r="A17" t="s">
        <v>464</v>
      </c>
      <c r="B17" t="s">
        <v>482</v>
      </c>
      <c r="C17" s="182">
        <v>88.11</v>
      </c>
      <c r="D17" s="183">
        <v>0.27125626191046726</v>
      </c>
      <c r="E17" s="189">
        <v>0.22557520412110857</v>
      </c>
      <c r="F17" s="246">
        <v>23.009291513263474</v>
      </c>
      <c r="G17" s="185">
        <v>0.27125626191046726</v>
      </c>
      <c r="H17" s="185">
        <v>-0.60984373808953274</v>
      </c>
      <c r="I17" s="244">
        <v>23.009291513263474</v>
      </c>
      <c r="J17" s="182"/>
      <c r="K17" s="184">
        <v>22.56</v>
      </c>
    </row>
    <row r="18" spans="1:11">
      <c r="A18" t="s">
        <v>484</v>
      </c>
      <c r="B18" t="s">
        <v>482</v>
      </c>
      <c r="C18" s="182">
        <v>26.44</v>
      </c>
      <c r="D18" s="183">
        <v>0.16400025382136418</v>
      </c>
      <c r="E18" s="189">
        <v>0.18438279862995258</v>
      </c>
      <c r="F18" s="246">
        <v>19.986798940437001</v>
      </c>
      <c r="G18" s="185">
        <v>0.16400025382136418</v>
      </c>
      <c r="H18" s="185">
        <v>-0.10039974617863584</v>
      </c>
      <c r="I18" s="244">
        <v>19.986798940437001</v>
      </c>
      <c r="J18" s="182"/>
      <c r="K18" s="184">
        <v>18.440000000000001</v>
      </c>
    </row>
    <row r="19" spans="1:11">
      <c r="A19" t="s">
        <v>439</v>
      </c>
      <c r="B19" t="s">
        <v>482</v>
      </c>
      <c r="C19" s="182">
        <v>21.33</v>
      </c>
      <c r="D19" s="183">
        <v>0.1479293429188106</v>
      </c>
      <c r="E19" s="189">
        <v>0.14228985072973513</v>
      </c>
      <c r="F19" s="246">
        <v>12.456071808116942</v>
      </c>
      <c r="G19" s="185">
        <v>0.1479293429188106</v>
      </c>
      <c r="H19" s="185">
        <v>-6.5370657081189387E-2</v>
      </c>
      <c r="I19" s="244">
        <v>12.456071808116942</v>
      </c>
      <c r="J19" s="182"/>
      <c r="K19" s="184">
        <v>14.23</v>
      </c>
    </row>
    <row r="20" spans="1:11">
      <c r="A20" t="s">
        <v>440</v>
      </c>
      <c r="B20" t="s">
        <v>482</v>
      </c>
      <c r="C20" s="182"/>
      <c r="D20" s="183">
        <v>0.20101755945415686</v>
      </c>
      <c r="E20" s="189">
        <v>0.20437923861077287</v>
      </c>
      <c r="F20" s="246">
        <v>22.068788151445329</v>
      </c>
      <c r="G20" s="185">
        <v>0.20101755945415686</v>
      </c>
      <c r="H20" s="185">
        <v>0.20101755945415686</v>
      </c>
      <c r="I20" s="244">
        <v>22.068788151445329</v>
      </c>
      <c r="J20" s="182"/>
      <c r="K20" s="184">
        <v>20.440000000000001</v>
      </c>
    </row>
    <row r="21" spans="1:11">
      <c r="A21" t="s">
        <v>441</v>
      </c>
      <c r="B21" t="s">
        <v>482</v>
      </c>
      <c r="C21" s="182">
        <v>51.15</v>
      </c>
      <c r="D21" s="183">
        <v>0.24142457085897387</v>
      </c>
      <c r="E21" s="189">
        <v>0.23656290579219788</v>
      </c>
      <c r="F21" s="246">
        <v>28.112345748854249</v>
      </c>
      <c r="G21" s="185">
        <v>0.24142457085897387</v>
      </c>
      <c r="H21" s="185">
        <v>-0.27007542914102611</v>
      </c>
      <c r="I21" s="244">
        <v>28.112345748854249</v>
      </c>
      <c r="J21" s="182"/>
      <c r="K21" s="184">
        <v>23.66</v>
      </c>
    </row>
    <row r="22" spans="1:11">
      <c r="A22" t="s">
        <v>442</v>
      </c>
      <c r="B22" t="s">
        <v>482</v>
      </c>
      <c r="C22" s="182">
        <v>72.89</v>
      </c>
      <c r="D22" s="183">
        <v>0.29962525864671286</v>
      </c>
      <c r="E22" s="189">
        <v>0.27353237230353267</v>
      </c>
      <c r="F22" s="246">
        <v>35.442878583540363</v>
      </c>
      <c r="G22" s="185">
        <v>0.29962525864671286</v>
      </c>
      <c r="H22" s="185">
        <v>-0.42927474135328714</v>
      </c>
      <c r="I22" s="244">
        <v>35.442878583540363</v>
      </c>
      <c r="J22" s="182"/>
      <c r="K22" s="184">
        <v>27.35</v>
      </c>
    </row>
    <row r="23" spans="1:11">
      <c r="A23" t="s">
        <v>485</v>
      </c>
      <c r="B23" t="s">
        <v>482</v>
      </c>
      <c r="C23" s="182">
        <v>92.2</v>
      </c>
      <c r="D23" s="183">
        <v>0.32420420858239807</v>
      </c>
      <c r="E23" s="189">
        <v>0.27148692426874504</v>
      </c>
      <c r="F23" s="246">
        <v>26.797754793411876</v>
      </c>
      <c r="G23" s="185">
        <v>0.32420420858239807</v>
      </c>
      <c r="H23" s="185">
        <v>-0.59779579141760197</v>
      </c>
      <c r="I23" s="244">
        <v>26.797754793411876</v>
      </c>
      <c r="J23" s="182"/>
      <c r="K23" s="184">
        <v>27.15</v>
      </c>
    </row>
    <row r="24" spans="1:11">
      <c r="A24" t="s">
        <v>425</v>
      </c>
      <c r="B24" t="s">
        <v>482</v>
      </c>
      <c r="C24" s="182"/>
      <c r="D24" s="183">
        <v>0.13586865389995481</v>
      </c>
      <c r="E24" s="189">
        <v>0.12956768565076793</v>
      </c>
      <c r="F24" s="246">
        <v>18.071680530824096</v>
      </c>
      <c r="G24" s="185">
        <v>0.13586865389995481</v>
      </c>
      <c r="H24" s="185">
        <v>0.13586865389995481</v>
      </c>
      <c r="I24" s="244">
        <v>18.071680530824096</v>
      </c>
      <c r="J24" s="182"/>
      <c r="K24" s="184">
        <v>12.96</v>
      </c>
    </row>
    <row r="25" spans="1:11">
      <c r="A25" t="s">
        <v>427</v>
      </c>
      <c r="B25" t="s">
        <v>482</v>
      </c>
      <c r="C25" s="182"/>
      <c r="D25" s="183">
        <v>0.13455995258620806</v>
      </c>
      <c r="E25" s="189">
        <v>0.17145513198317794</v>
      </c>
      <c r="F25" s="246">
        <v>18.628820831387149</v>
      </c>
      <c r="G25" s="185">
        <v>0.13455995258620806</v>
      </c>
      <c r="H25" s="185">
        <v>0.13455995258620806</v>
      </c>
      <c r="I25" s="244">
        <v>18.628820831387149</v>
      </c>
      <c r="J25" s="182"/>
      <c r="K25" s="184">
        <v>17.149999999999999</v>
      </c>
    </row>
    <row r="26" spans="1:11">
      <c r="A26" t="s">
        <v>428</v>
      </c>
      <c r="B26" t="s">
        <v>482</v>
      </c>
      <c r="C26" s="182">
        <v>32.57</v>
      </c>
      <c r="D26" s="183">
        <v>0.1784902062515307</v>
      </c>
      <c r="E26" s="189">
        <v>0.16056028961545149</v>
      </c>
      <c r="F26" s="246">
        <v>18.652082272882708</v>
      </c>
      <c r="G26" s="185">
        <v>0.1784902062515307</v>
      </c>
      <c r="H26" s="185">
        <v>-0.14720979374846929</v>
      </c>
      <c r="I26" s="244">
        <v>18.652082272882708</v>
      </c>
      <c r="J26" s="182"/>
      <c r="K26" s="184">
        <v>16.059999999999999</v>
      </c>
    </row>
    <row r="27" spans="1:11">
      <c r="A27" t="s">
        <v>429</v>
      </c>
      <c r="B27" t="s">
        <v>482</v>
      </c>
      <c r="C27" s="182"/>
      <c r="D27" s="183">
        <v>0.20824205491247993</v>
      </c>
      <c r="E27" s="189">
        <v>0.21204375298540024</v>
      </c>
      <c r="F27" s="246">
        <v>22.487727231375175</v>
      </c>
      <c r="G27" s="185">
        <v>0.20824205491247993</v>
      </c>
      <c r="H27" s="185">
        <v>0.20824205491247993</v>
      </c>
      <c r="I27" s="244">
        <v>22.487727231375175</v>
      </c>
      <c r="J27" s="182"/>
      <c r="K27" s="184">
        <v>21.2</v>
      </c>
    </row>
    <row r="28" spans="1:11">
      <c r="A28" t="s">
        <v>430</v>
      </c>
      <c r="B28" t="s">
        <v>482</v>
      </c>
      <c r="C28" s="182">
        <v>23.46</v>
      </c>
      <c r="D28" s="183">
        <v>0.29856224739945653</v>
      </c>
      <c r="E28" s="189">
        <v>0.26128096709492066</v>
      </c>
      <c r="F28" s="246">
        <v>24.931425163983313</v>
      </c>
      <c r="G28" s="185">
        <v>0.29856224739945653</v>
      </c>
      <c r="H28" s="185">
        <v>6.3962247399456523E-2</v>
      </c>
      <c r="I28" s="244">
        <v>24.931425163983313</v>
      </c>
      <c r="J28" s="182"/>
      <c r="K28" s="184">
        <v>26.13</v>
      </c>
    </row>
    <row r="29" spans="1:11">
      <c r="A29" t="s">
        <v>486</v>
      </c>
      <c r="B29" t="s">
        <v>482</v>
      </c>
      <c r="C29" s="182">
        <v>23.46</v>
      </c>
      <c r="D29" s="183">
        <v>9.4775594775595204E-2</v>
      </c>
      <c r="E29" s="189">
        <v>0.33452938365981849</v>
      </c>
      <c r="F29" s="246">
        <v>38.473697951615463</v>
      </c>
      <c r="G29" s="185">
        <v>9.4775594775595204E-2</v>
      </c>
      <c r="H29" s="185">
        <v>-0.13982440522440481</v>
      </c>
      <c r="I29" s="244">
        <v>38.473697951615463</v>
      </c>
      <c r="J29" s="182"/>
      <c r="K29" s="184">
        <v>33.450000000000003</v>
      </c>
    </row>
    <row r="30" spans="1:11">
      <c r="A30" t="s">
        <v>431</v>
      </c>
      <c r="B30" t="s">
        <v>482</v>
      </c>
      <c r="C30" s="182"/>
      <c r="D30" s="183">
        <v>0.26153846153846144</v>
      </c>
      <c r="E30" s="189">
        <v>0.29425101214574906</v>
      </c>
      <c r="F30" s="246">
        <v>26.153788533563805</v>
      </c>
      <c r="G30" s="185">
        <v>0.26153846153846144</v>
      </c>
      <c r="H30" s="185">
        <v>0.26153846153846144</v>
      </c>
      <c r="I30" s="244">
        <v>26.153788533563805</v>
      </c>
      <c r="J30" s="182"/>
      <c r="K30" s="184">
        <v>29.43</v>
      </c>
    </row>
    <row r="31" spans="1:11">
      <c r="A31" t="s">
        <v>432</v>
      </c>
      <c r="B31" t="s">
        <v>482</v>
      </c>
      <c r="C31" s="182"/>
      <c r="D31" s="183">
        <v>0.16654591784259992</v>
      </c>
      <c r="E31" s="189">
        <v>0.16321968148302163</v>
      </c>
      <c r="F31" s="246">
        <v>16.920714829434282</v>
      </c>
      <c r="G31" s="185">
        <v>0.16654591784259992</v>
      </c>
      <c r="H31" s="185">
        <v>0.16654591784259992</v>
      </c>
      <c r="I31" s="244">
        <v>16.920714829434282</v>
      </c>
      <c r="J31" s="182"/>
      <c r="K31" s="184">
        <v>16.32</v>
      </c>
    </row>
    <row r="32" spans="1:11">
      <c r="A32" t="s">
        <v>433</v>
      </c>
      <c r="B32" t="s">
        <v>482</v>
      </c>
      <c r="C32" s="182">
        <v>25.88</v>
      </c>
      <c r="D32" s="183">
        <v>0.13650672937247957</v>
      </c>
      <c r="E32" s="189">
        <v>0.12514288664547818</v>
      </c>
      <c r="F32" s="246">
        <v>12.309234490646649</v>
      </c>
      <c r="G32" s="185">
        <v>0.13650672937247957</v>
      </c>
      <c r="H32" s="185">
        <v>-0.12229327062752041</v>
      </c>
      <c r="I32" s="244">
        <v>12.309234490646649</v>
      </c>
      <c r="J32" s="182"/>
      <c r="K32" s="184">
        <v>12.51</v>
      </c>
    </row>
    <row r="33" spans="1:11">
      <c r="A33" t="s">
        <v>434</v>
      </c>
      <c r="B33" t="s">
        <v>482</v>
      </c>
      <c r="C33" s="182">
        <v>19.329999999999998</v>
      </c>
      <c r="D33" s="183">
        <v>0.15885243955136572</v>
      </c>
      <c r="E33" s="189">
        <v>0.14839681442343042</v>
      </c>
      <c r="F33" s="246">
        <v>16.633013501530936</v>
      </c>
      <c r="G33" s="185">
        <v>0.15885243955136572</v>
      </c>
      <c r="H33" s="185">
        <v>-3.4447560448634257E-2</v>
      </c>
      <c r="I33" s="244">
        <v>16.633013501530936</v>
      </c>
      <c r="J33" s="182"/>
      <c r="K33" s="184">
        <v>14.84</v>
      </c>
    </row>
    <row r="34" spans="1:11">
      <c r="A34" t="s">
        <v>435</v>
      </c>
      <c r="B34" t="s">
        <v>482</v>
      </c>
      <c r="C34" s="182">
        <v>28.34</v>
      </c>
      <c r="D34" s="183">
        <v>0.1800836940590137</v>
      </c>
      <c r="E34" s="189">
        <v>0.17098621206876638</v>
      </c>
      <c r="F34" s="246">
        <v>19.577059125839781</v>
      </c>
      <c r="G34" s="185">
        <v>0.1800836940590137</v>
      </c>
      <c r="H34" s="185">
        <v>-0.10331630594098629</v>
      </c>
      <c r="I34" s="244">
        <v>19.577059125839781</v>
      </c>
      <c r="J34" s="182"/>
      <c r="K34" s="184">
        <v>17.100000000000001</v>
      </c>
    </row>
    <row r="35" spans="1:11">
      <c r="A35" t="s">
        <v>436</v>
      </c>
      <c r="B35" t="s">
        <v>482</v>
      </c>
      <c r="C35" s="182">
        <v>88.75</v>
      </c>
      <c r="D35" s="183">
        <v>0.4829459221982586</v>
      </c>
      <c r="E35" s="189">
        <v>0.48294999999999999</v>
      </c>
      <c r="F35" s="246">
        <v>48.295000000000002</v>
      </c>
      <c r="G35" s="185">
        <v>0.4829459221982586</v>
      </c>
      <c r="H35" s="185">
        <v>-0.40455407780174135</v>
      </c>
      <c r="I35" s="244">
        <v>48.295000000000002</v>
      </c>
      <c r="J35" s="182"/>
      <c r="K35" s="184">
        <v>48.3</v>
      </c>
    </row>
    <row r="36" spans="1:11">
      <c r="A36" t="s">
        <v>444</v>
      </c>
      <c r="B36" t="s">
        <v>482</v>
      </c>
      <c r="C36" s="182">
        <v>27.88</v>
      </c>
      <c r="D36" s="183">
        <v>0.17401942025247635</v>
      </c>
      <c r="E36" s="189">
        <v>0.17599251824796236</v>
      </c>
      <c r="F36" s="246">
        <v>16.060552826323814</v>
      </c>
      <c r="G36" s="185">
        <v>0.17401942025247635</v>
      </c>
      <c r="H36" s="185">
        <v>-0.10478057974752364</v>
      </c>
      <c r="I36" s="244">
        <v>16.060552826323814</v>
      </c>
      <c r="J36" s="182"/>
      <c r="K36" s="184">
        <v>17.600000000000001</v>
      </c>
    </row>
    <row r="37" spans="1:11">
      <c r="A37" t="s">
        <v>445</v>
      </c>
      <c r="B37" t="s">
        <v>482</v>
      </c>
      <c r="C37" s="182"/>
      <c r="D37" s="183">
        <v>0.171144994180322</v>
      </c>
      <c r="E37" s="189">
        <v>0.16349737833876715</v>
      </c>
      <c r="F37" s="246">
        <v>15.26785765418942</v>
      </c>
      <c r="G37" s="185">
        <v>0.171144994180322</v>
      </c>
      <c r="H37" s="185">
        <v>0.171144994180322</v>
      </c>
      <c r="I37" s="244">
        <v>15.26785765418942</v>
      </c>
      <c r="J37" s="182"/>
      <c r="K37" s="184">
        <v>16.350000000000001</v>
      </c>
    </row>
    <row r="38" spans="1:11">
      <c r="A38" t="s">
        <v>446</v>
      </c>
      <c r="B38" t="s">
        <v>482</v>
      </c>
      <c r="C38" s="182"/>
      <c r="D38" s="183">
        <v>0.22008916961389832</v>
      </c>
      <c r="E38" s="189">
        <v>0.21122380891118822</v>
      </c>
      <c r="F38" s="246">
        <v>22.316397304881519</v>
      </c>
      <c r="G38" s="185">
        <v>0.22008916961389832</v>
      </c>
      <c r="H38" s="185">
        <v>0.22008916961389832</v>
      </c>
      <c r="I38" s="244">
        <v>22.316397304881519</v>
      </c>
      <c r="J38" s="182"/>
      <c r="K38" s="184">
        <v>21.12</v>
      </c>
    </row>
    <row r="39" spans="1:11">
      <c r="A39" t="s">
        <v>487</v>
      </c>
      <c r="B39" t="s">
        <v>482</v>
      </c>
      <c r="C39" s="182">
        <v>28.12</v>
      </c>
      <c r="D39" s="183">
        <v>0.18115535492139231</v>
      </c>
      <c r="E39" s="189">
        <v>0.16266499951419555</v>
      </c>
      <c r="F39" s="246">
        <v>13.589641960628885</v>
      </c>
      <c r="G39" s="185">
        <v>0.18115535492139231</v>
      </c>
      <c r="H39" s="185">
        <v>-0.10004464507860769</v>
      </c>
      <c r="I39" s="244">
        <v>13.589641960628885</v>
      </c>
      <c r="J39" s="182"/>
      <c r="K39" s="184">
        <v>16.27</v>
      </c>
    </row>
    <row r="40" spans="1:11">
      <c r="A40" t="s">
        <v>488</v>
      </c>
      <c r="B40" t="s">
        <v>482</v>
      </c>
      <c r="C40" s="182"/>
      <c r="D40" s="183">
        <v>0.15359289272828583</v>
      </c>
      <c r="E40" s="189">
        <v>0.14586858092461991</v>
      </c>
      <c r="F40" s="246">
        <v>14.348062439241538</v>
      </c>
      <c r="G40" s="185">
        <v>0.15359289272828583</v>
      </c>
      <c r="H40" s="185">
        <v>0.15359289272828583</v>
      </c>
      <c r="I40" s="244">
        <v>14.348062439241538</v>
      </c>
      <c r="J40" s="182"/>
      <c r="K40" s="184">
        <v>14.59</v>
      </c>
    </row>
    <row r="41" spans="1:11">
      <c r="A41" t="s">
        <v>489</v>
      </c>
      <c r="B41" t="s">
        <v>482</v>
      </c>
      <c r="C41" s="182">
        <v>28.97</v>
      </c>
      <c r="D41" s="183">
        <v>0.17621388424171672</v>
      </c>
      <c r="E41" s="189">
        <v>0.15954975663638613</v>
      </c>
      <c r="F41" s="246">
        <v>17.853871608319682</v>
      </c>
      <c r="G41" s="185">
        <v>0.17621388424171672</v>
      </c>
      <c r="H41" s="185">
        <v>-0.1134861157582833</v>
      </c>
      <c r="I41" s="244">
        <v>17.853871608319682</v>
      </c>
      <c r="J41" s="182"/>
      <c r="K41" s="184">
        <v>15.95</v>
      </c>
    </row>
    <row r="42" spans="1:11">
      <c r="A42" t="s">
        <v>490</v>
      </c>
      <c r="B42" t="s">
        <v>482</v>
      </c>
      <c r="C42" s="182">
        <v>54.56</v>
      </c>
      <c r="D42" s="183">
        <v>0.15700768128252462</v>
      </c>
      <c r="E42" s="189">
        <v>0.14550017307026644</v>
      </c>
      <c r="F42" s="246">
        <v>20.308820806169937</v>
      </c>
      <c r="G42" s="185">
        <v>0.15700768128252462</v>
      </c>
      <c r="H42" s="185">
        <v>-0.38859231871747535</v>
      </c>
      <c r="I42" s="244">
        <v>20.308820806169937</v>
      </c>
      <c r="J42" s="182"/>
      <c r="K42" s="184">
        <v>14.55</v>
      </c>
    </row>
    <row r="43" spans="1:11">
      <c r="A43" t="s">
        <v>462</v>
      </c>
      <c r="B43" t="s">
        <v>482</v>
      </c>
      <c r="C43" s="182">
        <v>54.77</v>
      </c>
      <c r="D43" s="183">
        <v>0.23070395736434002</v>
      </c>
      <c r="E43" s="189">
        <v>0.20793460606544703</v>
      </c>
      <c r="F43" s="246">
        <v>21.229120310837978</v>
      </c>
      <c r="G43" s="185">
        <v>0.23070395736434002</v>
      </c>
      <c r="H43" s="185">
        <v>-0.31699604263566006</v>
      </c>
      <c r="I43" s="244">
        <v>21.229120310837978</v>
      </c>
      <c r="J43" s="182"/>
      <c r="K43" s="184">
        <v>20.79</v>
      </c>
    </row>
    <row r="44" spans="1:11">
      <c r="A44" t="s">
        <v>493</v>
      </c>
      <c r="B44" t="s">
        <v>482</v>
      </c>
      <c r="C44" s="182"/>
      <c r="D44" s="183">
        <v>0.10150089795031682</v>
      </c>
      <c r="E44" s="189">
        <v>8.1790882655694855E-2</v>
      </c>
      <c r="F44" s="246">
        <v>7.4747474747474669</v>
      </c>
      <c r="G44" s="185">
        <v>0.10150089795031682</v>
      </c>
      <c r="H44" s="185">
        <v>0.10150089795031682</v>
      </c>
      <c r="I44" s="244">
        <v>7.4747474747474669</v>
      </c>
      <c r="J44" s="182"/>
      <c r="K44" s="184">
        <v>8.18</v>
      </c>
    </row>
    <row r="45" spans="1:11">
      <c r="A45" t="s">
        <v>494</v>
      </c>
      <c r="B45" t="s">
        <v>482</v>
      </c>
      <c r="C45" s="182"/>
      <c r="D45" s="183">
        <v>5.3729865282556639E-2</v>
      </c>
      <c r="E45" s="189">
        <v>5.8516778944725886E-2</v>
      </c>
      <c r="F45" s="246">
        <v>69.8</v>
      </c>
      <c r="G45" s="185">
        <v>5.3729865282556639E-2</v>
      </c>
      <c r="H45" s="185">
        <v>5.3729865282556639E-2</v>
      </c>
      <c r="I45" s="244">
        <v>69.8</v>
      </c>
      <c r="J45" s="182"/>
      <c r="K45" s="184">
        <v>5.85</v>
      </c>
    </row>
    <row r="46" spans="1:11">
      <c r="A46" t="s">
        <v>495</v>
      </c>
      <c r="B46" t="s">
        <v>482</v>
      </c>
      <c r="C46" s="182"/>
      <c r="D46" s="183">
        <v>0.2093285872405804</v>
      </c>
      <c r="E46" s="189">
        <v>6.0816733191002087E-2</v>
      </c>
      <c r="F46" s="246">
        <v>49.0089671984136</v>
      </c>
      <c r="G46" s="185">
        <v>0.2093285872405804</v>
      </c>
      <c r="H46" s="185">
        <v>0.2093285872405804</v>
      </c>
      <c r="I46" s="244">
        <v>49.0089671984136</v>
      </c>
      <c r="J46" s="182"/>
      <c r="K46" s="184">
        <v>6.08</v>
      </c>
    </row>
    <row r="47" spans="1:11">
      <c r="A47" t="s">
        <v>496</v>
      </c>
      <c r="B47" t="s">
        <v>482</v>
      </c>
      <c r="C47" s="182"/>
      <c r="D47" s="183">
        <v>9.5788768146943884E-2</v>
      </c>
      <c r="E47" s="189">
        <v>8.5488812460468244E-2</v>
      </c>
      <c r="F47" s="246">
        <v>26.822165898617513</v>
      </c>
      <c r="G47" s="185">
        <v>9.5788768146943884E-2</v>
      </c>
      <c r="H47" s="185">
        <v>9.5788768146943884E-2</v>
      </c>
      <c r="I47" s="244">
        <v>26.822165898617513</v>
      </c>
      <c r="J47" s="182"/>
      <c r="K47" s="184">
        <v>8.5500000000000007</v>
      </c>
    </row>
    <row r="48" spans="1:11">
      <c r="A48" t="s">
        <v>497</v>
      </c>
      <c r="B48" t="s">
        <v>482</v>
      </c>
      <c r="C48" s="182"/>
      <c r="D48" s="183">
        <v>9.8005338527976035E-2</v>
      </c>
      <c r="E48" s="189">
        <v>0.10726823668190348</v>
      </c>
      <c r="F48" s="246">
        <v>60.649512243878064</v>
      </c>
      <c r="G48" s="185">
        <v>9.8005338527976035E-2</v>
      </c>
      <c r="H48" s="185">
        <v>9.8005338527976035E-2</v>
      </c>
      <c r="I48" s="244">
        <v>60.649512243878064</v>
      </c>
      <c r="J48" s="182"/>
      <c r="K48" s="184">
        <v>10.73</v>
      </c>
    </row>
    <row r="49" spans="1:11">
      <c r="A49" t="s">
        <v>498</v>
      </c>
      <c r="B49" t="s">
        <v>482</v>
      </c>
      <c r="C49" s="182"/>
      <c r="D49" s="183">
        <v>3.2858761389994537E-2</v>
      </c>
      <c r="E49" s="189">
        <v>3.4910499432806899E-2</v>
      </c>
      <c r="F49" s="246">
        <v>35.917721518987342</v>
      </c>
      <c r="G49" s="185">
        <v>3.2858761389994537E-2</v>
      </c>
      <c r="H49" s="185">
        <v>3.2858761389994537E-2</v>
      </c>
      <c r="I49" s="244">
        <v>35.917721518987342</v>
      </c>
      <c r="J49" s="182"/>
      <c r="K49" s="184">
        <v>3.49</v>
      </c>
    </row>
    <row r="50" spans="1:11">
      <c r="A50" t="s">
        <v>499</v>
      </c>
      <c r="B50" t="s">
        <v>483</v>
      </c>
      <c r="C50" s="182">
        <v>25.31</v>
      </c>
      <c r="D50" s="183">
        <v>0.16805976677549711</v>
      </c>
      <c r="E50" s="189">
        <v>0.15344706383376139</v>
      </c>
      <c r="F50" s="246">
        <v>14.924495538657833</v>
      </c>
      <c r="G50" s="185">
        <v>0.16805976677549711</v>
      </c>
      <c r="H50" s="185">
        <v>-8.5040233224502881E-2</v>
      </c>
      <c r="I50" s="244">
        <v>14.924495538657833</v>
      </c>
      <c r="J50" s="182"/>
      <c r="K50" s="184">
        <v>15.34</v>
      </c>
    </row>
    <row r="51" spans="1:11">
      <c r="A51" t="s">
        <v>500</v>
      </c>
      <c r="B51" t="s">
        <v>483</v>
      </c>
      <c r="C51" s="182">
        <v>24.25</v>
      </c>
      <c r="D51" s="183">
        <v>0.18271790724992676</v>
      </c>
      <c r="E51" s="189">
        <v>0.18271790724992676</v>
      </c>
      <c r="F51" s="246">
        <v>19.811929889359103</v>
      </c>
      <c r="G51" s="185">
        <v>0.18271790724992676</v>
      </c>
      <c r="H51" s="185">
        <v>-5.9782092750073235E-2</v>
      </c>
      <c r="I51" s="244">
        <v>19.811929889359103</v>
      </c>
      <c r="J51" s="182"/>
      <c r="K51" s="184">
        <v>18.27</v>
      </c>
    </row>
    <row r="52" spans="1:11">
      <c r="A52" s="241" t="s">
        <v>587</v>
      </c>
      <c r="C52" s="242">
        <v>0.2230215827338129</v>
      </c>
      <c r="F52" s="246">
        <v>22.302158273381288</v>
      </c>
      <c r="G52" s="185"/>
      <c r="H52" s="185"/>
      <c r="I52" s="244"/>
      <c r="J52" s="182"/>
      <c r="K52" s="184"/>
    </row>
    <row r="53" spans="1:11">
      <c r="A53" s="241" t="s">
        <v>588</v>
      </c>
      <c r="C53" s="242">
        <v>0.32499999999999996</v>
      </c>
      <c r="F53" s="246">
        <v>32.499999999999993</v>
      </c>
      <c r="G53" s="185"/>
      <c r="H53" s="185"/>
      <c r="I53" s="244"/>
      <c r="J53" s="182"/>
      <c r="K53" s="184"/>
    </row>
    <row r="54" spans="1:11">
      <c r="A54" s="241" t="s">
        <v>589</v>
      </c>
      <c r="C54" s="242">
        <v>0.46859903381642509</v>
      </c>
      <c r="F54" s="246">
        <v>46.859903381642511</v>
      </c>
      <c r="G54" s="185"/>
      <c r="H54" s="185"/>
      <c r="I54" s="244"/>
      <c r="J54" s="182"/>
      <c r="K54" s="184"/>
    </row>
    <row r="55" spans="1:11">
      <c r="A55" s="241" t="s">
        <v>590</v>
      </c>
      <c r="C55" s="242">
        <v>0.46859903381642509</v>
      </c>
      <c r="F55" s="246">
        <v>46.859903381642511</v>
      </c>
      <c r="G55" s="185"/>
      <c r="H55" s="185"/>
      <c r="I55" s="244"/>
      <c r="J55" s="182"/>
      <c r="K55" s="187"/>
    </row>
    <row r="56" spans="1:11">
      <c r="A56" s="241" t="s">
        <v>591</v>
      </c>
      <c r="C56" s="242">
        <v>0.51333333333333331</v>
      </c>
      <c r="F56" s="246">
        <v>51.333333333333329</v>
      </c>
      <c r="G56" s="185"/>
      <c r="H56" s="185"/>
      <c r="I56" s="244"/>
      <c r="J56" s="182"/>
      <c r="K56" s="187"/>
    </row>
    <row r="57" spans="1:11">
      <c r="A57" s="241" t="s">
        <v>592</v>
      </c>
      <c r="C57" s="242">
        <v>0.15672185415742423</v>
      </c>
      <c r="F57" s="246">
        <v>15.672185415742423</v>
      </c>
      <c r="G57" s="185"/>
      <c r="H57" s="185"/>
      <c r="I57" s="244"/>
      <c r="J57" s="182"/>
      <c r="K57" s="187"/>
    </row>
    <row r="58" spans="1:11">
      <c r="A58" s="241" t="s">
        <v>593</v>
      </c>
      <c r="C58" s="242">
        <v>0.15251260623598983</v>
      </c>
      <c r="F58" s="246">
        <v>15.251260623598984</v>
      </c>
      <c r="G58" s="185"/>
      <c r="H58" s="185"/>
      <c r="I58" s="244"/>
      <c r="J58" s="182"/>
      <c r="K58" s="184"/>
    </row>
    <row r="59" spans="1:11">
      <c r="A59" s="241" t="s">
        <v>594</v>
      </c>
      <c r="C59" s="242">
        <v>0.14712954909334885</v>
      </c>
      <c r="F59" s="246">
        <v>14.712954909334886</v>
      </c>
      <c r="G59" s="185"/>
      <c r="H59" s="185"/>
      <c r="I59" s="244"/>
      <c r="J59" s="182"/>
      <c r="K59" s="184"/>
    </row>
    <row r="60" spans="1:11">
      <c r="A60" s="241" t="s">
        <v>458</v>
      </c>
      <c r="C60" s="242">
        <v>0.2111724898714108</v>
      </c>
      <c r="F60" s="246">
        <v>21.117248987141078</v>
      </c>
      <c r="G60" s="185"/>
      <c r="H60" s="185"/>
      <c r="I60" s="244"/>
      <c r="J60" s="182"/>
      <c r="K60" s="187"/>
    </row>
    <row r="61" spans="1:11">
      <c r="A61" s="241" t="s">
        <v>595</v>
      </c>
      <c r="C61" s="242">
        <v>0.17461193099613759</v>
      </c>
      <c r="F61" s="246">
        <v>17.461193099613759</v>
      </c>
      <c r="G61" s="185"/>
      <c r="H61" s="185"/>
      <c r="I61" s="244"/>
      <c r="J61" s="182"/>
      <c r="K61" s="184"/>
    </row>
    <row r="62" spans="1:11">
      <c r="A62" s="241" t="s">
        <v>596</v>
      </c>
      <c r="C62" s="242">
        <v>0.4326766833611575</v>
      </c>
      <c r="F62" s="246">
        <v>43.267668336115747</v>
      </c>
      <c r="G62" s="185"/>
      <c r="H62" s="185"/>
      <c r="I62" s="244"/>
      <c r="J62" s="182"/>
      <c r="K62" s="184"/>
    </row>
    <row r="63" spans="1:11">
      <c r="A63" s="241" t="s">
        <v>453</v>
      </c>
      <c r="C63" s="242">
        <v>0.37372692861688939</v>
      </c>
      <c r="F63" s="246">
        <v>37.37269286168894</v>
      </c>
      <c r="G63" s="185"/>
      <c r="H63" s="185"/>
      <c r="I63" s="244"/>
      <c r="J63" s="182"/>
      <c r="K63" s="184"/>
    </row>
    <row r="64" spans="1:11">
      <c r="A64" s="241" t="s">
        <v>597</v>
      </c>
      <c r="C64" s="242">
        <v>0.19012011772853188</v>
      </c>
      <c r="F64" s="246">
        <v>19.012011772853189</v>
      </c>
      <c r="G64" s="185"/>
      <c r="H64" s="185"/>
      <c r="I64" s="244"/>
      <c r="J64" s="182"/>
      <c r="K64" s="187"/>
    </row>
    <row r="65" spans="1:11">
      <c r="A65" s="241" t="s">
        <v>598</v>
      </c>
      <c r="C65" s="242">
        <v>0.14743377715093198</v>
      </c>
      <c r="F65" s="246">
        <v>14.743377715093198</v>
      </c>
      <c r="G65" s="185"/>
      <c r="H65" s="185"/>
      <c r="I65" s="244"/>
      <c r="J65" s="182"/>
      <c r="K65" s="187"/>
    </row>
    <row r="66" spans="1:11">
      <c r="A66" s="241" t="s">
        <v>447</v>
      </c>
      <c r="C66" s="242">
        <v>0.17403278241676201</v>
      </c>
      <c r="F66" s="246">
        <v>17.403278241676201</v>
      </c>
      <c r="G66" s="185"/>
      <c r="H66" s="185"/>
      <c r="I66" s="244"/>
      <c r="J66" s="182"/>
      <c r="K66" s="187"/>
    </row>
    <row r="67" spans="1:11">
      <c r="A67" s="241" t="s">
        <v>449</v>
      </c>
      <c r="C67" s="242">
        <v>0.19231461787565074</v>
      </c>
      <c r="F67" s="246">
        <v>19.231461787565074</v>
      </c>
      <c r="G67" s="185"/>
      <c r="H67" s="185"/>
      <c r="I67" s="244"/>
      <c r="J67" s="182"/>
      <c r="K67" s="184"/>
    </row>
    <row r="68" spans="1:11">
      <c r="A68" s="241" t="s">
        <v>459</v>
      </c>
      <c r="C68" s="242">
        <v>0.30798348327233038</v>
      </c>
      <c r="F68" s="246">
        <v>30.79834832723304</v>
      </c>
      <c r="G68" s="185"/>
      <c r="H68" s="185"/>
      <c r="I68" s="244"/>
      <c r="J68" s="182"/>
      <c r="K68" s="184"/>
    </row>
    <row r="69" spans="1:11">
      <c r="A69" s="241" t="s">
        <v>460</v>
      </c>
      <c r="C69" s="242">
        <v>0.15173653098960149</v>
      </c>
      <c r="F69" s="246">
        <v>15.173653098960148</v>
      </c>
      <c r="G69" s="185"/>
      <c r="H69" s="185"/>
      <c r="I69" s="244"/>
      <c r="J69" s="182"/>
      <c r="K69" s="184"/>
    </row>
    <row r="70" spans="1:11">
      <c r="A70" s="241" t="s">
        <v>599</v>
      </c>
      <c r="C70" s="242">
        <v>0.21432270708869294</v>
      </c>
      <c r="F70" s="246">
        <v>21.432270708869293</v>
      </c>
      <c r="G70" s="185"/>
      <c r="H70" s="185"/>
      <c r="I70" s="244"/>
      <c r="J70" s="182"/>
      <c r="K70" s="184"/>
    </row>
    <row r="71" spans="1:11">
      <c r="A71" s="241" t="s">
        <v>424</v>
      </c>
      <c r="C71" s="242">
        <v>0.43208798605304743</v>
      </c>
      <c r="F71" s="246">
        <v>43.208798605304743</v>
      </c>
      <c r="G71" s="185"/>
      <c r="H71" s="185"/>
      <c r="I71" s="244"/>
      <c r="J71" s="182"/>
      <c r="K71" s="184"/>
    </row>
    <row r="72" spans="1:11">
      <c r="A72" s="241" t="s">
        <v>448</v>
      </c>
      <c r="C72" s="242">
        <v>0.16778801193724857</v>
      </c>
      <c r="F72" s="246">
        <v>16.778801193724856</v>
      </c>
      <c r="G72" s="185"/>
      <c r="H72" s="185"/>
      <c r="I72" s="244"/>
      <c r="J72" s="182"/>
      <c r="K72" s="187"/>
    </row>
    <row r="73" spans="1:11">
      <c r="A73" s="241" t="s">
        <v>600</v>
      </c>
      <c r="C73" s="242">
        <v>0.31729790842283778</v>
      </c>
      <c r="F73" s="246">
        <v>31.729790842283776</v>
      </c>
      <c r="G73" s="185"/>
      <c r="H73" s="185"/>
      <c r="I73" s="244"/>
      <c r="J73" s="182"/>
      <c r="K73" s="184"/>
    </row>
    <row r="74" spans="1:11">
      <c r="A74" s="241" t="s">
        <v>450</v>
      </c>
      <c r="C74" s="242">
        <v>0.14580592093161138</v>
      </c>
      <c r="F74" s="246">
        <v>14.580592093161137</v>
      </c>
      <c r="G74" s="185"/>
      <c r="H74" s="185"/>
      <c r="I74" s="244"/>
      <c r="J74" s="182"/>
      <c r="K74" s="187"/>
    </row>
    <row r="75" spans="1:11">
      <c r="A75" s="241" t="s">
        <v>451</v>
      </c>
      <c r="C75" s="242">
        <v>0.12953149612134829</v>
      </c>
      <c r="F75" s="246">
        <v>12.95314961213483</v>
      </c>
      <c r="G75" s="185"/>
      <c r="H75" s="185"/>
      <c r="I75" s="244"/>
      <c r="J75" s="182"/>
      <c r="K75" s="184"/>
    </row>
    <row r="76" spans="1:11">
      <c r="A76" s="241" t="s">
        <v>601</v>
      </c>
      <c r="C76" s="242">
        <v>0.10286210664243844</v>
      </c>
      <c r="F76" s="246">
        <v>10.286210664243844</v>
      </c>
      <c r="G76" s="185"/>
      <c r="H76" s="185"/>
      <c r="I76" s="244"/>
      <c r="J76" s="182"/>
      <c r="K76" s="184"/>
    </row>
    <row r="77" spans="1:11">
      <c r="A77" s="241" t="s">
        <v>602</v>
      </c>
      <c r="C77" s="242">
        <v>0.49569724949606608</v>
      </c>
      <c r="F77" s="246">
        <v>49.569724949606609</v>
      </c>
      <c r="G77" s="185"/>
      <c r="H77" s="185"/>
      <c r="I77" s="244"/>
      <c r="J77" s="182"/>
      <c r="K77" s="184"/>
    </row>
    <row r="78" spans="1:11">
      <c r="A78" s="241" t="s">
        <v>461</v>
      </c>
      <c r="C78" s="242">
        <v>0.26331803027818779</v>
      </c>
      <c r="F78" s="246">
        <v>26.331803027818779</v>
      </c>
      <c r="G78" s="185"/>
      <c r="H78" s="185"/>
      <c r="I78" s="244"/>
      <c r="J78" s="182"/>
      <c r="K78" s="184"/>
    </row>
    <row r="79" spans="1:11">
      <c r="A79" s="241" t="s">
        <v>603</v>
      </c>
      <c r="C79" s="242">
        <v>0.2430354090354091</v>
      </c>
      <c r="F79" s="246">
        <v>24.30354090354091</v>
      </c>
      <c r="G79" s="185"/>
      <c r="H79" s="185"/>
      <c r="I79" s="244"/>
      <c r="J79" s="182"/>
      <c r="K79" s="184"/>
    </row>
    <row r="80" spans="1:11">
      <c r="A80" s="241" t="s">
        <v>443</v>
      </c>
      <c r="C80" s="242">
        <v>0.23376135966844225</v>
      </c>
      <c r="F80" s="246">
        <v>23.376135966844224</v>
      </c>
      <c r="G80" s="185"/>
      <c r="H80" s="185"/>
      <c r="I80" s="244"/>
      <c r="J80" s="182"/>
      <c r="K80" s="184"/>
    </row>
    <row r="81" spans="1:11">
      <c r="A81" s="241" t="s">
        <v>584</v>
      </c>
      <c r="C81" s="242">
        <v>0.22269642704934223</v>
      </c>
      <c r="F81" s="246">
        <v>22.269642704934224</v>
      </c>
      <c r="G81" s="185"/>
      <c r="H81" s="185"/>
      <c r="I81" s="244"/>
      <c r="J81" s="182"/>
      <c r="K81" s="184"/>
    </row>
    <row r="82" spans="1:11">
      <c r="A82" s="241" t="s">
        <v>438</v>
      </c>
      <c r="C82" s="242">
        <v>0.17800646390574448</v>
      </c>
      <c r="F82" s="246">
        <v>17.80064639057445</v>
      </c>
      <c r="G82" s="185"/>
      <c r="H82" s="185"/>
      <c r="I82" s="244"/>
      <c r="J82" s="182"/>
      <c r="K82" s="184"/>
    </row>
    <row r="83" spans="1:11">
      <c r="A83" s="241" t="s">
        <v>604</v>
      </c>
      <c r="C83" s="242">
        <v>0.29945771316487824</v>
      </c>
      <c r="F83" s="246">
        <v>29.945771316487825</v>
      </c>
      <c r="G83" s="185"/>
      <c r="H83" s="185"/>
      <c r="I83" s="244"/>
      <c r="J83" s="182"/>
      <c r="K83" s="184"/>
    </row>
    <row r="84" spans="1:11">
      <c r="A84" s="241" t="s">
        <v>605</v>
      </c>
      <c r="C84" s="242">
        <v>0.2320462912059944</v>
      </c>
      <c r="F84" s="246">
        <v>23.204629120599442</v>
      </c>
      <c r="G84" s="185"/>
      <c r="H84" s="185"/>
      <c r="I84" s="244"/>
      <c r="J84" s="182"/>
      <c r="K84" s="184"/>
    </row>
    <row r="85" spans="1:11">
      <c r="A85" s="241" t="s">
        <v>606</v>
      </c>
      <c r="C85" s="242">
        <v>0.34952744453776807</v>
      </c>
      <c r="F85" s="246">
        <v>34.952744453776809</v>
      </c>
      <c r="G85" s="185"/>
      <c r="H85" s="185"/>
      <c r="I85" s="244"/>
      <c r="J85" s="182"/>
      <c r="K85" s="184"/>
    </row>
    <row r="86" spans="1:11">
      <c r="A86" s="241" t="s">
        <v>607</v>
      </c>
      <c r="C86" s="242">
        <v>0.27351820532982141</v>
      </c>
      <c r="F86" s="246">
        <v>27.351820532982142</v>
      </c>
      <c r="G86" s="185"/>
      <c r="H86" s="185"/>
      <c r="I86" s="244"/>
      <c r="J86" s="182"/>
      <c r="K86" s="184"/>
    </row>
    <row r="87" spans="1:11">
      <c r="A87" s="241" t="s">
        <v>608</v>
      </c>
      <c r="C87" s="242">
        <v>0.15640626106516264</v>
      </c>
      <c r="F87" s="246">
        <v>15.640626106516265</v>
      </c>
      <c r="G87" s="185"/>
      <c r="H87" s="185"/>
      <c r="I87" s="244"/>
      <c r="J87" s="182"/>
      <c r="K87" s="184"/>
    </row>
    <row r="88" spans="1:11">
      <c r="A88" s="241" t="s">
        <v>609</v>
      </c>
      <c r="C88" s="242">
        <v>0.26367448107448099</v>
      </c>
      <c r="F88" s="246">
        <v>26.367448107448098</v>
      </c>
      <c r="G88" s="185"/>
      <c r="H88" s="185"/>
      <c r="I88" s="244"/>
      <c r="J88" s="182"/>
      <c r="K88" s="184"/>
    </row>
    <row r="89" spans="1:11">
      <c r="A89" s="241" t="s">
        <v>610</v>
      </c>
      <c r="C89" s="242">
        <v>0.12450251306590654</v>
      </c>
      <c r="F89" s="246">
        <v>12.450251306590655</v>
      </c>
      <c r="G89" s="185"/>
      <c r="H89" s="185"/>
      <c r="I89" s="244"/>
      <c r="J89" s="182"/>
      <c r="K89" s="184"/>
    </row>
    <row r="90" spans="1:11">
      <c r="A90" s="241" t="s">
        <v>611</v>
      </c>
      <c r="C90" s="242">
        <v>0.42013070051160961</v>
      </c>
      <c r="F90" s="246">
        <v>42.013070051160959</v>
      </c>
      <c r="G90" s="185"/>
      <c r="H90" s="185"/>
      <c r="I90" s="244"/>
      <c r="J90" s="182"/>
      <c r="K90" s="184"/>
    </row>
    <row r="91" spans="1:11">
      <c r="A91" s="241" t="s">
        <v>612</v>
      </c>
      <c r="C91" s="242">
        <v>0.20089732167071539</v>
      </c>
      <c r="F91" s="246">
        <v>20.089732167071539</v>
      </c>
      <c r="G91" s="185"/>
      <c r="H91" s="185"/>
      <c r="I91" s="244"/>
      <c r="J91" s="182"/>
      <c r="K91" s="184"/>
    </row>
    <row r="92" spans="1:11">
      <c r="A92" s="241" t="s">
        <v>585</v>
      </c>
      <c r="C92" s="242">
        <v>0.24402907580477673</v>
      </c>
      <c r="F92" s="246">
        <v>24.402907580477674</v>
      </c>
      <c r="G92" s="185"/>
      <c r="H92" s="185"/>
      <c r="I92" s="244"/>
      <c r="J92" s="182"/>
      <c r="K92" s="18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2"/>
  <dimension ref="B3:AB42"/>
  <sheetViews>
    <sheetView topLeftCell="B9" zoomScaleNormal="100" workbookViewId="0">
      <selection activeCell="L42" sqref="L42"/>
    </sheetView>
  </sheetViews>
  <sheetFormatPr defaultColWidth="9.140625" defaultRowHeight="15"/>
  <cols>
    <col min="1" max="1" width="4.7109375" style="110" customWidth="1"/>
    <col min="2" max="2" width="17.42578125" style="110" customWidth="1"/>
    <col min="3" max="3" width="5.28515625" style="110" customWidth="1"/>
    <col min="4" max="4" width="24.42578125" style="110" bestFit="1" customWidth="1"/>
    <col min="5" max="5" width="7.42578125" style="110" customWidth="1"/>
    <col min="6" max="6" width="22.85546875" style="110" bestFit="1" customWidth="1"/>
    <col min="7" max="7" width="12.85546875" style="110" bestFit="1" customWidth="1"/>
    <col min="8" max="8" width="6.5703125" style="110" customWidth="1"/>
    <col min="9" max="9" width="12.7109375" style="110" customWidth="1"/>
    <col min="10" max="10" width="9.7109375" style="110" customWidth="1"/>
    <col min="11" max="11" width="31.85546875" style="110" customWidth="1"/>
    <col min="12" max="12" width="16.140625" style="110" customWidth="1"/>
    <col min="13" max="13" width="22" style="110" customWidth="1"/>
    <col min="14" max="14" width="18.5703125" style="110" customWidth="1"/>
    <col min="15" max="15" width="11.85546875" style="110" customWidth="1"/>
    <col min="16" max="16" width="24.42578125" style="110" bestFit="1" customWidth="1"/>
    <col min="17" max="17" width="15.5703125" style="110" customWidth="1"/>
    <col min="18" max="18" width="8.7109375" style="110" bestFit="1" customWidth="1"/>
    <col min="19" max="19" width="11.7109375" style="110" bestFit="1" customWidth="1"/>
    <col min="20" max="20" width="11" style="110" bestFit="1" customWidth="1"/>
    <col min="21" max="21" width="22" style="110" customWidth="1"/>
    <col min="22" max="22" width="19.140625" style="110" customWidth="1"/>
    <col min="23" max="23" width="12" style="110" customWidth="1"/>
    <col min="24" max="24" width="12.42578125" style="110" customWidth="1"/>
    <col min="25" max="16384" width="9.140625" style="110"/>
  </cols>
  <sheetData>
    <row r="3" spans="2:28" ht="15.75" customHeight="1">
      <c r="B3" s="147" t="s">
        <v>221</v>
      </c>
      <c r="C3" s="148"/>
      <c r="D3" s="147" t="s">
        <v>222</v>
      </c>
      <c r="E3" s="148"/>
      <c r="F3" s="147" t="s">
        <v>223</v>
      </c>
      <c r="G3" s="147" t="s">
        <v>288</v>
      </c>
      <c r="H3" s="250"/>
      <c r="I3" s="270" t="s">
        <v>620</v>
      </c>
      <c r="K3" s="147" t="s">
        <v>621</v>
      </c>
      <c r="L3" s="251" t="s">
        <v>622</v>
      </c>
      <c r="M3" s="251" t="s">
        <v>623</v>
      </c>
      <c r="N3" s="251" t="s">
        <v>288</v>
      </c>
      <c r="P3" s="147" t="s">
        <v>402</v>
      </c>
    </row>
    <row r="4" spans="2:28">
      <c r="B4" s="158">
        <v>2.1</v>
      </c>
      <c r="D4" s="111" t="s">
        <v>211</v>
      </c>
      <c r="E4" s="112"/>
      <c r="F4" s="111" t="s">
        <v>293</v>
      </c>
      <c r="G4" s="111" t="s">
        <v>289</v>
      </c>
      <c r="H4" s="249"/>
      <c r="I4" s="266"/>
      <c r="J4" s="112"/>
      <c r="K4" s="252">
        <f>SUM(K5:K8)/4</f>
        <v>0</v>
      </c>
      <c r="L4" s="252">
        <f>IF(K12&gt;0,'Ilość farby'!B49,'Ilość farby'!B47)</f>
        <v>0</v>
      </c>
      <c r="M4" s="254">
        <f>ESG!C34</f>
        <v>0</v>
      </c>
      <c r="N4" s="254" t="e">
        <f>VLOOKUP(M4,F:G,2,FALSE)</f>
        <v>#N/A</v>
      </c>
      <c r="P4" s="174">
        <f>ESG!G26</f>
        <v>0.88439999999999996</v>
      </c>
      <c r="AB4" s="110" t="s">
        <v>516</v>
      </c>
    </row>
    <row r="5" spans="2:28">
      <c r="B5" s="158">
        <v>2.6</v>
      </c>
      <c r="D5" s="111" t="s">
        <v>212</v>
      </c>
      <c r="E5" s="112"/>
      <c r="F5" s="111" t="s">
        <v>294</v>
      </c>
      <c r="G5" s="111" t="s">
        <v>290</v>
      </c>
      <c r="H5" s="249"/>
      <c r="I5" s="266"/>
      <c r="J5" s="113" t="s">
        <v>237</v>
      </c>
      <c r="K5" s="255"/>
      <c r="L5" s="192"/>
      <c r="M5" s="192"/>
      <c r="N5" s="192"/>
    </row>
    <row r="6" spans="2:28">
      <c r="B6" s="158">
        <v>2.85</v>
      </c>
      <c r="D6" s="111" t="s">
        <v>213</v>
      </c>
      <c r="E6" s="112"/>
      <c r="F6" s="111" t="s">
        <v>361</v>
      </c>
      <c r="G6" s="111" t="s">
        <v>362</v>
      </c>
      <c r="H6" s="249"/>
      <c r="I6" s="266"/>
      <c r="J6" s="113" t="s">
        <v>238</v>
      </c>
      <c r="K6" s="255"/>
      <c r="L6" s="192"/>
      <c r="M6" s="192"/>
      <c r="N6" s="192"/>
      <c r="P6" s="150" t="s">
        <v>403</v>
      </c>
      <c r="Q6" s="150" t="s">
        <v>404</v>
      </c>
      <c r="R6" s="150" t="s">
        <v>407</v>
      </c>
      <c r="S6" s="150" t="s">
        <v>405</v>
      </c>
      <c r="T6" s="150" t="s">
        <v>406</v>
      </c>
      <c r="U6" s="150" t="s">
        <v>288</v>
      </c>
      <c r="V6" s="157" t="s">
        <v>472</v>
      </c>
      <c r="W6" s="157" t="s">
        <v>523</v>
      </c>
      <c r="X6" s="147" t="s">
        <v>475</v>
      </c>
      <c r="AB6" s="110" t="e">
        <f>IF(K40="TAK",VLOOKUP("*"&amp;"H"&amp;"*",'MARSZRUTA_WER 5'!Y20:AZ78,28,FALSE),"")</f>
        <v>#N/A</v>
      </c>
    </row>
    <row r="7" spans="2:28">
      <c r="B7" s="158">
        <v>2.9</v>
      </c>
      <c r="D7" s="111" t="s">
        <v>216</v>
      </c>
      <c r="E7" s="112"/>
      <c r="F7" s="111" t="s">
        <v>295</v>
      </c>
      <c r="G7" s="111" t="s">
        <v>291</v>
      </c>
      <c r="H7" s="249"/>
      <c r="I7" s="266"/>
      <c r="J7" s="113" t="s">
        <v>239</v>
      </c>
      <c r="K7" s="255"/>
      <c r="L7" s="192"/>
      <c r="M7" s="192"/>
      <c r="N7" s="192"/>
      <c r="P7" s="152" t="str">
        <f>ESG!C6</f>
        <v>Parsol Grey/szary</v>
      </c>
      <c r="Q7" s="153">
        <f>ESG!C7</f>
        <v>5.85</v>
      </c>
      <c r="R7" s="152" t="str">
        <f>IF(NOT(ISERROR(VLOOKUP($P7&amp;" / "&amp;$Q7&amp;" / DLF",szkła!$A:$H,2,FALSE))),VLOOKUP($P7&amp;" / "&amp;$Q7&amp;" / DLF",szkła!$A:$H,6,FALSE),"")</f>
        <v>DLF</v>
      </c>
      <c r="S7" s="152">
        <f>IF(NOT(ISERROR(VLOOKUP($P7&amp;" / "&amp;$Q7&amp;" / DLF",szkła!$A:$H,2,FALSE))),VLOOKUP($P7&amp;" / "&amp;$Q7&amp;" / DLF",szkła!$A:$H,7,FALSE),"")</f>
        <v>3210</v>
      </c>
      <c r="T7" s="152">
        <f>IF(NOT(ISERROR(VLOOKUP($P7&amp;" / "&amp;$Q7&amp;" / DLF",szkła!$A:$H,2,FALSE))),VLOOKUP($P7&amp;" / "&amp;$Q7&amp;" / DLF",szkła!$A:$H,8,FALSE),"")</f>
        <v>2000</v>
      </c>
      <c r="U7" s="152" t="str">
        <f>IF(NOT(ISERROR(VLOOKUP($P7&amp;" / "&amp;$Q7&amp;" / DLF",szkła!$A:$H,2,FALSE))),VLOOKUP($P7&amp;" / "&amp;$Q7&amp;" / DLF",szkła!$A:$H,2,FALSE),"")</f>
        <v>STR60007532</v>
      </c>
      <c r="V7" s="190">
        <f>$P$4/((S7*T7)/1000000)*1000</f>
        <v>137.75700934579439</v>
      </c>
      <c r="W7" s="191" t="s">
        <v>523</v>
      </c>
      <c r="X7" s="193">
        <f>IF(U7&lt;&gt;"",_xlfn.IFNA(VLOOKUP($U$7,scrap_2,6,FALSE),30),"")</f>
        <v>28.112345748854249</v>
      </c>
    </row>
    <row r="8" spans="2:28">
      <c r="B8" s="158">
        <v>3.15</v>
      </c>
      <c r="D8" s="111" t="s">
        <v>217</v>
      </c>
      <c r="E8" s="112"/>
      <c r="F8" s="111" t="s">
        <v>742</v>
      </c>
      <c r="G8" s="111" t="s">
        <v>743</v>
      </c>
      <c r="H8" s="249"/>
      <c r="I8" s="266"/>
      <c r="J8" s="113" t="s">
        <v>240</v>
      </c>
      <c r="K8" s="255"/>
      <c r="L8" s="192"/>
      <c r="M8" s="192"/>
      <c r="N8" s="192"/>
      <c r="P8" s="152" t="str">
        <f>ESG!C6</f>
        <v>Parsol Grey/szary</v>
      </c>
      <c r="Q8" s="153">
        <f>ESG!C7</f>
        <v>5.85</v>
      </c>
      <c r="R8" s="152" t="str">
        <f>IF(NOT(ISERROR(VLOOKUP($P8&amp;" / "&amp;$Q8&amp;" / PLF",szkła!$A:$H,2,FALSE))),VLOOKUP($P8&amp;" / "&amp;$Q8&amp;" / PLF",szkła!$A:$H,6,FALSE),"")</f>
        <v/>
      </c>
      <c r="S8" s="152" t="str">
        <f>IF(NOT(ISERROR(VLOOKUP($P8&amp;" / "&amp;$Q8&amp;" / PLF",szkła!$A:$H,2,FALSE))),VLOOKUP($P8&amp;" / "&amp;$Q8&amp;" / PLF",szkła!$A:$H,7,FALSE),"")</f>
        <v/>
      </c>
      <c r="T8" s="152" t="str">
        <f>IF(NOT(ISERROR(VLOOKUP($P8&amp;" / "&amp;$Q8&amp;" / PLF",szkła!$A:$H,2,FALSE))),VLOOKUP($P8&amp;" / "&amp;$Q8&amp;" / PLF",szkła!$A:$H,8,FALSE),"")</f>
        <v/>
      </c>
      <c r="U8" s="152" t="str">
        <f>IF(NOT(ISERROR(VLOOKUP($P8&amp;" / "&amp;$Q8&amp;" / PLF",szkła!$A:$H,2,FALSE))),VLOOKUP($P8&amp;" / "&amp;$Q8&amp;" / PLF",szkła!$A:$H,2,FALSE),"")</f>
        <v/>
      </c>
      <c r="V8" s="190" t="e">
        <f>$P$4/((S8*T8)/1000000)*1000</f>
        <v>#VALUE!</v>
      </c>
      <c r="W8" s="191" t="s">
        <v>523</v>
      </c>
      <c r="X8" s="194" t="str">
        <f>IF(U8&lt;&gt;"",_xlfn.IFNA(VLOOKUP($U$8,scrap_2,6,FALSE),30),"")</f>
        <v/>
      </c>
    </row>
    <row r="9" spans="2:28">
      <c r="B9" s="158">
        <v>3.5</v>
      </c>
      <c r="D9" s="111" t="s">
        <v>218</v>
      </c>
      <c r="E9" s="112"/>
      <c r="F9" s="111" t="s">
        <v>744</v>
      </c>
      <c r="G9" s="111" t="s">
        <v>745</v>
      </c>
      <c r="H9" s="249"/>
      <c r="I9" s="266"/>
      <c r="J9" s="256"/>
      <c r="P9" s="170"/>
      <c r="Q9" s="171"/>
      <c r="R9" s="170"/>
      <c r="S9" s="170"/>
      <c r="T9" s="170"/>
      <c r="U9" s="170"/>
      <c r="V9" s="170"/>
      <c r="W9" s="170"/>
      <c r="X9" s="170"/>
    </row>
    <row r="10" spans="2:28">
      <c r="B10" s="158">
        <v>3.85</v>
      </c>
      <c r="D10" s="111" t="s">
        <v>214</v>
      </c>
      <c r="E10" s="112"/>
      <c r="F10" s="111" t="s">
        <v>680</v>
      </c>
      <c r="G10" s="111" t="s">
        <v>524</v>
      </c>
      <c r="H10" s="112"/>
      <c r="I10" s="266"/>
      <c r="J10" s="257" t="s">
        <v>298</v>
      </c>
      <c r="K10" s="110" t="s">
        <v>297</v>
      </c>
      <c r="P10" s="206"/>
      <c r="Q10" s="173"/>
      <c r="R10" s="172"/>
      <c r="S10" s="172"/>
      <c r="T10" s="172"/>
      <c r="U10" s="172"/>
      <c r="V10" s="172"/>
      <c r="W10" s="172"/>
      <c r="X10" s="172"/>
    </row>
    <row r="11" spans="2:28">
      <c r="B11" s="158">
        <v>4.8499999999999996</v>
      </c>
      <c r="D11" s="111" t="s">
        <v>219</v>
      </c>
      <c r="E11" s="112"/>
      <c r="F11" s="112"/>
      <c r="G11" s="112"/>
      <c r="H11" s="112"/>
      <c r="I11" s="266"/>
      <c r="J11" s="112"/>
      <c r="K11" s="654" t="s">
        <v>283</v>
      </c>
      <c r="L11" s="655"/>
    </row>
    <row r="12" spans="2:28">
      <c r="B12" s="158">
        <v>5.85</v>
      </c>
      <c r="D12" s="111" t="s">
        <v>220</v>
      </c>
      <c r="E12" s="112"/>
      <c r="F12" s="112"/>
      <c r="G12" s="112"/>
      <c r="H12" s="112"/>
      <c r="I12" s="267"/>
      <c r="J12" s="257"/>
      <c r="K12" s="151"/>
    </row>
    <row r="13" spans="2:28">
      <c r="B13" s="158">
        <v>8</v>
      </c>
      <c r="D13" s="111" t="s">
        <v>225</v>
      </c>
      <c r="E13" s="192"/>
      <c r="F13" s="112"/>
      <c r="G13" s="112"/>
      <c r="I13" s="258"/>
    </row>
    <row r="14" spans="2:28" ht="15" customHeight="1">
      <c r="B14" s="158">
        <v>10</v>
      </c>
      <c r="D14" s="149" t="s">
        <v>473</v>
      </c>
      <c r="F14" s="192"/>
      <c r="O14" s="173"/>
    </row>
    <row r="15" spans="2:28" ht="18.75">
      <c r="B15" s="158">
        <v>12</v>
      </c>
      <c r="D15" s="149" t="s">
        <v>474</v>
      </c>
      <c r="I15" s="270" t="s">
        <v>624</v>
      </c>
      <c r="K15" s="147" t="s">
        <v>621</v>
      </c>
      <c r="L15" s="251" t="s">
        <v>622</v>
      </c>
      <c r="M15" s="251" t="s">
        <v>623</v>
      </c>
      <c r="N15" s="251" t="s">
        <v>288</v>
      </c>
    </row>
    <row r="16" spans="2:28">
      <c r="D16" s="149" t="s">
        <v>525</v>
      </c>
      <c r="F16" s="111" t="s">
        <v>296</v>
      </c>
      <c r="G16" s="111" t="s">
        <v>292</v>
      </c>
      <c r="I16" s="266"/>
      <c r="J16" s="112"/>
      <c r="K16" s="252">
        <f>SUM(K17:K20)/4</f>
        <v>0</v>
      </c>
      <c r="L16" s="252">
        <f>IF(K24&gt;0,'Ilość farby'!B62,'Ilość farby'!B60)</f>
        <v>0</v>
      </c>
      <c r="M16" s="254">
        <f>ESG!C35</f>
        <v>0</v>
      </c>
      <c r="N16" s="254" t="e">
        <f>VLOOKUP(M16,F:G,2,FALSE)</f>
        <v>#N/A</v>
      </c>
    </row>
    <row r="17" spans="4:15">
      <c r="I17" s="266"/>
      <c r="J17" s="113" t="s">
        <v>237</v>
      </c>
      <c r="K17" s="255"/>
      <c r="L17" s="192"/>
      <c r="M17" s="192"/>
      <c r="N17" s="192"/>
    </row>
    <row r="18" spans="4:15">
      <c r="I18" s="266"/>
      <c r="J18" s="113" t="s">
        <v>238</v>
      </c>
      <c r="K18" s="255"/>
      <c r="L18" s="192"/>
      <c r="M18" s="192"/>
      <c r="N18" s="192"/>
      <c r="O18" s="259"/>
    </row>
    <row r="19" spans="4:15">
      <c r="I19" s="266"/>
      <c r="J19" s="113" t="s">
        <v>239</v>
      </c>
      <c r="K19" s="255"/>
      <c r="L19" s="192"/>
      <c r="M19" s="192"/>
      <c r="N19" s="192"/>
    </row>
    <row r="20" spans="4:15">
      <c r="I20" s="266"/>
      <c r="J20" s="113" t="s">
        <v>240</v>
      </c>
      <c r="K20" s="255"/>
      <c r="L20" s="192"/>
      <c r="M20" s="192"/>
      <c r="N20" s="192"/>
    </row>
    <row r="21" spans="4:15">
      <c r="I21" s="266"/>
      <c r="J21" s="256"/>
    </row>
    <row r="22" spans="4:15">
      <c r="D22" s="111" t="s">
        <v>225</v>
      </c>
      <c r="E22" s="192" t="s">
        <v>526</v>
      </c>
      <c r="I22" s="266"/>
      <c r="J22" s="257" t="s">
        <v>298</v>
      </c>
      <c r="K22" s="110" t="s">
        <v>297</v>
      </c>
    </row>
    <row r="23" spans="4:15">
      <c r="F23" s="192" t="s">
        <v>463</v>
      </c>
      <c r="I23" s="266"/>
      <c r="J23" s="112"/>
      <c r="K23" s="263" t="s">
        <v>283</v>
      </c>
      <c r="L23" s="264"/>
    </row>
    <row r="24" spans="4:15">
      <c r="I24" s="267"/>
      <c r="J24" s="257"/>
      <c r="K24" s="151"/>
    </row>
    <row r="25" spans="4:15" ht="15" customHeight="1"/>
    <row r="27" spans="4:15" ht="18.75">
      <c r="I27" s="270" t="s">
        <v>625</v>
      </c>
      <c r="L27" s="251" t="s">
        <v>622</v>
      </c>
      <c r="M27" s="251" t="s">
        <v>623</v>
      </c>
      <c r="N27" s="251" t="s">
        <v>288</v>
      </c>
    </row>
    <row r="28" spans="4:15">
      <c r="I28" s="265"/>
      <c r="J28" s="112"/>
      <c r="L28" s="272"/>
      <c r="M28" s="254">
        <f>ESG!C36</f>
        <v>0</v>
      </c>
      <c r="N28" s="254" t="e">
        <f>VLOOKUP(M28,F:G,2,FALSE)</f>
        <v>#N/A</v>
      </c>
    </row>
    <row r="29" spans="4:15">
      <c r="I29" s="258"/>
      <c r="J29" s="113"/>
      <c r="M29" s="192"/>
      <c r="N29" s="192"/>
    </row>
    <row r="30" spans="4:15">
      <c r="I30" s="260"/>
      <c r="J30" s="113"/>
      <c r="M30" s="192"/>
      <c r="N30" s="192"/>
    </row>
    <row r="31" spans="4:15" ht="18.75">
      <c r="I31" s="270" t="s">
        <v>626</v>
      </c>
      <c r="L31" s="251" t="s">
        <v>622</v>
      </c>
      <c r="M31" s="251" t="s">
        <v>623</v>
      </c>
      <c r="N31" s="251" t="s">
        <v>288</v>
      </c>
    </row>
    <row r="32" spans="4:15">
      <c r="I32" s="265"/>
      <c r="J32" s="112"/>
      <c r="L32" s="272"/>
      <c r="M32" s="254">
        <f>ESG!C37</f>
        <v>0</v>
      </c>
      <c r="N32" s="254" t="e">
        <f>VLOOKUP(M32,F:G,2,FALSE)</f>
        <v>#N/A</v>
      </c>
    </row>
    <row r="33" spans="9:14">
      <c r="I33" s="260"/>
      <c r="J33" s="112"/>
      <c r="M33" s="192"/>
      <c r="N33" s="192"/>
    </row>
    <row r="34" spans="9:14">
      <c r="I34" s="260"/>
      <c r="J34" s="113"/>
      <c r="M34" s="192"/>
      <c r="N34" s="192"/>
    </row>
    <row r="35" spans="9:14" ht="18.75">
      <c r="I35" s="270" t="s">
        <v>627</v>
      </c>
      <c r="L35" s="251" t="s">
        <v>622</v>
      </c>
      <c r="M35" s="251" t="s">
        <v>623</v>
      </c>
      <c r="N35" s="251" t="s">
        <v>288</v>
      </c>
    </row>
    <row r="36" spans="9:14">
      <c r="I36" s="265"/>
      <c r="J36" s="112"/>
      <c r="L36" s="272"/>
      <c r="M36" s="254">
        <f>ESG!C38</f>
        <v>0</v>
      </c>
      <c r="N36" s="254" t="e">
        <f>VLOOKUP(M36,F:G,2,FALSE)</f>
        <v>#N/A</v>
      </c>
    </row>
    <row r="37" spans="9:14">
      <c r="I37" s="260"/>
      <c r="J37" s="112"/>
      <c r="M37" s="192"/>
      <c r="N37" s="192"/>
    </row>
    <row r="39" spans="9:14" ht="15" customHeight="1">
      <c r="I39" s="270" t="s">
        <v>628</v>
      </c>
      <c r="J39" s="257"/>
      <c r="K39" s="206" t="s">
        <v>550</v>
      </c>
      <c r="L39" s="173"/>
      <c r="M39" s="173"/>
      <c r="N39" s="173"/>
    </row>
    <row r="40" spans="9:14" ht="15" customHeight="1">
      <c r="I40" s="268"/>
      <c r="K40" s="261" t="s">
        <v>516</v>
      </c>
      <c r="L40" s="251" t="s">
        <v>622</v>
      </c>
      <c r="M40" s="251" t="s">
        <v>623</v>
      </c>
      <c r="N40" s="251" t="s">
        <v>288</v>
      </c>
    </row>
    <row r="41" spans="9:14" ht="15" customHeight="1">
      <c r="I41" s="268"/>
      <c r="K41" s="254" t="s">
        <v>548</v>
      </c>
      <c r="L41" s="252">
        <v>2</v>
      </c>
      <c r="M41" s="253" t="s">
        <v>293</v>
      </c>
      <c r="N41" s="254" t="str">
        <f>VLOOKUP(M41,F:G,2,FALSE)</f>
        <v>STR61030035</v>
      </c>
    </row>
    <row r="42" spans="9:14" ht="15" customHeight="1">
      <c r="I42" s="269"/>
      <c r="K42" s="271" t="s">
        <v>836</v>
      </c>
      <c r="L42" s="262"/>
    </row>
  </sheetData>
  <sheetProtection formatCells="0" formatColumns="0" formatRows="0"/>
  <mergeCells count="1">
    <mergeCell ref="K11:L11"/>
  </mergeCells>
  <conditionalFormatting sqref="K41">
    <cfRule type="cellIs" dxfId="549" priority="1" stopIfTrue="1" operator="equal">
      <formula>#REF!</formula>
    </cfRule>
    <cfRule type="cellIs" dxfId="548" priority="2" stopIfTrue="1" operator="equal">
      <formula>#REF!</formula>
    </cfRule>
  </conditionalFormatting>
  <dataValidations count="2">
    <dataValidation type="list" allowBlank="1" showInputMessage="1" showErrorMessage="1" sqref="K40">
      <formula1>$AB$4</formula1>
    </dataValidation>
    <dataValidation type="list" allowBlank="1" showInputMessage="1" showErrorMessage="1" sqref="M41">
      <formula1>$F$4:$F$11</formula1>
    </dataValidation>
  </dataValidation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AutoCADLT.Drawing.19" shapeId="2111" r:id="rId4">
          <objectPr defaultSize="0" autoPict="0" r:id="rId5">
            <anchor moveWithCells="1" sizeWithCells="1">
              <from>
                <xdr:col>12</xdr:col>
                <xdr:colOff>352425</xdr:colOff>
                <xdr:row>4</xdr:row>
                <xdr:rowOff>66675</xdr:rowOff>
              </from>
              <to>
                <xdr:col>13</xdr:col>
                <xdr:colOff>1038225</xdr:colOff>
                <xdr:row>12</xdr:row>
                <xdr:rowOff>104775</xdr:rowOff>
              </to>
            </anchor>
          </objectPr>
        </oleObject>
      </mc:Choice>
      <mc:Fallback>
        <oleObject progId="AutoCADLT.Drawing.19" shapeId="2111" r:id="rId4"/>
      </mc:Fallback>
    </mc:AlternateContent>
    <mc:AlternateContent xmlns:mc="http://schemas.openxmlformats.org/markup-compatibility/2006">
      <mc:Choice Requires="x14">
        <oleObject progId="AutoCADLT.Drawing.19" shapeId="2112" r:id="rId6">
          <objectPr defaultSize="0" autoPict="0" r:id="rId5">
            <anchor moveWithCells="1" sizeWithCells="1">
              <from>
                <xdr:col>12</xdr:col>
                <xdr:colOff>352425</xdr:colOff>
                <xdr:row>16</xdr:row>
                <xdr:rowOff>66675</xdr:rowOff>
              </from>
              <to>
                <xdr:col>13</xdr:col>
                <xdr:colOff>1038225</xdr:colOff>
                <xdr:row>24</xdr:row>
                <xdr:rowOff>104775</xdr:rowOff>
              </to>
            </anchor>
          </objectPr>
        </oleObject>
      </mc:Choice>
      <mc:Fallback>
        <oleObject progId="AutoCADLT.Drawing.19" shapeId="2112" r:id="rId6"/>
      </mc:Fallback>
    </mc:AlternateContent>
    <mc:AlternateContent xmlns:mc="http://schemas.openxmlformats.org/markup-compatibility/2006">
      <mc:Choice Requires="x14">
        <oleObject progId="AutoCADLT.Drawing.19" shapeId="2115" r:id="rId7">
          <objectPr defaultSize="0" autoPict="0" r:id="rId5">
            <anchor moveWithCells="1" sizeWithCells="1">
              <from>
                <xdr:col>12</xdr:col>
                <xdr:colOff>352425</xdr:colOff>
                <xdr:row>4</xdr:row>
                <xdr:rowOff>66675</xdr:rowOff>
              </from>
              <to>
                <xdr:col>13</xdr:col>
                <xdr:colOff>1038225</xdr:colOff>
                <xdr:row>12</xdr:row>
                <xdr:rowOff>104775</xdr:rowOff>
              </to>
            </anchor>
          </objectPr>
        </oleObject>
      </mc:Choice>
      <mc:Fallback>
        <oleObject progId="AutoCADLT.Drawing.19" shapeId="2115" r:id="rId7"/>
      </mc:Fallback>
    </mc:AlternateContent>
    <mc:AlternateContent xmlns:mc="http://schemas.openxmlformats.org/markup-compatibility/2006">
      <mc:Choice Requires="x14">
        <oleObject progId="AutoCADLT.Drawing.19" shapeId="2116" r:id="rId8">
          <objectPr defaultSize="0" autoPict="0" r:id="rId5">
            <anchor moveWithCells="1" sizeWithCells="1">
              <from>
                <xdr:col>12</xdr:col>
                <xdr:colOff>352425</xdr:colOff>
                <xdr:row>16</xdr:row>
                <xdr:rowOff>66675</xdr:rowOff>
              </from>
              <to>
                <xdr:col>13</xdr:col>
                <xdr:colOff>1038225</xdr:colOff>
                <xdr:row>24</xdr:row>
                <xdr:rowOff>104775</xdr:rowOff>
              </to>
            </anchor>
          </objectPr>
        </oleObject>
      </mc:Choice>
      <mc:Fallback>
        <oleObject progId="AutoCADLT.Drawing.19" shapeId="2116" r:id="rId8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Q299"/>
  <sheetViews>
    <sheetView zoomScale="85" zoomScaleNormal="85" workbookViewId="0">
      <selection sqref="A1:C1"/>
    </sheetView>
  </sheetViews>
  <sheetFormatPr defaultColWidth="9.140625" defaultRowHeight="15"/>
  <cols>
    <col min="1" max="1" width="12.140625" style="350" customWidth="1"/>
    <col min="2" max="2" width="18.28515625" style="350" bestFit="1" customWidth="1"/>
    <col min="3" max="3" width="4.85546875" style="350" bestFit="1" customWidth="1"/>
    <col min="4" max="4" width="12.85546875" style="295" customWidth="1"/>
    <col min="5" max="5" width="12.85546875" style="293" customWidth="1"/>
    <col min="6" max="6" width="11.5703125" style="295" bestFit="1" customWidth="1"/>
    <col min="7" max="7" width="18.5703125" style="313" bestFit="1" customWidth="1"/>
    <col min="8" max="8" width="20" style="295" customWidth="1"/>
    <col min="9" max="9" width="10.5703125" style="295" customWidth="1"/>
    <col min="10" max="10" width="20" style="295" customWidth="1"/>
    <col min="11" max="11" width="10.5703125" style="293" customWidth="1"/>
    <col min="12" max="12" width="12.28515625" style="293" customWidth="1"/>
    <col min="13" max="13" width="15" style="293" customWidth="1"/>
    <col min="14" max="14" width="18.28515625" style="294" customWidth="1"/>
    <col min="15" max="15" width="10.5703125" style="295" customWidth="1"/>
    <col min="16" max="16" width="12.85546875" style="295" customWidth="1"/>
    <col min="17" max="17" width="12.140625" style="295" customWidth="1"/>
    <col min="18" max="18" width="13.28515625" style="293" customWidth="1"/>
    <col min="19" max="19" width="12.28515625" style="297" customWidth="1"/>
    <col min="20" max="20" width="9.140625" style="293" customWidth="1"/>
    <col min="21" max="21" width="12.28515625" style="297" customWidth="1"/>
    <col min="22" max="22" width="13.7109375" style="297" customWidth="1"/>
    <col min="23" max="24" width="12.28515625" style="297" customWidth="1"/>
    <col min="25" max="25" width="13.42578125" style="297" customWidth="1"/>
    <col min="26" max="26" width="13.5703125" style="297" customWidth="1"/>
    <col min="27" max="27" width="12.28515625" style="297" customWidth="1"/>
    <col min="28" max="28" width="13.140625" style="297" customWidth="1"/>
    <col min="29" max="30" width="12.28515625" style="297" customWidth="1"/>
    <col min="31" max="42" width="9.140625" style="293" customWidth="1"/>
    <col min="43" max="48" width="12.28515625" style="429" customWidth="1"/>
    <col min="49" max="49" width="13.7109375" style="293" customWidth="1"/>
    <col min="50" max="16384" width="9.140625" style="293"/>
  </cols>
  <sheetData>
    <row r="1" spans="1:52" s="110" customFormat="1" ht="15.75" thickBot="1">
      <c r="A1" s="671" t="s">
        <v>634</v>
      </c>
      <c r="B1" s="672"/>
      <c r="C1" s="673"/>
      <c r="D1" s="275" t="s">
        <v>635</v>
      </c>
      <c r="E1" s="273" t="s">
        <v>636</v>
      </c>
      <c r="F1" s="274" t="s">
        <v>637</v>
      </c>
      <c r="G1" s="353" t="s">
        <v>545</v>
      </c>
      <c r="H1" s="275" t="s">
        <v>638</v>
      </c>
      <c r="I1" s="275" t="s">
        <v>639</v>
      </c>
      <c r="J1" s="275" t="s">
        <v>640</v>
      </c>
      <c r="K1" s="273" t="s">
        <v>641</v>
      </c>
      <c r="L1" s="273" t="s">
        <v>642</v>
      </c>
      <c r="M1" s="273" t="s">
        <v>643</v>
      </c>
      <c r="N1" s="276" t="s">
        <v>644</v>
      </c>
      <c r="O1" s="275" t="s">
        <v>645</v>
      </c>
      <c r="P1" s="275" t="s">
        <v>646</v>
      </c>
      <c r="Q1" s="275" t="s">
        <v>647</v>
      </c>
      <c r="R1" s="273" t="s">
        <v>648</v>
      </c>
      <c r="S1" s="277" t="s">
        <v>649</v>
      </c>
      <c r="T1" s="273" t="s">
        <v>650</v>
      </c>
      <c r="U1" s="277" t="s">
        <v>651</v>
      </c>
      <c r="V1" s="277" t="s">
        <v>652</v>
      </c>
      <c r="W1" s="277" t="s">
        <v>653</v>
      </c>
      <c r="X1" s="277" t="s">
        <v>654</v>
      </c>
      <c r="Y1" s="277" t="s">
        <v>655</v>
      </c>
      <c r="Z1" s="277" t="s">
        <v>656</v>
      </c>
      <c r="AA1" s="277" t="s">
        <v>657</v>
      </c>
      <c r="AB1" s="277" t="s">
        <v>658</v>
      </c>
      <c r="AC1" s="277" t="s">
        <v>659</v>
      </c>
      <c r="AD1" s="277" t="s">
        <v>660</v>
      </c>
      <c r="AL1" s="110" t="s">
        <v>637</v>
      </c>
      <c r="AQ1" s="426" t="s">
        <v>740</v>
      </c>
      <c r="AR1" s="426">
        <f>MAX(ESG!C24:D25)</f>
        <v>1433</v>
      </c>
      <c r="AS1" s="426" t="s">
        <v>741</v>
      </c>
      <c r="AT1" s="426">
        <f>MIN(ESG!C24:D25)</f>
        <v>559</v>
      </c>
      <c r="AU1" s="426"/>
      <c r="AV1" s="426"/>
    </row>
    <row r="2" spans="1:52" s="110" customFormat="1" ht="15.75" customHeight="1" thickBot="1">
      <c r="A2" s="278"/>
      <c r="B2" s="279"/>
      <c r="C2" s="280"/>
      <c r="D2" s="262" t="s">
        <v>661</v>
      </c>
      <c r="E2" s="110" t="s">
        <v>661</v>
      </c>
      <c r="F2" s="262" t="s">
        <v>661</v>
      </c>
      <c r="G2" s="354" t="s">
        <v>662</v>
      </c>
      <c r="H2" s="262" t="s">
        <v>661</v>
      </c>
      <c r="I2" s="262" t="s">
        <v>661</v>
      </c>
      <c r="J2" s="262" t="s">
        <v>661</v>
      </c>
      <c r="K2" s="110" t="s">
        <v>661</v>
      </c>
      <c r="L2" s="110" t="s">
        <v>661</v>
      </c>
      <c r="M2" s="281" t="s">
        <v>663</v>
      </c>
      <c r="N2" s="282" t="s">
        <v>663</v>
      </c>
      <c r="O2" s="262" t="s">
        <v>661</v>
      </c>
      <c r="P2" s="262" t="s">
        <v>661</v>
      </c>
      <c r="Q2" s="262" t="s">
        <v>661</v>
      </c>
      <c r="R2" s="110" t="s">
        <v>661</v>
      </c>
      <c r="S2" s="277" t="s">
        <v>664</v>
      </c>
      <c r="T2" s="110" t="s">
        <v>661</v>
      </c>
      <c r="U2" s="277" t="s">
        <v>664</v>
      </c>
      <c r="V2" s="277" t="s">
        <v>664</v>
      </c>
      <c r="W2" s="277" t="s">
        <v>664</v>
      </c>
      <c r="X2" s="277" t="s">
        <v>664</v>
      </c>
      <c r="Y2" s="277" t="s">
        <v>664</v>
      </c>
      <c r="Z2" s="277" t="s">
        <v>664</v>
      </c>
      <c r="AA2" s="277" t="s">
        <v>664</v>
      </c>
      <c r="AB2" s="277" t="s">
        <v>664</v>
      </c>
      <c r="AC2" s="277" t="s">
        <v>664</v>
      </c>
      <c r="AD2" s="277" t="s">
        <v>664</v>
      </c>
      <c r="AL2" s="110" t="s">
        <v>661</v>
      </c>
      <c r="AQ2" s="426"/>
      <c r="AR2" s="426"/>
      <c r="AS2" s="426"/>
      <c r="AT2" s="426"/>
      <c r="AU2" s="426"/>
      <c r="AV2" s="426"/>
    </row>
    <row r="3" spans="1:52" s="262" customFormat="1" ht="15.75" customHeight="1">
      <c r="A3" s="359"/>
      <c r="B3" s="360" t="s">
        <v>665</v>
      </c>
      <c r="C3" s="361"/>
      <c r="D3" s="355" t="str">
        <f>IF(C3&lt;&gt;"",CONCATENATE("L",C3),"")</f>
        <v/>
      </c>
      <c r="G3" s="380"/>
      <c r="M3" s="362"/>
      <c r="N3" s="282"/>
      <c r="S3" s="363"/>
      <c r="U3" s="363"/>
      <c r="V3" s="363"/>
      <c r="W3" s="363"/>
      <c r="X3" s="363"/>
      <c r="Y3" s="363"/>
      <c r="Z3" s="363"/>
      <c r="AA3" s="363"/>
      <c r="AB3" s="363"/>
      <c r="AC3" s="363"/>
      <c r="AD3" s="363"/>
      <c r="AN3" s="394" t="str">
        <f>IF(G3&lt;&gt;"","L60","")</f>
        <v/>
      </c>
      <c r="AO3" s="289"/>
      <c r="AP3" s="395" t="str">
        <f>IF(AN3&lt;&gt;"",AN3&amp;", "&amp;AO3,"")</f>
        <v/>
      </c>
      <c r="AQ3" s="427"/>
      <c r="AR3" s="427"/>
      <c r="AS3" s="427"/>
      <c r="AT3" s="427"/>
      <c r="AU3" s="427"/>
      <c r="AV3" s="427"/>
    </row>
    <row r="4" spans="1:52" s="289" customFormat="1" ht="15.75" customHeight="1">
      <c r="A4" s="674" t="s">
        <v>81</v>
      </c>
      <c r="B4" s="364" t="s">
        <v>666</v>
      </c>
      <c r="C4" s="365" t="s">
        <v>140</v>
      </c>
      <c r="D4" s="289" t="str">
        <f>$D$3</f>
        <v/>
      </c>
      <c r="E4" s="366" t="str">
        <f>IF(UPPER(G4)="X","V1","")</f>
        <v/>
      </c>
      <c r="F4" s="288" t="s">
        <v>139</v>
      </c>
      <c r="G4" s="377"/>
      <c r="H4" s="289" t="s">
        <v>667</v>
      </c>
      <c r="I4" s="289">
        <v>10</v>
      </c>
      <c r="J4" s="289" t="str">
        <f>IFERROR(IF(VALUE(MID(D3,2,2))&lt;9,"$HLB1-L0"&amp;(RIGHT(D3,1)+1),"$HLB1-L"&amp;(MID(D3,2,2)+1)),"Uzupełnij poziom")</f>
        <v>Uzupełnij poziom</v>
      </c>
      <c r="L4" s="289" t="s">
        <v>668</v>
      </c>
      <c r="M4" s="367"/>
      <c r="N4" s="290">
        <f>IF(T7&lt;&gt;0,ROUND(((100-T7)/T7)*100,2),IF(J4&lt;&gt;"",T6,""))</f>
        <v>0</v>
      </c>
      <c r="S4" s="368"/>
      <c r="U4" s="368"/>
      <c r="V4" s="368"/>
      <c r="W4" s="368"/>
      <c r="X4" s="368"/>
      <c r="Y4" s="368"/>
      <c r="Z4" s="368"/>
      <c r="AA4" s="368"/>
      <c r="AB4" s="368"/>
      <c r="AC4" s="368"/>
      <c r="AD4" s="368"/>
      <c r="AE4" s="286"/>
      <c r="AL4" s="289" t="s">
        <v>139</v>
      </c>
      <c r="AM4" s="289" t="s">
        <v>140</v>
      </c>
      <c r="AQ4" s="332"/>
      <c r="AR4" s="332"/>
      <c r="AS4" s="332"/>
      <c r="AT4" s="332"/>
      <c r="AU4" s="332"/>
      <c r="AV4" s="332"/>
    </row>
    <row r="5" spans="1:52" s="295" customFormat="1" ht="15.75" customHeight="1">
      <c r="A5" s="675"/>
      <c r="B5" s="369" t="s">
        <v>666</v>
      </c>
      <c r="C5" s="370" t="s">
        <v>140</v>
      </c>
      <c r="D5" s="295" t="str">
        <f>$D$3</f>
        <v/>
      </c>
      <c r="E5" s="295" t="str">
        <f>IF(E4&lt;&gt;"",E4,"")</f>
        <v/>
      </c>
      <c r="F5" s="294" t="s">
        <v>139</v>
      </c>
      <c r="G5" s="378" t="str">
        <f>IF(G4="X","X","")</f>
        <v/>
      </c>
      <c r="H5" s="295" t="s">
        <v>667</v>
      </c>
      <c r="I5" s="295">
        <v>20</v>
      </c>
      <c r="L5" s="295" t="s">
        <v>668</v>
      </c>
      <c r="M5" s="371" t="str">
        <f>IF(T7&lt;&gt;0,ROUND(((100-T7)/T7)*100,2),IF(J5&lt;&gt;"",T5,""))</f>
        <v/>
      </c>
      <c r="N5" s="296" t="str">
        <f>IF(T7&lt;&gt;0,ROUND(((100-T7)/T7)*100,2),IF(J5&lt;&gt;"",T6,""))</f>
        <v/>
      </c>
      <c r="S5" s="372"/>
      <c r="U5" s="372"/>
      <c r="V5" s="372"/>
      <c r="W5" s="372"/>
      <c r="X5" s="372"/>
      <c r="Y5" s="372"/>
      <c r="Z5" s="372"/>
      <c r="AA5" s="372"/>
      <c r="AB5" s="372"/>
      <c r="AC5" s="372"/>
      <c r="AD5" s="372"/>
      <c r="AL5" s="295" t="s">
        <v>139</v>
      </c>
      <c r="AM5" s="295" t="s">
        <v>140</v>
      </c>
      <c r="AQ5" s="333"/>
      <c r="AR5" s="333"/>
      <c r="AS5" s="333"/>
      <c r="AT5" s="333"/>
      <c r="AU5" s="333"/>
      <c r="AV5" s="333"/>
    </row>
    <row r="6" spans="1:52" s="295" customFormat="1" ht="15.75" customHeight="1">
      <c r="A6" s="675"/>
      <c r="B6" s="369" t="s">
        <v>666</v>
      </c>
      <c r="C6" s="370" t="s">
        <v>140</v>
      </c>
      <c r="D6" s="295" t="str">
        <f>$D$3</f>
        <v/>
      </c>
      <c r="E6" s="295" t="str">
        <f>IF(E4&lt;&gt;"",E4,"")</f>
        <v/>
      </c>
      <c r="F6" s="294" t="s">
        <v>139</v>
      </c>
      <c r="G6" s="378" t="str">
        <f>IF(G5="X","X","")</f>
        <v/>
      </c>
      <c r="H6" s="295" t="s">
        <v>667</v>
      </c>
      <c r="I6" s="295">
        <v>30</v>
      </c>
      <c r="L6" s="295" t="s">
        <v>668</v>
      </c>
      <c r="M6" s="371" t="str">
        <f>IF(T7&lt;&gt;0,ROUND(((100-T7)/T7)*100,2),IF(J6&lt;&gt;"",T6,""))</f>
        <v/>
      </c>
      <c r="N6" s="296" t="str">
        <f>IF(T7&lt;&gt;0,ROUND(((100-T7)/T7)*100,2),IF(J6&lt;&gt;"",T6,""))</f>
        <v/>
      </c>
      <c r="S6" s="372"/>
      <c r="U6" s="372"/>
      <c r="V6" s="372"/>
      <c r="W6" s="372"/>
      <c r="X6" s="372"/>
      <c r="Y6" s="372"/>
      <c r="Z6" s="372"/>
      <c r="AA6" s="372"/>
      <c r="AB6" s="372"/>
      <c r="AC6" s="372"/>
      <c r="AD6" s="372"/>
      <c r="AL6" s="295" t="s">
        <v>139</v>
      </c>
      <c r="AM6" s="295" t="s">
        <v>140</v>
      </c>
      <c r="AQ6" s="333"/>
      <c r="AR6" s="333"/>
      <c r="AS6" s="333"/>
      <c r="AT6" s="333"/>
      <c r="AU6" s="333"/>
      <c r="AV6" s="333"/>
    </row>
    <row r="7" spans="1:52" s="301" customFormat="1" ht="15.75" customHeight="1" thickBot="1">
      <c r="A7" s="676"/>
      <c r="B7" s="373" t="s">
        <v>666</v>
      </c>
      <c r="C7" s="374" t="s">
        <v>140</v>
      </c>
      <c r="D7" s="301" t="str">
        <f>$D$3</f>
        <v/>
      </c>
      <c r="E7" s="301" t="str">
        <f>IF(E4&lt;&gt;"",E4,"")</f>
        <v/>
      </c>
      <c r="F7" s="300" t="s">
        <v>139</v>
      </c>
      <c r="G7" s="379" t="str">
        <f>IF(G6="X","X","")</f>
        <v/>
      </c>
      <c r="H7" s="301" t="s">
        <v>669</v>
      </c>
      <c r="M7" s="375"/>
      <c r="N7" s="302"/>
      <c r="O7" s="303" t="s">
        <v>670</v>
      </c>
      <c r="P7" s="300" t="s">
        <v>139</v>
      </c>
      <c r="Q7" s="303">
        <f>$Q$11</f>
        <v>0</v>
      </c>
      <c r="R7" s="303"/>
      <c r="S7" s="376"/>
      <c r="T7" s="303"/>
      <c r="U7" s="376"/>
      <c r="V7" s="376"/>
      <c r="W7" s="376"/>
      <c r="X7" s="376"/>
      <c r="Y7" s="376"/>
      <c r="Z7" s="376"/>
      <c r="AA7" s="376"/>
      <c r="AB7" s="376"/>
      <c r="AC7" s="376"/>
      <c r="AD7" s="376"/>
      <c r="AL7" s="301" t="s">
        <v>139</v>
      </c>
      <c r="AM7" s="301" t="s">
        <v>140</v>
      </c>
      <c r="AQ7" s="428">
        <v>3000</v>
      </c>
      <c r="AR7" s="428">
        <v>2800</v>
      </c>
      <c r="AS7" s="428">
        <v>100</v>
      </c>
      <c r="AT7" s="428">
        <v>100</v>
      </c>
      <c r="AU7" s="428"/>
      <c r="AV7" s="480" t="str">
        <f>IF(AND(AR$1&lt;&gt;0,AT$1&lt;&gt;0),IF(AND($AR$1&lt;=AQ7,$AT$1&lt;=AR7,$AR$1&gt;=AS7,$AT$1&gt;=AT7),"OK","NOK"),"")</f>
        <v>OK</v>
      </c>
      <c r="AW7" s="299" t="str">
        <f t="shared" ref="AW7" si="0">AL7</f>
        <v>LUT1</v>
      </c>
      <c r="AX7" s="299" t="str">
        <f t="shared" ref="AX7" si="1">IF(AV7="NOK",AW7&amp;",","")</f>
        <v/>
      </c>
      <c r="AY7" s="319">
        <v>7</v>
      </c>
      <c r="AZ7" s="319" t="str">
        <f>"AX"&amp;AY7&amp;";"</f>
        <v>AX7;</v>
      </c>
    </row>
    <row r="8" spans="1:52">
      <c r="A8" s="283"/>
      <c r="B8" s="284" t="s">
        <v>665</v>
      </c>
      <c r="C8" s="356"/>
      <c r="D8" s="355" t="str">
        <f>IF(C8&lt;&gt;"",CONCATENATE("L",C8),"")</f>
        <v/>
      </c>
      <c r="G8" s="329"/>
      <c r="M8" s="306"/>
      <c r="N8" s="307"/>
      <c r="AF8" s="293">
        <f>MAX(AF9:AF29)</f>
        <v>0</v>
      </c>
      <c r="AG8" s="293">
        <f>_xlfn.IFNA(VLOOKUP($G$8,F9:AF29,27,FALSE),0)</f>
        <v>0</v>
      </c>
      <c r="AN8" s="394" t="str">
        <f>IF(G8&lt;&gt;"",VLOOKUP(G8,$AL$4:$AM$274,2,FALSE),"")</f>
        <v/>
      </c>
      <c r="AO8" s="289"/>
      <c r="AP8" s="395" t="str">
        <f>IF(AN8&lt;&gt;"",AN8,"")</f>
        <v/>
      </c>
    </row>
    <row r="9" spans="1:52" s="286" customFormat="1" ht="15" customHeight="1">
      <c r="A9" s="665" t="s">
        <v>79</v>
      </c>
      <c r="B9" s="308" t="s">
        <v>315</v>
      </c>
      <c r="C9" s="285" t="s">
        <v>314</v>
      </c>
      <c r="D9" s="289" t="str">
        <f t="shared" ref="D9:D29" si="2">$D$8</f>
        <v/>
      </c>
      <c r="E9" s="287" t="str">
        <f>IFERROR(IF($G$8&lt;&gt;"",IF(G9="x",IF(F9=$G$8,"V1",IF(AF9=1,"V2",IF(AND(AF9=$AF$8,AF9&lt;&gt;1),"V"&amp;$AG$8+1,"V"&amp;AF9+1))),""),""),"Wprowadź urządzenie bazowe")</f>
        <v/>
      </c>
      <c r="F9" s="289" t="s">
        <v>313</v>
      </c>
      <c r="G9" s="309"/>
      <c r="H9" s="289" t="s">
        <v>667</v>
      </c>
      <c r="I9" s="289">
        <v>10</v>
      </c>
      <c r="J9" s="286" t="str">
        <f>IFERROR(IF(VALUE(MID(D8,2,2))&lt;9,"$HLB1-L0"&amp;(RIGHT(D8,1)+1),"$HLB1-L"&amp;(MID(D8,2,2)+1)),"Uzupełnij poziom")</f>
        <v>Uzupełnij poziom</v>
      </c>
      <c r="K9" s="286">
        <v>1000</v>
      </c>
      <c r="L9" s="286" t="s">
        <v>668</v>
      </c>
      <c r="M9" s="287"/>
      <c r="N9" s="310">
        <f>IF(T11&lt;&gt;0,ROUND(((100-T11)/T11)*100,2),IF(J9&lt;&gt;"",T9,""))</f>
        <v>0</v>
      </c>
      <c r="O9" s="289"/>
      <c r="P9" s="289"/>
      <c r="Q9" s="289"/>
      <c r="S9" s="291"/>
      <c r="U9" s="291"/>
      <c r="V9" s="291"/>
      <c r="W9" s="291"/>
      <c r="X9" s="291"/>
      <c r="Y9" s="291"/>
      <c r="Z9" s="291"/>
      <c r="AA9" s="291"/>
      <c r="AB9" s="291"/>
      <c r="AC9" s="291"/>
      <c r="AD9" s="291"/>
      <c r="AE9" s="286" t="str">
        <f>UPPER(G9)</f>
        <v/>
      </c>
      <c r="AF9" s="286">
        <f>COUNTIF($AE$9:AE11,"X")</f>
        <v>0</v>
      </c>
      <c r="AL9" s="286" t="s">
        <v>313</v>
      </c>
      <c r="AM9" s="286" t="s">
        <v>314</v>
      </c>
      <c r="AQ9" s="430">
        <v>2500</v>
      </c>
      <c r="AR9" s="430">
        <v>1700</v>
      </c>
      <c r="AS9" s="430">
        <v>550</v>
      </c>
      <c r="AT9" s="430">
        <v>300</v>
      </c>
      <c r="AU9" s="430"/>
      <c r="AV9" s="430"/>
    </row>
    <row r="10" spans="1:52" ht="15" customHeight="1">
      <c r="A10" s="666"/>
      <c r="B10" s="311" t="s">
        <v>315</v>
      </c>
      <c r="C10" s="292" t="s">
        <v>314</v>
      </c>
      <c r="D10" s="295" t="str">
        <f t="shared" si="2"/>
        <v/>
      </c>
      <c r="E10" s="312" t="str">
        <f>IF(G10&lt;&gt;"",E9,"")</f>
        <v/>
      </c>
      <c r="F10" s="295" t="s">
        <v>313</v>
      </c>
      <c r="G10" s="313" t="str">
        <f>IF(AND(G9&lt;&gt;"",J10&lt;&gt;""),G9,"")</f>
        <v/>
      </c>
      <c r="H10" s="295" t="s">
        <v>667</v>
      </c>
      <c r="I10" s="295">
        <v>20</v>
      </c>
      <c r="J10" s="295" t="str">
        <f>IF('DANE CONTROLLINGU'!M41&lt;&gt;"",'DANE CONTROLLINGU'!N41,"")</f>
        <v>STR61030035</v>
      </c>
      <c r="K10" s="295">
        <f>ROUND('DANE CONTROLLINGU'!L41*1000,3)</f>
        <v>2000</v>
      </c>
      <c r="L10" s="295" t="s">
        <v>672</v>
      </c>
      <c r="M10" s="341">
        <f>IF(T11&lt;&gt;0,ROUND(((100-T11)/T11)*100,2),IF(J10&lt;&gt;"",T10,""))</f>
        <v>0</v>
      </c>
      <c r="N10" s="314">
        <f>IF(T11&lt;&gt;0,ROUND(((100-T11)/T11)*100,2),IF(J10&lt;&gt;"",T10,""))</f>
        <v>0</v>
      </c>
      <c r="AL10" s="293" t="s">
        <v>313</v>
      </c>
      <c r="AM10" s="293" t="s">
        <v>314</v>
      </c>
      <c r="AQ10" s="429">
        <v>2500</v>
      </c>
      <c r="AR10" s="429">
        <v>1700</v>
      </c>
      <c r="AS10" s="429">
        <v>550</v>
      </c>
      <c r="AT10" s="429">
        <v>300</v>
      </c>
    </row>
    <row r="11" spans="1:52" s="319" customFormat="1" ht="15.75" thickBot="1">
      <c r="A11" s="666"/>
      <c r="B11" s="315" t="s">
        <v>315</v>
      </c>
      <c r="C11" s="316" t="s">
        <v>314</v>
      </c>
      <c r="D11" s="317" t="str">
        <f t="shared" si="2"/>
        <v/>
      </c>
      <c r="E11" s="110" t="str">
        <f>IF(E9&lt;&gt;"",E9,"")</f>
        <v/>
      </c>
      <c r="F11" s="317" t="s">
        <v>313</v>
      </c>
      <c r="G11" s="318" t="str">
        <f>IF(G9="X","X","")</f>
        <v/>
      </c>
      <c r="H11" s="317" t="s">
        <v>669</v>
      </c>
      <c r="I11" s="317"/>
      <c r="J11" s="317"/>
      <c r="N11" s="314"/>
      <c r="O11" s="320" t="s">
        <v>670</v>
      </c>
      <c r="P11" s="321" t="s">
        <v>313</v>
      </c>
      <c r="Q11" s="322"/>
      <c r="R11" s="323"/>
      <c r="S11" s="324"/>
      <c r="T11" s="323"/>
      <c r="U11" s="324"/>
      <c r="V11" s="324"/>
      <c r="W11" s="325"/>
      <c r="X11" s="325"/>
      <c r="Y11" s="324"/>
      <c r="Z11" s="325"/>
      <c r="AA11" s="325"/>
      <c r="AB11" s="325"/>
      <c r="AC11" s="324">
        <v>0</v>
      </c>
      <c r="AD11" s="324">
        <v>0</v>
      </c>
      <c r="AL11" s="319" t="s">
        <v>313</v>
      </c>
      <c r="AM11" s="319" t="s">
        <v>314</v>
      </c>
      <c r="AQ11" s="431">
        <v>2500</v>
      </c>
      <c r="AR11" s="431">
        <v>1700</v>
      </c>
      <c r="AS11" s="431">
        <v>550</v>
      </c>
      <c r="AT11" s="431">
        <v>300</v>
      </c>
      <c r="AU11" s="431"/>
      <c r="AV11" s="480" t="str">
        <f>IF(AND(AR$1&lt;&gt;0,AT$1&lt;&gt;0),IF(AND($AR$1&lt;=AQ11,$AT$1&lt;=AR11,$AR$1&gt;=AS11,$AT$1&gt;=AT11),"OK","NOK"),"")</f>
        <v>OK</v>
      </c>
      <c r="AW11" s="299" t="str">
        <f t="shared" ref="AW11:AW28" si="3">AL11</f>
        <v>LIS1</v>
      </c>
      <c r="AX11" s="299" t="str">
        <f t="shared" ref="AX11:AX28" si="4">IF(AV11="NOK",AW11&amp;",","")</f>
        <v/>
      </c>
      <c r="AY11" s="319">
        <v>11</v>
      </c>
      <c r="AZ11" s="319" t="str">
        <f>"AX"&amp;AY11&amp;";"</f>
        <v>AX11;</v>
      </c>
    </row>
    <row r="12" spans="1:52" s="286" customFormat="1" ht="15.75" thickBot="1">
      <c r="A12" s="666"/>
      <c r="B12" s="308" t="s">
        <v>568</v>
      </c>
      <c r="C12" s="285" t="s">
        <v>138</v>
      </c>
      <c r="D12" s="289" t="str">
        <f t="shared" si="2"/>
        <v/>
      </c>
      <c r="E12" s="287" t="str">
        <f>IFERROR(IF($G$8&lt;&gt;"",IF(G12="x",IF(F12=$G$8,"V1",IF(AF12=1,"V2",IF(AND(AF12=$AF$8,AF12&lt;&gt;1),"V"&amp;$AG$8+1,"V"&amp;AF12+1))),""),""),"Wprowadź urządzenie bazowe")</f>
        <v/>
      </c>
      <c r="F12" s="262" t="s">
        <v>137</v>
      </c>
      <c r="G12" s="309"/>
      <c r="H12" s="262" t="s">
        <v>667</v>
      </c>
      <c r="I12" s="262">
        <v>10</v>
      </c>
      <c r="J12" s="110" t="str">
        <f>IFERROR(IF(VALUE(MID(D8,2,2))&lt;9,"$HLB1-L0"&amp;(RIGHT(D8,1)+1),"$HLB1-L"&amp;(MID(D8,2,2)+1)),"Uzupełnij poziom")</f>
        <v>Uzupełnij poziom</v>
      </c>
      <c r="K12" s="110">
        <v>1000</v>
      </c>
      <c r="L12" s="110" t="s">
        <v>668</v>
      </c>
      <c r="M12" s="326"/>
      <c r="N12" s="310">
        <f>IF(T14&lt;&gt;0,ROUND(((100-T14)/T14)*100,2),IF(J12&lt;&gt;"",T12,""))</f>
        <v>0</v>
      </c>
      <c r="O12" s="327"/>
      <c r="P12" s="327"/>
      <c r="Q12" s="328"/>
      <c r="R12" s="329"/>
      <c r="S12" s="291"/>
      <c r="T12" s="329"/>
      <c r="U12" s="291"/>
      <c r="V12" s="291"/>
      <c r="W12" s="291"/>
      <c r="X12" s="291"/>
      <c r="Y12" s="291"/>
      <c r="Z12" s="291"/>
      <c r="AA12" s="291"/>
      <c r="AB12" s="291"/>
      <c r="AC12" s="291"/>
      <c r="AD12" s="291"/>
      <c r="AE12" s="286" t="str">
        <f>UPPER(G12)</f>
        <v/>
      </c>
      <c r="AF12" s="286">
        <f>COUNTIF($AE$9:AE14,"X")</f>
        <v>0</v>
      </c>
      <c r="AL12" s="286" t="s">
        <v>137</v>
      </c>
      <c r="AM12" s="286" t="s">
        <v>138</v>
      </c>
      <c r="AQ12" s="430">
        <v>3400</v>
      </c>
      <c r="AR12" s="430">
        <v>2400</v>
      </c>
      <c r="AS12" s="430">
        <v>170</v>
      </c>
      <c r="AT12" s="430">
        <v>150</v>
      </c>
      <c r="AU12" s="430"/>
      <c r="AV12" s="430"/>
      <c r="AW12" s="299" t="str">
        <f t="shared" si="3"/>
        <v>TG01</v>
      </c>
      <c r="AX12" s="299" t="str">
        <f t="shared" si="4"/>
        <v/>
      </c>
      <c r="AY12" s="286">
        <f>AY11+1</f>
        <v>12</v>
      </c>
      <c r="AZ12" s="319" t="str">
        <f t="shared" ref="AZ12:AZ75" si="5">"AX"&amp;AY12&amp;";"</f>
        <v>AX12;</v>
      </c>
    </row>
    <row r="13" spans="1:52" ht="15.75" thickBot="1">
      <c r="A13" s="666"/>
      <c r="B13" s="311" t="s">
        <v>568</v>
      </c>
      <c r="C13" s="292" t="s">
        <v>138</v>
      </c>
      <c r="D13" s="295" t="str">
        <f t="shared" si="2"/>
        <v/>
      </c>
      <c r="E13" s="312" t="str">
        <f>IF(G13&lt;&gt;"",E12,"")</f>
        <v/>
      </c>
      <c r="F13" s="295" t="s">
        <v>137</v>
      </c>
      <c r="G13" s="313" t="str">
        <f>IF(AND(G12&lt;&gt;"",J13&lt;&gt;""),G12,"")</f>
        <v/>
      </c>
      <c r="H13" s="295" t="s">
        <v>667</v>
      </c>
      <c r="I13" s="295">
        <v>20</v>
      </c>
      <c r="J13" s="295" t="str">
        <f>IF('DANE CONTROLLINGU'!M41&lt;&gt;"",'DANE CONTROLLINGU'!N41,"")</f>
        <v>STR61030035</v>
      </c>
      <c r="K13" s="295">
        <f>ROUND('DANE CONTROLLINGU'!L41*1000,3)</f>
        <v>2000</v>
      </c>
      <c r="L13" s="295" t="s">
        <v>672</v>
      </c>
      <c r="M13" s="341">
        <f>IF(T14&lt;&gt;0,ROUND(((100-T14)/T14)*100,2),IF(J13&lt;&gt;"",T13,""))</f>
        <v>0</v>
      </c>
      <c r="N13" s="314">
        <f>IF(T14&lt;&gt;0,ROUND(((100-T14)/T14)*100,2),IF(J13&lt;&gt;"",T13,""))</f>
        <v>0</v>
      </c>
      <c r="O13" s="327"/>
      <c r="P13" s="327"/>
      <c r="Q13" s="330"/>
      <c r="R13" s="331"/>
      <c r="T13" s="331"/>
      <c r="AL13" s="293" t="s">
        <v>137</v>
      </c>
      <c r="AM13" s="293" t="s">
        <v>138</v>
      </c>
      <c r="AQ13" s="429">
        <v>3400</v>
      </c>
      <c r="AR13" s="429">
        <v>2400</v>
      </c>
      <c r="AS13" s="429">
        <v>170</v>
      </c>
      <c r="AT13" s="429">
        <v>150</v>
      </c>
      <c r="AW13" s="299" t="str">
        <f t="shared" si="3"/>
        <v>TG01</v>
      </c>
      <c r="AX13" s="299" t="str">
        <f t="shared" si="4"/>
        <v/>
      </c>
      <c r="AY13" s="286">
        <f t="shared" ref="AY13:AY76" si="6">AY12+1</f>
        <v>13</v>
      </c>
      <c r="AZ13" s="319" t="str">
        <f t="shared" si="5"/>
        <v>AX13;</v>
      </c>
    </row>
    <row r="14" spans="1:52" s="319" customFormat="1" ht="15.75" thickBot="1">
      <c r="A14" s="666"/>
      <c r="B14" s="315" t="s">
        <v>568</v>
      </c>
      <c r="C14" s="316" t="s">
        <v>138</v>
      </c>
      <c r="D14" s="317" t="str">
        <f t="shared" si="2"/>
        <v/>
      </c>
      <c r="E14" s="110" t="str">
        <f>IF(E12&lt;&gt;"",E12,"")</f>
        <v/>
      </c>
      <c r="F14" s="262" t="s">
        <v>137</v>
      </c>
      <c r="G14" s="318" t="str">
        <f>IF(G12="X","X","")</f>
        <v/>
      </c>
      <c r="H14" s="262" t="s">
        <v>669</v>
      </c>
      <c r="I14" s="262"/>
      <c r="J14" s="262"/>
      <c r="K14" s="110"/>
      <c r="L14" s="110"/>
      <c r="M14" s="110"/>
      <c r="N14" s="314"/>
      <c r="O14" s="327" t="s">
        <v>670</v>
      </c>
      <c r="P14" s="262" t="s">
        <v>137</v>
      </c>
      <c r="Q14" s="320">
        <f>$Q$11</f>
        <v>0</v>
      </c>
      <c r="R14" s="323"/>
      <c r="S14" s="324"/>
      <c r="T14" s="323"/>
      <c r="U14" s="324"/>
      <c r="V14" s="324"/>
      <c r="W14" s="324"/>
      <c r="X14" s="324"/>
      <c r="Y14" s="324"/>
      <c r="Z14" s="324"/>
      <c r="AA14" s="324"/>
      <c r="AB14" s="324"/>
      <c r="AC14" s="324"/>
      <c r="AD14" s="324"/>
      <c r="AL14" s="319" t="s">
        <v>137</v>
      </c>
      <c r="AM14" s="319" t="s">
        <v>138</v>
      </c>
      <c r="AQ14" s="431">
        <v>3400</v>
      </c>
      <c r="AR14" s="431">
        <v>2400</v>
      </c>
      <c r="AS14" s="431">
        <v>170</v>
      </c>
      <c r="AT14" s="431">
        <v>150</v>
      </c>
      <c r="AU14" s="431"/>
      <c r="AV14" s="480" t="str">
        <f>IF(AND(AR$1&lt;&gt;0,AT$1&lt;&gt;0),IF(AND($AR$1&lt;=AQ14,$AT$1&lt;=AR14,$AR$1&gt;=AS14,$AT$1&gt;=AT14),"OK","NOK"),"")</f>
        <v>OK</v>
      </c>
      <c r="AW14" s="299" t="str">
        <f t="shared" si="3"/>
        <v>TG01</v>
      </c>
      <c r="AX14" s="299" t="str">
        <f t="shared" si="4"/>
        <v/>
      </c>
      <c r="AY14" s="286">
        <f t="shared" si="6"/>
        <v>14</v>
      </c>
      <c r="AZ14" s="319" t="str">
        <f t="shared" si="5"/>
        <v>AX14;</v>
      </c>
    </row>
    <row r="15" spans="1:52" s="286" customFormat="1" ht="15.75" thickBot="1">
      <c r="A15" s="666"/>
      <c r="B15" s="308" t="s">
        <v>560</v>
      </c>
      <c r="C15" s="285" t="s">
        <v>166</v>
      </c>
      <c r="D15" s="289" t="str">
        <f t="shared" si="2"/>
        <v/>
      </c>
      <c r="E15" s="287" t="str">
        <f>IFERROR(IF($G$8&lt;&gt;"",IF(G15="x",IF(F15=$G$8,"V1",IF(AF15=1,"V2",IF(AND(AF15=$AF$8,AF15&lt;&gt;1),"V"&amp;$AG$8+1,"V"&amp;AF15+1))),""),""),"Wprowadź urządzenie bazowe")</f>
        <v/>
      </c>
      <c r="F15" s="332" t="s">
        <v>165</v>
      </c>
      <c r="G15" s="309"/>
      <c r="H15" s="289" t="s">
        <v>667</v>
      </c>
      <c r="I15" s="289">
        <v>10</v>
      </c>
      <c r="J15" s="286" t="str">
        <f>IFERROR(IF(VALUE(MID(D8,2,2))&lt;9,"$HLB1-L0"&amp;(RIGHT(D8,1)+1),"$HLB1-L"&amp;(MID(D8,2,2)+1)),"Uzupełnij poziom")</f>
        <v>Uzupełnij poziom</v>
      </c>
      <c r="K15" s="286">
        <v>1000</v>
      </c>
      <c r="L15" s="286" t="s">
        <v>668</v>
      </c>
      <c r="M15" s="287"/>
      <c r="N15" s="310">
        <f>IF(T17&lt;&gt;0,ROUND(((100-T17)/T17)*100,2),IF(J15&lt;&gt;"",T15,""))</f>
        <v>0</v>
      </c>
      <c r="O15" s="289"/>
      <c r="P15" s="289"/>
      <c r="Q15" s="289"/>
      <c r="S15" s="291"/>
      <c r="U15" s="291"/>
      <c r="V15" s="291"/>
      <c r="W15" s="291"/>
      <c r="X15" s="291"/>
      <c r="Y15" s="291"/>
      <c r="Z15" s="291"/>
      <c r="AA15" s="291"/>
      <c r="AB15" s="291"/>
      <c r="AC15" s="291"/>
      <c r="AD15" s="291"/>
      <c r="AE15" s="286" t="str">
        <f>UPPER(G15)</f>
        <v/>
      </c>
      <c r="AF15" s="286">
        <f>COUNTIF($AE$9:AE17,"X")</f>
        <v>0</v>
      </c>
      <c r="AL15" s="286" t="s">
        <v>165</v>
      </c>
      <c r="AM15" s="286" t="s">
        <v>166</v>
      </c>
      <c r="AQ15" s="430">
        <v>3400</v>
      </c>
      <c r="AR15" s="430">
        <v>2400</v>
      </c>
      <c r="AS15" s="430">
        <v>170</v>
      </c>
      <c r="AT15" s="430">
        <v>150</v>
      </c>
      <c r="AU15" s="430"/>
      <c r="AV15" s="430"/>
      <c r="AW15" s="299" t="str">
        <f t="shared" si="3"/>
        <v>TG02</v>
      </c>
      <c r="AX15" s="299" t="str">
        <f t="shared" si="4"/>
        <v/>
      </c>
      <c r="AY15" s="286">
        <f t="shared" si="6"/>
        <v>15</v>
      </c>
      <c r="AZ15" s="319" t="str">
        <f t="shared" si="5"/>
        <v>AX15;</v>
      </c>
    </row>
    <row r="16" spans="1:52" ht="15.75" thickBot="1">
      <c r="A16" s="666"/>
      <c r="B16" s="311" t="s">
        <v>560</v>
      </c>
      <c r="C16" s="292" t="s">
        <v>166</v>
      </c>
      <c r="D16" s="295" t="str">
        <f t="shared" si="2"/>
        <v/>
      </c>
      <c r="E16" s="312" t="str">
        <f>IF(G16&lt;&gt;"",E15,"")</f>
        <v/>
      </c>
      <c r="F16" s="333" t="s">
        <v>165</v>
      </c>
      <c r="G16" s="313" t="str">
        <f>IF(AND(G15&lt;&gt;"",J16&lt;&gt;""),G15,"")</f>
        <v/>
      </c>
      <c r="H16" s="333" t="s">
        <v>667</v>
      </c>
      <c r="I16" s="333">
        <v>20</v>
      </c>
      <c r="J16" s="295" t="str">
        <f>IF('DANE CONTROLLINGU'!M41&lt;&gt;"",'DANE CONTROLLINGU'!N41,"")</f>
        <v>STR61030035</v>
      </c>
      <c r="K16" s="295">
        <f>ROUND('DANE CONTROLLINGU'!L41*1000,3)</f>
        <v>2000</v>
      </c>
      <c r="L16" s="295" t="s">
        <v>672</v>
      </c>
      <c r="M16" s="341">
        <f>IF(T17&lt;&gt;0,ROUND(((100-T17)/T17)*100,2),IF(J16&lt;&gt;"",T16,""))</f>
        <v>0</v>
      </c>
      <c r="N16" s="314">
        <f>IF(T17&lt;&gt;0,ROUND(((100-T17)/T17)*100,2),IF(J16&lt;&gt;"",T16,""))</f>
        <v>0</v>
      </c>
      <c r="AL16" s="293" t="s">
        <v>165</v>
      </c>
      <c r="AM16" s="293" t="s">
        <v>166</v>
      </c>
      <c r="AQ16" s="429">
        <v>3400</v>
      </c>
      <c r="AR16" s="429">
        <v>2400</v>
      </c>
      <c r="AS16" s="429">
        <v>170</v>
      </c>
      <c r="AT16" s="429">
        <v>150</v>
      </c>
      <c r="AW16" s="299" t="str">
        <f t="shared" si="3"/>
        <v>TG02</v>
      </c>
      <c r="AX16" s="299" t="str">
        <f t="shared" si="4"/>
        <v/>
      </c>
      <c r="AY16" s="286">
        <f t="shared" si="6"/>
        <v>16</v>
      </c>
      <c r="AZ16" s="319" t="str">
        <f t="shared" si="5"/>
        <v>AX16;</v>
      </c>
    </row>
    <row r="17" spans="1:52" s="319" customFormat="1" ht="15.75" thickBot="1">
      <c r="A17" s="666"/>
      <c r="B17" s="315" t="s">
        <v>560</v>
      </c>
      <c r="C17" s="316" t="s">
        <v>166</v>
      </c>
      <c r="D17" s="317" t="str">
        <f t="shared" si="2"/>
        <v/>
      </c>
      <c r="E17" s="110" t="str">
        <f>IF(E15&lt;&gt;"",E15,"")</f>
        <v/>
      </c>
      <c r="F17" s="334" t="s">
        <v>165</v>
      </c>
      <c r="G17" s="318" t="str">
        <f>IF(G15="X","X","")</f>
        <v/>
      </c>
      <c r="H17" s="317" t="s">
        <v>669</v>
      </c>
      <c r="I17" s="317"/>
      <c r="J17" s="317"/>
      <c r="N17" s="314"/>
      <c r="O17" s="320" t="s">
        <v>670</v>
      </c>
      <c r="P17" s="317" t="s">
        <v>165</v>
      </c>
      <c r="Q17" s="320">
        <f>$Q$11</f>
        <v>0</v>
      </c>
      <c r="R17" s="323"/>
      <c r="S17" s="324"/>
      <c r="T17" s="323"/>
      <c r="U17" s="324"/>
      <c r="V17" s="324"/>
      <c r="W17" s="325"/>
      <c r="X17" s="325"/>
      <c r="Y17" s="324"/>
      <c r="Z17" s="325"/>
      <c r="AA17" s="325"/>
      <c r="AB17" s="325"/>
      <c r="AC17" s="324">
        <v>0</v>
      </c>
      <c r="AD17" s="324">
        <v>0</v>
      </c>
      <c r="AL17" s="319" t="s">
        <v>165</v>
      </c>
      <c r="AM17" s="319" t="s">
        <v>166</v>
      </c>
      <c r="AQ17" s="431">
        <v>3400</v>
      </c>
      <c r="AR17" s="431">
        <v>2400</v>
      </c>
      <c r="AS17" s="431">
        <v>170</v>
      </c>
      <c r="AT17" s="431">
        <v>150</v>
      </c>
      <c r="AU17" s="431"/>
      <c r="AV17" s="480" t="str">
        <f>IF(AND(AR$1&lt;&gt;0,AT$1&lt;&gt;0),IF(AND($AR$1&lt;=AQ17,$AT$1&lt;=AR17,$AR$1&gt;=AS17,$AT$1&gt;=AT17),"OK","NOK"),"")</f>
        <v>OK</v>
      </c>
      <c r="AW17" s="299" t="str">
        <f t="shared" si="3"/>
        <v>TG02</v>
      </c>
      <c r="AX17" s="299" t="str">
        <f t="shared" si="4"/>
        <v/>
      </c>
      <c r="AY17" s="286">
        <f t="shared" si="6"/>
        <v>17</v>
      </c>
      <c r="AZ17" s="319" t="str">
        <f t="shared" si="5"/>
        <v>AX17;</v>
      </c>
    </row>
    <row r="18" spans="1:52" s="286" customFormat="1" ht="15.75" thickBot="1">
      <c r="A18" s="666"/>
      <c r="B18" s="308" t="s">
        <v>569</v>
      </c>
      <c r="C18" s="285" t="s">
        <v>161</v>
      </c>
      <c r="D18" s="289" t="str">
        <f t="shared" si="2"/>
        <v/>
      </c>
      <c r="E18" s="287" t="str">
        <f>IFERROR(IF($G$8&lt;&gt;"",IF(G18="x",IF(F18=$G$8,"V1",IF(AF18=1,"V2",IF(AND(AF18=$AF$8,AF18&lt;&gt;1),"V"&amp;$AG$8+1,"V"&amp;AF18+1))),""),""),"Wprowadź urządzenie bazowe")</f>
        <v/>
      </c>
      <c r="F18" s="332" t="s">
        <v>160</v>
      </c>
      <c r="G18" s="309"/>
      <c r="H18" s="289" t="s">
        <v>667</v>
      </c>
      <c r="I18" s="289">
        <v>10</v>
      </c>
      <c r="J18" s="286" t="str">
        <f>IFERROR(IF(VALUE(MID(D8,2,2))&lt;9,"$HLB1-L0"&amp;(RIGHT(D8,1)+1),"$HLB1-L"&amp;(MID(D8,2,2)+1)),"Uzupełnij poziom")</f>
        <v>Uzupełnij poziom</v>
      </c>
      <c r="K18" s="286">
        <v>1000</v>
      </c>
      <c r="L18" s="286" t="s">
        <v>668</v>
      </c>
      <c r="M18" s="287"/>
      <c r="N18" s="310">
        <f>IF(T20&lt;&gt;0,ROUND(((100-T20)/T20)*100,2),IF(J18&lt;&gt;"",T18,""))</f>
        <v>0</v>
      </c>
      <c r="O18" s="289"/>
      <c r="P18" s="289"/>
      <c r="Q18" s="289"/>
      <c r="S18" s="291"/>
      <c r="U18" s="291"/>
      <c r="V18" s="291"/>
      <c r="W18" s="335"/>
      <c r="X18" s="335"/>
      <c r="Y18" s="291"/>
      <c r="Z18" s="335"/>
      <c r="AA18" s="335"/>
      <c r="AB18" s="335"/>
      <c r="AC18" s="291"/>
      <c r="AD18" s="291"/>
      <c r="AE18" s="286" t="str">
        <f>UPPER(G18)</f>
        <v/>
      </c>
      <c r="AF18" s="286">
        <f>COUNTIF($AE$9:AE20,"X")</f>
        <v>0</v>
      </c>
      <c r="AL18" s="286" t="s">
        <v>160</v>
      </c>
      <c r="AM18" s="286" t="s">
        <v>161</v>
      </c>
      <c r="AQ18" s="430">
        <v>2400</v>
      </c>
      <c r="AR18" s="430">
        <v>1600</v>
      </c>
      <c r="AS18" s="430">
        <v>380</v>
      </c>
      <c r="AT18" s="430">
        <v>380</v>
      </c>
      <c r="AU18" s="430"/>
      <c r="AV18" s="430"/>
      <c r="AW18" s="299" t="str">
        <f t="shared" si="3"/>
        <v>BT01</v>
      </c>
      <c r="AX18" s="299" t="str">
        <f t="shared" si="4"/>
        <v/>
      </c>
      <c r="AY18" s="286">
        <f t="shared" si="6"/>
        <v>18</v>
      </c>
      <c r="AZ18" s="319" t="str">
        <f t="shared" si="5"/>
        <v>AX18;</v>
      </c>
    </row>
    <row r="19" spans="1:52" ht="15.75" thickBot="1">
      <c r="A19" s="666"/>
      <c r="B19" s="311" t="s">
        <v>569</v>
      </c>
      <c r="C19" s="292" t="s">
        <v>161</v>
      </c>
      <c r="D19" s="295" t="str">
        <f t="shared" si="2"/>
        <v/>
      </c>
      <c r="E19" s="312" t="str">
        <f>IF(G19&lt;&gt;"",E18,"")</f>
        <v/>
      </c>
      <c r="F19" s="333" t="s">
        <v>160</v>
      </c>
      <c r="G19" s="313" t="str">
        <f>IF(AND(G18&lt;&gt;"",J19&lt;&gt;""),G18,"")</f>
        <v/>
      </c>
      <c r="H19" s="333" t="s">
        <v>667</v>
      </c>
      <c r="I19" s="295">
        <v>20</v>
      </c>
      <c r="J19" s="295" t="str">
        <f>IF('DANE CONTROLLINGU'!M41&lt;&gt;"",'DANE CONTROLLINGU'!N41,"")</f>
        <v>STR61030035</v>
      </c>
      <c r="K19" s="295">
        <f>ROUND('DANE CONTROLLINGU'!L41*1000,3)</f>
        <v>2000</v>
      </c>
      <c r="L19" s="295" t="s">
        <v>672</v>
      </c>
      <c r="M19" s="341">
        <f>IF(T20&lt;&gt;0,ROUND(((100-T20)/T20)*100,2),IF(J19&lt;&gt;"",T19,""))</f>
        <v>0</v>
      </c>
      <c r="N19" s="314">
        <f>IF(T20&lt;&gt;0,ROUND(((100-T20)/T20)*100,2),IF(J19&lt;&gt;"",T19,""))</f>
        <v>0</v>
      </c>
      <c r="W19" s="336"/>
      <c r="X19" s="336"/>
      <c r="Z19" s="336"/>
      <c r="AA19" s="336"/>
      <c r="AB19" s="336"/>
      <c r="AL19" s="293" t="s">
        <v>160</v>
      </c>
      <c r="AM19" s="293" t="s">
        <v>161</v>
      </c>
      <c r="AQ19" s="429">
        <v>2400</v>
      </c>
      <c r="AR19" s="429">
        <v>1600</v>
      </c>
      <c r="AS19" s="429">
        <v>380</v>
      </c>
      <c r="AT19" s="429">
        <v>380</v>
      </c>
      <c r="AW19" s="299" t="str">
        <f t="shared" si="3"/>
        <v>BT01</v>
      </c>
      <c r="AX19" s="299" t="str">
        <f t="shared" si="4"/>
        <v/>
      </c>
      <c r="AY19" s="286">
        <f t="shared" si="6"/>
        <v>19</v>
      </c>
      <c r="AZ19" s="319" t="str">
        <f t="shared" si="5"/>
        <v>AX19;</v>
      </c>
    </row>
    <row r="20" spans="1:52" s="319" customFormat="1" ht="15.75" thickBot="1">
      <c r="A20" s="666"/>
      <c r="B20" s="315" t="s">
        <v>569</v>
      </c>
      <c r="C20" s="316" t="s">
        <v>161</v>
      </c>
      <c r="D20" s="317" t="str">
        <f t="shared" si="2"/>
        <v/>
      </c>
      <c r="E20" s="110" t="str">
        <f>IF(E18&lt;&gt;"",E18,"")</f>
        <v/>
      </c>
      <c r="F20" s="334" t="s">
        <v>160</v>
      </c>
      <c r="G20" s="318" t="str">
        <f>IF(G18="X","X","")</f>
        <v/>
      </c>
      <c r="H20" s="317" t="s">
        <v>669</v>
      </c>
      <c r="I20" s="317"/>
      <c r="J20" s="317"/>
      <c r="N20" s="314"/>
      <c r="O20" s="320" t="s">
        <v>670</v>
      </c>
      <c r="P20" s="317" t="s">
        <v>160</v>
      </c>
      <c r="Q20" s="320">
        <f>$Q$11</f>
        <v>0</v>
      </c>
      <c r="R20" s="323"/>
      <c r="S20" s="324"/>
      <c r="T20" s="323"/>
      <c r="U20" s="324"/>
      <c r="V20" s="324"/>
      <c r="W20" s="325"/>
      <c r="X20" s="325"/>
      <c r="Y20" s="324"/>
      <c r="Z20" s="325"/>
      <c r="AA20" s="325"/>
      <c r="AB20" s="325"/>
      <c r="AC20" s="324"/>
      <c r="AD20" s="324"/>
      <c r="AL20" s="319" t="s">
        <v>160</v>
      </c>
      <c r="AM20" s="319" t="s">
        <v>161</v>
      </c>
      <c r="AQ20" s="431">
        <v>2400</v>
      </c>
      <c r="AR20" s="431">
        <v>1600</v>
      </c>
      <c r="AS20" s="431">
        <v>380</v>
      </c>
      <c r="AT20" s="431">
        <v>380</v>
      </c>
      <c r="AU20" s="431"/>
      <c r="AV20" s="480" t="str">
        <f>IF(AND(AR$1&lt;&gt;0,AT$1&lt;&gt;0),IF(AND($AR$1&lt;=AQ20,$AT$1&lt;=AR20,$AR$1&gt;=AS20,$AT$1&gt;=AT20),"OK","NOK"),"")</f>
        <v>OK</v>
      </c>
      <c r="AW20" s="299" t="str">
        <f t="shared" si="3"/>
        <v>BT01</v>
      </c>
      <c r="AX20" s="299" t="str">
        <f t="shared" si="4"/>
        <v/>
      </c>
      <c r="AY20" s="286">
        <f t="shared" si="6"/>
        <v>20</v>
      </c>
      <c r="AZ20" s="319" t="str">
        <f t="shared" si="5"/>
        <v>AX20;</v>
      </c>
    </row>
    <row r="21" spans="1:52" s="286" customFormat="1" ht="15.75" thickBot="1">
      <c r="A21" s="666"/>
      <c r="B21" s="308" t="s">
        <v>561</v>
      </c>
      <c r="C21" s="285" t="s">
        <v>168</v>
      </c>
      <c r="D21" s="289" t="str">
        <f t="shared" si="2"/>
        <v/>
      </c>
      <c r="E21" s="287" t="str">
        <f>IFERROR(IF($G$8&lt;&gt;"",IF(G21="x",IF(F21=$G$8,"V1",IF(AF21=1,"V2",IF(AND(AF21=$AF$8,AF21&lt;&gt;1),"V"&amp;$AG$8+1,"V"&amp;AF21+1))),""),""),"Wprowadź urządzenie bazowe")</f>
        <v/>
      </c>
      <c r="F21" s="332" t="s">
        <v>167</v>
      </c>
      <c r="G21" s="309"/>
      <c r="H21" s="289" t="s">
        <v>667</v>
      </c>
      <c r="I21" s="289">
        <v>10</v>
      </c>
      <c r="J21" s="286" t="str">
        <f>IFERROR(IF(VALUE(MID(D8,2,2))&lt;9,"$HLB1-L0"&amp;(RIGHT(D8,1)+1),"$HLB1-L"&amp;(MID(D8,2,2)+1)),"Uzupełnij poziom")</f>
        <v>Uzupełnij poziom</v>
      </c>
      <c r="K21" s="286">
        <v>1000</v>
      </c>
      <c r="L21" s="286" t="s">
        <v>668</v>
      </c>
      <c r="M21" s="287"/>
      <c r="N21" s="310">
        <f>IF(T23&lt;&gt;0,ROUND(((100-T23)/T23)*100,2),IF(J21&lt;&gt;"",T21,""))</f>
        <v>0</v>
      </c>
      <c r="O21" s="289"/>
      <c r="P21" s="289"/>
      <c r="Q21" s="289"/>
      <c r="S21" s="291"/>
      <c r="U21" s="291"/>
      <c r="V21" s="291"/>
      <c r="W21" s="335"/>
      <c r="X21" s="335"/>
      <c r="Y21" s="291"/>
      <c r="Z21" s="335"/>
      <c r="AA21" s="335"/>
      <c r="AB21" s="335"/>
      <c r="AC21" s="291"/>
      <c r="AD21" s="291"/>
      <c r="AE21" s="286" t="str">
        <f>UPPER(G21)</f>
        <v/>
      </c>
      <c r="AF21" s="286">
        <f>COUNTIF($AE$9:AE23,"X")</f>
        <v>0</v>
      </c>
      <c r="AL21" s="286" t="s">
        <v>167</v>
      </c>
      <c r="AM21" s="286" t="s">
        <v>168</v>
      </c>
      <c r="AQ21" s="430">
        <v>2400</v>
      </c>
      <c r="AR21" s="430">
        <v>1800</v>
      </c>
      <c r="AS21" s="430">
        <v>380</v>
      </c>
      <c r="AT21" s="430">
        <v>380</v>
      </c>
      <c r="AU21" s="430"/>
      <c r="AV21" s="430"/>
      <c r="AW21" s="299" t="str">
        <f t="shared" si="3"/>
        <v>BT02</v>
      </c>
      <c r="AX21" s="299" t="str">
        <f t="shared" si="4"/>
        <v/>
      </c>
      <c r="AY21" s="286">
        <f t="shared" si="6"/>
        <v>21</v>
      </c>
      <c r="AZ21" s="319" t="str">
        <f t="shared" si="5"/>
        <v>AX21;</v>
      </c>
    </row>
    <row r="22" spans="1:52" ht="15.75" thickBot="1">
      <c r="A22" s="666"/>
      <c r="B22" s="311" t="s">
        <v>561</v>
      </c>
      <c r="C22" s="292" t="s">
        <v>168</v>
      </c>
      <c r="D22" s="295" t="str">
        <f t="shared" si="2"/>
        <v/>
      </c>
      <c r="E22" s="312" t="str">
        <f>IF(G22&lt;&gt;"",E21,"")</f>
        <v/>
      </c>
      <c r="F22" s="333" t="s">
        <v>167</v>
      </c>
      <c r="G22" s="313" t="str">
        <f>IF(AND(G21&lt;&gt;"",J22&lt;&gt;""),G21,"")</f>
        <v/>
      </c>
      <c r="H22" s="333" t="s">
        <v>667</v>
      </c>
      <c r="I22" s="295">
        <v>20</v>
      </c>
      <c r="J22" s="295" t="str">
        <f>IF('DANE CONTROLLINGU'!M41&lt;&gt;"",'DANE CONTROLLINGU'!N41,"")</f>
        <v>STR61030035</v>
      </c>
      <c r="K22" s="295">
        <f>ROUND('DANE CONTROLLINGU'!L41*1000,3)</f>
        <v>2000</v>
      </c>
      <c r="L22" s="295" t="s">
        <v>672</v>
      </c>
      <c r="M22" s="341">
        <f>IF(T23&lt;&gt;0,ROUND(((100-T23)/T23)*100,2),IF(J22&lt;&gt;"",T22,""))</f>
        <v>0</v>
      </c>
      <c r="N22" s="314">
        <f>IF(T23&lt;&gt;0,ROUND(((100-T23)/T23)*100,2),IF(J22&lt;&gt;"",T22,""))</f>
        <v>0</v>
      </c>
      <c r="W22" s="336"/>
      <c r="X22" s="336"/>
      <c r="Z22" s="336"/>
      <c r="AA22" s="336"/>
      <c r="AB22" s="336"/>
      <c r="AL22" s="293" t="s">
        <v>167</v>
      </c>
      <c r="AM22" s="293" t="s">
        <v>168</v>
      </c>
      <c r="AQ22" s="429">
        <v>2400</v>
      </c>
      <c r="AR22" s="429">
        <v>1800</v>
      </c>
      <c r="AS22" s="429">
        <v>380</v>
      </c>
      <c r="AT22" s="429">
        <v>380</v>
      </c>
      <c r="AW22" s="299" t="str">
        <f t="shared" si="3"/>
        <v>BT02</v>
      </c>
      <c r="AX22" s="299" t="str">
        <f t="shared" si="4"/>
        <v/>
      </c>
      <c r="AY22" s="286">
        <f t="shared" si="6"/>
        <v>22</v>
      </c>
      <c r="AZ22" s="319" t="str">
        <f t="shared" si="5"/>
        <v>AX22;</v>
      </c>
    </row>
    <row r="23" spans="1:52" s="319" customFormat="1" ht="15.75" thickBot="1">
      <c r="A23" s="666"/>
      <c r="B23" s="315" t="s">
        <v>561</v>
      </c>
      <c r="C23" s="316" t="s">
        <v>168</v>
      </c>
      <c r="D23" s="317" t="str">
        <f t="shared" si="2"/>
        <v/>
      </c>
      <c r="E23" s="110" t="str">
        <f>IF(E21&lt;&gt;"",E21,"")</f>
        <v/>
      </c>
      <c r="F23" s="334" t="s">
        <v>167</v>
      </c>
      <c r="G23" s="318" t="str">
        <f>IF(G21="X","X","")</f>
        <v/>
      </c>
      <c r="H23" s="317" t="s">
        <v>669</v>
      </c>
      <c r="I23" s="317"/>
      <c r="J23" s="317"/>
      <c r="N23" s="314"/>
      <c r="O23" s="320" t="s">
        <v>670</v>
      </c>
      <c r="P23" s="317" t="s">
        <v>167</v>
      </c>
      <c r="Q23" s="320">
        <f>$Q$11</f>
        <v>0</v>
      </c>
      <c r="R23" s="323"/>
      <c r="S23" s="324"/>
      <c r="T23" s="323"/>
      <c r="U23" s="324"/>
      <c r="V23" s="324"/>
      <c r="W23" s="325"/>
      <c r="X23" s="325"/>
      <c r="Y23" s="324"/>
      <c r="Z23" s="325"/>
      <c r="AA23" s="325"/>
      <c r="AB23" s="325"/>
      <c r="AC23" s="324"/>
      <c r="AD23" s="324"/>
      <c r="AL23" s="319" t="s">
        <v>167</v>
      </c>
      <c r="AM23" s="319" t="s">
        <v>168</v>
      </c>
      <c r="AQ23" s="431">
        <v>2400</v>
      </c>
      <c r="AR23" s="431">
        <v>1800</v>
      </c>
      <c r="AS23" s="431">
        <v>380</v>
      </c>
      <c r="AT23" s="431">
        <v>380</v>
      </c>
      <c r="AU23" s="431"/>
      <c r="AV23" s="480" t="str">
        <f>IF(AND(AR$1&lt;&gt;0,AT$1&lt;&gt;0),IF(AND($AR$1&lt;=AQ23,$AT$1&lt;=AR23,$AR$1&gt;=AS23,$AT$1&gt;=AT23),"OK","NOK"),"")</f>
        <v>OK</v>
      </c>
      <c r="AW23" s="299" t="str">
        <f t="shared" si="3"/>
        <v>BT02</v>
      </c>
      <c r="AX23" s="299" t="str">
        <f t="shared" si="4"/>
        <v/>
      </c>
      <c r="AY23" s="286">
        <f t="shared" si="6"/>
        <v>23</v>
      </c>
      <c r="AZ23" s="319" t="str">
        <f t="shared" si="5"/>
        <v>AX23;</v>
      </c>
    </row>
    <row r="24" spans="1:52" s="286" customFormat="1" ht="15.75" thickBot="1">
      <c r="A24" s="666"/>
      <c r="B24" s="308" t="s">
        <v>164</v>
      </c>
      <c r="C24" s="285" t="s">
        <v>163</v>
      </c>
      <c r="D24" s="289" t="str">
        <f t="shared" si="2"/>
        <v/>
      </c>
      <c r="E24" s="287" t="str">
        <f>IFERROR(IF($G$8&lt;&gt;"",IF(G24="x",IF(F24=$G$8,"V1",IF(AF24=1,"V2",IF(AND(AF24=$AF$8,AF24&lt;&gt;1),"V"&amp;$AG$8+1,"V"&amp;AF24+1))),""),""),"Wprowadź urządzenie bazowe")</f>
        <v/>
      </c>
      <c r="F24" s="332" t="s">
        <v>162</v>
      </c>
      <c r="G24" s="309"/>
      <c r="H24" s="289" t="s">
        <v>667</v>
      </c>
      <c r="I24" s="289">
        <v>10</v>
      </c>
      <c r="J24" s="286" t="str">
        <f>IFERROR(IF(VALUE(MID(D8,2,2))&lt;9,"$HLB1-L0"&amp;(RIGHT(D8,1)+1),"$HLB1-L"&amp;(MID(D8,2,2)+1)),"Uzupełnij poziom")</f>
        <v>Uzupełnij poziom</v>
      </c>
      <c r="K24" s="286">
        <v>1000</v>
      </c>
      <c r="L24" s="286" t="s">
        <v>668</v>
      </c>
      <c r="M24" s="287"/>
      <c r="N24" s="310">
        <f>IF(T26&lt;&gt;0,ROUND(((100-T26)/T26)*100,2),IF(J24&lt;&gt;"",T24,""))</f>
        <v>0</v>
      </c>
      <c r="O24" s="289"/>
      <c r="P24" s="289"/>
      <c r="Q24" s="289"/>
      <c r="S24" s="291"/>
      <c r="U24" s="291"/>
      <c r="V24" s="291"/>
      <c r="W24" s="335"/>
      <c r="X24" s="335"/>
      <c r="Y24" s="291"/>
      <c r="Z24" s="335"/>
      <c r="AA24" s="335"/>
      <c r="AB24" s="335"/>
      <c r="AC24" s="291"/>
      <c r="AD24" s="291"/>
      <c r="AE24" s="286" t="str">
        <f>UPPER(G24)</f>
        <v/>
      </c>
      <c r="AF24" s="286">
        <f>COUNTIF($AE$9:AE26,"X")</f>
        <v>0</v>
      </c>
      <c r="AL24" s="286" t="s">
        <v>162</v>
      </c>
      <c r="AM24" s="286" t="s">
        <v>163</v>
      </c>
      <c r="AQ24" s="430">
        <v>2400</v>
      </c>
      <c r="AR24" s="430">
        <v>1500</v>
      </c>
      <c r="AS24" s="430">
        <v>273</v>
      </c>
      <c r="AT24" s="430">
        <v>270</v>
      </c>
      <c r="AU24" s="430"/>
      <c r="AV24" s="430"/>
      <c r="AW24" s="299" t="str">
        <f t="shared" si="3"/>
        <v>CRB1</v>
      </c>
      <c r="AX24" s="299" t="str">
        <f t="shared" si="4"/>
        <v/>
      </c>
      <c r="AY24" s="286">
        <f t="shared" si="6"/>
        <v>24</v>
      </c>
      <c r="AZ24" s="319" t="str">
        <f t="shared" si="5"/>
        <v>AX24;</v>
      </c>
    </row>
    <row r="25" spans="1:52" ht="15.75" thickBot="1">
      <c r="A25" s="666"/>
      <c r="B25" s="311" t="s">
        <v>164</v>
      </c>
      <c r="C25" s="292" t="s">
        <v>163</v>
      </c>
      <c r="D25" s="295" t="str">
        <f t="shared" si="2"/>
        <v/>
      </c>
      <c r="E25" s="312" t="str">
        <f>IF(G25&lt;&gt;"",E24,"")</f>
        <v/>
      </c>
      <c r="F25" s="333" t="s">
        <v>162</v>
      </c>
      <c r="G25" s="313" t="str">
        <f>IF(AND(G24&lt;&gt;"",J25&lt;&gt;""),G24,"")</f>
        <v/>
      </c>
      <c r="H25" s="333" t="s">
        <v>667</v>
      </c>
      <c r="I25" s="295">
        <v>20</v>
      </c>
      <c r="J25" s="295" t="str">
        <f>IF('DANE CONTROLLINGU'!M41&lt;&gt;"",'DANE CONTROLLINGU'!N41,"")</f>
        <v>STR61030035</v>
      </c>
      <c r="K25" s="295">
        <f>ROUND('DANE CONTROLLINGU'!L41*1000,3)</f>
        <v>2000</v>
      </c>
      <c r="L25" s="295" t="s">
        <v>672</v>
      </c>
      <c r="M25" s="341">
        <f>IF(T26&lt;&gt;0,ROUND(((100-T26)/T26)*100,2),IF(J25&lt;&gt;"",T25,""))</f>
        <v>0</v>
      </c>
      <c r="N25" s="314">
        <f>IF(T26&lt;&gt;0,ROUND(((100-T26)/T26)*100,2),IF(J25&lt;&gt;"",T25,""))</f>
        <v>0</v>
      </c>
      <c r="W25" s="336"/>
      <c r="X25" s="336"/>
      <c r="Z25" s="336"/>
      <c r="AA25" s="336"/>
      <c r="AB25" s="336"/>
      <c r="AL25" s="293" t="s">
        <v>162</v>
      </c>
      <c r="AM25" s="293" t="s">
        <v>163</v>
      </c>
      <c r="AQ25" s="429">
        <v>2400</v>
      </c>
      <c r="AR25" s="429">
        <v>1500</v>
      </c>
      <c r="AS25" s="429">
        <v>273</v>
      </c>
      <c r="AT25" s="429">
        <v>270</v>
      </c>
      <c r="AW25" s="299" t="str">
        <f t="shared" si="3"/>
        <v>CRB1</v>
      </c>
      <c r="AX25" s="299" t="str">
        <f t="shared" si="4"/>
        <v/>
      </c>
      <c r="AY25" s="286">
        <f t="shared" si="6"/>
        <v>25</v>
      </c>
      <c r="AZ25" s="319" t="str">
        <f t="shared" si="5"/>
        <v>AX25;</v>
      </c>
    </row>
    <row r="26" spans="1:52" s="319" customFormat="1" ht="15.75" thickBot="1">
      <c r="A26" s="666"/>
      <c r="B26" s="315" t="s">
        <v>164</v>
      </c>
      <c r="C26" s="316" t="s">
        <v>163</v>
      </c>
      <c r="D26" s="317" t="str">
        <f t="shared" si="2"/>
        <v/>
      </c>
      <c r="E26" s="110" t="str">
        <f>IF(E24&lt;&gt;"",E24,"")</f>
        <v/>
      </c>
      <c r="F26" s="334" t="s">
        <v>162</v>
      </c>
      <c r="G26" s="318" t="str">
        <f>IF(G24="X","X","")</f>
        <v/>
      </c>
      <c r="H26" s="317" t="s">
        <v>669</v>
      </c>
      <c r="I26" s="317"/>
      <c r="J26" s="317"/>
      <c r="N26" s="314"/>
      <c r="O26" s="320" t="s">
        <v>670</v>
      </c>
      <c r="P26" s="317" t="s">
        <v>162</v>
      </c>
      <c r="Q26" s="320">
        <f>$Q$11</f>
        <v>0</v>
      </c>
      <c r="R26" s="323"/>
      <c r="S26" s="324"/>
      <c r="T26" s="323"/>
      <c r="U26" s="324"/>
      <c r="V26" s="324"/>
      <c r="W26" s="325"/>
      <c r="X26" s="325"/>
      <c r="Y26" s="324"/>
      <c r="Z26" s="325"/>
      <c r="AA26" s="325"/>
      <c r="AB26" s="325"/>
      <c r="AC26" s="324"/>
      <c r="AD26" s="324"/>
      <c r="AL26" s="319" t="s">
        <v>162</v>
      </c>
      <c r="AM26" s="319" t="s">
        <v>163</v>
      </c>
      <c r="AQ26" s="431">
        <v>2400</v>
      </c>
      <c r="AR26" s="431">
        <v>1500</v>
      </c>
      <c r="AS26" s="431">
        <v>273</v>
      </c>
      <c r="AT26" s="431">
        <v>270</v>
      </c>
      <c r="AU26" s="431"/>
      <c r="AV26" s="480" t="str">
        <f>IF(AND(AR$1&lt;&gt;0,AT$1&lt;&gt;0),IF(AND($AR$1&lt;=AQ26,$AT$1&lt;=AR26,$AR$1&gt;=AS26,$AT$1&gt;=AT26),"OK","NOK"),"")</f>
        <v>OK</v>
      </c>
      <c r="AW26" s="299" t="str">
        <f t="shared" si="3"/>
        <v>CRB1</v>
      </c>
      <c r="AX26" s="299" t="str">
        <f t="shared" si="4"/>
        <v/>
      </c>
      <c r="AY26" s="286">
        <f t="shared" si="6"/>
        <v>26</v>
      </c>
      <c r="AZ26" s="319" t="str">
        <f t="shared" si="5"/>
        <v>AX26;</v>
      </c>
    </row>
    <row r="27" spans="1:52" s="286" customFormat="1" ht="15.75" thickBot="1">
      <c r="A27" s="666"/>
      <c r="B27" s="308" t="s">
        <v>136</v>
      </c>
      <c r="C27" s="285" t="s">
        <v>135</v>
      </c>
      <c r="D27" s="289" t="str">
        <f t="shared" si="2"/>
        <v/>
      </c>
      <c r="E27" s="287" t="str">
        <f>IFERROR(IF($G$8&lt;&gt;"",IF(G27="x",IF(F27=$G$8,"V1",IF(AF27=1,"V2",IF(AND(AF27=$AF$8,AF27&lt;&gt;1),"V"&amp;$AG$8+1,"V"&amp;AF27+1))),""),""),"Wprowadź urządzenie bazowe")</f>
        <v/>
      </c>
      <c r="F27" s="289" t="s">
        <v>134</v>
      </c>
      <c r="G27" s="309"/>
      <c r="H27" s="289" t="s">
        <v>667</v>
      </c>
      <c r="I27" s="289">
        <v>10</v>
      </c>
      <c r="J27" s="286" t="str">
        <f>IFERROR(IF(VALUE(MID(D8,2,2))&lt;9,"$HLB1-L0"&amp;(RIGHT(D8,1)+1),"$HLB1-L"&amp;(MID(D8,2,2)+1)),"Uzupełnij poziom")</f>
        <v>Uzupełnij poziom</v>
      </c>
      <c r="K27" s="286">
        <v>1000</v>
      </c>
      <c r="L27" s="286" t="s">
        <v>668</v>
      </c>
      <c r="N27" s="310">
        <f>IF(T29&lt;&gt;0,ROUND(((100-T29)/T29)*100,2),IF(J27&lt;&gt;"",T27,""))</f>
        <v>0</v>
      </c>
      <c r="O27" s="289"/>
      <c r="P27" s="289"/>
      <c r="Q27" s="289"/>
      <c r="S27" s="291"/>
      <c r="U27" s="291"/>
      <c r="V27" s="291"/>
      <c r="W27" s="291"/>
      <c r="X27" s="291"/>
      <c r="Y27" s="291"/>
      <c r="Z27" s="291"/>
      <c r="AA27" s="291"/>
      <c r="AB27" s="291"/>
      <c r="AC27" s="291"/>
      <c r="AD27" s="291"/>
      <c r="AE27" s="286" t="str">
        <f>UPPER(G27)</f>
        <v/>
      </c>
      <c r="AF27" s="286">
        <f>COUNTIF($AE$9:AE29,"X")</f>
        <v>0</v>
      </c>
      <c r="AL27" s="286" t="s">
        <v>134</v>
      </c>
      <c r="AM27" s="286" t="s">
        <v>135</v>
      </c>
      <c r="AQ27" s="430">
        <v>1700</v>
      </c>
      <c r="AR27" s="430">
        <v>1200</v>
      </c>
      <c r="AS27" s="430">
        <v>255</v>
      </c>
      <c r="AT27" s="430">
        <v>204</v>
      </c>
      <c r="AU27" s="430"/>
      <c r="AV27" s="430"/>
      <c r="AW27" s="299" t="str">
        <f t="shared" si="3"/>
        <v>GTO1</v>
      </c>
      <c r="AX27" s="299" t="str">
        <f t="shared" si="4"/>
        <v/>
      </c>
      <c r="AY27" s="286">
        <f t="shared" si="6"/>
        <v>27</v>
      </c>
      <c r="AZ27" s="319" t="str">
        <f t="shared" si="5"/>
        <v>AX27;</v>
      </c>
    </row>
    <row r="28" spans="1:52" ht="15.75" thickBot="1">
      <c r="A28" s="666"/>
      <c r="B28" s="311" t="s">
        <v>136</v>
      </c>
      <c r="C28" s="292" t="s">
        <v>135</v>
      </c>
      <c r="D28" s="295" t="str">
        <f t="shared" si="2"/>
        <v/>
      </c>
      <c r="E28" s="312" t="str">
        <f>IF(G28&lt;&gt;"",E27,"")</f>
        <v/>
      </c>
      <c r="F28" s="333" t="s">
        <v>134</v>
      </c>
      <c r="G28" s="313" t="str">
        <f>IF(AND(G27&lt;&gt;"",J28&lt;&gt;""),G27,"")</f>
        <v/>
      </c>
      <c r="H28" s="333" t="s">
        <v>667</v>
      </c>
      <c r="I28" s="295">
        <v>20</v>
      </c>
      <c r="J28" s="295" t="str">
        <f>IF('DANE CONTROLLINGU'!M41&lt;&gt;"",'DANE CONTROLLINGU'!N41,"")</f>
        <v>STR61030035</v>
      </c>
      <c r="K28" s="295">
        <f>ROUND('DANE CONTROLLINGU'!L41*1000,3)</f>
        <v>2000</v>
      </c>
      <c r="L28" s="295" t="s">
        <v>672</v>
      </c>
      <c r="M28" s="341">
        <f>IF(T29&lt;&gt;0,ROUND(((100-T29)/T29)*100,2),IF(J28&lt;&gt;"",T28,""))</f>
        <v>0</v>
      </c>
      <c r="N28" s="314">
        <f>IF(T29&lt;&gt;0,ROUND(((100-T29)/T29)*100,2),IF(J28&lt;&gt;"",T28,""))</f>
        <v>0</v>
      </c>
      <c r="AL28" s="293" t="s">
        <v>134</v>
      </c>
      <c r="AM28" s="293" t="s">
        <v>135</v>
      </c>
      <c r="AQ28" s="429">
        <v>1700</v>
      </c>
      <c r="AR28" s="429">
        <v>1200</v>
      </c>
      <c r="AS28" s="429">
        <v>255</v>
      </c>
      <c r="AT28" s="429">
        <v>204</v>
      </c>
      <c r="AW28" s="299" t="str">
        <f t="shared" si="3"/>
        <v>GTO1</v>
      </c>
      <c r="AX28" s="299" t="str">
        <f t="shared" si="4"/>
        <v/>
      </c>
      <c r="AY28" s="286">
        <f t="shared" si="6"/>
        <v>28</v>
      </c>
      <c r="AZ28" s="319" t="str">
        <f t="shared" si="5"/>
        <v>AX28;</v>
      </c>
    </row>
    <row r="29" spans="1:52" s="299" customFormat="1" ht="15.75" thickBot="1">
      <c r="A29" s="667"/>
      <c r="B29" s="337" t="s">
        <v>136</v>
      </c>
      <c r="C29" s="298" t="s">
        <v>135</v>
      </c>
      <c r="D29" s="301" t="str">
        <f t="shared" si="2"/>
        <v/>
      </c>
      <c r="E29" s="299" t="str">
        <f>IF(E27&lt;&gt;"",E27,"")</f>
        <v/>
      </c>
      <c r="F29" s="301" t="s">
        <v>134</v>
      </c>
      <c r="G29" s="338" t="str">
        <f>IF(G27="X","X","")</f>
        <v/>
      </c>
      <c r="H29" s="301" t="s">
        <v>669</v>
      </c>
      <c r="I29" s="301"/>
      <c r="J29" s="301"/>
      <c r="N29" s="339"/>
      <c r="O29" s="303" t="s">
        <v>670</v>
      </c>
      <c r="P29" s="301" t="s">
        <v>134</v>
      </c>
      <c r="Q29" s="303">
        <f>$Q$11</f>
        <v>0</v>
      </c>
      <c r="R29" s="304"/>
      <c r="S29" s="305"/>
      <c r="T29" s="304"/>
      <c r="U29" s="305"/>
      <c r="V29" s="305"/>
      <c r="W29" s="305"/>
      <c r="X29" s="305"/>
      <c r="Y29" s="305"/>
      <c r="Z29" s="305"/>
      <c r="AA29" s="305"/>
      <c r="AB29" s="305"/>
      <c r="AC29" s="305"/>
      <c r="AD29" s="305"/>
      <c r="AL29" s="299" t="s">
        <v>134</v>
      </c>
      <c r="AM29" s="299" t="s">
        <v>135</v>
      </c>
      <c r="AQ29" s="432">
        <v>1700</v>
      </c>
      <c r="AR29" s="432">
        <v>1200</v>
      </c>
      <c r="AS29" s="432">
        <v>255</v>
      </c>
      <c r="AT29" s="432">
        <v>204</v>
      </c>
      <c r="AU29" s="432"/>
      <c r="AV29" s="480" t="str">
        <f>IF(AND(AR$1&lt;&gt;0,AT$1&lt;&gt;0),IF(AND($AR$1&lt;=AQ29,$AT$1&lt;=AR29,$AR$1&gt;=AS29,$AT$1&gt;=AT29),"OK","NOK"),"")</f>
        <v>OK</v>
      </c>
      <c r="AW29" s="299" t="str">
        <f>AL29</f>
        <v>GTO1</v>
      </c>
      <c r="AX29" s="299" t="str">
        <f>IF(AV29="NOK",AW29&amp;",","")</f>
        <v/>
      </c>
      <c r="AY29" s="286">
        <f t="shared" si="6"/>
        <v>29</v>
      </c>
      <c r="AZ29" s="319" t="str">
        <f t="shared" si="5"/>
        <v>AX29;</v>
      </c>
    </row>
    <row r="30" spans="1:52" s="110" customFormat="1" ht="15.75" thickBot="1">
      <c r="A30" s="283"/>
      <c r="B30" s="284" t="s">
        <v>665</v>
      </c>
      <c r="C30" s="356"/>
      <c r="D30" s="355" t="str">
        <f>IF(C30&lt;&gt;"",CONCATENATE("L",C30),"")</f>
        <v/>
      </c>
      <c r="F30" s="262"/>
      <c r="G30" s="329"/>
      <c r="H30" s="262"/>
      <c r="I30" s="262"/>
      <c r="J30" s="262"/>
      <c r="N30" s="314"/>
      <c r="O30" s="262"/>
      <c r="P30" s="262"/>
      <c r="Q30" s="262"/>
      <c r="S30" s="277"/>
      <c r="U30" s="277"/>
      <c r="V30" s="277"/>
      <c r="W30" s="277"/>
      <c r="X30" s="277"/>
      <c r="Y30" s="277"/>
      <c r="Z30" s="277"/>
      <c r="AA30" s="277"/>
      <c r="AB30" s="277"/>
      <c r="AC30" s="277"/>
      <c r="AD30" s="277"/>
      <c r="AF30" s="110">
        <f>MAX(AF31:AF58)</f>
        <v>0</v>
      </c>
      <c r="AG30" s="110">
        <f>_xlfn.IFNA(VLOOKUP($G$30,F31:AF58,27,FALSE),0)</f>
        <v>0</v>
      </c>
      <c r="AN30" s="394" t="str">
        <f>IF(G30&lt;&gt;"",VLOOKUP(G30,$AL$4:$AM$274,2,FALSE),"")</f>
        <v/>
      </c>
      <c r="AO30" s="289"/>
      <c r="AP30" s="395" t="str">
        <f>IF(AN30&lt;&gt;"",AN30&amp;", "&amp;AO30,"")</f>
        <v/>
      </c>
      <c r="AQ30" s="426"/>
      <c r="AR30" s="426"/>
      <c r="AS30" s="426"/>
      <c r="AT30" s="426"/>
      <c r="AU30" s="426"/>
      <c r="AV30" s="426"/>
      <c r="AW30" s="299">
        <f t="shared" ref="AW30:AW93" si="7">AL30</f>
        <v>0</v>
      </c>
      <c r="AX30" s="299" t="str">
        <f t="shared" ref="AX30:AX93" si="8">IF(AV30="NOK",AW30&amp;",","")</f>
        <v/>
      </c>
      <c r="AY30" s="286">
        <f t="shared" si="6"/>
        <v>30</v>
      </c>
      <c r="AZ30" s="319" t="str">
        <f t="shared" si="5"/>
        <v>AX30;</v>
      </c>
    </row>
    <row r="31" spans="1:52" s="286" customFormat="1" ht="15" customHeight="1" thickBot="1">
      <c r="A31" s="665" t="s">
        <v>671</v>
      </c>
      <c r="B31" s="308" t="s">
        <v>556</v>
      </c>
      <c r="C31" s="285" t="s">
        <v>155</v>
      </c>
      <c r="D31" s="289" t="str">
        <f t="shared" ref="D31:D58" si="9">$D$30</f>
        <v/>
      </c>
      <c r="E31" s="287" t="str">
        <f>IFERROR(IF($G$30&lt;&gt;"",IF(G31="x",IF(F31=$G$30,"V1",IF(AF31=1,"V2",IF(AND(AF31=$AF$30,AF31&lt;&gt;1),"V"&amp;$AG$30+1,"V"&amp;AF31+1))),""),""),"Wprowadź urządzenie bazowe")</f>
        <v/>
      </c>
      <c r="F31" s="289" t="s">
        <v>154</v>
      </c>
      <c r="G31" s="309"/>
      <c r="H31" s="289" t="s">
        <v>667</v>
      </c>
      <c r="I31" s="289">
        <v>10</v>
      </c>
      <c r="J31" s="286" t="str">
        <f>IFERROR(IF(VALUE(MID(D30,2,2))&lt;9,"$HLB1-L0"&amp;(RIGHT(D30,1)+1),"$HLB1-L"&amp;(MID(D30,2,2)+1)),"Uzupełnij poziom")</f>
        <v>Uzupełnij poziom</v>
      </c>
      <c r="K31" s="286">
        <v>1000</v>
      </c>
      <c r="L31" s="286" t="s">
        <v>668</v>
      </c>
      <c r="N31" s="310">
        <f>IF(T34&lt;&gt;0,ROUND(((100-T34)/T34)*100,2),IF(J31&lt;&gt;"",T31,""))</f>
        <v>0</v>
      </c>
      <c r="O31" s="289"/>
      <c r="P31" s="289"/>
      <c r="Q31" s="289"/>
      <c r="S31" s="291"/>
      <c r="U31" s="291"/>
      <c r="V31" s="291"/>
      <c r="W31" s="291"/>
      <c r="X31" s="291"/>
      <c r="Y31" s="291"/>
      <c r="Z31" s="291"/>
      <c r="AA31" s="291"/>
      <c r="AB31" s="291"/>
      <c r="AC31" s="291"/>
      <c r="AD31" s="291"/>
      <c r="AE31" s="286" t="str">
        <f>UPPER(G31)</f>
        <v/>
      </c>
      <c r="AF31" s="286">
        <f>COUNTIF($AE$31:AE34,"X")</f>
        <v>0</v>
      </c>
      <c r="AL31" s="286" t="s">
        <v>154</v>
      </c>
      <c r="AM31" s="286" t="s">
        <v>155</v>
      </c>
      <c r="AQ31" s="430">
        <v>2500</v>
      </c>
      <c r="AR31" s="430">
        <v>1700</v>
      </c>
      <c r="AS31" s="430">
        <v>380</v>
      </c>
      <c r="AT31" s="430">
        <v>380</v>
      </c>
      <c r="AU31" s="430"/>
      <c r="AV31" s="430"/>
      <c r="AW31" s="299" t="str">
        <f t="shared" si="7"/>
        <v>TH01</v>
      </c>
      <c r="AX31" s="299" t="str">
        <f t="shared" si="8"/>
        <v/>
      </c>
      <c r="AY31" s="286">
        <f t="shared" si="6"/>
        <v>31</v>
      </c>
      <c r="AZ31" s="319" t="str">
        <f t="shared" si="5"/>
        <v>AX31;</v>
      </c>
    </row>
    <row r="32" spans="1:52" ht="15" customHeight="1" thickBot="1">
      <c r="A32" s="666"/>
      <c r="B32" s="311" t="s">
        <v>556</v>
      </c>
      <c r="C32" s="292" t="s">
        <v>155</v>
      </c>
      <c r="D32" s="295" t="str">
        <f t="shared" si="9"/>
        <v/>
      </c>
      <c r="E32" s="110" t="str">
        <f>IF(E31&lt;&gt;"",E31,"")</f>
        <v/>
      </c>
      <c r="F32" s="295" t="s">
        <v>154</v>
      </c>
      <c r="G32" s="313" t="str">
        <f>IF(AND(G31&lt;&gt;"",J32&lt;&gt;""),G31,"")</f>
        <v/>
      </c>
      <c r="H32" s="295" t="s">
        <v>667</v>
      </c>
      <c r="I32" s="295">
        <v>20</v>
      </c>
      <c r="J32" s="340" t="str">
        <f>IF('DANE CONTROLLINGU'!M36&lt;&gt;0,'DANE CONTROLLINGU'!N36,"")</f>
        <v/>
      </c>
      <c r="K32" s="295">
        <f>ROUND('DANE CONTROLLINGU'!L36*1000,3)</f>
        <v>0</v>
      </c>
      <c r="L32" s="293" t="s">
        <v>672</v>
      </c>
      <c r="M32" s="341" t="str">
        <f>IF(T34&lt;&gt;0,ROUND(((100-T34)/T34)*100,2),IF(J32&lt;&gt;"",T32,""))</f>
        <v/>
      </c>
      <c r="N32" s="314" t="str">
        <f>IF(T34&lt;&gt;0,ROUND(((100-T34)/T34)*100,2),IF(J32&lt;&gt;"",T32,""))</f>
        <v/>
      </c>
      <c r="AL32" s="293" t="s">
        <v>154</v>
      </c>
      <c r="AM32" s="293" t="s">
        <v>155</v>
      </c>
      <c r="AQ32" s="429">
        <v>2500</v>
      </c>
      <c r="AR32" s="429">
        <v>1700</v>
      </c>
      <c r="AS32" s="429">
        <v>380</v>
      </c>
      <c r="AT32" s="429">
        <v>380</v>
      </c>
      <c r="AW32" s="299" t="str">
        <f t="shared" si="7"/>
        <v>TH01</v>
      </c>
      <c r="AX32" s="299" t="str">
        <f t="shared" si="8"/>
        <v/>
      </c>
      <c r="AY32" s="286">
        <f t="shared" si="6"/>
        <v>32</v>
      </c>
      <c r="AZ32" s="319" t="str">
        <f t="shared" si="5"/>
        <v>AX32;</v>
      </c>
    </row>
    <row r="33" spans="1:52" ht="15" customHeight="1" thickBot="1">
      <c r="A33" s="666"/>
      <c r="B33" s="311" t="s">
        <v>556</v>
      </c>
      <c r="C33" s="292" t="s">
        <v>155</v>
      </c>
      <c r="D33" s="295" t="str">
        <f t="shared" si="9"/>
        <v/>
      </c>
      <c r="E33" s="110" t="str">
        <f>IF(E31&lt;&gt;"",E31,"")</f>
        <v/>
      </c>
      <c r="F33" s="295" t="s">
        <v>154</v>
      </c>
      <c r="G33" s="313" t="str">
        <f>IF(AND(G31&lt;&gt;"",J33&lt;&gt;""),G31,"")</f>
        <v/>
      </c>
      <c r="H33" s="295" t="s">
        <v>667</v>
      </c>
      <c r="I33" s="295">
        <v>30</v>
      </c>
      <c r="J33" s="351"/>
      <c r="L33" s="293" t="s">
        <v>672</v>
      </c>
      <c r="M33" s="341" t="str">
        <f>IF(T34&lt;&gt;0,ROUND(((100-T34)/T34)*100,2),IF(J33&lt;&gt;"",T33,""))</f>
        <v/>
      </c>
      <c r="N33" s="314" t="str">
        <f>IF(T34&lt;&gt;0,ROUND(((100-T34)/T34)*100,2),IF(J33&lt;&gt;"",T33,""))</f>
        <v/>
      </c>
      <c r="AL33" s="293" t="s">
        <v>154</v>
      </c>
      <c r="AM33" s="293" t="s">
        <v>155</v>
      </c>
      <c r="AQ33" s="429">
        <v>2500</v>
      </c>
      <c r="AR33" s="429">
        <v>1700</v>
      </c>
      <c r="AS33" s="429">
        <v>380</v>
      </c>
      <c r="AT33" s="429">
        <v>380</v>
      </c>
      <c r="AW33" s="299" t="str">
        <f t="shared" si="7"/>
        <v>TH01</v>
      </c>
      <c r="AX33" s="299" t="str">
        <f t="shared" si="8"/>
        <v/>
      </c>
      <c r="AY33" s="286">
        <f t="shared" si="6"/>
        <v>33</v>
      </c>
      <c r="AZ33" s="319" t="str">
        <f t="shared" si="5"/>
        <v>AX33;</v>
      </c>
    </row>
    <row r="34" spans="1:52" s="319" customFormat="1" ht="15" customHeight="1" thickBot="1">
      <c r="A34" s="666"/>
      <c r="B34" s="315" t="s">
        <v>556</v>
      </c>
      <c r="C34" s="316" t="s">
        <v>155</v>
      </c>
      <c r="D34" s="317" t="str">
        <f t="shared" si="9"/>
        <v/>
      </c>
      <c r="E34" s="110" t="str">
        <f>IF(E31&lt;&gt;"",E31,"")</f>
        <v/>
      </c>
      <c r="F34" s="317" t="s">
        <v>154</v>
      </c>
      <c r="G34" s="313" t="str">
        <f>IF(G31="X","X","")</f>
        <v/>
      </c>
      <c r="H34" s="317" t="s">
        <v>669</v>
      </c>
      <c r="I34" s="317"/>
      <c r="J34" s="317"/>
      <c r="N34" s="314"/>
      <c r="O34" s="320" t="s">
        <v>670</v>
      </c>
      <c r="P34" s="317" t="s">
        <v>154</v>
      </c>
      <c r="Q34" s="320">
        <f>$Q$11</f>
        <v>0</v>
      </c>
      <c r="R34" s="323"/>
      <c r="S34" s="324"/>
      <c r="T34" s="323"/>
      <c r="U34" s="324"/>
      <c r="V34" s="324"/>
      <c r="W34" s="324"/>
      <c r="X34" s="324"/>
      <c r="Y34" s="324"/>
      <c r="Z34" s="324"/>
      <c r="AA34" s="324"/>
      <c r="AB34" s="324"/>
      <c r="AC34" s="324"/>
      <c r="AD34" s="324"/>
      <c r="AL34" s="319" t="s">
        <v>154</v>
      </c>
      <c r="AM34" s="319" t="s">
        <v>155</v>
      </c>
      <c r="AQ34" s="431">
        <v>2500</v>
      </c>
      <c r="AR34" s="431">
        <v>1700</v>
      </c>
      <c r="AS34" s="431">
        <v>380</v>
      </c>
      <c r="AT34" s="431">
        <v>380</v>
      </c>
      <c r="AU34" s="431"/>
      <c r="AV34" s="480" t="str">
        <f>IF(AND(AR$1&lt;&gt;0,AT$1&lt;&gt;0),IF(AND($AR$1&lt;=AQ34,$AT$1&lt;=AR34,$AR$1&gt;=AS34,$AT$1&gt;=AT34),"OK","NOK"),"")</f>
        <v>OK</v>
      </c>
      <c r="AW34" s="299" t="str">
        <f t="shared" si="7"/>
        <v>TH01</v>
      </c>
      <c r="AX34" s="299" t="str">
        <f t="shared" si="8"/>
        <v/>
      </c>
      <c r="AY34" s="286">
        <f t="shared" si="6"/>
        <v>34</v>
      </c>
      <c r="AZ34" s="319" t="str">
        <f t="shared" si="5"/>
        <v>AX34;</v>
      </c>
    </row>
    <row r="35" spans="1:52" s="286" customFormat="1" ht="15" customHeight="1" thickBot="1">
      <c r="A35" s="666"/>
      <c r="B35" s="308" t="s">
        <v>557</v>
      </c>
      <c r="C35" s="285" t="s">
        <v>157</v>
      </c>
      <c r="D35" s="289" t="str">
        <f t="shared" si="9"/>
        <v/>
      </c>
      <c r="E35" s="287" t="str">
        <f>IFERROR(IF($G$30&lt;&gt;"",IF(G35="x",IF(F35=$G$30,"V1",IF(AF35=1,"V2",IF(AND(AF35=$AF$30,AF35&lt;&gt;1),"V"&amp;$AG$30+1,"V"&amp;AF35+1))),""),""),"Wprowadź urządzenie bazowe")</f>
        <v/>
      </c>
      <c r="F35" s="289" t="s">
        <v>156</v>
      </c>
      <c r="G35" s="309"/>
      <c r="H35" s="289" t="s">
        <v>667</v>
      </c>
      <c r="I35" s="289">
        <v>10</v>
      </c>
      <c r="J35" s="289" t="str">
        <f>IFERROR(IF(VALUE(MID(D30,2,2))&lt;9,"$HLB1-L0"&amp;(RIGHT(D30,1)+1),"$HLB1-L"&amp;(MID(D30,2,2)+1)),"Uzupełnij poziom")</f>
        <v>Uzupełnij poziom</v>
      </c>
      <c r="K35" s="286">
        <v>1000</v>
      </c>
      <c r="L35" s="286" t="s">
        <v>668</v>
      </c>
      <c r="N35" s="310">
        <f>IF(T38&lt;&gt;0,ROUND(((100-T38)/T38)*100,2),IF(J35&lt;&gt;"",T35,""))</f>
        <v>0</v>
      </c>
      <c r="O35" s="289"/>
      <c r="P35" s="289"/>
      <c r="Q35" s="289"/>
      <c r="S35" s="291"/>
      <c r="U35" s="291"/>
      <c r="V35" s="291"/>
      <c r="W35" s="291"/>
      <c r="X35" s="291"/>
      <c r="Y35" s="291"/>
      <c r="Z35" s="291"/>
      <c r="AA35" s="291"/>
      <c r="AB35" s="291"/>
      <c r="AC35" s="291"/>
      <c r="AD35" s="291"/>
      <c r="AE35" s="286" t="str">
        <f>UPPER(G35)</f>
        <v/>
      </c>
      <c r="AF35" s="286">
        <f>COUNTIF($AE$31:AE38,"X")</f>
        <v>0</v>
      </c>
      <c r="AL35" s="286" t="s">
        <v>156</v>
      </c>
      <c r="AM35" s="286" t="s">
        <v>157</v>
      </c>
      <c r="AQ35" s="430">
        <v>2500</v>
      </c>
      <c r="AR35" s="430">
        <v>1700</v>
      </c>
      <c r="AS35" s="430">
        <v>500</v>
      </c>
      <c r="AT35" s="430">
        <v>200</v>
      </c>
      <c r="AU35" s="430"/>
      <c r="AV35" s="430"/>
      <c r="AW35" s="299" t="str">
        <f t="shared" si="7"/>
        <v>TH02</v>
      </c>
      <c r="AX35" s="299" t="str">
        <f t="shared" si="8"/>
        <v/>
      </c>
      <c r="AY35" s="286">
        <f t="shared" si="6"/>
        <v>35</v>
      </c>
      <c r="AZ35" s="319" t="str">
        <f t="shared" si="5"/>
        <v>AX35;</v>
      </c>
    </row>
    <row r="36" spans="1:52" ht="15" customHeight="1" thickBot="1">
      <c r="A36" s="666"/>
      <c r="B36" s="311" t="s">
        <v>557</v>
      </c>
      <c r="C36" s="292" t="s">
        <v>157</v>
      </c>
      <c r="D36" s="295" t="str">
        <f t="shared" si="9"/>
        <v/>
      </c>
      <c r="E36" s="110" t="str">
        <f t="shared" ref="E36" si="10">IF(E35&lt;&gt;"",E35,"")</f>
        <v/>
      </c>
      <c r="F36" s="295" t="s">
        <v>156</v>
      </c>
      <c r="G36" s="313" t="str">
        <f>IF(AND(G35&lt;&gt;"",J36&lt;&gt;""),G35,"")</f>
        <v/>
      </c>
      <c r="H36" s="295" t="s">
        <v>667</v>
      </c>
      <c r="I36" s="295">
        <v>20</v>
      </c>
      <c r="J36" s="340" t="str">
        <f>IF('DANE CONTROLLINGU'!M36&lt;&gt;0,'DANE CONTROLLINGU'!N36,"")</f>
        <v/>
      </c>
      <c r="K36" s="295">
        <f>ROUND('DANE CONTROLLINGU'!L36*1000,3)</f>
        <v>0</v>
      </c>
      <c r="L36" s="293" t="s">
        <v>672</v>
      </c>
      <c r="M36" s="341" t="str">
        <f>IF(T38&lt;&gt;0,ROUND(((100-T38)/T38)*100,2),IF(J36&lt;&gt;"",T36,""))</f>
        <v/>
      </c>
      <c r="N36" s="314" t="str">
        <f>IF(T38&lt;&gt;0,ROUND(((100-T38)/T38)*100,2),IF(J36&lt;&gt;"",T36,""))</f>
        <v/>
      </c>
      <c r="AL36" s="293" t="s">
        <v>156</v>
      </c>
      <c r="AM36" s="293" t="s">
        <v>157</v>
      </c>
      <c r="AQ36" s="429">
        <v>2500</v>
      </c>
      <c r="AR36" s="429">
        <v>1700</v>
      </c>
      <c r="AS36" s="429">
        <v>500</v>
      </c>
      <c r="AT36" s="429">
        <v>200</v>
      </c>
      <c r="AW36" s="299" t="str">
        <f t="shared" si="7"/>
        <v>TH02</v>
      </c>
      <c r="AX36" s="299" t="str">
        <f t="shared" si="8"/>
        <v/>
      </c>
      <c r="AY36" s="286">
        <f t="shared" si="6"/>
        <v>36</v>
      </c>
      <c r="AZ36" s="319" t="str">
        <f t="shared" si="5"/>
        <v>AX36;</v>
      </c>
    </row>
    <row r="37" spans="1:52" ht="15" customHeight="1" thickBot="1">
      <c r="A37" s="666"/>
      <c r="B37" s="311" t="s">
        <v>557</v>
      </c>
      <c r="C37" s="292" t="s">
        <v>157</v>
      </c>
      <c r="D37" s="295" t="str">
        <f t="shared" si="9"/>
        <v/>
      </c>
      <c r="E37" s="110" t="str">
        <f>IF(E35&lt;&gt;"",E35,"")</f>
        <v/>
      </c>
      <c r="F37" s="295" t="s">
        <v>156</v>
      </c>
      <c r="G37" s="313" t="str">
        <f>IF(AND(G35&lt;&gt;"",J37&lt;&gt;""),G35,"")</f>
        <v/>
      </c>
      <c r="H37" s="295" t="s">
        <v>667</v>
      </c>
      <c r="I37" s="295">
        <v>30</v>
      </c>
      <c r="J37" s="351"/>
      <c r="L37" s="293" t="s">
        <v>672</v>
      </c>
      <c r="M37" s="341" t="str">
        <f>IF(T38&lt;&gt;0,ROUND(((100-T38)/T38)*100,2),IF(J37&lt;&gt;"",T37,""))</f>
        <v/>
      </c>
      <c r="N37" s="314" t="str">
        <f>IF(T38&lt;&gt;0,ROUND(((100-T38)/T38)*100,2),IF(J37&lt;&gt;"",T37,""))</f>
        <v/>
      </c>
      <c r="AL37" s="293" t="s">
        <v>156</v>
      </c>
      <c r="AM37" s="293" t="s">
        <v>157</v>
      </c>
      <c r="AQ37" s="429">
        <v>2500</v>
      </c>
      <c r="AR37" s="429">
        <v>1700</v>
      </c>
      <c r="AS37" s="429">
        <v>500</v>
      </c>
      <c r="AT37" s="429">
        <v>200</v>
      </c>
      <c r="AW37" s="299" t="str">
        <f t="shared" si="7"/>
        <v>TH02</v>
      </c>
      <c r="AX37" s="299" t="str">
        <f t="shared" si="8"/>
        <v/>
      </c>
      <c r="AY37" s="286">
        <f t="shared" si="6"/>
        <v>37</v>
      </c>
      <c r="AZ37" s="319" t="str">
        <f t="shared" si="5"/>
        <v>AX37;</v>
      </c>
    </row>
    <row r="38" spans="1:52" s="319" customFormat="1" ht="15" customHeight="1" thickBot="1">
      <c r="A38" s="666"/>
      <c r="B38" s="315" t="s">
        <v>557</v>
      </c>
      <c r="C38" s="316" t="s">
        <v>157</v>
      </c>
      <c r="D38" s="317" t="str">
        <f t="shared" si="9"/>
        <v/>
      </c>
      <c r="E38" s="110" t="str">
        <f t="shared" ref="E38" si="11">IF(E35&lt;&gt;"",E35,"")</f>
        <v/>
      </c>
      <c r="F38" s="317" t="s">
        <v>156</v>
      </c>
      <c r="G38" s="313" t="str">
        <f>IF(G35="X","X","")</f>
        <v/>
      </c>
      <c r="H38" s="317" t="s">
        <v>669</v>
      </c>
      <c r="I38" s="317"/>
      <c r="J38" s="317"/>
      <c r="N38" s="314"/>
      <c r="O38" s="320" t="s">
        <v>670</v>
      </c>
      <c r="P38" s="317" t="s">
        <v>156</v>
      </c>
      <c r="Q38" s="320">
        <f>$Q$11</f>
        <v>0</v>
      </c>
      <c r="R38" s="323"/>
      <c r="S38" s="324"/>
      <c r="T38" s="323"/>
      <c r="U38" s="324"/>
      <c r="V38" s="324"/>
      <c r="W38" s="324"/>
      <c r="X38" s="324"/>
      <c r="Y38" s="324"/>
      <c r="Z38" s="324"/>
      <c r="AA38" s="324"/>
      <c r="AB38" s="324"/>
      <c r="AC38" s="324"/>
      <c r="AD38" s="324"/>
      <c r="AL38" s="319" t="s">
        <v>156</v>
      </c>
      <c r="AM38" s="319" t="s">
        <v>157</v>
      </c>
      <c r="AQ38" s="431">
        <v>2500</v>
      </c>
      <c r="AR38" s="431">
        <v>1700</v>
      </c>
      <c r="AS38" s="431">
        <v>500</v>
      </c>
      <c r="AT38" s="431">
        <v>200</v>
      </c>
      <c r="AU38" s="431"/>
      <c r="AV38" s="480" t="str">
        <f>IF(AND(AR$1&lt;&gt;0,AT$1&lt;&gt;0),IF(AND($AR$1&lt;=AQ38,$AT$1&lt;=AR38,$AR$1&gt;=AS38,$AT$1&gt;=AT38),"OK","NOK"),"")</f>
        <v>OK</v>
      </c>
      <c r="AW38" s="299" t="str">
        <f t="shared" si="7"/>
        <v>TH02</v>
      </c>
      <c r="AX38" s="299" t="str">
        <f t="shared" si="8"/>
        <v/>
      </c>
      <c r="AY38" s="286">
        <f t="shared" si="6"/>
        <v>38</v>
      </c>
      <c r="AZ38" s="319" t="str">
        <f t="shared" si="5"/>
        <v>AX38;</v>
      </c>
    </row>
    <row r="39" spans="1:52" s="286" customFormat="1" ht="15" customHeight="1" thickBot="1">
      <c r="A39" s="666"/>
      <c r="B39" s="308" t="s">
        <v>558</v>
      </c>
      <c r="C39" s="285" t="s">
        <v>619</v>
      </c>
      <c r="D39" s="289" t="str">
        <f t="shared" si="9"/>
        <v/>
      </c>
      <c r="E39" s="287" t="str">
        <f>IFERROR(IF($G$30&lt;&gt;"",IF(G39="x",IF(F39=$G$30,"V1",IF(AF39=1,"V2",IF(AND(AF39=$AF$30,AF39&lt;&gt;1),"V"&amp;$AG$30+1,"V"&amp;AF39+1))),""),""),"Wprowadź urządzenie bazowe")</f>
        <v/>
      </c>
      <c r="F39" s="289" t="s">
        <v>555</v>
      </c>
      <c r="G39" s="309"/>
      <c r="H39" s="289" t="s">
        <v>667</v>
      </c>
      <c r="I39" s="289">
        <v>10</v>
      </c>
      <c r="J39" s="289" t="str">
        <f>IFERROR(IF(VALUE(MID(D30,2,2))&lt;9,"$HLB1-L0"&amp;(RIGHT(D30,1)+1),"$HLB1-L"&amp;(MID(D30,2,2)+1)),"Uzupełnij poziom")</f>
        <v>Uzupełnij poziom</v>
      </c>
      <c r="K39" s="286">
        <v>1000</v>
      </c>
      <c r="L39" s="286" t="s">
        <v>668</v>
      </c>
      <c r="N39" s="310">
        <f>IF(T42&lt;&gt;0,ROUND(((100-T42)/T42)*100,2),IF(J39&lt;&gt;"",T39,""))</f>
        <v>0</v>
      </c>
      <c r="O39" s="289"/>
      <c r="P39" s="289"/>
      <c r="Q39" s="289"/>
      <c r="S39" s="291"/>
      <c r="U39" s="291"/>
      <c r="V39" s="291"/>
      <c r="W39" s="291"/>
      <c r="X39" s="291"/>
      <c r="Y39" s="291"/>
      <c r="Z39" s="291"/>
      <c r="AA39" s="291"/>
      <c r="AB39" s="291"/>
      <c r="AC39" s="291"/>
      <c r="AD39" s="291"/>
      <c r="AE39" s="286" t="str">
        <f>UPPER(G39)</f>
        <v/>
      </c>
      <c r="AF39" s="286">
        <f>COUNTIF($AE$31:AE42,"X")</f>
        <v>0</v>
      </c>
      <c r="AL39" s="286" t="s">
        <v>555</v>
      </c>
      <c r="AM39" s="286" t="s">
        <v>619</v>
      </c>
      <c r="AQ39" s="430">
        <v>2700</v>
      </c>
      <c r="AR39" s="430">
        <v>1700</v>
      </c>
      <c r="AS39" s="430">
        <v>380</v>
      </c>
      <c r="AT39" s="430">
        <v>380</v>
      </c>
      <c r="AU39" s="430"/>
      <c r="AV39" s="430"/>
      <c r="AW39" s="299" t="str">
        <f t="shared" si="7"/>
        <v>TH03</v>
      </c>
      <c r="AX39" s="299" t="str">
        <f t="shared" si="8"/>
        <v/>
      </c>
      <c r="AY39" s="286">
        <f t="shared" si="6"/>
        <v>39</v>
      </c>
      <c r="AZ39" s="319" t="str">
        <f t="shared" si="5"/>
        <v>AX39;</v>
      </c>
    </row>
    <row r="40" spans="1:52" ht="15" customHeight="1" thickBot="1">
      <c r="A40" s="666"/>
      <c r="B40" s="311" t="s">
        <v>558</v>
      </c>
      <c r="C40" s="292" t="s">
        <v>619</v>
      </c>
      <c r="D40" s="295" t="str">
        <f t="shared" si="9"/>
        <v/>
      </c>
      <c r="E40" s="110" t="str">
        <f t="shared" ref="E40" si="12">IF(E39&lt;&gt;"",E39,"")</f>
        <v/>
      </c>
      <c r="F40" s="295" t="s">
        <v>555</v>
      </c>
      <c r="G40" s="313" t="str">
        <f>IF(AND(G39&lt;&gt;"",J40&lt;&gt;""),G39,"")</f>
        <v/>
      </c>
      <c r="H40" s="295" t="s">
        <v>667</v>
      </c>
      <c r="I40" s="295">
        <v>20</v>
      </c>
      <c r="J40" s="340" t="str">
        <f>IF('DANE CONTROLLINGU'!M36&lt;&gt;0,'DANE CONTROLLINGU'!N36,"")</f>
        <v/>
      </c>
      <c r="K40" s="295">
        <f>ROUND('DANE CONTROLLINGU'!L36*1000,3)</f>
        <v>0</v>
      </c>
      <c r="L40" s="293" t="s">
        <v>672</v>
      </c>
      <c r="M40" s="341" t="str">
        <f>IF(T42&lt;&gt;0,ROUND(((100-T42)/T42)*100,2),IF(J40&lt;&gt;"",T40,""))</f>
        <v/>
      </c>
      <c r="N40" s="314" t="str">
        <f>IF(T42&lt;&gt;0,ROUND(((100-T42)/T42)*100,2),IF(J40&lt;&gt;"",T40,""))</f>
        <v/>
      </c>
      <c r="AL40" s="293" t="s">
        <v>555</v>
      </c>
      <c r="AM40" s="293" t="s">
        <v>619</v>
      </c>
      <c r="AQ40" s="429">
        <v>2700</v>
      </c>
      <c r="AR40" s="429">
        <v>1700</v>
      </c>
      <c r="AS40" s="429">
        <v>380</v>
      </c>
      <c r="AT40" s="429">
        <v>380</v>
      </c>
      <c r="AW40" s="299" t="str">
        <f t="shared" si="7"/>
        <v>TH03</v>
      </c>
      <c r="AX40" s="299" t="str">
        <f t="shared" si="8"/>
        <v/>
      </c>
      <c r="AY40" s="286">
        <f t="shared" si="6"/>
        <v>40</v>
      </c>
      <c r="AZ40" s="319" t="str">
        <f t="shared" si="5"/>
        <v>AX40;</v>
      </c>
    </row>
    <row r="41" spans="1:52" ht="15" customHeight="1" thickBot="1">
      <c r="A41" s="666"/>
      <c r="B41" s="311" t="s">
        <v>558</v>
      </c>
      <c r="C41" s="292" t="s">
        <v>619</v>
      </c>
      <c r="D41" s="295" t="str">
        <f t="shared" si="9"/>
        <v/>
      </c>
      <c r="E41" s="110" t="str">
        <f>IF(E39&lt;&gt;"",E39,"")</f>
        <v/>
      </c>
      <c r="F41" s="295" t="s">
        <v>555</v>
      </c>
      <c r="G41" s="313" t="str">
        <f>IF(AND(G39&lt;&gt;"",J41&lt;&gt;""),G39,"")</f>
        <v/>
      </c>
      <c r="H41" s="295" t="s">
        <v>667</v>
      </c>
      <c r="I41" s="295">
        <v>30</v>
      </c>
      <c r="J41" s="351"/>
      <c r="L41" s="293" t="s">
        <v>672</v>
      </c>
      <c r="M41" s="341" t="str">
        <f>IF(T42&lt;&gt;0,ROUND(((100-T42)/T42)*100,2),IF(J41&lt;&gt;"",T41,""))</f>
        <v/>
      </c>
      <c r="N41" s="314" t="str">
        <f>IF(T42&lt;&gt;0,ROUND(((100-T42)/T42)*100,2),IF(J41&lt;&gt;"",T41,""))</f>
        <v/>
      </c>
      <c r="AL41" s="293" t="s">
        <v>555</v>
      </c>
      <c r="AM41" s="293" t="s">
        <v>619</v>
      </c>
      <c r="AQ41" s="429">
        <v>2700</v>
      </c>
      <c r="AR41" s="429">
        <v>1700</v>
      </c>
      <c r="AS41" s="429">
        <v>380</v>
      </c>
      <c r="AT41" s="429">
        <v>380</v>
      </c>
      <c r="AW41" s="299" t="str">
        <f t="shared" si="7"/>
        <v>TH03</v>
      </c>
      <c r="AX41" s="299" t="str">
        <f t="shared" si="8"/>
        <v/>
      </c>
      <c r="AY41" s="286">
        <f t="shared" si="6"/>
        <v>41</v>
      </c>
      <c r="AZ41" s="319" t="str">
        <f t="shared" si="5"/>
        <v>AX41;</v>
      </c>
    </row>
    <row r="42" spans="1:52" s="319" customFormat="1" ht="15" customHeight="1" thickBot="1">
      <c r="A42" s="666"/>
      <c r="B42" s="315" t="s">
        <v>558</v>
      </c>
      <c r="C42" s="316" t="s">
        <v>619</v>
      </c>
      <c r="D42" s="317" t="str">
        <f t="shared" si="9"/>
        <v/>
      </c>
      <c r="E42" s="110" t="str">
        <f t="shared" ref="E42" si="13">IF(E39&lt;&gt;"",E39,"")</f>
        <v/>
      </c>
      <c r="F42" s="317" t="s">
        <v>555</v>
      </c>
      <c r="G42" s="313" t="str">
        <f>IF(G39="X","X","")</f>
        <v/>
      </c>
      <c r="H42" s="317" t="s">
        <v>669</v>
      </c>
      <c r="I42" s="317"/>
      <c r="J42" s="317"/>
      <c r="N42" s="314"/>
      <c r="O42" s="320" t="s">
        <v>670</v>
      </c>
      <c r="P42" s="317" t="s">
        <v>555</v>
      </c>
      <c r="Q42" s="320">
        <f>$Q$11</f>
        <v>0</v>
      </c>
      <c r="R42" s="323"/>
      <c r="S42" s="324"/>
      <c r="T42" s="323"/>
      <c r="U42" s="324"/>
      <c r="V42" s="324"/>
      <c r="W42" s="324"/>
      <c r="X42" s="324"/>
      <c r="Y42" s="324"/>
      <c r="Z42" s="324"/>
      <c r="AA42" s="324"/>
      <c r="AB42" s="324"/>
      <c r="AC42" s="324"/>
      <c r="AD42" s="324"/>
      <c r="AL42" s="319" t="s">
        <v>555</v>
      </c>
      <c r="AM42" s="319" t="s">
        <v>619</v>
      </c>
      <c r="AQ42" s="431">
        <v>2700</v>
      </c>
      <c r="AR42" s="431">
        <v>1700</v>
      </c>
      <c r="AS42" s="431">
        <v>380</v>
      </c>
      <c r="AT42" s="431">
        <v>380</v>
      </c>
      <c r="AU42" s="431"/>
      <c r="AV42" s="480" t="str">
        <f>IF(AND(AR$1&lt;&gt;0,AT$1&lt;&gt;0),IF(AND($AR$1&lt;=AQ42,$AT$1&lt;=AR42,$AR$1&gt;=AS42,$AT$1&gt;=AT42),"OK","NOK"),"")</f>
        <v>OK</v>
      </c>
      <c r="AW42" s="299" t="str">
        <f t="shared" si="7"/>
        <v>TH03</v>
      </c>
      <c r="AX42" s="299" t="str">
        <f t="shared" si="8"/>
        <v/>
      </c>
      <c r="AY42" s="286">
        <f t="shared" si="6"/>
        <v>42</v>
      </c>
      <c r="AZ42" s="319" t="str">
        <f t="shared" si="5"/>
        <v>AX42;</v>
      </c>
    </row>
    <row r="43" spans="1:52" s="286" customFormat="1" ht="16.5" customHeight="1" thickBot="1">
      <c r="A43" s="666"/>
      <c r="B43" s="308" t="s">
        <v>357</v>
      </c>
      <c r="C43" s="285" t="s">
        <v>312</v>
      </c>
      <c r="D43" s="289" t="str">
        <f t="shared" si="9"/>
        <v/>
      </c>
      <c r="E43" s="287" t="str">
        <f>IFERROR(IF($G$30&lt;&gt;"",IF(G43="x",IF(F43=$G$30,"V1",IF(AF43=1,"V2",IF(AND(AF43=$AF$30,AF43&lt;&gt;1),"V"&amp;$AG$30+1,"V"&amp;AF43+1))),""),""),"Wprowadź urządzenie bazowe")</f>
        <v/>
      </c>
      <c r="F43" s="289" t="s">
        <v>299</v>
      </c>
      <c r="G43" s="309"/>
      <c r="H43" s="289" t="s">
        <v>667</v>
      </c>
      <c r="I43" s="289">
        <v>10</v>
      </c>
      <c r="J43" s="289" t="str">
        <f>IFERROR(IF(VALUE(MID(D30,2,2))&lt;9,"$HLB1-L0"&amp;(RIGHT(D30,1)+1),"$HLB1-L"&amp;(MID(D30,2,2)+1)),"Uzupełnij poziom")</f>
        <v>Uzupełnij poziom</v>
      </c>
      <c r="K43" s="286">
        <v>1000</v>
      </c>
      <c r="L43" s="286" t="s">
        <v>668</v>
      </c>
      <c r="N43" s="310">
        <f>IF(T46&lt;&gt;0,ROUND(((100-T46)/T46)*100,2),IF(J43&lt;&gt;"",T43,""))</f>
        <v>0</v>
      </c>
      <c r="O43" s="289"/>
      <c r="P43" s="289"/>
      <c r="Q43" s="289"/>
      <c r="S43" s="291"/>
      <c r="U43" s="291"/>
      <c r="V43" s="291"/>
      <c r="W43" s="291"/>
      <c r="X43" s="291"/>
      <c r="Y43" s="291"/>
      <c r="Z43" s="291"/>
      <c r="AA43" s="291"/>
      <c r="AB43" s="291"/>
      <c r="AC43" s="291"/>
      <c r="AD43" s="291"/>
      <c r="AE43" s="286" t="str">
        <f>UPPER(G43)</f>
        <v/>
      </c>
      <c r="AF43" s="286">
        <f>COUNTIF($AE$31:AE46,"X")</f>
        <v>0</v>
      </c>
      <c r="AL43" s="286" t="s">
        <v>299</v>
      </c>
      <c r="AM43" s="286" t="s">
        <v>312</v>
      </c>
      <c r="AQ43" s="430">
        <v>1800</v>
      </c>
      <c r="AR43" s="430">
        <v>1200</v>
      </c>
      <c r="AS43" s="430">
        <v>350</v>
      </c>
      <c r="AT43" s="430">
        <v>200</v>
      </c>
      <c r="AU43" s="430"/>
      <c r="AV43" s="430"/>
      <c r="AW43" s="299" t="str">
        <f t="shared" si="7"/>
        <v>GER1</v>
      </c>
      <c r="AX43" s="299" t="str">
        <f t="shared" si="8"/>
        <v/>
      </c>
      <c r="AY43" s="286">
        <f t="shared" si="6"/>
        <v>43</v>
      </c>
      <c r="AZ43" s="319" t="str">
        <f t="shared" si="5"/>
        <v>AX43;</v>
      </c>
    </row>
    <row r="44" spans="1:52" ht="16.5" customHeight="1" thickBot="1">
      <c r="A44" s="666"/>
      <c r="B44" s="311" t="s">
        <v>357</v>
      </c>
      <c r="C44" s="292" t="s">
        <v>312</v>
      </c>
      <c r="D44" s="295" t="str">
        <f t="shared" si="9"/>
        <v/>
      </c>
      <c r="E44" s="110" t="str">
        <f t="shared" ref="E44" si="14">IF(E43&lt;&gt;"",E43,"")</f>
        <v/>
      </c>
      <c r="F44" s="295" t="s">
        <v>299</v>
      </c>
      <c r="G44" s="313" t="str">
        <f>IF(AND(G43&lt;&gt;"",J44&lt;&gt;""),G43,"")</f>
        <v/>
      </c>
      <c r="H44" s="295" t="s">
        <v>667</v>
      </c>
      <c r="I44" s="295">
        <v>20</v>
      </c>
      <c r="J44" s="340" t="str">
        <f>IF('DANE CONTROLLINGU'!M36&lt;&gt;0,'DANE CONTROLLINGU'!N36,"")</f>
        <v/>
      </c>
      <c r="K44" s="295">
        <f>ROUND('DANE CONTROLLINGU'!L36*1000,3)</f>
        <v>0</v>
      </c>
      <c r="L44" s="293" t="s">
        <v>672</v>
      </c>
      <c r="M44" s="341" t="str">
        <f>IF(T46&lt;&gt;0,ROUND(((100-T46)/T46)*100,2),IF(J44&lt;&gt;"",T44,""))</f>
        <v/>
      </c>
      <c r="N44" s="314" t="str">
        <f>IF(T46&lt;&gt;0,ROUND(((100-T46)/T46)*100,2),IF(J44&lt;&gt;"",T44,""))</f>
        <v/>
      </c>
      <c r="AL44" s="293" t="s">
        <v>299</v>
      </c>
      <c r="AM44" s="293" t="s">
        <v>312</v>
      </c>
      <c r="AQ44" s="429">
        <v>1800</v>
      </c>
      <c r="AR44" s="429">
        <v>1200</v>
      </c>
      <c r="AS44" s="429">
        <v>350</v>
      </c>
      <c r="AT44" s="429">
        <v>200</v>
      </c>
      <c r="AW44" s="299" t="str">
        <f t="shared" si="7"/>
        <v>GER1</v>
      </c>
      <c r="AX44" s="299" t="str">
        <f t="shared" si="8"/>
        <v/>
      </c>
      <c r="AY44" s="286">
        <f t="shared" si="6"/>
        <v>44</v>
      </c>
      <c r="AZ44" s="319" t="str">
        <f t="shared" si="5"/>
        <v>AX44;</v>
      </c>
    </row>
    <row r="45" spans="1:52" ht="15" customHeight="1" thickBot="1">
      <c r="A45" s="666"/>
      <c r="B45" s="311" t="s">
        <v>357</v>
      </c>
      <c r="C45" s="292" t="s">
        <v>312</v>
      </c>
      <c r="D45" s="295" t="str">
        <f t="shared" si="9"/>
        <v/>
      </c>
      <c r="E45" s="110" t="str">
        <f>IF(E43&lt;&gt;"",E43,"")</f>
        <v/>
      </c>
      <c r="F45" s="295" t="s">
        <v>299</v>
      </c>
      <c r="G45" s="313" t="str">
        <f>IF(AND(G43&lt;&gt;"",J45&lt;&gt;""),G43,"")</f>
        <v/>
      </c>
      <c r="H45" s="295" t="s">
        <v>667</v>
      </c>
      <c r="I45" s="295">
        <v>30</v>
      </c>
      <c r="J45" s="351"/>
      <c r="L45" s="293" t="s">
        <v>672</v>
      </c>
      <c r="M45" s="341" t="str">
        <f>IF(T46&lt;&gt;0,ROUND(((100-T46)/T46)*100,2),IF(J45&lt;&gt;"",T45,""))</f>
        <v/>
      </c>
      <c r="N45" s="314" t="str">
        <f>IF(T46&lt;&gt;0,ROUND(((100-T46)/T46)*100,2),IF(J45&lt;&gt;"",T45,""))</f>
        <v/>
      </c>
      <c r="AL45" s="293" t="s">
        <v>299</v>
      </c>
      <c r="AM45" s="293" t="s">
        <v>312</v>
      </c>
      <c r="AQ45" s="429">
        <v>1800</v>
      </c>
      <c r="AR45" s="429">
        <v>1200</v>
      </c>
      <c r="AS45" s="429">
        <v>350</v>
      </c>
      <c r="AT45" s="429">
        <v>200</v>
      </c>
      <c r="AW45" s="299" t="str">
        <f t="shared" si="7"/>
        <v>GER1</v>
      </c>
      <c r="AX45" s="299" t="str">
        <f t="shared" si="8"/>
        <v/>
      </c>
      <c r="AY45" s="286">
        <f t="shared" si="6"/>
        <v>45</v>
      </c>
      <c r="AZ45" s="319" t="str">
        <f t="shared" si="5"/>
        <v>AX45;</v>
      </c>
    </row>
    <row r="46" spans="1:52" s="319" customFormat="1" ht="14.25" customHeight="1" thickBot="1">
      <c r="A46" s="666"/>
      <c r="B46" s="315" t="s">
        <v>357</v>
      </c>
      <c r="C46" s="316" t="s">
        <v>312</v>
      </c>
      <c r="D46" s="317" t="str">
        <f t="shared" si="9"/>
        <v/>
      </c>
      <c r="E46" s="110" t="str">
        <f t="shared" ref="E46" si="15">IF(E43&lt;&gt;"",E43,"")</f>
        <v/>
      </c>
      <c r="F46" s="317" t="s">
        <v>299</v>
      </c>
      <c r="G46" s="313" t="str">
        <f>IF(G43="X","X","")</f>
        <v/>
      </c>
      <c r="H46" s="317" t="s">
        <v>669</v>
      </c>
      <c r="I46" s="317"/>
      <c r="J46" s="317"/>
      <c r="N46" s="314"/>
      <c r="O46" s="320" t="s">
        <v>670</v>
      </c>
      <c r="P46" s="317" t="s">
        <v>299</v>
      </c>
      <c r="Q46" s="320">
        <f>$Q$11</f>
        <v>0</v>
      </c>
      <c r="R46" s="323"/>
      <c r="S46" s="324"/>
      <c r="T46" s="323"/>
      <c r="U46" s="324"/>
      <c r="V46" s="324"/>
      <c r="W46" s="324"/>
      <c r="X46" s="324"/>
      <c r="Y46" s="324"/>
      <c r="Z46" s="324"/>
      <c r="AA46" s="324"/>
      <c r="AB46" s="324"/>
      <c r="AC46" s="324"/>
      <c r="AD46" s="324"/>
      <c r="AL46" s="319" t="s">
        <v>299</v>
      </c>
      <c r="AM46" s="319" t="s">
        <v>312</v>
      </c>
      <c r="AQ46" s="431">
        <v>1800</v>
      </c>
      <c r="AR46" s="431">
        <v>1200</v>
      </c>
      <c r="AS46" s="431">
        <v>350</v>
      </c>
      <c r="AT46" s="431">
        <v>200</v>
      </c>
      <c r="AU46" s="431"/>
      <c r="AV46" s="480" t="str">
        <f>IF(AND(AR$1&lt;&gt;0,AT$1&lt;&gt;0),IF(AND($AR$1&lt;=AQ46,$AT$1&lt;=AR46,$AR$1&gt;=AS46,$AT$1&gt;=AT46),"OK","NOK"),"")</f>
        <v>OK</v>
      </c>
      <c r="AW46" s="299" t="str">
        <f t="shared" si="7"/>
        <v>GER1</v>
      </c>
      <c r="AX46" s="299" t="str">
        <f t="shared" si="8"/>
        <v/>
      </c>
      <c r="AY46" s="286">
        <f t="shared" si="6"/>
        <v>46</v>
      </c>
      <c r="AZ46" s="319" t="str">
        <f t="shared" si="5"/>
        <v>AX46;</v>
      </c>
    </row>
    <row r="47" spans="1:52" s="286" customFormat="1" ht="16.5" customHeight="1" thickBot="1">
      <c r="A47" s="666"/>
      <c r="B47" s="308" t="s">
        <v>567</v>
      </c>
      <c r="C47" s="285" t="s">
        <v>133</v>
      </c>
      <c r="D47" s="289" t="str">
        <f t="shared" si="9"/>
        <v/>
      </c>
      <c r="E47" s="287" t="str">
        <f>IFERROR(IF($G$30&lt;&gt;"",IF(G47="x",IF(F47=$G$30,"V1",IF(AF47=1,"V2",IF(AND(AF47=$AF$30,AF47&lt;&gt;1),"V"&amp;$AG$30+1,"V"&amp;AF47+1))),""),""),"Wprowadź urządzenie bazowe")</f>
        <v/>
      </c>
      <c r="F47" s="289" t="s">
        <v>132</v>
      </c>
      <c r="G47" s="309" t="str">
        <f>IF($G$30=F47,"X","")</f>
        <v/>
      </c>
      <c r="H47" s="289" t="s">
        <v>667</v>
      </c>
      <c r="I47" s="289">
        <v>10</v>
      </c>
      <c r="J47" s="289" t="str">
        <f>IFERROR(IF(VALUE(MID(D30,2,2))&lt;9,"$HLB1-L0"&amp;(RIGHT(D30,1)+1),"$HLB1-L"&amp;(MID(D30,2,2)+1)),"Uzupełnij poziom")</f>
        <v>Uzupełnij poziom</v>
      </c>
      <c r="K47" s="286">
        <v>1000</v>
      </c>
      <c r="L47" s="286" t="s">
        <v>668</v>
      </c>
      <c r="N47" s="310">
        <f>IF(T50&lt;&gt;0,ROUND(((100-T50)/T50)*100,2),IF(J47&lt;&gt;"",T47,""))</f>
        <v>0</v>
      </c>
      <c r="O47" s="289"/>
      <c r="P47" s="289"/>
      <c r="Q47" s="289"/>
      <c r="S47" s="291"/>
      <c r="U47" s="291"/>
      <c r="V47" s="291"/>
      <c r="W47" s="291"/>
      <c r="X47" s="291"/>
      <c r="Y47" s="291"/>
      <c r="Z47" s="291"/>
      <c r="AA47" s="291"/>
      <c r="AB47" s="291"/>
      <c r="AC47" s="291"/>
      <c r="AD47" s="291"/>
      <c r="AE47" s="286" t="str">
        <f>UPPER(G47)</f>
        <v/>
      </c>
      <c r="AF47" s="286">
        <f>COUNTIF($AE$31:AE50,"X")</f>
        <v>0</v>
      </c>
      <c r="AL47" s="286" t="s">
        <v>132</v>
      </c>
      <c r="AM47" s="286" t="s">
        <v>133</v>
      </c>
      <c r="AQ47" s="430">
        <v>2500</v>
      </c>
      <c r="AR47" s="430">
        <v>1540</v>
      </c>
      <c r="AS47" s="430"/>
      <c r="AT47" s="430"/>
      <c r="AU47" s="430"/>
      <c r="AV47" s="430"/>
      <c r="AW47" s="299" t="str">
        <f t="shared" si="7"/>
        <v>FL01</v>
      </c>
      <c r="AX47" s="299" t="str">
        <f t="shared" si="8"/>
        <v/>
      </c>
      <c r="AY47" s="286">
        <f t="shared" si="6"/>
        <v>47</v>
      </c>
      <c r="AZ47" s="319" t="str">
        <f t="shared" si="5"/>
        <v>AX47;</v>
      </c>
    </row>
    <row r="48" spans="1:52" ht="16.5" customHeight="1" thickBot="1">
      <c r="A48" s="666"/>
      <c r="B48" s="311" t="s">
        <v>567</v>
      </c>
      <c r="C48" s="292" t="s">
        <v>133</v>
      </c>
      <c r="D48" s="295" t="str">
        <f t="shared" si="9"/>
        <v/>
      </c>
      <c r="E48" s="110" t="str">
        <f t="shared" ref="E48" si="16">IF(E47&lt;&gt;"",E47,"")</f>
        <v/>
      </c>
      <c r="F48" s="295" t="s">
        <v>132</v>
      </c>
      <c r="G48" s="313" t="str">
        <f>IF(AND(G47&lt;&gt;"",J48&lt;&gt;""),G47,"")</f>
        <v/>
      </c>
      <c r="H48" s="295" t="s">
        <v>667</v>
      </c>
      <c r="I48" s="295">
        <v>20</v>
      </c>
      <c r="J48" s="340" t="str">
        <f>IF('DANE CONTROLLINGU'!M36&lt;&gt;0,'DANE CONTROLLINGU'!N36,"")</f>
        <v/>
      </c>
      <c r="K48" s="295">
        <f>ROUND('DANE CONTROLLINGU'!L36*1000,3)</f>
        <v>0</v>
      </c>
      <c r="L48" s="293" t="s">
        <v>672</v>
      </c>
      <c r="M48" s="341" t="str">
        <f>IF(T50&lt;&gt;0,ROUND(((100-T50)/T50)*100,2),IF(J48&lt;&gt;"",T48,""))</f>
        <v/>
      </c>
      <c r="N48" s="314" t="str">
        <f>IF(T50&lt;&gt;0,ROUND(((100-T50)/T50)*100,2),IF(J48&lt;&gt;"",T48,""))</f>
        <v/>
      </c>
      <c r="AL48" s="293" t="s">
        <v>132</v>
      </c>
      <c r="AM48" s="293" t="s">
        <v>133</v>
      </c>
      <c r="AQ48" s="429">
        <v>2500</v>
      </c>
      <c r="AR48" s="429">
        <v>1540</v>
      </c>
      <c r="AW48" s="299" t="str">
        <f t="shared" si="7"/>
        <v>FL01</v>
      </c>
      <c r="AX48" s="299" t="str">
        <f t="shared" si="8"/>
        <v/>
      </c>
      <c r="AY48" s="286">
        <f t="shared" si="6"/>
        <v>48</v>
      </c>
      <c r="AZ48" s="319" t="str">
        <f t="shared" si="5"/>
        <v>AX48;</v>
      </c>
    </row>
    <row r="49" spans="1:52" ht="15" customHeight="1" thickBot="1">
      <c r="A49" s="666"/>
      <c r="B49" s="311" t="s">
        <v>567</v>
      </c>
      <c r="C49" s="292" t="s">
        <v>133</v>
      </c>
      <c r="D49" s="295" t="str">
        <f t="shared" si="9"/>
        <v/>
      </c>
      <c r="E49" s="110" t="str">
        <f>IF(E47&lt;&gt;"",E47,"")</f>
        <v/>
      </c>
      <c r="F49" s="295" t="s">
        <v>132</v>
      </c>
      <c r="G49" s="313" t="str">
        <f>IF(AND(G47&lt;&gt;"",J49&lt;&gt;""),G47,"")</f>
        <v/>
      </c>
      <c r="H49" s="295" t="s">
        <v>667</v>
      </c>
      <c r="I49" s="295">
        <v>30</v>
      </c>
      <c r="J49" s="351"/>
      <c r="L49" s="293" t="s">
        <v>672</v>
      </c>
      <c r="M49" s="341" t="str">
        <f>IF(T50&lt;&gt;0,ROUND(((100-T50)/T50)*100,2),IF(J49&lt;&gt;"",T49,""))</f>
        <v/>
      </c>
      <c r="N49" s="314" t="str">
        <f>IF(T50&lt;&gt;0,ROUND(((100-T50)/T50)*100,2),IF(J49&lt;&gt;"",T49,""))</f>
        <v/>
      </c>
      <c r="AL49" s="293" t="s">
        <v>132</v>
      </c>
      <c r="AM49" s="293" t="s">
        <v>133</v>
      </c>
      <c r="AQ49" s="429">
        <v>2500</v>
      </c>
      <c r="AR49" s="429">
        <v>1540</v>
      </c>
      <c r="AW49" s="299" t="str">
        <f t="shared" si="7"/>
        <v>FL01</v>
      </c>
      <c r="AX49" s="299" t="str">
        <f t="shared" si="8"/>
        <v/>
      </c>
      <c r="AY49" s="286">
        <f t="shared" si="6"/>
        <v>49</v>
      </c>
      <c r="AZ49" s="319" t="str">
        <f t="shared" si="5"/>
        <v>AX49;</v>
      </c>
    </row>
    <row r="50" spans="1:52" s="319" customFormat="1" ht="14.25" customHeight="1" thickBot="1">
      <c r="A50" s="666"/>
      <c r="B50" s="315" t="s">
        <v>567</v>
      </c>
      <c r="C50" s="316" t="s">
        <v>133</v>
      </c>
      <c r="D50" s="317" t="str">
        <f t="shared" si="9"/>
        <v/>
      </c>
      <c r="E50" s="110" t="str">
        <f t="shared" ref="E50" si="17">IF(E47&lt;&gt;"",E47,"")</f>
        <v/>
      </c>
      <c r="F50" s="317" t="s">
        <v>132</v>
      </c>
      <c r="G50" s="313" t="str">
        <f>IF(G47="X","X","")</f>
        <v/>
      </c>
      <c r="H50" s="317" t="s">
        <v>669</v>
      </c>
      <c r="I50" s="317"/>
      <c r="J50" s="317"/>
      <c r="N50" s="314"/>
      <c r="O50" s="320" t="s">
        <v>670</v>
      </c>
      <c r="P50" s="317" t="s">
        <v>132</v>
      </c>
      <c r="Q50" s="320">
        <f>$Q$11</f>
        <v>0</v>
      </c>
      <c r="R50" s="323"/>
      <c r="S50" s="324"/>
      <c r="T50" s="323"/>
      <c r="U50" s="324"/>
      <c r="V50" s="324"/>
      <c r="W50" s="324"/>
      <c r="X50" s="324"/>
      <c r="Y50" s="324"/>
      <c r="Z50" s="324"/>
      <c r="AA50" s="324"/>
      <c r="AB50" s="324"/>
      <c r="AC50" s="324"/>
      <c r="AD50" s="324"/>
      <c r="AL50" s="319" t="s">
        <v>132</v>
      </c>
      <c r="AM50" s="319" t="s">
        <v>133</v>
      </c>
      <c r="AQ50" s="431">
        <v>2500</v>
      </c>
      <c r="AR50" s="431">
        <v>1540</v>
      </c>
      <c r="AS50" s="479">
        <v>0</v>
      </c>
      <c r="AT50" s="479">
        <v>0</v>
      </c>
      <c r="AU50" s="431"/>
      <c r="AV50" s="480" t="str">
        <f>IF(AND(AR$1&lt;&gt;0,AT$1&lt;&gt;0),IF(AND($AR$1&lt;=AQ50,$AT$1&lt;=AR50,$AR$1&gt;=AS50,$AT$1&gt;=AT50),"OK","NOK"),"")</f>
        <v>OK</v>
      </c>
      <c r="AW50" s="299" t="str">
        <f t="shared" si="7"/>
        <v>FL01</v>
      </c>
      <c r="AX50" s="299" t="str">
        <f t="shared" si="8"/>
        <v/>
      </c>
      <c r="AY50" s="286">
        <f t="shared" si="6"/>
        <v>50</v>
      </c>
      <c r="AZ50" s="319" t="str">
        <f t="shared" si="5"/>
        <v>AX50;</v>
      </c>
    </row>
    <row r="51" spans="1:52" s="286" customFormat="1" ht="16.5" customHeight="1" thickBot="1">
      <c r="A51" s="666"/>
      <c r="B51" s="308" t="s">
        <v>559</v>
      </c>
      <c r="C51" s="285" t="s">
        <v>159</v>
      </c>
      <c r="D51" s="289" t="str">
        <f t="shared" si="9"/>
        <v/>
      </c>
      <c r="E51" s="287" t="str">
        <f>IFERROR(IF($G$30&lt;&gt;"",IF(G51="x",IF(F51=$G$30,"V1",IF(AF51=1,"V2",IF(AND(AF51=$AF$30,AF51&lt;&gt;1),"V"&amp;$AG$30+1,"V"&amp;AF51+1))),""),""),"Wprowadź urządzenie bazowe")</f>
        <v/>
      </c>
      <c r="F51" s="289" t="s">
        <v>158</v>
      </c>
      <c r="G51" s="309"/>
      <c r="H51" s="289" t="s">
        <v>667</v>
      </c>
      <c r="I51" s="289">
        <v>10</v>
      </c>
      <c r="J51" s="289" t="str">
        <f>IFERROR(IF(VALUE(MID(D30,2,2))&lt;9,"$HLB1-L0"&amp;(RIGHT(D30,1)+1),"$HLB1-L"&amp;(MID(D30,2,2)+1)),"Uzupełnij poziom")</f>
        <v>Uzupełnij poziom</v>
      </c>
      <c r="K51" s="286">
        <v>1000</v>
      </c>
      <c r="L51" s="286" t="s">
        <v>668</v>
      </c>
      <c r="N51" s="310">
        <f>IF(T54&lt;&gt;0,ROUND(((100-T54)/T54)*100,2),IF(J51&lt;&gt;"",T51,""))</f>
        <v>0</v>
      </c>
      <c r="O51" s="289"/>
      <c r="P51" s="289"/>
      <c r="Q51" s="289"/>
      <c r="S51" s="291"/>
      <c r="U51" s="291"/>
      <c r="V51" s="291"/>
      <c r="W51" s="291"/>
      <c r="X51" s="291"/>
      <c r="Y51" s="291"/>
      <c r="Z51" s="291"/>
      <c r="AA51" s="291"/>
      <c r="AB51" s="291"/>
      <c r="AC51" s="291"/>
      <c r="AD51" s="291"/>
      <c r="AE51" s="286" t="str">
        <f>UPPER(G51)</f>
        <v/>
      </c>
      <c r="AF51" s="286">
        <f>COUNTIF($AE$31:AE54,"X")</f>
        <v>0</v>
      </c>
      <c r="AL51" s="286" t="s">
        <v>158</v>
      </c>
      <c r="AM51" s="286" t="s">
        <v>159</v>
      </c>
      <c r="AQ51" s="430">
        <v>2500</v>
      </c>
      <c r="AR51" s="430">
        <v>1600</v>
      </c>
      <c r="AS51" s="430"/>
      <c r="AT51" s="430"/>
      <c r="AU51" s="430"/>
      <c r="AV51" s="430"/>
      <c r="AW51" s="299" t="str">
        <f t="shared" si="7"/>
        <v>FL02</v>
      </c>
      <c r="AX51" s="299" t="str">
        <f t="shared" si="8"/>
        <v/>
      </c>
      <c r="AY51" s="286">
        <f t="shared" si="6"/>
        <v>51</v>
      </c>
      <c r="AZ51" s="319" t="str">
        <f t="shared" si="5"/>
        <v>AX51;</v>
      </c>
    </row>
    <row r="52" spans="1:52" ht="16.5" customHeight="1" thickBot="1">
      <c r="A52" s="666"/>
      <c r="B52" s="311" t="s">
        <v>559</v>
      </c>
      <c r="C52" s="292" t="s">
        <v>159</v>
      </c>
      <c r="D52" s="295" t="str">
        <f t="shared" si="9"/>
        <v/>
      </c>
      <c r="E52" s="110" t="str">
        <f t="shared" ref="E52" si="18">IF(E51&lt;&gt;"",E51,"")</f>
        <v/>
      </c>
      <c r="F52" s="295" t="s">
        <v>158</v>
      </c>
      <c r="G52" s="313" t="str">
        <f>IF(AND(G51&lt;&gt;"",J52&lt;&gt;""),G51,"")</f>
        <v/>
      </c>
      <c r="H52" s="295" t="s">
        <v>667</v>
      </c>
      <c r="I52" s="295">
        <v>20</v>
      </c>
      <c r="J52" s="340" t="str">
        <f>IF('DANE CONTROLLINGU'!M36&lt;&gt;0,'DANE CONTROLLINGU'!N36,"")</f>
        <v/>
      </c>
      <c r="K52" s="295">
        <f>ROUND('DANE CONTROLLINGU'!L36*1000,3)</f>
        <v>0</v>
      </c>
      <c r="L52" s="293" t="s">
        <v>672</v>
      </c>
      <c r="M52" s="341" t="str">
        <f>IF(T54&lt;&gt;0,ROUND(((100-T54)/T54)*100,2),IF(J52&lt;&gt;"",T52,""))</f>
        <v/>
      </c>
      <c r="N52" s="314" t="str">
        <f>IF(T54&lt;&gt;0,ROUND(((100-T54)/T54)*100,2),IF(J52&lt;&gt;"",T52,""))</f>
        <v/>
      </c>
      <c r="AL52" s="293" t="s">
        <v>158</v>
      </c>
      <c r="AM52" s="293" t="s">
        <v>159</v>
      </c>
      <c r="AQ52" s="429">
        <v>2500</v>
      </c>
      <c r="AR52" s="429">
        <v>1600</v>
      </c>
      <c r="AW52" s="299" t="str">
        <f t="shared" si="7"/>
        <v>FL02</v>
      </c>
      <c r="AX52" s="299" t="str">
        <f t="shared" si="8"/>
        <v/>
      </c>
      <c r="AY52" s="286">
        <f t="shared" si="6"/>
        <v>52</v>
      </c>
      <c r="AZ52" s="319" t="str">
        <f t="shared" si="5"/>
        <v>AX52;</v>
      </c>
    </row>
    <row r="53" spans="1:52" ht="15" customHeight="1" thickBot="1">
      <c r="A53" s="666"/>
      <c r="B53" s="311" t="s">
        <v>559</v>
      </c>
      <c r="C53" s="292" t="s">
        <v>159</v>
      </c>
      <c r="D53" s="295" t="str">
        <f t="shared" si="9"/>
        <v/>
      </c>
      <c r="E53" s="110" t="str">
        <f>IF(E51&lt;&gt;"",E51,"")</f>
        <v/>
      </c>
      <c r="F53" s="295" t="s">
        <v>158</v>
      </c>
      <c r="G53" s="313" t="str">
        <f>IF(AND(G51&lt;&gt;"",J53&lt;&gt;""),G51,"")</f>
        <v/>
      </c>
      <c r="H53" s="295" t="s">
        <v>667</v>
      </c>
      <c r="I53" s="295">
        <v>30</v>
      </c>
      <c r="J53" s="351"/>
      <c r="L53" s="293" t="s">
        <v>672</v>
      </c>
      <c r="M53" s="341" t="str">
        <f>IF(T54&lt;&gt;0,ROUND(((100-T54)/T54)*100,2),IF(J53&lt;&gt;"",T53,""))</f>
        <v/>
      </c>
      <c r="N53" s="314" t="str">
        <f>IF(T54&lt;&gt;0,ROUND(((100-T54)/T54)*100,2),IF(J53&lt;&gt;"",T53,""))</f>
        <v/>
      </c>
      <c r="AL53" s="293" t="s">
        <v>158</v>
      </c>
      <c r="AM53" s="293" t="s">
        <v>159</v>
      </c>
      <c r="AQ53" s="429">
        <v>2500</v>
      </c>
      <c r="AR53" s="429">
        <v>1600</v>
      </c>
      <c r="AW53" s="299" t="str">
        <f t="shared" si="7"/>
        <v>FL02</v>
      </c>
      <c r="AX53" s="299" t="str">
        <f t="shared" si="8"/>
        <v/>
      </c>
      <c r="AY53" s="286">
        <f t="shared" si="6"/>
        <v>53</v>
      </c>
      <c r="AZ53" s="319" t="str">
        <f t="shared" si="5"/>
        <v>AX53;</v>
      </c>
    </row>
    <row r="54" spans="1:52" s="319" customFormat="1" ht="14.25" customHeight="1" thickBot="1">
      <c r="A54" s="666"/>
      <c r="B54" s="315" t="s">
        <v>559</v>
      </c>
      <c r="C54" s="316" t="s">
        <v>159</v>
      </c>
      <c r="D54" s="317" t="str">
        <f t="shared" si="9"/>
        <v/>
      </c>
      <c r="E54" s="110" t="str">
        <f t="shared" ref="E54" si="19">IF(E51&lt;&gt;"",E51,"")</f>
        <v/>
      </c>
      <c r="F54" s="317" t="s">
        <v>158</v>
      </c>
      <c r="G54" s="313" t="str">
        <f>IF(G51="X","X","")</f>
        <v/>
      </c>
      <c r="H54" s="317" t="s">
        <v>669</v>
      </c>
      <c r="I54" s="317"/>
      <c r="J54" s="317"/>
      <c r="N54" s="314"/>
      <c r="O54" s="320" t="s">
        <v>670</v>
      </c>
      <c r="P54" s="317" t="s">
        <v>158</v>
      </c>
      <c r="Q54" s="320">
        <f>$Q$11</f>
        <v>0</v>
      </c>
      <c r="R54" s="323"/>
      <c r="S54" s="324"/>
      <c r="T54" s="323"/>
      <c r="U54" s="324"/>
      <c r="V54" s="324"/>
      <c r="W54" s="324"/>
      <c r="X54" s="324"/>
      <c r="Y54" s="324"/>
      <c r="Z54" s="324"/>
      <c r="AA54" s="324"/>
      <c r="AB54" s="324"/>
      <c r="AC54" s="324"/>
      <c r="AD54" s="324"/>
      <c r="AL54" s="319" t="s">
        <v>158</v>
      </c>
      <c r="AM54" s="319" t="s">
        <v>159</v>
      </c>
      <c r="AQ54" s="431">
        <v>2500</v>
      </c>
      <c r="AR54" s="431">
        <v>1600</v>
      </c>
      <c r="AS54" s="479">
        <v>0</v>
      </c>
      <c r="AT54" s="479">
        <v>0</v>
      </c>
      <c r="AU54" s="431"/>
      <c r="AV54" s="480" t="str">
        <f>IF(AND(AR$1&lt;&gt;0,AT$1&lt;&gt;0),IF(AND($AR$1&lt;=AQ54,$AT$1&lt;=AR54,$AR$1&gt;=AS54,$AT$1&gt;=AT54),"OK","NOK"),"")</f>
        <v>OK</v>
      </c>
      <c r="AW54" s="299" t="str">
        <f t="shared" si="7"/>
        <v>FL02</v>
      </c>
      <c r="AX54" s="299" t="str">
        <f t="shared" si="8"/>
        <v/>
      </c>
      <c r="AY54" s="286">
        <f t="shared" si="6"/>
        <v>54</v>
      </c>
      <c r="AZ54" s="319" t="str">
        <f t="shared" si="5"/>
        <v>AX54;</v>
      </c>
    </row>
    <row r="55" spans="1:52" s="286" customFormat="1" ht="16.5" customHeight="1" thickBot="1">
      <c r="A55" s="666"/>
      <c r="B55" s="308" t="s">
        <v>346</v>
      </c>
      <c r="C55" s="285" t="s">
        <v>131</v>
      </c>
      <c r="D55" s="289" t="str">
        <f t="shared" si="9"/>
        <v/>
      </c>
      <c r="E55" s="287" t="str">
        <f>IFERROR(IF($G$30&lt;&gt;"",IF(G55="x",IF(F55=$G$30,"V1",IF(AF55=1,"V2",IF(AND(AF55=$AF$30,AF55&lt;&gt;1),"V"&amp;$AG$30+1,"V"&amp;AF55+1))),""),""),"Wprowadź urządzenie bazowe")</f>
        <v/>
      </c>
      <c r="F55" s="289" t="s">
        <v>130</v>
      </c>
      <c r="G55" s="309"/>
      <c r="H55" s="289" t="s">
        <v>667</v>
      </c>
      <c r="I55" s="289">
        <v>10</v>
      </c>
      <c r="J55" s="289" t="str">
        <f>IFERROR(IF(VALUE(MID(D30,2,2))&lt;9,"$HLB1-L0"&amp;(RIGHT(D30,1)+1),"$HLB1-L"&amp;(MID(D30,2,2)+1)),"Uzupełnij poziom")</f>
        <v>Uzupełnij poziom</v>
      </c>
      <c r="K55" s="286">
        <v>1000</v>
      </c>
      <c r="L55" s="286" t="s">
        <v>668</v>
      </c>
      <c r="N55" s="310">
        <f>IF(T58&lt;&gt;0,ROUND(((100-T58)/T58)*100,2),IF(J55&lt;&gt;"",T55,""))</f>
        <v>0</v>
      </c>
      <c r="O55" s="289"/>
      <c r="P55" s="289"/>
      <c r="Q55" s="289"/>
      <c r="S55" s="291"/>
      <c r="U55" s="291"/>
      <c r="V55" s="291"/>
      <c r="W55" s="291"/>
      <c r="X55" s="291"/>
      <c r="Y55" s="291"/>
      <c r="Z55" s="291"/>
      <c r="AA55" s="291"/>
      <c r="AB55" s="291"/>
      <c r="AC55" s="291"/>
      <c r="AD55" s="291"/>
      <c r="AE55" s="286" t="str">
        <f>UPPER(G55)</f>
        <v/>
      </c>
      <c r="AF55" s="286">
        <f>COUNTIF($AE$31:AE58,"X")</f>
        <v>0</v>
      </c>
      <c r="AL55" s="286" t="s">
        <v>130</v>
      </c>
      <c r="AM55" s="286" t="s">
        <v>131</v>
      </c>
      <c r="AQ55" s="430">
        <v>1250</v>
      </c>
      <c r="AR55" s="430">
        <v>750</v>
      </c>
      <c r="AS55" s="430"/>
      <c r="AT55" s="430"/>
      <c r="AU55" s="430"/>
      <c r="AV55" s="430"/>
      <c r="AW55" s="299" t="str">
        <f t="shared" si="7"/>
        <v>SVEC</v>
      </c>
      <c r="AX55" s="299" t="str">
        <f t="shared" si="8"/>
        <v/>
      </c>
      <c r="AY55" s="286">
        <f t="shared" si="6"/>
        <v>55</v>
      </c>
      <c r="AZ55" s="319" t="str">
        <f t="shared" si="5"/>
        <v>AX55;</v>
      </c>
    </row>
    <row r="56" spans="1:52" ht="16.5" customHeight="1" thickBot="1">
      <c r="A56" s="666"/>
      <c r="B56" s="311" t="s">
        <v>346</v>
      </c>
      <c r="C56" s="292" t="s">
        <v>131</v>
      </c>
      <c r="D56" s="295" t="str">
        <f t="shared" si="9"/>
        <v/>
      </c>
      <c r="E56" s="110" t="str">
        <f>IF(E55&lt;&gt;"",E55,"")</f>
        <v/>
      </c>
      <c r="F56" s="295" t="s">
        <v>130</v>
      </c>
      <c r="G56" s="313" t="str">
        <f>IF(AND(G55&lt;&gt;"",J56&lt;&gt;""),G55,"")</f>
        <v/>
      </c>
      <c r="H56" s="295" t="s">
        <v>667</v>
      </c>
      <c r="I56" s="295">
        <v>20</v>
      </c>
      <c r="J56" s="340" t="str">
        <f>IF('DANE CONTROLLINGU'!M36&lt;&gt;0,'DANE CONTROLLINGU'!N36,"")</f>
        <v/>
      </c>
      <c r="K56" s="295">
        <f>ROUND('DANE CONTROLLINGU'!L36*1000,3)</f>
        <v>0</v>
      </c>
      <c r="L56" s="293" t="s">
        <v>672</v>
      </c>
      <c r="M56" s="341" t="str">
        <f>IF(T58&lt;&gt;0,ROUND(((100-T58)/T58)*100,2),IF(J56&lt;&gt;"",T56,""))</f>
        <v/>
      </c>
      <c r="N56" s="314" t="str">
        <f>IF(T58&lt;&gt;0,ROUND(((100-T58)/T58)*100,2),IF(J56&lt;&gt;"",T56,""))</f>
        <v/>
      </c>
      <c r="AL56" s="293" t="s">
        <v>130</v>
      </c>
      <c r="AM56" s="293" t="s">
        <v>131</v>
      </c>
      <c r="AQ56" s="429">
        <v>1250</v>
      </c>
      <c r="AR56" s="429">
        <v>750</v>
      </c>
      <c r="AW56" s="299" t="str">
        <f t="shared" si="7"/>
        <v>SVEC</v>
      </c>
      <c r="AX56" s="299" t="str">
        <f t="shared" si="8"/>
        <v/>
      </c>
      <c r="AY56" s="286">
        <f t="shared" si="6"/>
        <v>56</v>
      </c>
      <c r="AZ56" s="319" t="str">
        <f t="shared" si="5"/>
        <v>AX56;</v>
      </c>
    </row>
    <row r="57" spans="1:52" ht="15" customHeight="1" thickBot="1">
      <c r="A57" s="666"/>
      <c r="B57" s="311" t="s">
        <v>346</v>
      </c>
      <c r="C57" s="292" t="s">
        <v>131</v>
      </c>
      <c r="D57" s="295" t="str">
        <f t="shared" si="9"/>
        <v/>
      </c>
      <c r="E57" s="110" t="str">
        <f>IF(E55&lt;&gt;"",E55,"")</f>
        <v/>
      </c>
      <c r="F57" s="295" t="s">
        <v>130</v>
      </c>
      <c r="G57" s="313" t="str">
        <f>IF(AND(G55&lt;&gt;"",J57&lt;&gt;""),G55,"")</f>
        <v/>
      </c>
      <c r="H57" s="295" t="s">
        <v>667</v>
      </c>
      <c r="I57" s="295">
        <v>30</v>
      </c>
      <c r="J57" s="351"/>
      <c r="L57" s="293" t="s">
        <v>672</v>
      </c>
      <c r="M57" s="341" t="str">
        <f>IF(T58&lt;&gt;0,ROUND(((100-T58)/T58)*100,2),IF(J57&lt;&gt;"",T57,""))</f>
        <v/>
      </c>
      <c r="N57" s="314" t="str">
        <f>IF(T58&lt;&gt;0,ROUND(((100-T58)/T58)*100,2),IF(J57&lt;&gt;"",T57,""))</f>
        <v/>
      </c>
      <c r="AL57" s="293" t="s">
        <v>130</v>
      </c>
      <c r="AM57" s="293" t="s">
        <v>131</v>
      </c>
      <c r="AQ57" s="429">
        <v>1250</v>
      </c>
      <c r="AR57" s="429">
        <v>750</v>
      </c>
      <c r="AW57" s="299" t="str">
        <f t="shared" si="7"/>
        <v>SVEC</v>
      </c>
      <c r="AX57" s="299" t="str">
        <f t="shared" si="8"/>
        <v/>
      </c>
      <c r="AY57" s="286">
        <f t="shared" si="6"/>
        <v>57</v>
      </c>
      <c r="AZ57" s="319" t="str">
        <f t="shared" si="5"/>
        <v>AX57;</v>
      </c>
    </row>
    <row r="58" spans="1:52" s="299" customFormat="1" ht="14.25" customHeight="1" thickBot="1">
      <c r="A58" s="667"/>
      <c r="B58" s="337" t="s">
        <v>346</v>
      </c>
      <c r="C58" s="298" t="s">
        <v>131</v>
      </c>
      <c r="D58" s="301" t="str">
        <f t="shared" si="9"/>
        <v/>
      </c>
      <c r="E58" s="299" t="str">
        <f>IF(E55&lt;&gt;"",E55,"")</f>
        <v/>
      </c>
      <c r="F58" s="301" t="s">
        <v>130</v>
      </c>
      <c r="G58" s="338" t="str">
        <f>IF(G55="X","X","")</f>
        <v/>
      </c>
      <c r="H58" s="301" t="s">
        <v>669</v>
      </c>
      <c r="I58" s="301"/>
      <c r="J58" s="301"/>
      <c r="N58" s="339"/>
      <c r="O58" s="303" t="s">
        <v>670</v>
      </c>
      <c r="P58" s="301" t="s">
        <v>130</v>
      </c>
      <c r="Q58" s="303">
        <f>$Q$11</f>
        <v>0</v>
      </c>
      <c r="R58" s="304"/>
      <c r="S58" s="305"/>
      <c r="T58" s="304"/>
      <c r="U58" s="305"/>
      <c r="V58" s="305"/>
      <c r="W58" s="305"/>
      <c r="X58" s="305"/>
      <c r="Y58" s="305"/>
      <c r="Z58" s="305"/>
      <c r="AA58" s="305"/>
      <c r="AB58" s="305"/>
      <c r="AC58" s="305"/>
      <c r="AD58" s="305"/>
      <c r="AL58" s="299" t="s">
        <v>130</v>
      </c>
      <c r="AM58" s="299" t="s">
        <v>131</v>
      </c>
      <c r="AQ58" s="432">
        <v>1250</v>
      </c>
      <c r="AR58" s="432">
        <v>750</v>
      </c>
      <c r="AS58" s="479">
        <v>0</v>
      </c>
      <c r="AT58" s="479">
        <v>0</v>
      </c>
      <c r="AU58" s="432"/>
      <c r="AV58" s="480" t="str">
        <f>IF(AND(AR$1&lt;&gt;0,AT$1&lt;&gt;0),IF(AND($AR$1&lt;=AQ58,$AT$1&lt;=AR58,$AR$1&gt;=AS58,$AT$1&gt;=AT58),"OK","NOK"),"")</f>
        <v>NOK</v>
      </c>
      <c r="AW58" s="299" t="str">
        <f t="shared" si="7"/>
        <v>SVEC</v>
      </c>
      <c r="AX58" s="299" t="str">
        <f t="shared" si="8"/>
        <v>SVEC,</v>
      </c>
      <c r="AY58" s="286">
        <f t="shared" si="6"/>
        <v>58</v>
      </c>
      <c r="AZ58" s="319" t="str">
        <f t="shared" si="5"/>
        <v>AX58;</v>
      </c>
    </row>
    <row r="59" spans="1:52" s="110" customFormat="1" ht="15.75" thickBot="1">
      <c r="A59" s="283"/>
      <c r="B59" s="284" t="s">
        <v>665</v>
      </c>
      <c r="C59" s="356"/>
      <c r="D59" s="355" t="str">
        <f>IF(C59&lt;&gt;"",CONCATENATE("L",C59),"")</f>
        <v/>
      </c>
      <c r="F59" s="262"/>
      <c r="G59" s="329"/>
      <c r="H59" s="262"/>
      <c r="I59" s="262"/>
      <c r="J59" s="262"/>
      <c r="N59" s="314"/>
      <c r="O59" s="262"/>
      <c r="P59" s="262"/>
      <c r="Q59" s="262"/>
      <c r="S59" s="277"/>
      <c r="U59" s="277"/>
      <c r="V59" s="277"/>
      <c r="W59" s="277"/>
      <c r="X59" s="277"/>
      <c r="Y59" s="277"/>
      <c r="Z59" s="277"/>
      <c r="AA59" s="277"/>
      <c r="AB59" s="277"/>
      <c r="AC59" s="277"/>
      <c r="AD59" s="277"/>
      <c r="AF59" s="110">
        <f>MAX(AF60:AF87)</f>
        <v>0</v>
      </c>
      <c r="AG59" s="110">
        <f>_xlfn.IFNA(VLOOKUP($G$59,F60:AF87,27,FALSE),0)</f>
        <v>0</v>
      </c>
      <c r="AN59" s="394" t="str">
        <f>IF(G59&lt;&gt;"",VLOOKUP(G59,$AL$4:$AM$274,2,FALSE),"")</f>
        <v/>
      </c>
      <c r="AO59" s="289"/>
      <c r="AP59" s="395" t="str">
        <f>IF(AN59&lt;&gt;"",AN59&amp;", "&amp;AO59,"")</f>
        <v/>
      </c>
      <c r="AQ59" s="426"/>
      <c r="AR59" s="426"/>
      <c r="AS59" s="426"/>
      <c r="AT59" s="426"/>
      <c r="AU59" s="426"/>
      <c r="AV59" s="426"/>
      <c r="AW59" s="299">
        <f t="shared" si="7"/>
        <v>0</v>
      </c>
      <c r="AX59" s="299" t="str">
        <f t="shared" si="8"/>
        <v/>
      </c>
      <c r="AY59" s="286">
        <f t="shared" si="6"/>
        <v>59</v>
      </c>
      <c r="AZ59" s="319" t="str">
        <f t="shared" si="5"/>
        <v>AX59;</v>
      </c>
    </row>
    <row r="60" spans="1:52" s="286" customFormat="1" ht="15" customHeight="1" thickBot="1">
      <c r="A60" s="665" t="s">
        <v>673</v>
      </c>
      <c r="B60" s="308" t="s">
        <v>556</v>
      </c>
      <c r="C60" s="285" t="s">
        <v>155</v>
      </c>
      <c r="D60" s="289" t="str">
        <f t="shared" ref="D60:D87" si="20">$D$59</f>
        <v/>
      </c>
      <c r="E60" s="287" t="str">
        <f>IFERROR(IF($G$59&lt;&gt;"",IF(G60="x",IF(F60=$G$59,"V1",IF(AF60=1,"V2",IF(AND(AF60=$AF$59,AF60&lt;&gt;1),"V"&amp;$AG$59+1,"V"&amp;AF60+1))),""),""),"Wprowadź urządzenie bazowe")</f>
        <v/>
      </c>
      <c r="F60" s="289" t="s">
        <v>154</v>
      </c>
      <c r="G60" s="309"/>
      <c r="H60" s="289" t="s">
        <v>667</v>
      </c>
      <c r="I60" s="289">
        <v>10</v>
      </c>
      <c r="J60" s="289" t="str">
        <f>IFERROR(IF(VALUE(MID(D59,2,2))&lt;9,"$HLB1-L0"&amp;(RIGHT(D59,1)+1),"$HLB1-L"&amp;(MID(D59,2,2)+1)),"Uzupełnij poziom")</f>
        <v>Uzupełnij poziom</v>
      </c>
      <c r="K60" s="286">
        <v>1000</v>
      </c>
      <c r="L60" s="286" t="s">
        <v>668</v>
      </c>
      <c r="N60" s="310">
        <f>IF(T63&lt;&gt;0,ROUND(((100-T63)/T63)*100,2),IF(J60&lt;&gt;"",T60,""))</f>
        <v>0</v>
      </c>
      <c r="O60" s="289"/>
      <c r="P60" s="289"/>
      <c r="Q60" s="289"/>
      <c r="S60" s="291"/>
      <c r="U60" s="291"/>
      <c r="V60" s="291"/>
      <c r="W60" s="291"/>
      <c r="X60" s="291"/>
      <c r="Y60" s="291"/>
      <c r="Z60" s="291"/>
      <c r="AA60" s="291"/>
      <c r="AB60" s="291"/>
      <c r="AC60" s="291"/>
      <c r="AD60" s="291"/>
      <c r="AE60" s="286" t="str">
        <f>UPPER(G60)</f>
        <v/>
      </c>
      <c r="AF60" s="286">
        <f>COUNTIF($AE$60:AE63,"X")</f>
        <v>0</v>
      </c>
      <c r="AL60" s="286" t="s">
        <v>154</v>
      </c>
      <c r="AM60" s="286" t="s">
        <v>155</v>
      </c>
      <c r="AQ60" s="430">
        <v>2500</v>
      </c>
      <c r="AR60" s="430">
        <v>1700</v>
      </c>
      <c r="AS60" s="430">
        <v>380</v>
      </c>
      <c r="AT60" s="430">
        <v>380</v>
      </c>
      <c r="AU60" s="430"/>
      <c r="AV60" s="430"/>
      <c r="AW60" s="299" t="str">
        <f t="shared" si="7"/>
        <v>TH01</v>
      </c>
      <c r="AX60" s="299" t="str">
        <f t="shared" si="8"/>
        <v/>
      </c>
      <c r="AY60" s="286">
        <f t="shared" si="6"/>
        <v>60</v>
      </c>
      <c r="AZ60" s="319" t="str">
        <f t="shared" si="5"/>
        <v>AX60;</v>
      </c>
    </row>
    <row r="61" spans="1:52" ht="15" customHeight="1" thickBot="1">
      <c r="A61" s="666"/>
      <c r="B61" s="311" t="s">
        <v>556</v>
      </c>
      <c r="C61" s="292" t="s">
        <v>155</v>
      </c>
      <c r="D61" s="295" t="str">
        <f t="shared" si="20"/>
        <v/>
      </c>
      <c r="E61" s="110" t="str">
        <f>IF(E60&lt;&gt;"",E60,"")</f>
        <v/>
      </c>
      <c r="F61" s="295" t="s">
        <v>154</v>
      </c>
      <c r="G61" s="313" t="str">
        <f>IF(AND(G60&lt;&gt;"",J61&lt;&gt;""),G60,"")</f>
        <v/>
      </c>
      <c r="H61" s="295" t="s">
        <v>667</v>
      </c>
      <c r="I61" s="295">
        <v>20</v>
      </c>
      <c r="J61" s="340" t="str">
        <f>IF('DANE CONTROLLINGU'!M32&lt;&gt;0,'DANE CONTROLLINGU'!N32,"")</f>
        <v/>
      </c>
      <c r="K61" s="295">
        <f>ROUND('DANE CONTROLLINGU'!L32*1000,3)</f>
        <v>0</v>
      </c>
      <c r="L61" s="293" t="s">
        <v>672</v>
      </c>
      <c r="M61" s="341" t="str">
        <f>IF(T63&lt;&gt;0,ROUND(((100-T63)/T63)*100,2),IF(J61&lt;&gt;"",T61,""))</f>
        <v/>
      </c>
      <c r="N61" s="314" t="str">
        <f>IF(T63&lt;&gt;0,ROUND(((100-T63)/T63)*100,2),IF(J61&lt;&gt;"",T61,""))</f>
        <v/>
      </c>
      <c r="AL61" s="293" t="s">
        <v>154</v>
      </c>
      <c r="AM61" s="293" t="s">
        <v>155</v>
      </c>
      <c r="AQ61" s="429">
        <v>2500</v>
      </c>
      <c r="AR61" s="429">
        <v>1700</v>
      </c>
      <c r="AS61" s="429">
        <v>380</v>
      </c>
      <c r="AT61" s="429">
        <v>380</v>
      </c>
      <c r="AW61" s="299" t="str">
        <f t="shared" si="7"/>
        <v>TH01</v>
      </c>
      <c r="AX61" s="299" t="str">
        <f t="shared" si="8"/>
        <v/>
      </c>
      <c r="AY61" s="286">
        <f t="shared" si="6"/>
        <v>61</v>
      </c>
      <c r="AZ61" s="319" t="str">
        <f t="shared" si="5"/>
        <v>AX61;</v>
      </c>
    </row>
    <row r="62" spans="1:52" ht="15" customHeight="1" thickBot="1">
      <c r="A62" s="666"/>
      <c r="B62" s="311" t="s">
        <v>556</v>
      </c>
      <c r="C62" s="292" t="s">
        <v>155</v>
      </c>
      <c r="D62" s="295" t="str">
        <f t="shared" si="20"/>
        <v/>
      </c>
      <c r="E62" s="110" t="str">
        <f>IF(E60&lt;&gt;"",E60,"")</f>
        <v/>
      </c>
      <c r="F62" s="295" t="s">
        <v>154</v>
      </c>
      <c r="G62" s="313" t="str">
        <f>IF(AND(G60&lt;&gt;"",J62&lt;&gt;""),G60,"")</f>
        <v/>
      </c>
      <c r="H62" s="295" t="s">
        <v>667</v>
      </c>
      <c r="I62" s="295">
        <v>30</v>
      </c>
      <c r="J62" s="351"/>
      <c r="L62" s="293" t="s">
        <v>672</v>
      </c>
      <c r="M62" s="341" t="str">
        <f>IF(T63&lt;&gt;0,ROUND(((100-T63)/T63)*100,2),IF(J62&lt;&gt;"",T62,""))</f>
        <v/>
      </c>
      <c r="N62" s="314" t="str">
        <f>IF(T63&lt;&gt;0,ROUND(((100-T63)/T63)*100,2),IF(J62&lt;&gt;"",T62,""))</f>
        <v/>
      </c>
      <c r="AL62" s="293" t="s">
        <v>154</v>
      </c>
      <c r="AM62" s="293" t="s">
        <v>155</v>
      </c>
      <c r="AQ62" s="429">
        <v>2500</v>
      </c>
      <c r="AR62" s="429">
        <v>1700</v>
      </c>
      <c r="AS62" s="429">
        <v>380</v>
      </c>
      <c r="AT62" s="429">
        <v>380</v>
      </c>
      <c r="AW62" s="299" t="str">
        <f t="shared" si="7"/>
        <v>TH01</v>
      </c>
      <c r="AX62" s="299" t="str">
        <f t="shared" si="8"/>
        <v/>
      </c>
      <c r="AY62" s="286">
        <f t="shared" si="6"/>
        <v>62</v>
      </c>
      <c r="AZ62" s="319" t="str">
        <f t="shared" si="5"/>
        <v>AX62;</v>
      </c>
    </row>
    <row r="63" spans="1:52" s="319" customFormat="1" ht="15" customHeight="1" thickBot="1">
      <c r="A63" s="666"/>
      <c r="B63" s="315" t="s">
        <v>556</v>
      </c>
      <c r="C63" s="316" t="s">
        <v>155</v>
      </c>
      <c r="D63" s="317" t="str">
        <f t="shared" si="20"/>
        <v/>
      </c>
      <c r="E63" s="110" t="str">
        <f>IF(E60&lt;&gt;"",E60,"")</f>
        <v/>
      </c>
      <c r="F63" s="317" t="s">
        <v>154</v>
      </c>
      <c r="G63" s="313" t="str">
        <f>IF(G61="X","X","")</f>
        <v/>
      </c>
      <c r="H63" s="317" t="s">
        <v>669</v>
      </c>
      <c r="I63" s="317"/>
      <c r="J63" s="317"/>
      <c r="N63" s="314"/>
      <c r="O63" s="320" t="s">
        <v>670</v>
      </c>
      <c r="P63" s="317" t="s">
        <v>154</v>
      </c>
      <c r="Q63" s="320">
        <f>$Q$11</f>
        <v>0</v>
      </c>
      <c r="R63" s="323"/>
      <c r="S63" s="324"/>
      <c r="T63" s="323"/>
      <c r="U63" s="324"/>
      <c r="V63" s="324"/>
      <c r="W63" s="324"/>
      <c r="X63" s="324"/>
      <c r="Y63" s="324"/>
      <c r="Z63" s="324"/>
      <c r="AA63" s="324"/>
      <c r="AB63" s="324"/>
      <c r="AC63" s="324"/>
      <c r="AD63" s="324"/>
      <c r="AL63" s="319" t="s">
        <v>154</v>
      </c>
      <c r="AM63" s="319" t="s">
        <v>155</v>
      </c>
      <c r="AQ63" s="431">
        <v>2500</v>
      </c>
      <c r="AR63" s="431">
        <v>1700</v>
      </c>
      <c r="AS63" s="431">
        <v>380</v>
      </c>
      <c r="AT63" s="431">
        <v>380</v>
      </c>
      <c r="AU63" s="431"/>
      <c r="AV63" s="480" t="str">
        <f>IF(AND(AR$1&lt;&gt;0,AT$1&lt;&gt;0),IF(AND($AR$1&lt;=AQ63,$AT$1&lt;=AR63,$AR$1&gt;=AS63,$AT$1&gt;=AT63),"OK","NOK"),"")</f>
        <v>OK</v>
      </c>
      <c r="AW63" s="299" t="str">
        <f t="shared" si="7"/>
        <v>TH01</v>
      </c>
      <c r="AX63" s="299" t="str">
        <f t="shared" si="8"/>
        <v/>
      </c>
      <c r="AY63" s="286">
        <f t="shared" si="6"/>
        <v>63</v>
      </c>
      <c r="AZ63" s="319" t="str">
        <f t="shared" si="5"/>
        <v>AX63;</v>
      </c>
    </row>
    <row r="64" spans="1:52" s="286" customFormat="1" ht="15" customHeight="1" thickBot="1">
      <c r="A64" s="666"/>
      <c r="B64" s="308" t="s">
        <v>557</v>
      </c>
      <c r="C64" s="285" t="s">
        <v>157</v>
      </c>
      <c r="D64" s="289" t="str">
        <f t="shared" si="20"/>
        <v/>
      </c>
      <c r="E64" s="287" t="str">
        <f>IFERROR(IF($G$59&lt;&gt;"",IF(G64="x",IF(F64=$G$59,"V1",IF(AF64=1,"V2",IF(AND(AF64=$AF$59,AF64&lt;&gt;1),"V"&amp;$AG$59+1,"V"&amp;AF64+1))),""),""),"Wprowadź urządzenie bazowe")</f>
        <v/>
      </c>
      <c r="F64" s="289" t="s">
        <v>156</v>
      </c>
      <c r="G64" s="309"/>
      <c r="H64" s="289" t="s">
        <v>667</v>
      </c>
      <c r="I64" s="289">
        <v>10</v>
      </c>
      <c r="J64" s="289" t="str">
        <f>IFERROR(IF(VALUE(MID(D59,2,2))&lt;9,"$HLB1-L0"&amp;(RIGHT(D59,1)+1),"$HLB1-L"&amp;(MID(D59,2,2)+1)),"Uzupełnij poziom")</f>
        <v>Uzupełnij poziom</v>
      </c>
      <c r="K64" s="286">
        <v>1000</v>
      </c>
      <c r="L64" s="286" t="s">
        <v>668</v>
      </c>
      <c r="N64" s="310">
        <f>IF(T67&lt;&gt;0,ROUND(((100-T67)/T67)*100,2),IF(J64&lt;&gt;"",T64,""))</f>
        <v>0</v>
      </c>
      <c r="O64" s="289"/>
      <c r="P64" s="289"/>
      <c r="Q64" s="289"/>
      <c r="S64" s="291"/>
      <c r="U64" s="291"/>
      <c r="V64" s="291"/>
      <c r="W64" s="291"/>
      <c r="X64" s="291"/>
      <c r="Y64" s="291"/>
      <c r="Z64" s="291"/>
      <c r="AA64" s="291"/>
      <c r="AB64" s="291"/>
      <c r="AC64" s="291"/>
      <c r="AD64" s="291"/>
      <c r="AE64" s="286" t="str">
        <f>UPPER(G64)</f>
        <v/>
      </c>
      <c r="AF64" s="286">
        <f>COUNTIF($AE$60:AE67,"X")</f>
        <v>0</v>
      </c>
      <c r="AL64" s="286" t="s">
        <v>156</v>
      </c>
      <c r="AM64" s="286" t="s">
        <v>157</v>
      </c>
      <c r="AQ64" s="430">
        <v>2500</v>
      </c>
      <c r="AR64" s="430">
        <v>1700</v>
      </c>
      <c r="AS64" s="430">
        <v>500</v>
      </c>
      <c r="AT64" s="430">
        <v>200</v>
      </c>
      <c r="AU64" s="430"/>
      <c r="AV64" s="430"/>
      <c r="AW64" s="299" t="str">
        <f t="shared" si="7"/>
        <v>TH02</v>
      </c>
      <c r="AX64" s="299" t="str">
        <f t="shared" si="8"/>
        <v/>
      </c>
      <c r="AY64" s="286">
        <f t="shared" si="6"/>
        <v>64</v>
      </c>
      <c r="AZ64" s="319" t="str">
        <f t="shared" si="5"/>
        <v>AX64;</v>
      </c>
    </row>
    <row r="65" spans="1:52" ht="15" customHeight="1" thickBot="1">
      <c r="A65" s="666"/>
      <c r="B65" s="311" t="s">
        <v>557</v>
      </c>
      <c r="C65" s="292" t="s">
        <v>157</v>
      </c>
      <c r="D65" s="295" t="str">
        <f t="shared" si="20"/>
        <v/>
      </c>
      <c r="E65" s="110" t="str">
        <f>IF(E64&lt;&gt;"",E64,"")</f>
        <v/>
      </c>
      <c r="F65" s="295" t="s">
        <v>156</v>
      </c>
      <c r="G65" s="313" t="str">
        <f>IF(AND(G64&lt;&gt;"",J65&lt;&gt;""),G64,"")</f>
        <v/>
      </c>
      <c r="H65" s="295" t="s">
        <v>667</v>
      </c>
      <c r="I65" s="295">
        <v>20</v>
      </c>
      <c r="J65" s="340" t="str">
        <f>IF('DANE CONTROLLINGU'!M32&lt;&gt;0,'DANE CONTROLLINGU'!N32,"")</f>
        <v/>
      </c>
      <c r="K65" s="295">
        <f>ROUND('DANE CONTROLLINGU'!L32*1000,3)</f>
        <v>0</v>
      </c>
      <c r="L65" s="293" t="s">
        <v>672</v>
      </c>
      <c r="M65" s="341" t="str">
        <f>IF(T67&lt;&gt;0,ROUND(((100-T67)/T67)*100,2),IF(J65&lt;&gt;"",T65,""))</f>
        <v/>
      </c>
      <c r="N65" s="314" t="str">
        <f>IF(T67&lt;&gt;0,ROUND(((100-T67)/T67)*100,2),IF(J65&lt;&gt;"",T65,""))</f>
        <v/>
      </c>
      <c r="AL65" s="293" t="s">
        <v>156</v>
      </c>
      <c r="AM65" s="293" t="s">
        <v>157</v>
      </c>
      <c r="AQ65" s="429">
        <v>2500</v>
      </c>
      <c r="AR65" s="429">
        <v>1700</v>
      </c>
      <c r="AS65" s="429">
        <v>500</v>
      </c>
      <c r="AT65" s="429">
        <v>200</v>
      </c>
      <c r="AW65" s="299" t="str">
        <f t="shared" si="7"/>
        <v>TH02</v>
      </c>
      <c r="AX65" s="299" t="str">
        <f t="shared" si="8"/>
        <v/>
      </c>
      <c r="AY65" s="286">
        <f t="shared" si="6"/>
        <v>65</v>
      </c>
      <c r="AZ65" s="319" t="str">
        <f t="shared" si="5"/>
        <v>AX65;</v>
      </c>
    </row>
    <row r="66" spans="1:52" ht="15" customHeight="1" thickBot="1">
      <c r="A66" s="666"/>
      <c r="B66" s="311" t="s">
        <v>557</v>
      </c>
      <c r="C66" s="292" t="s">
        <v>157</v>
      </c>
      <c r="D66" s="295" t="str">
        <f t="shared" si="20"/>
        <v/>
      </c>
      <c r="E66" s="110" t="str">
        <f>IF(E64&lt;&gt;"",E64,"")</f>
        <v/>
      </c>
      <c r="F66" s="295" t="s">
        <v>156</v>
      </c>
      <c r="G66" s="313" t="str">
        <f>IF(AND(G64&lt;&gt;"",J66&lt;&gt;""),G64,"")</f>
        <v/>
      </c>
      <c r="H66" s="295" t="s">
        <v>667</v>
      </c>
      <c r="I66" s="295">
        <v>30</v>
      </c>
      <c r="J66" s="351"/>
      <c r="L66" s="293" t="s">
        <v>672</v>
      </c>
      <c r="M66" s="341" t="str">
        <f>IF(T67&lt;&gt;0,ROUND(((100-T67)/T67)*100,2),IF(J66&lt;&gt;"",T66,""))</f>
        <v/>
      </c>
      <c r="N66" s="314" t="str">
        <f>IF(T67&lt;&gt;0,ROUND(((100-T67)/T67)*100,2),IF(J66&lt;&gt;"",T66,""))</f>
        <v/>
      </c>
      <c r="AL66" s="293" t="s">
        <v>156</v>
      </c>
      <c r="AM66" s="293" t="s">
        <v>157</v>
      </c>
      <c r="AQ66" s="429">
        <v>2500</v>
      </c>
      <c r="AR66" s="429">
        <v>1700</v>
      </c>
      <c r="AS66" s="429">
        <v>500</v>
      </c>
      <c r="AT66" s="429">
        <v>200</v>
      </c>
      <c r="AW66" s="299" t="str">
        <f t="shared" si="7"/>
        <v>TH02</v>
      </c>
      <c r="AX66" s="299" t="str">
        <f t="shared" si="8"/>
        <v/>
      </c>
      <c r="AY66" s="286">
        <f t="shared" si="6"/>
        <v>66</v>
      </c>
      <c r="AZ66" s="319" t="str">
        <f t="shared" si="5"/>
        <v>AX66;</v>
      </c>
    </row>
    <row r="67" spans="1:52" s="319" customFormat="1" ht="15" customHeight="1" thickBot="1">
      <c r="A67" s="666"/>
      <c r="B67" s="315" t="s">
        <v>557</v>
      </c>
      <c r="C67" s="316" t="s">
        <v>157</v>
      </c>
      <c r="D67" s="317" t="str">
        <f t="shared" si="20"/>
        <v/>
      </c>
      <c r="E67" s="110" t="str">
        <f>IF(E64&lt;&gt;"",E64,"")</f>
        <v/>
      </c>
      <c r="F67" s="317" t="s">
        <v>156</v>
      </c>
      <c r="G67" s="313" t="str">
        <f>IF(G64="X","X","")</f>
        <v/>
      </c>
      <c r="H67" s="317" t="s">
        <v>669</v>
      </c>
      <c r="I67" s="317"/>
      <c r="J67" s="317"/>
      <c r="N67" s="314"/>
      <c r="O67" s="320" t="s">
        <v>670</v>
      </c>
      <c r="P67" s="317" t="s">
        <v>156</v>
      </c>
      <c r="Q67" s="320">
        <f>$Q$11</f>
        <v>0</v>
      </c>
      <c r="R67" s="323"/>
      <c r="S67" s="324"/>
      <c r="T67" s="323"/>
      <c r="U67" s="324"/>
      <c r="V67" s="324"/>
      <c r="W67" s="324"/>
      <c r="X67" s="324"/>
      <c r="Y67" s="324"/>
      <c r="Z67" s="324"/>
      <c r="AA67" s="324"/>
      <c r="AB67" s="324"/>
      <c r="AC67" s="324"/>
      <c r="AD67" s="324"/>
      <c r="AL67" s="319" t="s">
        <v>156</v>
      </c>
      <c r="AM67" s="319" t="s">
        <v>157</v>
      </c>
      <c r="AQ67" s="431">
        <v>2500</v>
      </c>
      <c r="AR67" s="431">
        <v>1700</v>
      </c>
      <c r="AS67" s="431">
        <v>500</v>
      </c>
      <c r="AT67" s="431">
        <v>200</v>
      </c>
      <c r="AU67" s="431"/>
      <c r="AV67" s="480" t="str">
        <f>IF(AND(AR$1&lt;&gt;0,AT$1&lt;&gt;0),IF(AND($AR$1&lt;=AQ67,$AT$1&lt;=AR67,$AR$1&gt;=AS67,$AT$1&gt;=AT67),"OK","NOK"),"")</f>
        <v>OK</v>
      </c>
      <c r="AW67" s="299" t="str">
        <f t="shared" si="7"/>
        <v>TH02</v>
      </c>
      <c r="AX67" s="299" t="str">
        <f t="shared" si="8"/>
        <v/>
      </c>
      <c r="AY67" s="286">
        <f t="shared" si="6"/>
        <v>67</v>
      </c>
      <c r="AZ67" s="319" t="str">
        <f t="shared" si="5"/>
        <v>AX67;</v>
      </c>
    </row>
    <row r="68" spans="1:52" s="286" customFormat="1" ht="15" customHeight="1" thickBot="1">
      <c r="A68" s="666"/>
      <c r="B68" s="308" t="s">
        <v>558</v>
      </c>
      <c r="C68" s="285" t="s">
        <v>619</v>
      </c>
      <c r="D68" s="289" t="str">
        <f t="shared" si="20"/>
        <v/>
      </c>
      <c r="E68" s="287" t="str">
        <f>IFERROR(IF($G$59&lt;&gt;"",IF(G68="x",IF(F68=$G$59,"V1",IF(AF68=1,"V2",IF(AND(AF68=$AF$59,AF68&lt;&gt;1),"V"&amp;$AG$59+1,"V"&amp;AF68+1))),""),""),"Wprowadź urządzenie bazowe")</f>
        <v/>
      </c>
      <c r="F68" s="289" t="s">
        <v>555</v>
      </c>
      <c r="G68" s="309"/>
      <c r="H68" s="289" t="s">
        <v>667</v>
      </c>
      <c r="I68" s="289">
        <v>10</v>
      </c>
      <c r="J68" s="289" t="str">
        <f>IFERROR(IF(VALUE(MID(D59,2,2))&lt;9,"$HLB1-L0"&amp;(RIGHT(D59,1)+1),"$HLB1-L"&amp;(MID(D59,2,2)+1)),"Uzupełnij poziom")</f>
        <v>Uzupełnij poziom</v>
      </c>
      <c r="K68" s="286">
        <v>1000</v>
      </c>
      <c r="L68" s="286" t="s">
        <v>668</v>
      </c>
      <c r="N68" s="310">
        <f>IF(T71&lt;&gt;0,ROUND(((100-T71)/T71)*100,2),IF(J68&lt;&gt;"",T68,""))</f>
        <v>0</v>
      </c>
      <c r="O68" s="289"/>
      <c r="P68" s="289"/>
      <c r="Q68" s="289"/>
      <c r="S68" s="291"/>
      <c r="U68" s="291"/>
      <c r="V68" s="291"/>
      <c r="W68" s="291"/>
      <c r="X68" s="291"/>
      <c r="Y68" s="291"/>
      <c r="Z68" s="291"/>
      <c r="AA68" s="291"/>
      <c r="AB68" s="291"/>
      <c r="AC68" s="291"/>
      <c r="AD68" s="291"/>
      <c r="AE68" s="286" t="str">
        <f>UPPER(G68)</f>
        <v/>
      </c>
      <c r="AF68" s="286">
        <f>COUNTIF($AE$60:AE71,"X")</f>
        <v>0</v>
      </c>
      <c r="AL68" s="286" t="s">
        <v>555</v>
      </c>
      <c r="AM68" s="286" t="s">
        <v>619</v>
      </c>
      <c r="AQ68" s="430">
        <v>2700</v>
      </c>
      <c r="AR68" s="430">
        <v>1700</v>
      </c>
      <c r="AS68" s="430">
        <v>380</v>
      </c>
      <c r="AT68" s="430">
        <v>380</v>
      </c>
      <c r="AU68" s="430"/>
      <c r="AV68" s="430"/>
      <c r="AW68" s="299" t="str">
        <f t="shared" si="7"/>
        <v>TH03</v>
      </c>
      <c r="AX68" s="299" t="str">
        <f t="shared" si="8"/>
        <v/>
      </c>
      <c r="AY68" s="286">
        <f t="shared" si="6"/>
        <v>68</v>
      </c>
      <c r="AZ68" s="319" t="str">
        <f t="shared" si="5"/>
        <v>AX68;</v>
      </c>
    </row>
    <row r="69" spans="1:52" ht="15" customHeight="1" thickBot="1">
      <c r="A69" s="666"/>
      <c r="B69" s="311" t="s">
        <v>558</v>
      </c>
      <c r="C69" s="292" t="s">
        <v>619</v>
      </c>
      <c r="D69" s="295" t="str">
        <f t="shared" si="20"/>
        <v/>
      </c>
      <c r="E69" s="110" t="str">
        <f>IF(E68&lt;&gt;"",E68,"")</f>
        <v/>
      </c>
      <c r="F69" s="295" t="s">
        <v>555</v>
      </c>
      <c r="G69" s="313" t="str">
        <f>IF(AND(G68&lt;&gt;"",J69&lt;&gt;""),G68,"")</f>
        <v/>
      </c>
      <c r="H69" s="295" t="s">
        <v>667</v>
      </c>
      <c r="I69" s="295">
        <v>20</v>
      </c>
      <c r="J69" s="340" t="str">
        <f>IF('DANE CONTROLLINGU'!M32&lt;&gt;0,'DANE CONTROLLINGU'!N32,"")</f>
        <v/>
      </c>
      <c r="K69" s="295">
        <f>ROUND('DANE CONTROLLINGU'!L32*1000,3)</f>
        <v>0</v>
      </c>
      <c r="L69" s="293" t="s">
        <v>672</v>
      </c>
      <c r="M69" s="341" t="str">
        <f>IF(T71&lt;&gt;0,ROUND(((100-T71)/T71)*100,2),IF(J69&lt;&gt;"",T69,""))</f>
        <v/>
      </c>
      <c r="N69" s="314" t="str">
        <f>IF(T71&lt;&gt;0,ROUND(((100-T71)/T71)*100,2),IF(J69&lt;&gt;"",T69,""))</f>
        <v/>
      </c>
      <c r="AL69" s="293" t="s">
        <v>555</v>
      </c>
      <c r="AM69" s="293" t="s">
        <v>619</v>
      </c>
      <c r="AQ69" s="429">
        <v>2700</v>
      </c>
      <c r="AR69" s="429">
        <v>1700</v>
      </c>
      <c r="AS69" s="429">
        <v>380</v>
      </c>
      <c r="AT69" s="429">
        <v>380</v>
      </c>
      <c r="AW69" s="299" t="str">
        <f t="shared" si="7"/>
        <v>TH03</v>
      </c>
      <c r="AX69" s="299" t="str">
        <f t="shared" si="8"/>
        <v/>
      </c>
      <c r="AY69" s="286">
        <f t="shared" si="6"/>
        <v>69</v>
      </c>
      <c r="AZ69" s="319" t="str">
        <f t="shared" si="5"/>
        <v>AX69;</v>
      </c>
    </row>
    <row r="70" spans="1:52" ht="15" customHeight="1" thickBot="1">
      <c r="A70" s="666"/>
      <c r="B70" s="311" t="s">
        <v>558</v>
      </c>
      <c r="C70" s="292" t="s">
        <v>619</v>
      </c>
      <c r="D70" s="295" t="str">
        <f t="shared" si="20"/>
        <v/>
      </c>
      <c r="E70" s="110" t="str">
        <f>IF(E68&lt;&gt;"",E68,"")</f>
        <v/>
      </c>
      <c r="F70" s="295" t="s">
        <v>555</v>
      </c>
      <c r="G70" s="313" t="str">
        <f>IF(AND(G68&lt;&gt;"",J70&lt;&gt;""),G68,"")</f>
        <v/>
      </c>
      <c r="H70" s="295" t="s">
        <v>667</v>
      </c>
      <c r="I70" s="295">
        <v>30</v>
      </c>
      <c r="J70" s="351"/>
      <c r="L70" s="293" t="s">
        <v>672</v>
      </c>
      <c r="M70" s="341" t="str">
        <f>IF(T71&lt;&gt;0,ROUND(((100-T71)/T71)*100,2),IF(J70&lt;&gt;"",T70,""))</f>
        <v/>
      </c>
      <c r="N70" s="314" t="str">
        <f>IF(T71&lt;&gt;0,ROUND(((100-T71)/T71)*100,2),IF(J70&lt;&gt;"",T70,""))</f>
        <v/>
      </c>
      <c r="AL70" s="293" t="s">
        <v>555</v>
      </c>
      <c r="AM70" s="293" t="s">
        <v>619</v>
      </c>
      <c r="AQ70" s="429">
        <v>2700</v>
      </c>
      <c r="AR70" s="429">
        <v>1700</v>
      </c>
      <c r="AS70" s="429">
        <v>380</v>
      </c>
      <c r="AT70" s="429">
        <v>380</v>
      </c>
      <c r="AW70" s="299" t="str">
        <f t="shared" si="7"/>
        <v>TH03</v>
      </c>
      <c r="AX70" s="299" t="str">
        <f t="shared" si="8"/>
        <v/>
      </c>
      <c r="AY70" s="286">
        <f t="shared" si="6"/>
        <v>70</v>
      </c>
      <c r="AZ70" s="319" t="str">
        <f t="shared" si="5"/>
        <v>AX70;</v>
      </c>
    </row>
    <row r="71" spans="1:52" s="319" customFormat="1" ht="15" customHeight="1" thickBot="1">
      <c r="A71" s="666"/>
      <c r="B71" s="315" t="s">
        <v>558</v>
      </c>
      <c r="C71" s="316" t="s">
        <v>619</v>
      </c>
      <c r="D71" s="317" t="str">
        <f t="shared" si="20"/>
        <v/>
      </c>
      <c r="E71" s="110" t="str">
        <f>IF(E68&lt;&gt;"",E68,"")</f>
        <v/>
      </c>
      <c r="F71" s="317" t="s">
        <v>555</v>
      </c>
      <c r="G71" s="313" t="str">
        <f>IF(G68="X","X","")</f>
        <v/>
      </c>
      <c r="H71" s="317" t="s">
        <v>669</v>
      </c>
      <c r="I71" s="317"/>
      <c r="J71" s="317"/>
      <c r="N71" s="314"/>
      <c r="O71" s="320" t="s">
        <v>670</v>
      </c>
      <c r="P71" s="317" t="s">
        <v>555</v>
      </c>
      <c r="Q71" s="320">
        <f>$Q$11</f>
        <v>0</v>
      </c>
      <c r="R71" s="323"/>
      <c r="S71" s="324"/>
      <c r="T71" s="323"/>
      <c r="U71" s="324"/>
      <c r="V71" s="324"/>
      <c r="W71" s="324"/>
      <c r="X71" s="324"/>
      <c r="Y71" s="324"/>
      <c r="Z71" s="324"/>
      <c r="AA71" s="324"/>
      <c r="AB71" s="324"/>
      <c r="AC71" s="324"/>
      <c r="AD71" s="324"/>
      <c r="AL71" s="319" t="s">
        <v>555</v>
      </c>
      <c r="AM71" s="319" t="s">
        <v>619</v>
      </c>
      <c r="AQ71" s="431">
        <v>2700</v>
      </c>
      <c r="AR71" s="431">
        <v>1700</v>
      </c>
      <c r="AS71" s="431">
        <v>380</v>
      </c>
      <c r="AT71" s="431">
        <v>380</v>
      </c>
      <c r="AU71" s="431"/>
      <c r="AV71" s="480" t="str">
        <f>IF(AND(AR$1&lt;&gt;0,AT$1&lt;&gt;0),IF(AND($AR$1&lt;=AQ71,$AT$1&lt;=AR71,$AR$1&gt;=AS71,$AT$1&gt;=AT71),"OK","NOK"),"")</f>
        <v>OK</v>
      </c>
      <c r="AW71" s="299" t="str">
        <f t="shared" si="7"/>
        <v>TH03</v>
      </c>
      <c r="AX71" s="299" t="str">
        <f t="shared" si="8"/>
        <v/>
      </c>
      <c r="AY71" s="286">
        <f t="shared" si="6"/>
        <v>71</v>
      </c>
      <c r="AZ71" s="319" t="str">
        <f t="shared" si="5"/>
        <v>AX71;</v>
      </c>
    </row>
    <row r="72" spans="1:52" s="286" customFormat="1" ht="16.5" customHeight="1" thickBot="1">
      <c r="A72" s="666"/>
      <c r="B72" s="308" t="s">
        <v>357</v>
      </c>
      <c r="C72" s="285" t="s">
        <v>312</v>
      </c>
      <c r="D72" s="289" t="str">
        <f t="shared" si="20"/>
        <v/>
      </c>
      <c r="E72" s="287" t="str">
        <f>IFERROR(IF($G$59&lt;&gt;"",IF(G72="x",IF(F72=$G$59,"V1",IF(AF72=1,"V2",IF(AND(AF72=$AF$59,AF72&lt;&gt;1),"V"&amp;$AG$59+1,"V"&amp;AF72+1))),""),""),"Wprowadź urządzenie bazowe")</f>
        <v/>
      </c>
      <c r="F72" s="289" t="s">
        <v>299</v>
      </c>
      <c r="G72" s="309"/>
      <c r="H72" s="289" t="s">
        <v>667</v>
      </c>
      <c r="I72" s="289">
        <v>10</v>
      </c>
      <c r="J72" s="286" t="str">
        <f>IFERROR(IF(VALUE(MID(D59,2,2))&lt;9,"$HLB1-L0"&amp;(RIGHT(D59,1)+1),"$HLB1-L"&amp;(MID(D59,2,2)+1)),"Uzupełnij poziom")</f>
        <v>Uzupełnij poziom</v>
      </c>
      <c r="K72" s="286">
        <v>1000</v>
      </c>
      <c r="L72" s="286" t="s">
        <v>668</v>
      </c>
      <c r="N72" s="310">
        <f>IF(T75&lt;&gt;0,ROUND(((100-T75)/T75)*100,2),IF(J72&lt;&gt;"",T72,""))</f>
        <v>0</v>
      </c>
      <c r="O72" s="289"/>
      <c r="P72" s="289"/>
      <c r="Q72" s="289"/>
      <c r="S72" s="291"/>
      <c r="U72" s="291"/>
      <c r="V72" s="291"/>
      <c r="W72" s="291"/>
      <c r="X72" s="291"/>
      <c r="Y72" s="291"/>
      <c r="Z72" s="291"/>
      <c r="AA72" s="291"/>
      <c r="AB72" s="291"/>
      <c r="AC72" s="291"/>
      <c r="AD72" s="291"/>
      <c r="AE72" s="286" t="str">
        <f>UPPER(G72)</f>
        <v/>
      </c>
      <c r="AF72" s="286">
        <f>COUNTIF($AE$60:AE75,"X")</f>
        <v>0</v>
      </c>
      <c r="AL72" s="286" t="s">
        <v>299</v>
      </c>
      <c r="AM72" s="286" t="s">
        <v>312</v>
      </c>
      <c r="AQ72" s="430">
        <v>1800</v>
      </c>
      <c r="AR72" s="430">
        <v>1200</v>
      </c>
      <c r="AS72" s="430">
        <v>350</v>
      </c>
      <c r="AT72" s="430">
        <v>200</v>
      </c>
      <c r="AU72" s="430"/>
      <c r="AV72" s="430"/>
      <c r="AW72" s="299" t="str">
        <f t="shared" si="7"/>
        <v>GER1</v>
      </c>
      <c r="AX72" s="299" t="str">
        <f t="shared" si="8"/>
        <v/>
      </c>
      <c r="AY72" s="286">
        <f t="shared" si="6"/>
        <v>72</v>
      </c>
      <c r="AZ72" s="319" t="str">
        <f t="shared" si="5"/>
        <v>AX72;</v>
      </c>
    </row>
    <row r="73" spans="1:52" ht="16.5" customHeight="1" thickBot="1">
      <c r="A73" s="666"/>
      <c r="B73" s="311" t="s">
        <v>357</v>
      </c>
      <c r="C73" s="292" t="s">
        <v>312</v>
      </c>
      <c r="D73" s="295" t="str">
        <f t="shared" si="20"/>
        <v/>
      </c>
      <c r="E73" s="110" t="str">
        <f>IF(E72&lt;&gt;"",E72,"")</f>
        <v/>
      </c>
      <c r="F73" s="295" t="s">
        <v>299</v>
      </c>
      <c r="G73" s="313" t="str">
        <f>IF(AND(G72&lt;&gt;"",J73&lt;&gt;""),G72,"")</f>
        <v/>
      </c>
      <c r="H73" s="295" t="s">
        <v>667</v>
      </c>
      <c r="I73" s="295">
        <v>20</v>
      </c>
      <c r="J73" s="340" t="str">
        <f>IF('DANE CONTROLLINGU'!M32&lt;&gt;0,'DANE CONTROLLINGU'!N32,"")</f>
        <v/>
      </c>
      <c r="K73" s="295">
        <f>ROUND('DANE CONTROLLINGU'!L32*1000,3)</f>
        <v>0</v>
      </c>
      <c r="L73" s="293" t="s">
        <v>672</v>
      </c>
      <c r="M73" s="341" t="str">
        <f>IF(T75&lt;&gt;0,ROUND(((100-T75)/T75)*100,2),IF(J73&lt;&gt;"",T73,""))</f>
        <v/>
      </c>
      <c r="N73" s="314" t="str">
        <f>IF(T75&lt;&gt;0,ROUND(((100-T75)/T75)*100,2),IF(J73&lt;&gt;"",T73,""))</f>
        <v/>
      </c>
      <c r="AL73" s="293" t="s">
        <v>299</v>
      </c>
      <c r="AM73" s="293" t="s">
        <v>312</v>
      </c>
      <c r="AQ73" s="429">
        <v>1800</v>
      </c>
      <c r="AR73" s="429">
        <v>1200</v>
      </c>
      <c r="AS73" s="429">
        <v>350</v>
      </c>
      <c r="AT73" s="429">
        <v>200</v>
      </c>
      <c r="AW73" s="299" t="str">
        <f t="shared" si="7"/>
        <v>GER1</v>
      </c>
      <c r="AX73" s="299" t="str">
        <f t="shared" si="8"/>
        <v/>
      </c>
      <c r="AY73" s="286">
        <f t="shared" si="6"/>
        <v>73</v>
      </c>
      <c r="AZ73" s="319" t="str">
        <f t="shared" si="5"/>
        <v>AX73;</v>
      </c>
    </row>
    <row r="74" spans="1:52" ht="15" customHeight="1" thickBot="1">
      <c r="A74" s="666"/>
      <c r="B74" s="311" t="s">
        <v>357</v>
      </c>
      <c r="C74" s="292" t="s">
        <v>312</v>
      </c>
      <c r="D74" s="295" t="str">
        <f t="shared" si="20"/>
        <v/>
      </c>
      <c r="E74" s="110" t="str">
        <f>IF(E72&lt;&gt;"",E72,"")</f>
        <v/>
      </c>
      <c r="F74" s="295" t="s">
        <v>299</v>
      </c>
      <c r="G74" s="313" t="str">
        <f>IF(AND(G72&lt;&gt;"",J74&lt;&gt;""),G72,"")</f>
        <v/>
      </c>
      <c r="H74" s="295" t="s">
        <v>667</v>
      </c>
      <c r="I74" s="295">
        <v>30</v>
      </c>
      <c r="J74" s="351"/>
      <c r="L74" s="293" t="s">
        <v>672</v>
      </c>
      <c r="M74" s="341" t="str">
        <f>IF(T75&lt;&gt;0,ROUND(((100-T75)/T75)*100,2),IF(J74&lt;&gt;"",T74,""))</f>
        <v/>
      </c>
      <c r="N74" s="314" t="str">
        <f>IF(T75&lt;&gt;0,ROUND(((100-T75)/T75)*100,2),IF(J74&lt;&gt;"",T74,""))</f>
        <v/>
      </c>
      <c r="AL74" s="293" t="s">
        <v>299</v>
      </c>
      <c r="AM74" s="293" t="s">
        <v>312</v>
      </c>
      <c r="AQ74" s="429">
        <v>1800</v>
      </c>
      <c r="AR74" s="429">
        <v>1200</v>
      </c>
      <c r="AS74" s="429">
        <v>350</v>
      </c>
      <c r="AT74" s="429">
        <v>200</v>
      </c>
      <c r="AW74" s="299" t="str">
        <f t="shared" si="7"/>
        <v>GER1</v>
      </c>
      <c r="AX74" s="299" t="str">
        <f t="shared" si="8"/>
        <v/>
      </c>
      <c r="AY74" s="286">
        <f t="shared" si="6"/>
        <v>74</v>
      </c>
      <c r="AZ74" s="319" t="str">
        <f t="shared" si="5"/>
        <v>AX74;</v>
      </c>
    </row>
    <row r="75" spans="1:52" s="319" customFormat="1" ht="14.25" customHeight="1" thickBot="1">
      <c r="A75" s="666"/>
      <c r="B75" s="315" t="s">
        <v>357</v>
      </c>
      <c r="C75" s="316" t="s">
        <v>312</v>
      </c>
      <c r="D75" s="317" t="str">
        <f t="shared" si="20"/>
        <v/>
      </c>
      <c r="E75" s="110" t="str">
        <f>IF(E72&lt;&gt;"",E72,"")</f>
        <v/>
      </c>
      <c r="F75" s="317" t="s">
        <v>299</v>
      </c>
      <c r="G75" s="313" t="str">
        <f>IF(G72="X","X","")</f>
        <v/>
      </c>
      <c r="H75" s="317" t="s">
        <v>669</v>
      </c>
      <c r="I75" s="317"/>
      <c r="J75" s="317"/>
      <c r="N75" s="314"/>
      <c r="O75" s="320" t="s">
        <v>670</v>
      </c>
      <c r="P75" s="317" t="s">
        <v>299</v>
      </c>
      <c r="Q75" s="320">
        <f>$Q$11</f>
        <v>0</v>
      </c>
      <c r="R75" s="323"/>
      <c r="S75" s="324"/>
      <c r="T75" s="323"/>
      <c r="U75" s="324"/>
      <c r="V75" s="324"/>
      <c r="W75" s="324"/>
      <c r="X75" s="324"/>
      <c r="Y75" s="324"/>
      <c r="Z75" s="324"/>
      <c r="AA75" s="324"/>
      <c r="AB75" s="324"/>
      <c r="AC75" s="324"/>
      <c r="AD75" s="324"/>
      <c r="AL75" s="319" t="s">
        <v>299</v>
      </c>
      <c r="AM75" s="319" t="s">
        <v>312</v>
      </c>
      <c r="AQ75" s="431">
        <v>1800</v>
      </c>
      <c r="AR75" s="431">
        <v>1200</v>
      </c>
      <c r="AS75" s="431">
        <v>350</v>
      </c>
      <c r="AT75" s="431">
        <v>200</v>
      </c>
      <c r="AU75" s="431"/>
      <c r="AV75" s="480" t="str">
        <f>IF(AND(AR$1&lt;&gt;0,AT$1&lt;&gt;0),IF(AND($AR$1&lt;=AQ75,$AT$1&lt;=AR75,$AR$1&gt;=AS75,$AT$1&gt;=AT75),"OK","NOK"),"")</f>
        <v>OK</v>
      </c>
      <c r="AW75" s="299" t="str">
        <f t="shared" si="7"/>
        <v>GER1</v>
      </c>
      <c r="AX75" s="299" t="str">
        <f t="shared" si="8"/>
        <v/>
      </c>
      <c r="AY75" s="286">
        <f t="shared" si="6"/>
        <v>75</v>
      </c>
      <c r="AZ75" s="319" t="str">
        <f t="shared" si="5"/>
        <v>AX75;</v>
      </c>
    </row>
    <row r="76" spans="1:52" s="286" customFormat="1" ht="16.5" customHeight="1" thickBot="1">
      <c r="A76" s="666"/>
      <c r="B76" s="308" t="s">
        <v>567</v>
      </c>
      <c r="C76" s="285" t="s">
        <v>133</v>
      </c>
      <c r="D76" s="289" t="str">
        <f t="shared" si="20"/>
        <v/>
      </c>
      <c r="E76" s="287" t="str">
        <f>IFERROR(IF($G$59&lt;&gt;"",IF(G76="x",IF(F76=$G$59,"V1",IF(AF76=1,"V2",IF(AND(AF76=$AF$59,AF76&lt;&gt;1),"V"&amp;$AG$59+1,"V"&amp;AF76+1))),""),""),"Wprowadź urządzenie bazowe")</f>
        <v/>
      </c>
      <c r="F76" s="289" t="s">
        <v>132</v>
      </c>
      <c r="G76" s="309" t="str">
        <f>IF($G$59=F76,"X","")</f>
        <v/>
      </c>
      <c r="H76" s="289" t="s">
        <v>667</v>
      </c>
      <c r="I76" s="289">
        <v>10</v>
      </c>
      <c r="J76" s="286" t="str">
        <f>IFERROR(IF(VALUE(MID(D59,2,2))&lt;9,"$HLB1-L0"&amp;(RIGHT(D59,1)+1),"$HLB1-L"&amp;(MID(D59,2,2)+1)),"Uzupełnij poziom")</f>
        <v>Uzupełnij poziom</v>
      </c>
      <c r="K76" s="286">
        <v>1000</v>
      </c>
      <c r="L76" s="286" t="s">
        <v>668</v>
      </c>
      <c r="N76" s="310">
        <f>IF(T79&lt;&gt;0,ROUND(((100-T79)/T79)*100,2),IF(J76&lt;&gt;"",T76,""))</f>
        <v>0</v>
      </c>
      <c r="O76" s="289"/>
      <c r="P76" s="289"/>
      <c r="Q76" s="289"/>
      <c r="S76" s="291"/>
      <c r="U76" s="291"/>
      <c r="V76" s="291"/>
      <c r="W76" s="291"/>
      <c r="X76" s="291"/>
      <c r="Y76" s="291"/>
      <c r="Z76" s="291"/>
      <c r="AA76" s="291"/>
      <c r="AB76" s="291"/>
      <c r="AC76" s="291"/>
      <c r="AD76" s="291"/>
      <c r="AE76" s="286" t="str">
        <f>UPPER(G76)</f>
        <v/>
      </c>
      <c r="AF76" s="286">
        <f>COUNTIF($AE$60:AE79,"X")</f>
        <v>0</v>
      </c>
      <c r="AL76" s="286" t="s">
        <v>132</v>
      </c>
      <c r="AM76" s="286" t="s">
        <v>133</v>
      </c>
      <c r="AQ76" s="430">
        <v>2500</v>
      </c>
      <c r="AR76" s="430">
        <v>1540</v>
      </c>
      <c r="AS76" s="430"/>
      <c r="AT76" s="430"/>
      <c r="AU76" s="430"/>
      <c r="AV76" s="430"/>
      <c r="AW76" s="299" t="str">
        <f t="shared" si="7"/>
        <v>FL01</v>
      </c>
      <c r="AX76" s="299" t="str">
        <f t="shared" si="8"/>
        <v/>
      </c>
      <c r="AY76" s="286">
        <f t="shared" si="6"/>
        <v>76</v>
      </c>
      <c r="AZ76" s="319" t="str">
        <f t="shared" ref="AZ76:AZ139" si="21">"AX"&amp;AY76&amp;";"</f>
        <v>AX76;</v>
      </c>
    </row>
    <row r="77" spans="1:52" ht="16.5" customHeight="1" thickBot="1">
      <c r="A77" s="666"/>
      <c r="B77" s="311" t="s">
        <v>567</v>
      </c>
      <c r="C77" s="292" t="s">
        <v>133</v>
      </c>
      <c r="D77" s="295" t="str">
        <f t="shared" si="20"/>
        <v/>
      </c>
      <c r="E77" s="110" t="str">
        <f>IF(E76&lt;&gt;"",E76,"")</f>
        <v/>
      </c>
      <c r="F77" s="295" t="s">
        <v>132</v>
      </c>
      <c r="G77" s="313" t="str">
        <f>IF(AND(G76&lt;&gt;"",J77&lt;&gt;""),G76,"")</f>
        <v/>
      </c>
      <c r="H77" s="295" t="s">
        <v>667</v>
      </c>
      <c r="I77" s="295">
        <v>20</v>
      </c>
      <c r="J77" s="340" t="str">
        <f>IF('DANE CONTROLLINGU'!M32&lt;&gt;0,'DANE CONTROLLINGU'!N32,"")</f>
        <v/>
      </c>
      <c r="K77" s="295">
        <f>ROUND('DANE CONTROLLINGU'!L32*1000,3)</f>
        <v>0</v>
      </c>
      <c r="L77" s="293" t="s">
        <v>672</v>
      </c>
      <c r="M77" s="341" t="str">
        <f>IF(T79&lt;&gt;0,ROUND(((100-T79)/T79)*100,2),IF(J77&lt;&gt;"",T77,""))</f>
        <v/>
      </c>
      <c r="N77" s="314" t="str">
        <f>IF(T79&lt;&gt;0,ROUND(((100-T79)/T79)*100,2),IF(J77&lt;&gt;"",T77,""))</f>
        <v/>
      </c>
      <c r="AL77" s="293" t="s">
        <v>132</v>
      </c>
      <c r="AM77" s="293" t="s">
        <v>133</v>
      </c>
      <c r="AQ77" s="429">
        <v>2500</v>
      </c>
      <c r="AR77" s="429">
        <v>1540</v>
      </c>
      <c r="AW77" s="299" t="str">
        <f t="shared" si="7"/>
        <v>FL01</v>
      </c>
      <c r="AX77" s="299" t="str">
        <f t="shared" si="8"/>
        <v/>
      </c>
      <c r="AY77" s="286">
        <f t="shared" ref="AY77:AY140" si="22">AY76+1</f>
        <v>77</v>
      </c>
      <c r="AZ77" s="319" t="str">
        <f t="shared" si="21"/>
        <v>AX77;</v>
      </c>
    </row>
    <row r="78" spans="1:52" ht="15" customHeight="1" thickBot="1">
      <c r="A78" s="666"/>
      <c r="B78" s="311" t="s">
        <v>567</v>
      </c>
      <c r="C78" s="292" t="s">
        <v>133</v>
      </c>
      <c r="D78" s="295" t="str">
        <f t="shared" si="20"/>
        <v/>
      </c>
      <c r="E78" s="110" t="str">
        <f>IF(E76&lt;&gt;"",E76,"")</f>
        <v/>
      </c>
      <c r="F78" s="295" t="s">
        <v>132</v>
      </c>
      <c r="G78" s="313" t="str">
        <f>IF(AND(G76&lt;&gt;"",J78&lt;&gt;""),G76,"")</f>
        <v/>
      </c>
      <c r="H78" s="295" t="s">
        <v>667</v>
      </c>
      <c r="I78" s="295">
        <v>30</v>
      </c>
      <c r="J78" s="351"/>
      <c r="L78" s="293" t="s">
        <v>672</v>
      </c>
      <c r="M78" s="341" t="str">
        <f>IF(T79&lt;&gt;0,ROUND(((100-T79)/T79)*100,2),IF(J78&lt;&gt;"",T78,""))</f>
        <v/>
      </c>
      <c r="N78" s="314" t="str">
        <f>IF(T79&lt;&gt;0,ROUND(((100-T79)/T79)*100,2),IF(J78&lt;&gt;"",T78,""))</f>
        <v/>
      </c>
      <c r="AL78" s="293" t="s">
        <v>132</v>
      </c>
      <c r="AM78" s="293" t="s">
        <v>133</v>
      </c>
      <c r="AQ78" s="429">
        <v>2500</v>
      </c>
      <c r="AR78" s="429">
        <v>1540</v>
      </c>
      <c r="AW78" s="299" t="str">
        <f t="shared" si="7"/>
        <v>FL01</v>
      </c>
      <c r="AX78" s="299" t="str">
        <f t="shared" si="8"/>
        <v/>
      </c>
      <c r="AY78" s="286">
        <f t="shared" si="22"/>
        <v>78</v>
      </c>
      <c r="AZ78" s="319" t="str">
        <f t="shared" si="21"/>
        <v>AX78;</v>
      </c>
    </row>
    <row r="79" spans="1:52" s="319" customFormat="1" ht="14.25" customHeight="1" thickBot="1">
      <c r="A79" s="666"/>
      <c r="B79" s="315" t="s">
        <v>567</v>
      </c>
      <c r="C79" s="316" t="s">
        <v>133</v>
      </c>
      <c r="D79" s="317" t="str">
        <f t="shared" si="20"/>
        <v/>
      </c>
      <c r="E79" s="110" t="str">
        <f>IF(E76&lt;&gt;"",E76,"")</f>
        <v/>
      </c>
      <c r="F79" s="317" t="s">
        <v>132</v>
      </c>
      <c r="G79" s="313" t="str">
        <f>IF(G76="X","X","")</f>
        <v/>
      </c>
      <c r="H79" s="317" t="s">
        <v>669</v>
      </c>
      <c r="I79" s="317"/>
      <c r="J79" s="317"/>
      <c r="N79" s="314"/>
      <c r="O79" s="320" t="s">
        <v>670</v>
      </c>
      <c r="P79" s="317" t="s">
        <v>132</v>
      </c>
      <c r="Q79" s="320">
        <f>$Q$11</f>
        <v>0</v>
      </c>
      <c r="R79" s="323"/>
      <c r="S79" s="324"/>
      <c r="T79" s="323"/>
      <c r="U79" s="324"/>
      <c r="V79" s="324"/>
      <c r="W79" s="324"/>
      <c r="X79" s="324"/>
      <c r="Y79" s="324"/>
      <c r="Z79" s="324"/>
      <c r="AA79" s="324"/>
      <c r="AB79" s="324"/>
      <c r="AC79" s="324"/>
      <c r="AD79" s="324"/>
      <c r="AL79" s="319" t="s">
        <v>132</v>
      </c>
      <c r="AM79" s="319" t="s">
        <v>133</v>
      </c>
      <c r="AQ79" s="431">
        <v>2500</v>
      </c>
      <c r="AR79" s="431">
        <v>1540</v>
      </c>
      <c r="AS79" s="479">
        <v>0</v>
      </c>
      <c r="AT79" s="479">
        <v>0</v>
      </c>
      <c r="AU79" s="431"/>
      <c r="AV79" s="480" t="str">
        <f>IF(AND(AR$1&lt;&gt;0,AT$1&lt;&gt;0),IF(AND($AR$1&lt;=AQ79,$AT$1&lt;=AR79,$AR$1&gt;=AS79,$AT$1&gt;=AT79),"OK","NOK"),"")</f>
        <v>OK</v>
      </c>
      <c r="AW79" s="299" t="str">
        <f t="shared" si="7"/>
        <v>FL01</v>
      </c>
      <c r="AX79" s="299" t="str">
        <f t="shared" si="8"/>
        <v/>
      </c>
      <c r="AY79" s="286">
        <f t="shared" si="22"/>
        <v>79</v>
      </c>
      <c r="AZ79" s="319" t="str">
        <f t="shared" si="21"/>
        <v>AX79;</v>
      </c>
    </row>
    <row r="80" spans="1:52" s="286" customFormat="1" ht="16.5" customHeight="1" thickBot="1">
      <c r="A80" s="666"/>
      <c r="B80" s="308" t="s">
        <v>559</v>
      </c>
      <c r="C80" s="285" t="s">
        <v>159</v>
      </c>
      <c r="D80" s="289" t="str">
        <f t="shared" si="20"/>
        <v/>
      </c>
      <c r="E80" s="287" t="str">
        <f>IFERROR(IF($G$59&lt;&gt;"",IF(G80="x",IF(F80=$G$59,"V1",IF(AF80=1,"V2",IF(AND(AF80=$AF$59,AF80&lt;&gt;1),"V"&amp;$AG$59+1,"V"&amp;AF80+1))),""),""),"Wprowadź urządzenie bazowe")</f>
        <v/>
      </c>
      <c r="F80" s="289" t="s">
        <v>158</v>
      </c>
      <c r="G80" s="309" t="str">
        <f>IF($G$59=F80,"X","")</f>
        <v/>
      </c>
      <c r="H80" s="289" t="s">
        <v>667</v>
      </c>
      <c r="I80" s="289">
        <v>10</v>
      </c>
      <c r="J80" s="286" t="str">
        <f>IFERROR(IF(VALUE(MID(D59,2,2))&lt;9,"$HLB1-L0"&amp;(RIGHT(D59,1)+1),"$HLB1-L"&amp;(MID(D59,2,2)+1)),"Uzupełnij poziom")</f>
        <v>Uzupełnij poziom</v>
      </c>
      <c r="K80" s="286">
        <v>1000</v>
      </c>
      <c r="L80" s="286" t="s">
        <v>668</v>
      </c>
      <c r="N80" s="310">
        <f>IF(T83&lt;&gt;0,ROUND(((100-T83)/T83)*100,2),IF(J80&lt;&gt;"",T80,""))</f>
        <v>0</v>
      </c>
      <c r="O80" s="289"/>
      <c r="P80" s="289"/>
      <c r="Q80" s="289"/>
      <c r="S80" s="291"/>
      <c r="U80" s="291"/>
      <c r="V80" s="291"/>
      <c r="W80" s="291"/>
      <c r="X80" s="291"/>
      <c r="Y80" s="291"/>
      <c r="Z80" s="291"/>
      <c r="AA80" s="291"/>
      <c r="AB80" s="291"/>
      <c r="AC80" s="291"/>
      <c r="AD80" s="291"/>
      <c r="AE80" s="286" t="str">
        <f>UPPER(G80)</f>
        <v/>
      </c>
      <c r="AF80" s="286">
        <f>COUNTIF($AE$60:AE83,"X")</f>
        <v>0</v>
      </c>
      <c r="AL80" s="286" t="s">
        <v>158</v>
      </c>
      <c r="AM80" s="286" t="s">
        <v>159</v>
      </c>
      <c r="AQ80" s="430">
        <v>2500</v>
      </c>
      <c r="AR80" s="430">
        <v>1600</v>
      </c>
      <c r="AS80" s="430"/>
      <c r="AT80" s="430"/>
      <c r="AU80" s="430"/>
      <c r="AV80" s="430"/>
      <c r="AW80" s="299" t="str">
        <f t="shared" si="7"/>
        <v>FL02</v>
      </c>
      <c r="AX80" s="299" t="str">
        <f t="shared" si="8"/>
        <v/>
      </c>
      <c r="AY80" s="286">
        <f t="shared" si="22"/>
        <v>80</v>
      </c>
      <c r="AZ80" s="319" t="str">
        <f t="shared" si="21"/>
        <v>AX80;</v>
      </c>
    </row>
    <row r="81" spans="1:52" ht="16.5" customHeight="1" thickBot="1">
      <c r="A81" s="666"/>
      <c r="B81" s="311" t="s">
        <v>559</v>
      </c>
      <c r="C81" s="292" t="s">
        <v>159</v>
      </c>
      <c r="D81" s="295" t="str">
        <f t="shared" si="20"/>
        <v/>
      </c>
      <c r="E81" s="110" t="str">
        <f>IF(E80&lt;&gt;"",E80,"")</f>
        <v/>
      </c>
      <c r="F81" s="295" t="s">
        <v>158</v>
      </c>
      <c r="G81" s="313" t="str">
        <f>IF(AND(G80&lt;&gt;"",J81&lt;&gt;""),G80,"")</f>
        <v/>
      </c>
      <c r="H81" s="295" t="s">
        <v>667</v>
      </c>
      <c r="I81" s="295">
        <v>20</v>
      </c>
      <c r="J81" s="340" t="str">
        <f>IF('DANE CONTROLLINGU'!M32&lt;&gt;0,'DANE CONTROLLINGU'!N32,"")</f>
        <v/>
      </c>
      <c r="K81" s="295">
        <f>ROUND('DANE CONTROLLINGU'!L32*1000,3)</f>
        <v>0</v>
      </c>
      <c r="L81" s="293" t="s">
        <v>672</v>
      </c>
      <c r="M81" s="341" t="str">
        <f>IF(T83&lt;&gt;0,ROUND(((100-T83)/T83)*100,2),IF(J81&lt;&gt;"",T81,""))</f>
        <v/>
      </c>
      <c r="N81" s="314" t="str">
        <f>IF(T83&lt;&gt;0,ROUND(((100-T83)/T83)*100,2),IF(J81&lt;&gt;"",T81,""))</f>
        <v/>
      </c>
      <c r="AL81" s="293" t="s">
        <v>158</v>
      </c>
      <c r="AM81" s="293" t="s">
        <v>159</v>
      </c>
      <c r="AQ81" s="429">
        <v>2500</v>
      </c>
      <c r="AR81" s="429">
        <v>1600</v>
      </c>
      <c r="AW81" s="299" t="str">
        <f t="shared" si="7"/>
        <v>FL02</v>
      </c>
      <c r="AX81" s="299" t="str">
        <f t="shared" si="8"/>
        <v/>
      </c>
      <c r="AY81" s="286">
        <f t="shared" si="22"/>
        <v>81</v>
      </c>
      <c r="AZ81" s="319" t="str">
        <f t="shared" si="21"/>
        <v>AX81;</v>
      </c>
    </row>
    <row r="82" spans="1:52" ht="15" customHeight="1" thickBot="1">
      <c r="A82" s="666"/>
      <c r="B82" s="311" t="s">
        <v>559</v>
      </c>
      <c r="C82" s="292" t="s">
        <v>159</v>
      </c>
      <c r="D82" s="295" t="str">
        <f t="shared" si="20"/>
        <v/>
      </c>
      <c r="E82" s="110" t="str">
        <f>IF(E80&lt;&gt;"",E80,"")</f>
        <v/>
      </c>
      <c r="F82" s="295" t="s">
        <v>158</v>
      </c>
      <c r="G82" s="313" t="str">
        <f>IF(AND(G80&lt;&gt;"",J82&lt;&gt;""),G80,"")</f>
        <v/>
      </c>
      <c r="H82" s="295" t="s">
        <v>667</v>
      </c>
      <c r="I82" s="295">
        <v>30</v>
      </c>
      <c r="J82" s="351"/>
      <c r="L82" s="293" t="s">
        <v>672</v>
      </c>
      <c r="M82" s="341" t="str">
        <f>IF(T83&lt;&gt;0,ROUND(((100-T83)/T83)*100,2),IF(J82&lt;&gt;"",T82,""))</f>
        <v/>
      </c>
      <c r="N82" s="314" t="str">
        <f>IF(T83&lt;&gt;0,ROUND(((100-T83)/T83)*100,2),IF(J82&lt;&gt;"",T82,""))</f>
        <v/>
      </c>
      <c r="AL82" s="293" t="s">
        <v>158</v>
      </c>
      <c r="AM82" s="293" t="s">
        <v>159</v>
      </c>
      <c r="AQ82" s="429">
        <v>2500</v>
      </c>
      <c r="AR82" s="429">
        <v>1600</v>
      </c>
      <c r="AW82" s="299" t="str">
        <f t="shared" si="7"/>
        <v>FL02</v>
      </c>
      <c r="AX82" s="299" t="str">
        <f t="shared" si="8"/>
        <v/>
      </c>
      <c r="AY82" s="286">
        <f t="shared" si="22"/>
        <v>82</v>
      </c>
      <c r="AZ82" s="319" t="str">
        <f t="shared" si="21"/>
        <v>AX82;</v>
      </c>
    </row>
    <row r="83" spans="1:52" s="319" customFormat="1" ht="14.25" customHeight="1" thickBot="1">
      <c r="A83" s="666"/>
      <c r="B83" s="315" t="s">
        <v>559</v>
      </c>
      <c r="C83" s="316" t="s">
        <v>159</v>
      </c>
      <c r="D83" s="317" t="str">
        <f t="shared" si="20"/>
        <v/>
      </c>
      <c r="E83" s="110" t="str">
        <f>IF(E80&lt;&gt;"",E80,"")</f>
        <v/>
      </c>
      <c r="F83" s="317" t="s">
        <v>158</v>
      </c>
      <c r="G83" s="313" t="str">
        <f>IF(G80="X","X","")</f>
        <v/>
      </c>
      <c r="H83" s="317" t="s">
        <v>669</v>
      </c>
      <c r="I83" s="317"/>
      <c r="J83" s="317"/>
      <c r="N83" s="314"/>
      <c r="O83" s="320" t="s">
        <v>670</v>
      </c>
      <c r="P83" s="317" t="s">
        <v>158</v>
      </c>
      <c r="Q83" s="320">
        <f>$Q$11</f>
        <v>0</v>
      </c>
      <c r="R83" s="323"/>
      <c r="S83" s="324"/>
      <c r="T83" s="323"/>
      <c r="U83" s="324"/>
      <c r="V83" s="324"/>
      <c r="W83" s="324"/>
      <c r="X83" s="324"/>
      <c r="Y83" s="324"/>
      <c r="Z83" s="324"/>
      <c r="AA83" s="324"/>
      <c r="AB83" s="324"/>
      <c r="AC83" s="324"/>
      <c r="AD83" s="324"/>
      <c r="AL83" s="319" t="s">
        <v>158</v>
      </c>
      <c r="AM83" s="319" t="s">
        <v>159</v>
      </c>
      <c r="AQ83" s="431">
        <v>2500</v>
      </c>
      <c r="AR83" s="431">
        <v>1600</v>
      </c>
      <c r="AS83" s="479">
        <v>0</v>
      </c>
      <c r="AT83" s="479">
        <v>0</v>
      </c>
      <c r="AU83" s="431"/>
      <c r="AV83" s="480" t="str">
        <f>IF(AND(AR$1&lt;&gt;0,AT$1&lt;&gt;0),IF(AND($AR$1&lt;=AQ83,$AT$1&lt;=AR83,$AR$1&gt;=AS83,$AT$1&gt;=AT83),"OK","NOK"),"")</f>
        <v>OK</v>
      </c>
      <c r="AW83" s="299" t="str">
        <f t="shared" si="7"/>
        <v>FL02</v>
      </c>
      <c r="AX83" s="299" t="str">
        <f t="shared" si="8"/>
        <v/>
      </c>
      <c r="AY83" s="286">
        <f t="shared" si="22"/>
        <v>83</v>
      </c>
      <c r="AZ83" s="319" t="str">
        <f t="shared" si="21"/>
        <v>AX83;</v>
      </c>
    </row>
    <row r="84" spans="1:52" s="286" customFormat="1" ht="16.5" customHeight="1" thickBot="1">
      <c r="A84" s="666"/>
      <c r="B84" s="308" t="s">
        <v>346</v>
      </c>
      <c r="C84" s="285" t="s">
        <v>131</v>
      </c>
      <c r="D84" s="289" t="str">
        <f t="shared" si="20"/>
        <v/>
      </c>
      <c r="E84" s="287" t="str">
        <f>IFERROR(IF($G$59&lt;&gt;"",IF(G84="x",IF(F84=$G$59,"V1",IF(AF84=1,"V2",IF(AND(AF84=$AF$59,AF84&lt;&gt;1),"V"&amp;$AG$59+1,"V"&amp;AF84+1))),""),""),"Wprowadź urządzenie bazowe")</f>
        <v/>
      </c>
      <c r="F84" s="289" t="s">
        <v>130</v>
      </c>
      <c r="G84" s="309"/>
      <c r="H84" s="289" t="s">
        <v>667</v>
      </c>
      <c r="I84" s="289">
        <v>10</v>
      </c>
      <c r="J84" s="286" t="str">
        <f>IFERROR(IF(VALUE(MID(D59,2,2))&lt;9,"$HLB1-L0"&amp;(RIGHT(D59,1)+1),"$HLB1-L"&amp;(MID(D59,2,2)+1)),"Uzupełnij poziom")</f>
        <v>Uzupełnij poziom</v>
      </c>
      <c r="K84" s="286">
        <v>1000</v>
      </c>
      <c r="L84" s="286" t="s">
        <v>668</v>
      </c>
      <c r="N84" s="310">
        <f>IF(T87&lt;&gt;0,ROUND(((100-T87)/T87)*100,2),IF(J84&lt;&gt;"",T84,""))</f>
        <v>0</v>
      </c>
      <c r="O84" s="289"/>
      <c r="P84" s="289"/>
      <c r="Q84" s="289"/>
      <c r="S84" s="291"/>
      <c r="U84" s="291"/>
      <c r="V84" s="291"/>
      <c r="W84" s="291"/>
      <c r="X84" s="291"/>
      <c r="Y84" s="291"/>
      <c r="Z84" s="291"/>
      <c r="AA84" s="291"/>
      <c r="AB84" s="291"/>
      <c r="AC84" s="291"/>
      <c r="AD84" s="291"/>
      <c r="AE84" s="286" t="str">
        <f>UPPER(G84)</f>
        <v/>
      </c>
      <c r="AF84" s="286">
        <f>COUNTIF($AE$60:AE87,"X")</f>
        <v>0</v>
      </c>
      <c r="AL84" s="286" t="s">
        <v>130</v>
      </c>
      <c r="AM84" s="286" t="s">
        <v>131</v>
      </c>
      <c r="AQ84" s="430">
        <v>1250</v>
      </c>
      <c r="AR84" s="430">
        <v>750</v>
      </c>
      <c r="AS84" s="430"/>
      <c r="AT84" s="430"/>
      <c r="AU84" s="430"/>
      <c r="AV84" s="430"/>
      <c r="AW84" s="299" t="str">
        <f t="shared" si="7"/>
        <v>SVEC</v>
      </c>
      <c r="AX84" s="299" t="str">
        <f t="shared" si="8"/>
        <v/>
      </c>
      <c r="AY84" s="286">
        <f t="shared" si="22"/>
        <v>84</v>
      </c>
      <c r="AZ84" s="319" t="str">
        <f t="shared" si="21"/>
        <v>AX84;</v>
      </c>
    </row>
    <row r="85" spans="1:52" ht="16.5" customHeight="1" thickBot="1">
      <c r="A85" s="666"/>
      <c r="B85" s="311" t="s">
        <v>346</v>
      </c>
      <c r="C85" s="292" t="s">
        <v>131</v>
      </c>
      <c r="D85" s="295" t="str">
        <f t="shared" si="20"/>
        <v/>
      </c>
      <c r="E85" s="110" t="str">
        <f>IF(E84&lt;&gt;"",E84,"")</f>
        <v/>
      </c>
      <c r="F85" s="295" t="s">
        <v>130</v>
      </c>
      <c r="G85" s="313" t="str">
        <f>IF(AND(G84&lt;&gt;"",J85&lt;&gt;""),G84,"")</f>
        <v/>
      </c>
      <c r="H85" s="295" t="s">
        <v>667</v>
      </c>
      <c r="I85" s="295">
        <v>20</v>
      </c>
      <c r="J85" s="340" t="str">
        <f>IF('DANE CONTROLLINGU'!M32&lt;&gt;0,'DANE CONTROLLINGU'!N32,"")</f>
        <v/>
      </c>
      <c r="K85" s="295">
        <f>ROUND('DANE CONTROLLINGU'!L32*1000,3)</f>
        <v>0</v>
      </c>
      <c r="L85" s="293" t="s">
        <v>672</v>
      </c>
      <c r="M85" s="341" t="str">
        <f>IF(T87&lt;&gt;0,ROUND(((100-T87)/T87)*100,2),IF(J85&lt;&gt;"",T85,""))</f>
        <v/>
      </c>
      <c r="N85" s="314" t="str">
        <f>IF(T87&lt;&gt;0,ROUND(((100-T87)/T87)*100,2),IF(J85&lt;&gt;"",T85,""))</f>
        <v/>
      </c>
      <c r="AL85" s="293" t="s">
        <v>130</v>
      </c>
      <c r="AM85" s="293" t="s">
        <v>131</v>
      </c>
      <c r="AQ85" s="429">
        <v>1250</v>
      </c>
      <c r="AR85" s="429">
        <v>750</v>
      </c>
      <c r="AW85" s="299" t="str">
        <f t="shared" si="7"/>
        <v>SVEC</v>
      </c>
      <c r="AX85" s="299" t="str">
        <f t="shared" si="8"/>
        <v/>
      </c>
      <c r="AY85" s="286">
        <f t="shared" si="22"/>
        <v>85</v>
      </c>
      <c r="AZ85" s="319" t="str">
        <f t="shared" si="21"/>
        <v>AX85;</v>
      </c>
    </row>
    <row r="86" spans="1:52" ht="15" customHeight="1" thickBot="1">
      <c r="A86" s="666"/>
      <c r="B86" s="311" t="s">
        <v>346</v>
      </c>
      <c r="C86" s="292" t="s">
        <v>131</v>
      </c>
      <c r="D86" s="295" t="str">
        <f t="shared" si="20"/>
        <v/>
      </c>
      <c r="E86" s="110" t="str">
        <f>IF(E84&lt;&gt;"",E84,"")</f>
        <v/>
      </c>
      <c r="F86" s="295" t="s">
        <v>130</v>
      </c>
      <c r="G86" s="313" t="str">
        <f>IF(AND(G84&lt;&gt;"",J86&lt;&gt;""),G84,"")</f>
        <v/>
      </c>
      <c r="H86" s="295" t="s">
        <v>667</v>
      </c>
      <c r="I86" s="295">
        <v>30</v>
      </c>
      <c r="J86" s="351"/>
      <c r="L86" s="293" t="s">
        <v>672</v>
      </c>
      <c r="M86" s="341" t="str">
        <f>IF(T87&lt;&gt;0,ROUND(((100-T87)/T87)*100,2),IF(J86&lt;&gt;"",T86,""))</f>
        <v/>
      </c>
      <c r="N86" s="314" t="str">
        <f>IF(T87&lt;&gt;0,ROUND(((100-T87)/T87)*100,2),IF(J86&lt;&gt;"",T86,""))</f>
        <v/>
      </c>
      <c r="AL86" s="293" t="s">
        <v>130</v>
      </c>
      <c r="AM86" s="293" t="s">
        <v>131</v>
      </c>
      <c r="AQ86" s="429">
        <v>1250</v>
      </c>
      <c r="AR86" s="429">
        <v>750</v>
      </c>
      <c r="AW86" s="299" t="str">
        <f t="shared" si="7"/>
        <v>SVEC</v>
      </c>
      <c r="AX86" s="299" t="str">
        <f t="shared" si="8"/>
        <v/>
      </c>
      <c r="AY86" s="286">
        <f t="shared" si="22"/>
        <v>86</v>
      </c>
      <c r="AZ86" s="319" t="str">
        <f t="shared" si="21"/>
        <v>AX86;</v>
      </c>
    </row>
    <row r="87" spans="1:52" s="299" customFormat="1" ht="14.25" customHeight="1" thickBot="1">
      <c r="A87" s="667"/>
      <c r="B87" s="337" t="s">
        <v>346</v>
      </c>
      <c r="C87" s="298" t="s">
        <v>131</v>
      </c>
      <c r="D87" s="301" t="str">
        <f t="shared" si="20"/>
        <v/>
      </c>
      <c r="E87" s="299" t="str">
        <f>IF(E84&lt;&gt;"",E84,"")</f>
        <v/>
      </c>
      <c r="F87" s="301" t="s">
        <v>130</v>
      </c>
      <c r="G87" s="338" t="str">
        <f>IF(G84="X","X","")</f>
        <v/>
      </c>
      <c r="H87" s="301" t="s">
        <v>669</v>
      </c>
      <c r="I87" s="301"/>
      <c r="J87" s="301"/>
      <c r="N87" s="339"/>
      <c r="O87" s="303" t="s">
        <v>670</v>
      </c>
      <c r="P87" s="301" t="s">
        <v>130</v>
      </c>
      <c r="Q87" s="303">
        <f>$Q$11</f>
        <v>0</v>
      </c>
      <c r="R87" s="304"/>
      <c r="S87" s="305"/>
      <c r="T87" s="304"/>
      <c r="U87" s="305"/>
      <c r="V87" s="305"/>
      <c r="W87" s="305"/>
      <c r="X87" s="305"/>
      <c r="Y87" s="305"/>
      <c r="Z87" s="305"/>
      <c r="AA87" s="305"/>
      <c r="AB87" s="305"/>
      <c r="AC87" s="305"/>
      <c r="AD87" s="305"/>
      <c r="AL87" s="299" t="s">
        <v>130</v>
      </c>
      <c r="AM87" s="299" t="s">
        <v>131</v>
      </c>
      <c r="AQ87" s="432">
        <v>1250</v>
      </c>
      <c r="AR87" s="432">
        <v>750</v>
      </c>
      <c r="AS87" s="479">
        <v>0</v>
      </c>
      <c r="AT87" s="479">
        <v>0</v>
      </c>
      <c r="AU87" s="432"/>
      <c r="AV87" s="480" t="str">
        <f>IF(AND(AR$1&lt;&gt;0,AT$1&lt;&gt;0),IF(AND($AR$1&lt;=AQ87,$AT$1&lt;=AR87,$AR$1&gt;=AS87,$AT$1&gt;=AT87),"OK","NOK"),"")</f>
        <v>NOK</v>
      </c>
      <c r="AW87" s="299" t="str">
        <f t="shared" si="7"/>
        <v>SVEC</v>
      </c>
      <c r="AX87" s="299" t="str">
        <f t="shared" si="8"/>
        <v>SVEC,</v>
      </c>
      <c r="AY87" s="286">
        <f t="shared" si="22"/>
        <v>87</v>
      </c>
      <c r="AZ87" s="319" t="str">
        <f t="shared" si="21"/>
        <v>AX87;</v>
      </c>
    </row>
    <row r="88" spans="1:52" s="110" customFormat="1" ht="15.75" thickBot="1">
      <c r="A88" s="283"/>
      <c r="B88" s="284" t="s">
        <v>665</v>
      </c>
      <c r="C88" s="356"/>
      <c r="D88" s="355" t="str">
        <f>IF(C88&lt;&gt;"",CONCATENATE("L",C88),"")</f>
        <v/>
      </c>
      <c r="F88" s="262"/>
      <c r="G88" s="329"/>
      <c r="H88" s="262"/>
      <c r="I88" s="262"/>
      <c r="J88" s="262"/>
      <c r="N88" s="314"/>
      <c r="O88" s="262"/>
      <c r="P88" s="262"/>
      <c r="Q88" s="262"/>
      <c r="S88" s="277"/>
      <c r="U88" s="277"/>
      <c r="V88" s="277"/>
      <c r="W88" s="277"/>
      <c r="X88" s="277"/>
      <c r="Y88" s="277"/>
      <c r="Z88" s="277"/>
      <c r="AA88" s="277"/>
      <c r="AB88" s="277"/>
      <c r="AC88" s="277"/>
      <c r="AD88" s="277"/>
      <c r="AF88" s="110">
        <f>MAX(AF89:AF116)</f>
        <v>0</v>
      </c>
      <c r="AG88" s="110">
        <f>_xlfn.IFNA(VLOOKUP($G$88,F89:AF116,27,FALSE),0)</f>
        <v>0</v>
      </c>
      <c r="AN88" s="394" t="str">
        <f>IF(G88&lt;&gt;"",VLOOKUP(G88,$AL$4:$AM$274,2,FALSE),"")</f>
        <v/>
      </c>
      <c r="AO88" s="289"/>
      <c r="AP88" s="395" t="str">
        <f>IF(AN88&lt;&gt;"",AN88&amp;", "&amp;AO88,"")</f>
        <v/>
      </c>
      <c r="AQ88" s="426"/>
      <c r="AR88" s="426"/>
      <c r="AS88" s="426"/>
      <c r="AT88" s="426"/>
      <c r="AU88" s="426"/>
      <c r="AV88" s="426"/>
      <c r="AW88" s="299">
        <f t="shared" si="7"/>
        <v>0</v>
      </c>
      <c r="AX88" s="299" t="str">
        <f t="shared" si="8"/>
        <v/>
      </c>
      <c r="AY88" s="286">
        <f t="shared" si="22"/>
        <v>88</v>
      </c>
      <c r="AZ88" s="319" t="str">
        <f t="shared" si="21"/>
        <v>AX88;</v>
      </c>
    </row>
    <row r="89" spans="1:52" s="286" customFormat="1" ht="15" customHeight="1" thickBot="1">
      <c r="A89" s="665" t="s">
        <v>674</v>
      </c>
      <c r="B89" s="308" t="s">
        <v>556</v>
      </c>
      <c r="C89" s="285" t="s">
        <v>155</v>
      </c>
      <c r="D89" s="289" t="str">
        <f t="shared" ref="D89:D116" si="23">$D$88</f>
        <v/>
      </c>
      <c r="E89" s="287" t="str">
        <f>IFERROR(IF($G$88&lt;&gt;"",IF(G89="x",IF(F89=$G$88,"V1",IF(AF89=1,"V2",IF(AND(AF89=$AF$88,AF89&lt;&gt;1),"V"&amp;$AG$88+1,"V"&amp;AF89+1))),""),""),"Wprowadź urządzenie bazowe")</f>
        <v/>
      </c>
      <c r="F89" s="289" t="s">
        <v>154</v>
      </c>
      <c r="G89" s="309"/>
      <c r="H89" s="289" t="s">
        <v>667</v>
      </c>
      <c r="I89" s="289">
        <v>10</v>
      </c>
      <c r="J89" s="286" t="str">
        <f>IFERROR(IF(VALUE(MID(D88,2,2))&lt;9,"$HLB1-L0"&amp;(RIGHT(D88,1)+1),"$HLB1-L"&amp;(MID(D88,2,2)+1)),"Uzupełnij poziom")</f>
        <v>Uzupełnij poziom</v>
      </c>
      <c r="K89" s="286">
        <v>1000</v>
      </c>
      <c r="L89" s="286" t="s">
        <v>668</v>
      </c>
      <c r="N89" s="310">
        <f>IF(T92&lt;&gt;0,ROUND(((100-T92)/T92)*100,2),IF(J89&lt;&gt;"",T89,""))</f>
        <v>0</v>
      </c>
      <c r="O89" s="289"/>
      <c r="P89" s="289"/>
      <c r="Q89" s="289"/>
      <c r="S89" s="291"/>
      <c r="U89" s="291"/>
      <c r="V89" s="291"/>
      <c r="W89" s="291"/>
      <c r="X89" s="291"/>
      <c r="Y89" s="291"/>
      <c r="Z89" s="291"/>
      <c r="AA89" s="291"/>
      <c r="AB89" s="291"/>
      <c r="AC89" s="291"/>
      <c r="AD89" s="291"/>
      <c r="AE89" s="286" t="str">
        <f>UPPER(G89)</f>
        <v/>
      </c>
      <c r="AF89" s="286">
        <f>COUNTIF($AE$89:AE92,"X")</f>
        <v>0</v>
      </c>
      <c r="AL89" s="286" t="s">
        <v>154</v>
      </c>
      <c r="AM89" s="286" t="s">
        <v>155</v>
      </c>
      <c r="AQ89" s="430">
        <v>2500</v>
      </c>
      <c r="AR89" s="430">
        <v>1700</v>
      </c>
      <c r="AS89" s="430">
        <v>380</v>
      </c>
      <c r="AT89" s="430">
        <v>380</v>
      </c>
      <c r="AU89" s="430"/>
      <c r="AV89" s="430"/>
      <c r="AW89" s="299" t="str">
        <f t="shared" si="7"/>
        <v>TH01</v>
      </c>
      <c r="AX89" s="299" t="str">
        <f t="shared" si="8"/>
        <v/>
      </c>
      <c r="AY89" s="286">
        <f t="shared" si="22"/>
        <v>89</v>
      </c>
      <c r="AZ89" s="319" t="str">
        <f t="shared" si="21"/>
        <v>AX89;</v>
      </c>
    </row>
    <row r="90" spans="1:52" ht="15" customHeight="1" thickBot="1">
      <c r="A90" s="666"/>
      <c r="B90" s="311" t="s">
        <v>556</v>
      </c>
      <c r="C90" s="292" t="s">
        <v>155</v>
      </c>
      <c r="D90" s="295" t="str">
        <f t="shared" si="23"/>
        <v/>
      </c>
      <c r="E90" s="110" t="str">
        <f>IF(E89&lt;&gt;"",E89,"")</f>
        <v/>
      </c>
      <c r="F90" s="295" t="s">
        <v>154</v>
      </c>
      <c r="G90" s="313" t="str">
        <f>IF(AND(G89&lt;&gt;"",J90&lt;&gt;""),G89,"")</f>
        <v/>
      </c>
      <c r="H90" s="295" t="s">
        <v>667</v>
      </c>
      <c r="I90" s="295">
        <v>20</v>
      </c>
      <c r="J90" s="340" t="str">
        <f>IF('DANE CONTROLLINGU'!M28&lt;&gt;0,'DANE CONTROLLINGU'!N28,"")</f>
        <v/>
      </c>
      <c r="K90" s="295">
        <f>ROUND('DANE CONTROLLINGU'!L28*1000,3)</f>
        <v>0</v>
      </c>
      <c r="L90" s="293" t="s">
        <v>672</v>
      </c>
      <c r="M90" s="341" t="str">
        <f>IF(T92&lt;&gt;0,ROUND(((100-T92)/T92)*100,2),IF(J90&lt;&gt;"",T90,""))</f>
        <v/>
      </c>
      <c r="N90" s="314" t="str">
        <f>IF(T92&lt;&gt;0,ROUND(((100-T92)/T92)*100,2),IF(J90&lt;&gt;"",T90,""))</f>
        <v/>
      </c>
      <c r="AL90" s="293" t="s">
        <v>154</v>
      </c>
      <c r="AM90" s="293" t="s">
        <v>155</v>
      </c>
      <c r="AQ90" s="429">
        <v>2500</v>
      </c>
      <c r="AR90" s="429">
        <v>1700</v>
      </c>
      <c r="AS90" s="429">
        <v>380</v>
      </c>
      <c r="AT90" s="429">
        <v>380</v>
      </c>
      <c r="AW90" s="299" t="str">
        <f t="shared" si="7"/>
        <v>TH01</v>
      </c>
      <c r="AX90" s="299" t="str">
        <f t="shared" si="8"/>
        <v/>
      </c>
      <c r="AY90" s="286">
        <f t="shared" si="22"/>
        <v>90</v>
      </c>
      <c r="AZ90" s="319" t="str">
        <f t="shared" si="21"/>
        <v>AX90;</v>
      </c>
    </row>
    <row r="91" spans="1:52" ht="15" customHeight="1" thickBot="1">
      <c r="A91" s="666"/>
      <c r="B91" s="311" t="s">
        <v>556</v>
      </c>
      <c r="C91" s="292" t="s">
        <v>155</v>
      </c>
      <c r="D91" s="295" t="str">
        <f t="shared" si="23"/>
        <v/>
      </c>
      <c r="E91" s="110" t="str">
        <f>IF(E89&lt;&gt;"",E89,"")</f>
        <v/>
      </c>
      <c r="F91" s="295" t="s">
        <v>154</v>
      </c>
      <c r="G91" s="313" t="str">
        <f>IF(AND(G89&lt;&gt;"",J91&lt;&gt;""),G89,"")</f>
        <v/>
      </c>
      <c r="H91" s="295" t="s">
        <v>667</v>
      </c>
      <c r="I91" s="295">
        <v>30</v>
      </c>
      <c r="J91" s="351"/>
      <c r="L91" s="293" t="s">
        <v>672</v>
      </c>
      <c r="M91" s="341" t="str">
        <f>IF(T92&lt;&gt;0,ROUND(((100-T92)/T92)*100,2),IF(J91&lt;&gt;"",T91,""))</f>
        <v/>
      </c>
      <c r="N91" s="314" t="str">
        <f>IF(T92&lt;&gt;0,ROUND(((100-T92)/T92)*100,2),IF(J91&lt;&gt;"",T90,""))</f>
        <v/>
      </c>
      <c r="AL91" s="293" t="s">
        <v>154</v>
      </c>
      <c r="AM91" s="293" t="s">
        <v>155</v>
      </c>
      <c r="AQ91" s="429">
        <v>2500</v>
      </c>
      <c r="AR91" s="429">
        <v>1700</v>
      </c>
      <c r="AS91" s="429">
        <v>380</v>
      </c>
      <c r="AT91" s="429">
        <v>380</v>
      </c>
      <c r="AW91" s="299" t="str">
        <f t="shared" si="7"/>
        <v>TH01</v>
      </c>
      <c r="AX91" s="299" t="str">
        <f t="shared" si="8"/>
        <v/>
      </c>
      <c r="AY91" s="286">
        <f t="shared" si="22"/>
        <v>91</v>
      </c>
      <c r="AZ91" s="319" t="str">
        <f t="shared" si="21"/>
        <v>AX91;</v>
      </c>
    </row>
    <row r="92" spans="1:52" s="319" customFormat="1" ht="15" customHeight="1" thickBot="1">
      <c r="A92" s="666"/>
      <c r="B92" s="315" t="s">
        <v>556</v>
      </c>
      <c r="C92" s="316" t="s">
        <v>155</v>
      </c>
      <c r="D92" s="317" t="str">
        <f t="shared" si="23"/>
        <v/>
      </c>
      <c r="E92" s="110" t="str">
        <f>IF(E89&lt;&gt;"",E89,"")</f>
        <v/>
      </c>
      <c r="F92" s="317" t="s">
        <v>154</v>
      </c>
      <c r="G92" s="313" t="str">
        <f>IF(G90="X","X","")</f>
        <v/>
      </c>
      <c r="H92" s="317" t="s">
        <v>669</v>
      </c>
      <c r="I92" s="317"/>
      <c r="J92" s="317"/>
      <c r="N92" s="314"/>
      <c r="O92" s="320" t="s">
        <v>670</v>
      </c>
      <c r="P92" s="317" t="s">
        <v>154</v>
      </c>
      <c r="Q92" s="320">
        <f>$Q$11</f>
        <v>0</v>
      </c>
      <c r="R92" s="323"/>
      <c r="S92" s="324"/>
      <c r="T92" s="323"/>
      <c r="U92" s="324"/>
      <c r="V92" s="324"/>
      <c r="W92" s="324"/>
      <c r="X92" s="324"/>
      <c r="Y92" s="324"/>
      <c r="Z92" s="324"/>
      <c r="AA92" s="324"/>
      <c r="AB92" s="324"/>
      <c r="AC92" s="324"/>
      <c r="AD92" s="324"/>
      <c r="AL92" s="319" t="s">
        <v>154</v>
      </c>
      <c r="AM92" s="319" t="s">
        <v>155</v>
      </c>
      <c r="AQ92" s="431">
        <v>2500</v>
      </c>
      <c r="AR92" s="431">
        <v>1700</v>
      </c>
      <c r="AS92" s="431">
        <v>380</v>
      </c>
      <c r="AT92" s="431">
        <v>380</v>
      </c>
      <c r="AU92" s="431"/>
      <c r="AV92" s="480" t="str">
        <f>IF(AND(AR$1&lt;&gt;0,AT$1&lt;&gt;0),IF(AND($AR$1&lt;=AQ92,$AT$1&lt;=AR92,$AR$1&gt;=AS92,$AT$1&gt;=AT92),"OK","NOK"),"")</f>
        <v>OK</v>
      </c>
      <c r="AW92" s="299" t="str">
        <f t="shared" si="7"/>
        <v>TH01</v>
      </c>
      <c r="AX92" s="299" t="str">
        <f t="shared" si="8"/>
        <v/>
      </c>
      <c r="AY92" s="286">
        <f t="shared" si="22"/>
        <v>92</v>
      </c>
      <c r="AZ92" s="319" t="str">
        <f t="shared" si="21"/>
        <v>AX92;</v>
      </c>
    </row>
    <row r="93" spans="1:52" s="286" customFormat="1" ht="15" customHeight="1" thickBot="1">
      <c r="A93" s="666"/>
      <c r="B93" s="308" t="s">
        <v>557</v>
      </c>
      <c r="C93" s="285" t="s">
        <v>157</v>
      </c>
      <c r="D93" s="289" t="str">
        <f t="shared" si="23"/>
        <v/>
      </c>
      <c r="E93" s="287" t="str">
        <f>IFERROR(IF($G$88&lt;&gt;"",IF(G93="x",IF(F93=$G$88,"V1",IF(AF93=1,"V2",IF(AND(AF93=$AF$88,AF93&lt;&gt;1),"V"&amp;$AG$88+1,"V"&amp;AF93+1))),""),""),"Wprowadź urządzenie bazowe")</f>
        <v/>
      </c>
      <c r="F93" s="289" t="s">
        <v>156</v>
      </c>
      <c r="G93" s="309"/>
      <c r="H93" s="289" t="s">
        <v>667</v>
      </c>
      <c r="I93" s="289">
        <v>10</v>
      </c>
      <c r="J93" s="286" t="str">
        <f>IFERROR(IF(VALUE(MID(D88,2,2))&lt;9,"$HLB1-L0"&amp;(RIGHT(D88,1)+1),"$HLB1-L"&amp;(MID(D88,2,2)+1)),"Uzupełnij poziom")</f>
        <v>Uzupełnij poziom</v>
      </c>
      <c r="K93" s="286">
        <v>1000</v>
      </c>
      <c r="L93" s="286" t="s">
        <v>668</v>
      </c>
      <c r="N93" s="310">
        <f>IF(T96&lt;&gt;0,ROUND(((100-T96)/T96)*100,2),IF(J93&lt;&gt;"",T93,""))</f>
        <v>0</v>
      </c>
      <c r="O93" s="289"/>
      <c r="P93" s="289"/>
      <c r="Q93" s="289"/>
      <c r="S93" s="291"/>
      <c r="U93" s="291"/>
      <c r="V93" s="291"/>
      <c r="W93" s="291"/>
      <c r="X93" s="291"/>
      <c r="Y93" s="291"/>
      <c r="Z93" s="291"/>
      <c r="AA93" s="291"/>
      <c r="AB93" s="291"/>
      <c r="AC93" s="291"/>
      <c r="AD93" s="291"/>
      <c r="AE93" s="286" t="str">
        <f>UPPER(G93)</f>
        <v/>
      </c>
      <c r="AF93" s="286">
        <f>COUNTIF($AE$89:AE96,"X")</f>
        <v>0</v>
      </c>
      <c r="AL93" s="286" t="s">
        <v>156</v>
      </c>
      <c r="AM93" s="286" t="s">
        <v>157</v>
      </c>
      <c r="AQ93" s="430">
        <v>2500</v>
      </c>
      <c r="AR93" s="430">
        <v>1700</v>
      </c>
      <c r="AS93" s="430">
        <v>500</v>
      </c>
      <c r="AT93" s="430">
        <v>200</v>
      </c>
      <c r="AU93" s="430"/>
      <c r="AV93" s="430"/>
      <c r="AW93" s="299" t="str">
        <f t="shared" si="7"/>
        <v>TH02</v>
      </c>
      <c r="AX93" s="299" t="str">
        <f t="shared" si="8"/>
        <v/>
      </c>
      <c r="AY93" s="286">
        <f t="shared" si="22"/>
        <v>93</v>
      </c>
      <c r="AZ93" s="319" t="str">
        <f t="shared" si="21"/>
        <v>AX93;</v>
      </c>
    </row>
    <row r="94" spans="1:52" ht="15" customHeight="1" thickBot="1">
      <c r="A94" s="666"/>
      <c r="B94" s="311" t="s">
        <v>557</v>
      </c>
      <c r="C94" s="292" t="s">
        <v>157</v>
      </c>
      <c r="D94" s="295" t="str">
        <f t="shared" si="23"/>
        <v/>
      </c>
      <c r="E94" s="110" t="str">
        <f>IF(E93&lt;&gt;"",E93,"")</f>
        <v/>
      </c>
      <c r="F94" s="295" t="s">
        <v>156</v>
      </c>
      <c r="G94" s="313" t="str">
        <f>IF(AND(G93&lt;&gt;"",J94&lt;&gt;""),G93,"")</f>
        <v/>
      </c>
      <c r="H94" s="295" t="s">
        <v>667</v>
      </c>
      <c r="I94" s="295">
        <v>20</v>
      </c>
      <c r="J94" s="340" t="str">
        <f>IF('DANE CONTROLLINGU'!M28&lt;&gt;0,'DANE CONTROLLINGU'!N28,"")</f>
        <v/>
      </c>
      <c r="K94" s="295">
        <f>ROUND('DANE CONTROLLINGU'!L28*1000,3)</f>
        <v>0</v>
      </c>
      <c r="L94" s="293" t="s">
        <v>672</v>
      </c>
      <c r="M94" s="341" t="str">
        <f>IF(T96&lt;&gt;0,ROUND(((100-T96)/T96)*100,2),IF(J94&lt;&gt;"",T94,""))</f>
        <v/>
      </c>
      <c r="N94" s="314" t="str">
        <f>IF(T96&lt;&gt;0,ROUND(((100-T96)/T96)*100,2),IF(J94&lt;&gt;"",T94,""))</f>
        <v/>
      </c>
      <c r="AL94" s="293" t="s">
        <v>156</v>
      </c>
      <c r="AM94" s="293" t="s">
        <v>157</v>
      </c>
      <c r="AQ94" s="429">
        <v>2500</v>
      </c>
      <c r="AR94" s="429">
        <v>1700</v>
      </c>
      <c r="AS94" s="429">
        <v>500</v>
      </c>
      <c r="AT94" s="429">
        <v>200</v>
      </c>
      <c r="AW94" s="299" t="str">
        <f t="shared" ref="AW94:AW157" si="24">AL94</f>
        <v>TH02</v>
      </c>
      <c r="AX94" s="299" t="str">
        <f t="shared" ref="AX94:AX157" si="25">IF(AV94="NOK",AW94&amp;",","")</f>
        <v/>
      </c>
      <c r="AY94" s="286">
        <f t="shared" si="22"/>
        <v>94</v>
      </c>
      <c r="AZ94" s="319" t="str">
        <f t="shared" si="21"/>
        <v>AX94;</v>
      </c>
    </row>
    <row r="95" spans="1:52" ht="15" customHeight="1" thickBot="1">
      <c r="A95" s="666"/>
      <c r="B95" s="311" t="s">
        <v>557</v>
      </c>
      <c r="C95" s="292" t="s">
        <v>157</v>
      </c>
      <c r="D95" s="295" t="str">
        <f t="shared" si="23"/>
        <v/>
      </c>
      <c r="E95" s="110" t="str">
        <f>IF(E93&lt;&gt;"",E93,"")</f>
        <v/>
      </c>
      <c r="F95" s="295" t="s">
        <v>156</v>
      </c>
      <c r="G95" s="313" t="str">
        <f>IF(AND(G93&lt;&gt;"",J95&lt;&gt;""),G93,"")</f>
        <v/>
      </c>
      <c r="H95" s="295" t="s">
        <v>667</v>
      </c>
      <c r="I95" s="295">
        <v>30</v>
      </c>
      <c r="J95" s="351"/>
      <c r="L95" s="293" t="s">
        <v>672</v>
      </c>
      <c r="M95" s="341" t="str">
        <f>IF(T96&lt;&gt;0,ROUND(((100-T96)/T96)*100,2),IF(J95&lt;&gt;"",T95,""))</f>
        <v/>
      </c>
      <c r="N95" s="314" t="str">
        <f>IF(T96&lt;&gt;0,ROUND(((100-T96)/T96)*100,2),IF(J95&lt;&gt;"",T94,""))</f>
        <v/>
      </c>
      <c r="AL95" s="293" t="s">
        <v>156</v>
      </c>
      <c r="AM95" s="293" t="s">
        <v>157</v>
      </c>
      <c r="AQ95" s="429">
        <v>2500</v>
      </c>
      <c r="AR95" s="429">
        <v>1700</v>
      </c>
      <c r="AS95" s="429">
        <v>500</v>
      </c>
      <c r="AT95" s="429">
        <v>200</v>
      </c>
      <c r="AW95" s="299" t="str">
        <f t="shared" si="24"/>
        <v>TH02</v>
      </c>
      <c r="AX95" s="299" t="str">
        <f t="shared" si="25"/>
        <v/>
      </c>
      <c r="AY95" s="286">
        <f t="shared" si="22"/>
        <v>95</v>
      </c>
      <c r="AZ95" s="319" t="str">
        <f t="shared" si="21"/>
        <v>AX95;</v>
      </c>
    </row>
    <row r="96" spans="1:52" s="319" customFormat="1" ht="15" customHeight="1" thickBot="1">
      <c r="A96" s="666"/>
      <c r="B96" s="315" t="s">
        <v>557</v>
      </c>
      <c r="C96" s="316" t="s">
        <v>157</v>
      </c>
      <c r="D96" s="317" t="str">
        <f t="shared" si="23"/>
        <v/>
      </c>
      <c r="E96" s="110" t="str">
        <f>IF(E93&lt;&gt;"",E93,"")</f>
        <v/>
      </c>
      <c r="F96" s="317" t="s">
        <v>156</v>
      </c>
      <c r="G96" s="313" t="str">
        <f>IF(G93="X","X","")</f>
        <v/>
      </c>
      <c r="H96" s="317" t="s">
        <v>669</v>
      </c>
      <c r="I96" s="317"/>
      <c r="J96" s="317"/>
      <c r="N96" s="314"/>
      <c r="O96" s="320" t="s">
        <v>670</v>
      </c>
      <c r="P96" s="317" t="s">
        <v>156</v>
      </c>
      <c r="Q96" s="320">
        <f>$Q$11</f>
        <v>0</v>
      </c>
      <c r="R96" s="323"/>
      <c r="S96" s="324"/>
      <c r="T96" s="323"/>
      <c r="U96" s="324"/>
      <c r="V96" s="324"/>
      <c r="W96" s="324"/>
      <c r="X96" s="324"/>
      <c r="Y96" s="324"/>
      <c r="Z96" s="324"/>
      <c r="AA96" s="324"/>
      <c r="AB96" s="324"/>
      <c r="AC96" s="324"/>
      <c r="AD96" s="324"/>
      <c r="AL96" s="319" t="s">
        <v>156</v>
      </c>
      <c r="AM96" s="319" t="s">
        <v>157</v>
      </c>
      <c r="AQ96" s="431">
        <v>2500</v>
      </c>
      <c r="AR96" s="431">
        <v>1700</v>
      </c>
      <c r="AS96" s="431">
        <v>500</v>
      </c>
      <c r="AT96" s="431">
        <v>200</v>
      </c>
      <c r="AU96" s="431"/>
      <c r="AV96" s="480" t="str">
        <f>IF(AND(AR$1&lt;&gt;0,AT$1&lt;&gt;0),IF(AND($AR$1&lt;=AQ96,$AT$1&lt;=AR96,$AR$1&gt;=AS96,$AT$1&gt;=AT96),"OK","NOK"),"")</f>
        <v>OK</v>
      </c>
      <c r="AW96" s="299" t="str">
        <f t="shared" si="24"/>
        <v>TH02</v>
      </c>
      <c r="AX96" s="299" t="str">
        <f t="shared" si="25"/>
        <v/>
      </c>
      <c r="AY96" s="286">
        <f t="shared" si="22"/>
        <v>96</v>
      </c>
      <c r="AZ96" s="319" t="str">
        <f t="shared" si="21"/>
        <v>AX96;</v>
      </c>
    </row>
    <row r="97" spans="1:52" s="286" customFormat="1" ht="15" customHeight="1" thickBot="1">
      <c r="A97" s="666"/>
      <c r="B97" s="308" t="s">
        <v>558</v>
      </c>
      <c r="C97" s="285" t="s">
        <v>619</v>
      </c>
      <c r="D97" s="289" t="str">
        <f t="shared" si="23"/>
        <v/>
      </c>
      <c r="E97" s="287" t="str">
        <f>IFERROR(IF($G$88&lt;&gt;"",IF(G97="x",IF(F97=$G$88,"V1",IF(AF97=1,"V2",IF(AND(AF97=$AF$88,AF97&lt;&gt;1),"V"&amp;$AG$88+1,"V"&amp;AF97+1))),""),""),"Wprowadź urządzenie bazowe")</f>
        <v/>
      </c>
      <c r="F97" s="289" t="s">
        <v>555</v>
      </c>
      <c r="G97" s="309"/>
      <c r="H97" s="289" t="s">
        <v>667</v>
      </c>
      <c r="I97" s="289">
        <v>10</v>
      </c>
      <c r="J97" s="286" t="str">
        <f>IFERROR(IF(VALUE(MID(D88,2,2))&lt;9,"$HLB1-L0"&amp;(RIGHT(D88,1)+1),"$HLB1-L"&amp;(MID(D88,2,2)+1)),"Uzupełnij poziom")</f>
        <v>Uzupełnij poziom</v>
      </c>
      <c r="K97" s="286">
        <v>1000</v>
      </c>
      <c r="L97" s="286" t="s">
        <v>668</v>
      </c>
      <c r="N97" s="310">
        <f>IF(T100&lt;&gt;0,ROUND(((100-T100)/T100)*100,2),IF(J97&lt;&gt;"",T97,""))</f>
        <v>0</v>
      </c>
      <c r="O97" s="289"/>
      <c r="P97" s="289"/>
      <c r="Q97" s="289"/>
      <c r="S97" s="291"/>
      <c r="U97" s="291"/>
      <c r="V97" s="291"/>
      <c r="W97" s="291"/>
      <c r="X97" s="291"/>
      <c r="Y97" s="291"/>
      <c r="Z97" s="291"/>
      <c r="AA97" s="291"/>
      <c r="AB97" s="291"/>
      <c r="AC97" s="291"/>
      <c r="AD97" s="291"/>
      <c r="AE97" s="286" t="str">
        <f>UPPER(G97)</f>
        <v/>
      </c>
      <c r="AF97" s="286">
        <f>COUNTIF($AE$89:AE100,"X")</f>
        <v>0</v>
      </c>
      <c r="AL97" s="286" t="s">
        <v>555</v>
      </c>
      <c r="AM97" s="286" t="s">
        <v>619</v>
      </c>
      <c r="AQ97" s="430">
        <v>2700</v>
      </c>
      <c r="AR97" s="430">
        <v>1700</v>
      </c>
      <c r="AS97" s="430">
        <v>380</v>
      </c>
      <c r="AT97" s="430">
        <v>380</v>
      </c>
      <c r="AU97" s="430"/>
      <c r="AV97" s="430"/>
      <c r="AW97" s="299" t="str">
        <f t="shared" si="24"/>
        <v>TH03</v>
      </c>
      <c r="AX97" s="299" t="str">
        <f t="shared" si="25"/>
        <v/>
      </c>
      <c r="AY97" s="286">
        <f t="shared" si="22"/>
        <v>97</v>
      </c>
      <c r="AZ97" s="319" t="str">
        <f t="shared" si="21"/>
        <v>AX97;</v>
      </c>
    </row>
    <row r="98" spans="1:52" ht="15" customHeight="1" thickBot="1">
      <c r="A98" s="666"/>
      <c r="B98" s="311" t="s">
        <v>558</v>
      </c>
      <c r="C98" s="292" t="s">
        <v>619</v>
      </c>
      <c r="D98" s="295" t="str">
        <f t="shared" si="23"/>
        <v/>
      </c>
      <c r="E98" s="110" t="str">
        <f>IF(E97&lt;&gt;"",E97,"")</f>
        <v/>
      </c>
      <c r="F98" s="295" t="s">
        <v>555</v>
      </c>
      <c r="G98" s="313" t="str">
        <f>IF(AND(G97&lt;&gt;"",J98&lt;&gt;""),G97,"")</f>
        <v/>
      </c>
      <c r="H98" s="295" t="s">
        <v>667</v>
      </c>
      <c r="I98" s="295">
        <v>20</v>
      </c>
      <c r="J98" s="340" t="str">
        <f>IF('DANE CONTROLLINGU'!M28&lt;&gt;0,'DANE CONTROLLINGU'!N28,"")</f>
        <v/>
      </c>
      <c r="K98" s="295">
        <f>ROUND('DANE CONTROLLINGU'!L28*1000,3)</f>
        <v>0</v>
      </c>
      <c r="L98" s="293" t="s">
        <v>672</v>
      </c>
      <c r="M98" s="341" t="str">
        <f>IF(T100&lt;&gt;0,ROUND(((100-T100)/T100)*100,2),IF(J98&lt;&gt;"",T98,""))</f>
        <v/>
      </c>
      <c r="N98" s="314" t="str">
        <f>IF(T100&lt;&gt;0,ROUND(((100-T100)/T100)*100,2),IF(J98&lt;&gt;"",T98,""))</f>
        <v/>
      </c>
      <c r="AL98" s="293" t="s">
        <v>555</v>
      </c>
      <c r="AM98" s="293" t="s">
        <v>619</v>
      </c>
      <c r="AQ98" s="429">
        <v>2700</v>
      </c>
      <c r="AR98" s="429">
        <v>1700</v>
      </c>
      <c r="AS98" s="429">
        <v>380</v>
      </c>
      <c r="AT98" s="429">
        <v>380</v>
      </c>
      <c r="AW98" s="299" t="str">
        <f t="shared" si="24"/>
        <v>TH03</v>
      </c>
      <c r="AX98" s="299" t="str">
        <f t="shared" si="25"/>
        <v/>
      </c>
      <c r="AY98" s="286">
        <f t="shared" si="22"/>
        <v>98</v>
      </c>
      <c r="AZ98" s="319" t="str">
        <f t="shared" si="21"/>
        <v>AX98;</v>
      </c>
    </row>
    <row r="99" spans="1:52" ht="15" customHeight="1" thickBot="1">
      <c r="A99" s="666"/>
      <c r="B99" s="311" t="s">
        <v>558</v>
      </c>
      <c r="C99" s="292" t="s">
        <v>619</v>
      </c>
      <c r="D99" s="295" t="str">
        <f t="shared" si="23"/>
        <v/>
      </c>
      <c r="E99" s="110" t="str">
        <f>IF(E97&lt;&gt;"",E97,"")</f>
        <v/>
      </c>
      <c r="F99" s="295" t="s">
        <v>555</v>
      </c>
      <c r="G99" s="313" t="str">
        <f>IF(AND(G97&lt;&gt;"",J99&lt;&gt;""),G97,"")</f>
        <v/>
      </c>
      <c r="H99" s="295" t="s">
        <v>667</v>
      </c>
      <c r="I99" s="295">
        <v>30</v>
      </c>
      <c r="J99" s="351"/>
      <c r="L99" s="293" t="s">
        <v>672</v>
      </c>
      <c r="M99" s="341" t="str">
        <f>IF(T100&lt;&gt;0,ROUND(((100-T100)/T100)*100,2),IF(J99&lt;&gt;"",T99,""))</f>
        <v/>
      </c>
      <c r="N99" s="314" t="str">
        <f>IF(T100&lt;&gt;0,ROUND(((100-T100)/T100)*100,2),IF(J99&lt;&gt;"",T98,""))</f>
        <v/>
      </c>
      <c r="AL99" s="293" t="s">
        <v>555</v>
      </c>
      <c r="AM99" s="293" t="s">
        <v>619</v>
      </c>
      <c r="AQ99" s="429">
        <v>2700</v>
      </c>
      <c r="AR99" s="429">
        <v>1700</v>
      </c>
      <c r="AS99" s="429">
        <v>380</v>
      </c>
      <c r="AT99" s="429">
        <v>380</v>
      </c>
      <c r="AW99" s="299" t="str">
        <f t="shared" si="24"/>
        <v>TH03</v>
      </c>
      <c r="AX99" s="299" t="str">
        <f t="shared" si="25"/>
        <v/>
      </c>
      <c r="AY99" s="286">
        <f t="shared" si="22"/>
        <v>99</v>
      </c>
      <c r="AZ99" s="319" t="str">
        <f t="shared" si="21"/>
        <v>AX99;</v>
      </c>
    </row>
    <row r="100" spans="1:52" s="319" customFormat="1" ht="15" customHeight="1" thickBot="1">
      <c r="A100" s="666"/>
      <c r="B100" s="315" t="s">
        <v>558</v>
      </c>
      <c r="C100" s="316" t="s">
        <v>619</v>
      </c>
      <c r="D100" s="317" t="str">
        <f t="shared" si="23"/>
        <v/>
      </c>
      <c r="E100" s="110" t="str">
        <f>IF(E97&lt;&gt;"",E97,"")</f>
        <v/>
      </c>
      <c r="F100" s="317" t="s">
        <v>555</v>
      </c>
      <c r="G100" s="313" t="str">
        <f>IF(G97="X","X","")</f>
        <v/>
      </c>
      <c r="H100" s="317" t="s">
        <v>669</v>
      </c>
      <c r="I100" s="317"/>
      <c r="J100" s="317"/>
      <c r="N100" s="314"/>
      <c r="O100" s="320" t="s">
        <v>670</v>
      </c>
      <c r="P100" s="317" t="s">
        <v>555</v>
      </c>
      <c r="Q100" s="320">
        <f>$Q$11</f>
        <v>0</v>
      </c>
      <c r="R100" s="323"/>
      <c r="S100" s="324"/>
      <c r="T100" s="323"/>
      <c r="U100" s="324"/>
      <c r="V100" s="324"/>
      <c r="W100" s="324"/>
      <c r="X100" s="324"/>
      <c r="Y100" s="324"/>
      <c r="Z100" s="324"/>
      <c r="AA100" s="324"/>
      <c r="AB100" s="324"/>
      <c r="AC100" s="324"/>
      <c r="AD100" s="324"/>
      <c r="AL100" s="319" t="s">
        <v>555</v>
      </c>
      <c r="AM100" s="319" t="s">
        <v>619</v>
      </c>
      <c r="AQ100" s="431">
        <v>2700</v>
      </c>
      <c r="AR100" s="431">
        <v>1700</v>
      </c>
      <c r="AS100" s="431">
        <v>380</v>
      </c>
      <c r="AT100" s="431">
        <v>380</v>
      </c>
      <c r="AU100" s="431"/>
      <c r="AV100" s="480" t="str">
        <f>IF(AND(AR$1&lt;&gt;0,AT$1&lt;&gt;0),IF(AND($AR$1&lt;=AQ100,$AT$1&lt;=AR100,$AR$1&gt;=AS100,$AT$1&gt;=AT100),"OK","NOK"),"")</f>
        <v>OK</v>
      </c>
      <c r="AW100" s="299" t="str">
        <f t="shared" si="24"/>
        <v>TH03</v>
      </c>
      <c r="AX100" s="299" t="str">
        <f t="shared" si="25"/>
        <v/>
      </c>
      <c r="AY100" s="286">
        <f t="shared" si="22"/>
        <v>100</v>
      </c>
      <c r="AZ100" s="319" t="str">
        <f t="shared" si="21"/>
        <v>AX100;</v>
      </c>
    </row>
    <row r="101" spans="1:52" s="286" customFormat="1" ht="16.5" customHeight="1" thickBot="1">
      <c r="A101" s="666"/>
      <c r="B101" s="308" t="s">
        <v>357</v>
      </c>
      <c r="C101" s="285" t="s">
        <v>312</v>
      </c>
      <c r="D101" s="289" t="str">
        <f t="shared" si="23"/>
        <v/>
      </c>
      <c r="E101" s="287" t="str">
        <f>IFERROR(IF($G$88&lt;&gt;"",IF(G101="x",IF(F101=$G$88,"V1",IF(AF101=1,"V2",IF(AND(AF101=$AF$88,AF101&lt;&gt;1),"V"&amp;$AG$88+1,"V"&amp;AF101+1))),""),""),"Wprowadź urządzenie bazowe")</f>
        <v/>
      </c>
      <c r="F101" s="289" t="s">
        <v>299</v>
      </c>
      <c r="G101" s="309"/>
      <c r="H101" s="289" t="s">
        <v>667</v>
      </c>
      <c r="I101" s="289">
        <v>10</v>
      </c>
      <c r="J101" s="286" t="str">
        <f>IFERROR(IF(VALUE(MID(D88,2,2))&lt;9,"$HLB1-L0"&amp;(RIGHT(D88,1)+1),"$HLB1-L"&amp;(MID(D88,2,2)+1)),"Uzupełnij poziom")</f>
        <v>Uzupełnij poziom</v>
      </c>
      <c r="K101" s="286">
        <v>1000</v>
      </c>
      <c r="L101" s="286" t="s">
        <v>668</v>
      </c>
      <c r="N101" s="310">
        <f>IF(T104&lt;&gt;0,ROUND(((100-T104)/T104)*100,2),IF(J101&lt;&gt;"",T101,""))</f>
        <v>0</v>
      </c>
      <c r="O101" s="289"/>
      <c r="P101" s="289"/>
      <c r="Q101" s="289"/>
      <c r="S101" s="291"/>
      <c r="U101" s="291"/>
      <c r="V101" s="291"/>
      <c r="W101" s="291"/>
      <c r="X101" s="291"/>
      <c r="Y101" s="291"/>
      <c r="Z101" s="291"/>
      <c r="AA101" s="291"/>
      <c r="AB101" s="291"/>
      <c r="AC101" s="291"/>
      <c r="AD101" s="291"/>
      <c r="AE101" s="286" t="str">
        <f>UPPER(G101)</f>
        <v/>
      </c>
      <c r="AF101" s="286">
        <f>COUNTIF($AE$89:AE104,"X")</f>
        <v>0</v>
      </c>
      <c r="AL101" s="286" t="s">
        <v>299</v>
      </c>
      <c r="AM101" s="286" t="s">
        <v>312</v>
      </c>
      <c r="AQ101" s="430">
        <v>1800</v>
      </c>
      <c r="AR101" s="430">
        <v>1200</v>
      </c>
      <c r="AS101" s="430">
        <v>350</v>
      </c>
      <c r="AT101" s="430">
        <v>200</v>
      </c>
      <c r="AU101" s="430"/>
      <c r="AV101" s="430"/>
      <c r="AW101" s="299" t="str">
        <f t="shared" si="24"/>
        <v>GER1</v>
      </c>
      <c r="AX101" s="299" t="str">
        <f t="shared" si="25"/>
        <v/>
      </c>
      <c r="AY101" s="286">
        <f t="shared" si="22"/>
        <v>101</v>
      </c>
      <c r="AZ101" s="319" t="str">
        <f t="shared" si="21"/>
        <v>AX101;</v>
      </c>
    </row>
    <row r="102" spans="1:52" ht="16.5" customHeight="1" thickBot="1">
      <c r="A102" s="666"/>
      <c r="B102" s="311" t="s">
        <v>357</v>
      </c>
      <c r="C102" s="292" t="s">
        <v>312</v>
      </c>
      <c r="D102" s="295" t="str">
        <f t="shared" si="23"/>
        <v/>
      </c>
      <c r="E102" s="110" t="str">
        <f>IF(E101&lt;&gt;"",E101,"")</f>
        <v/>
      </c>
      <c r="F102" s="295" t="s">
        <v>299</v>
      </c>
      <c r="G102" s="313" t="str">
        <f>IF(AND(G101&lt;&gt;"",J102&lt;&gt;""),G101,"")</f>
        <v/>
      </c>
      <c r="H102" s="295" t="s">
        <v>667</v>
      </c>
      <c r="I102" s="295">
        <v>20</v>
      </c>
      <c r="J102" s="340" t="str">
        <f>IF('DANE CONTROLLINGU'!M28&lt;&gt;0,'DANE CONTROLLINGU'!N28,"")</f>
        <v/>
      </c>
      <c r="K102" s="295">
        <f>ROUND('DANE CONTROLLINGU'!L28*1000,3)</f>
        <v>0</v>
      </c>
      <c r="L102" s="293" t="s">
        <v>672</v>
      </c>
      <c r="M102" s="341" t="str">
        <f>IF(T104&lt;&gt;0,ROUND(((100-T104)/T104)*100,2),IF(J102&lt;&gt;"",T102,""))</f>
        <v/>
      </c>
      <c r="N102" s="314" t="str">
        <f>IF(T104&lt;&gt;0,ROUND(((100-T104)/T104)*100,2),IF(J102&lt;&gt;"",T102,""))</f>
        <v/>
      </c>
      <c r="AL102" s="293" t="s">
        <v>299</v>
      </c>
      <c r="AM102" s="293" t="s">
        <v>312</v>
      </c>
      <c r="AQ102" s="429">
        <v>1800</v>
      </c>
      <c r="AR102" s="429">
        <v>1200</v>
      </c>
      <c r="AS102" s="429">
        <v>350</v>
      </c>
      <c r="AT102" s="429">
        <v>200</v>
      </c>
      <c r="AW102" s="299" t="str">
        <f t="shared" si="24"/>
        <v>GER1</v>
      </c>
      <c r="AX102" s="299" t="str">
        <f t="shared" si="25"/>
        <v/>
      </c>
      <c r="AY102" s="286">
        <f t="shared" si="22"/>
        <v>102</v>
      </c>
      <c r="AZ102" s="319" t="str">
        <f t="shared" si="21"/>
        <v>AX102;</v>
      </c>
    </row>
    <row r="103" spans="1:52" ht="15" customHeight="1" thickBot="1">
      <c r="A103" s="666"/>
      <c r="B103" s="311" t="s">
        <v>357</v>
      </c>
      <c r="C103" s="292" t="s">
        <v>312</v>
      </c>
      <c r="D103" s="295" t="str">
        <f t="shared" si="23"/>
        <v/>
      </c>
      <c r="E103" s="110" t="str">
        <f>IF(E101&lt;&gt;"",E101,"")</f>
        <v/>
      </c>
      <c r="F103" s="295" t="s">
        <v>299</v>
      </c>
      <c r="G103" s="313" t="str">
        <f>IF(AND(G101&lt;&gt;"",J103&lt;&gt;""),G101,"")</f>
        <v/>
      </c>
      <c r="H103" s="295" t="s">
        <v>667</v>
      </c>
      <c r="I103" s="295">
        <v>30</v>
      </c>
      <c r="J103" s="351"/>
      <c r="L103" s="293" t="s">
        <v>672</v>
      </c>
      <c r="M103" s="341" t="str">
        <f>IF(T104&lt;&gt;0,ROUND(((100-T104)/T104)*100,2),IF(J103&lt;&gt;"",T103,""))</f>
        <v/>
      </c>
      <c r="N103" s="314" t="str">
        <f>IF(T104&lt;&gt;0,ROUND(((100-T104)/T104)*100,2),IF(J103&lt;&gt;"",T102,""))</f>
        <v/>
      </c>
      <c r="AL103" s="293" t="s">
        <v>299</v>
      </c>
      <c r="AM103" s="293" t="s">
        <v>312</v>
      </c>
      <c r="AQ103" s="429">
        <v>1800</v>
      </c>
      <c r="AR103" s="429">
        <v>1200</v>
      </c>
      <c r="AS103" s="429">
        <v>350</v>
      </c>
      <c r="AT103" s="429">
        <v>200</v>
      </c>
      <c r="AW103" s="299" t="str">
        <f t="shared" si="24"/>
        <v>GER1</v>
      </c>
      <c r="AX103" s="299" t="str">
        <f t="shared" si="25"/>
        <v/>
      </c>
      <c r="AY103" s="286">
        <f t="shared" si="22"/>
        <v>103</v>
      </c>
      <c r="AZ103" s="319" t="str">
        <f t="shared" si="21"/>
        <v>AX103;</v>
      </c>
    </row>
    <row r="104" spans="1:52" s="319" customFormat="1" ht="14.25" customHeight="1" thickBot="1">
      <c r="A104" s="666"/>
      <c r="B104" s="315" t="s">
        <v>357</v>
      </c>
      <c r="C104" s="316" t="s">
        <v>312</v>
      </c>
      <c r="D104" s="317" t="str">
        <f t="shared" si="23"/>
        <v/>
      </c>
      <c r="E104" s="110" t="str">
        <f>IF(E101&lt;&gt;"",E101,"")</f>
        <v/>
      </c>
      <c r="F104" s="317" t="s">
        <v>299</v>
      </c>
      <c r="G104" s="313" t="str">
        <f>IF(G101="X","X","")</f>
        <v/>
      </c>
      <c r="H104" s="317" t="s">
        <v>669</v>
      </c>
      <c r="I104" s="317"/>
      <c r="J104" s="317"/>
      <c r="N104" s="314"/>
      <c r="O104" s="320" t="s">
        <v>670</v>
      </c>
      <c r="P104" s="317" t="s">
        <v>299</v>
      </c>
      <c r="Q104" s="320">
        <f>$Q$11</f>
        <v>0</v>
      </c>
      <c r="R104" s="323"/>
      <c r="S104" s="324"/>
      <c r="T104" s="323"/>
      <c r="U104" s="324"/>
      <c r="V104" s="324"/>
      <c r="W104" s="324"/>
      <c r="X104" s="324"/>
      <c r="Y104" s="324"/>
      <c r="Z104" s="324"/>
      <c r="AA104" s="324"/>
      <c r="AB104" s="324"/>
      <c r="AC104" s="324"/>
      <c r="AD104" s="324"/>
      <c r="AL104" s="319" t="s">
        <v>299</v>
      </c>
      <c r="AM104" s="319" t="s">
        <v>312</v>
      </c>
      <c r="AQ104" s="431">
        <v>1800</v>
      </c>
      <c r="AR104" s="431">
        <v>1200</v>
      </c>
      <c r="AS104" s="431">
        <v>350</v>
      </c>
      <c r="AT104" s="431">
        <v>200</v>
      </c>
      <c r="AU104" s="431"/>
      <c r="AV104" s="480" t="str">
        <f>IF(AND(AR$1&lt;&gt;0,AT$1&lt;&gt;0),IF(AND($AR$1&lt;=AQ104,$AT$1&lt;=AR104,$AR$1&gt;=AS104,$AT$1&gt;=AT104),"OK","NOK"),"")</f>
        <v>OK</v>
      </c>
      <c r="AW104" s="299" t="str">
        <f t="shared" si="24"/>
        <v>GER1</v>
      </c>
      <c r="AX104" s="299" t="str">
        <f t="shared" si="25"/>
        <v/>
      </c>
      <c r="AY104" s="286">
        <f t="shared" si="22"/>
        <v>104</v>
      </c>
      <c r="AZ104" s="319" t="str">
        <f t="shared" si="21"/>
        <v>AX104;</v>
      </c>
    </row>
    <row r="105" spans="1:52" s="286" customFormat="1" ht="16.5" customHeight="1" thickBot="1">
      <c r="A105" s="666"/>
      <c r="B105" s="308" t="s">
        <v>567</v>
      </c>
      <c r="C105" s="285" t="s">
        <v>133</v>
      </c>
      <c r="D105" s="289" t="str">
        <f t="shared" si="23"/>
        <v/>
      </c>
      <c r="E105" s="287" t="str">
        <f>IFERROR(IF($G$88&lt;&gt;"",IF(G105="x",IF(F105=$G$88,"V1",IF(AF105=1,"V2",IF(AND(AF105=$AF$88,AF105&lt;&gt;1),"V"&amp;$AG$88+1,"V"&amp;AF105+1))),""),""),"Wprowadź urządzenie bazowe")</f>
        <v/>
      </c>
      <c r="F105" s="289" t="s">
        <v>132</v>
      </c>
      <c r="G105" s="309" t="str">
        <f>IF($G$88=F105,"X","")</f>
        <v/>
      </c>
      <c r="H105" s="289" t="s">
        <v>667</v>
      </c>
      <c r="I105" s="289">
        <v>10</v>
      </c>
      <c r="J105" s="286" t="str">
        <f>IFERROR(IF(VALUE(MID(D88,2,2))&lt;9,"$HLB1-L0"&amp;(RIGHT(D88,1)+1),"$HLB1-L"&amp;(MID(D88,2,2)+1)),"Uzupełnij poziom")</f>
        <v>Uzupełnij poziom</v>
      </c>
      <c r="K105" s="286">
        <v>1000</v>
      </c>
      <c r="L105" s="286" t="s">
        <v>668</v>
      </c>
      <c r="N105" s="310">
        <f>IF(T108&lt;&gt;0,ROUND(((100-T108)/T108)*100,2),IF(J105&lt;&gt;"",T105,""))</f>
        <v>0</v>
      </c>
      <c r="O105" s="289"/>
      <c r="P105" s="289"/>
      <c r="Q105" s="289"/>
      <c r="S105" s="291"/>
      <c r="U105" s="291"/>
      <c r="V105" s="291"/>
      <c r="W105" s="291"/>
      <c r="X105" s="291"/>
      <c r="Y105" s="291"/>
      <c r="Z105" s="291"/>
      <c r="AA105" s="291"/>
      <c r="AB105" s="291"/>
      <c r="AC105" s="291"/>
      <c r="AD105" s="291"/>
      <c r="AE105" s="286" t="str">
        <f>UPPER(G105)</f>
        <v/>
      </c>
      <c r="AF105" s="286">
        <f>COUNTIF($AE$89:AE108,"X")</f>
        <v>0</v>
      </c>
      <c r="AL105" s="286" t="s">
        <v>132</v>
      </c>
      <c r="AM105" s="286" t="s">
        <v>133</v>
      </c>
      <c r="AQ105" s="430">
        <v>2500</v>
      </c>
      <c r="AR105" s="430">
        <v>1540</v>
      </c>
      <c r="AS105" s="430"/>
      <c r="AT105" s="430"/>
      <c r="AU105" s="430"/>
      <c r="AV105" s="430"/>
      <c r="AW105" s="299" t="str">
        <f t="shared" si="24"/>
        <v>FL01</v>
      </c>
      <c r="AX105" s="299" t="str">
        <f t="shared" si="25"/>
        <v/>
      </c>
      <c r="AY105" s="286">
        <f t="shared" si="22"/>
        <v>105</v>
      </c>
      <c r="AZ105" s="319" t="str">
        <f t="shared" si="21"/>
        <v>AX105;</v>
      </c>
    </row>
    <row r="106" spans="1:52" ht="16.5" customHeight="1" thickBot="1">
      <c r="A106" s="666"/>
      <c r="B106" s="311" t="s">
        <v>567</v>
      </c>
      <c r="C106" s="292" t="s">
        <v>133</v>
      </c>
      <c r="D106" s="295" t="str">
        <f t="shared" si="23"/>
        <v/>
      </c>
      <c r="E106" s="110" t="str">
        <f>IF(E105&lt;&gt;"",E105,"")</f>
        <v/>
      </c>
      <c r="F106" s="295" t="s">
        <v>132</v>
      </c>
      <c r="G106" s="313" t="str">
        <f>IF(AND(G105&lt;&gt;"",J106&lt;&gt;""),G105,"")</f>
        <v/>
      </c>
      <c r="H106" s="295" t="s">
        <v>667</v>
      </c>
      <c r="I106" s="295">
        <v>20</v>
      </c>
      <c r="J106" s="340" t="str">
        <f>IF('DANE CONTROLLINGU'!M28&lt;&gt;0,'DANE CONTROLLINGU'!N28,"")</f>
        <v/>
      </c>
      <c r="K106" s="295">
        <f>ROUND('DANE CONTROLLINGU'!L28*1000,3)</f>
        <v>0</v>
      </c>
      <c r="L106" s="293" t="s">
        <v>672</v>
      </c>
      <c r="M106" s="341" t="str">
        <f>IF(T108&lt;&gt;0,ROUND(((100-T108)/T108)*100,2),IF(J106&lt;&gt;"",T106,""))</f>
        <v/>
      </c>
      <c r="N106" s="314" t="str">
        <f>IF(T108&lt;&gt;0,ROUND(((100-T108)/T108)*100,2),IF(J106&lt;&gt;"",T106,""))</f>
        <v/>
      </c>
      <c r="AL106" s="293" t="s">
        <v>132</v>
      </c>
      <c r="AM106" s="293" t="s">
        <v>133</v>
      </c>
      <c r="AQ106" s="429">
        <v>2500</v>
      </c>
      <c r="AR106" s="429">
        <v>1540</v>
      </c>
      <c r="AW106" s="299" t="str">
        <f t="shared" si="24"/>
        <v>FL01</v>
      </c>
      <c r="AX106" s="299" t="str">
        <f t="shared" si="25"/>
        <v/>
      </c>
      <c r="AY106" s="286">
        <f t="shared" si="22"/>
        <v>106</v>
      </c>
      <c r="AZ106" s="319" t="str">
        <f t="shared" si="21"/>
        <v>AX106;</v>
      </c>
    </row>
    <row r="107" spans="1:52" ht="15" customHeight="1" thickBot="1">
      <c r="A107" s="666"/>
      <c r="B107" s="311" t="s">
        <v>567</v>
      </c>
      <c r="C107" s="292" t="s">
        <v>133</v>
      </c>
      <c r="D107" s="295" t="str">
        <f t="shared" si="23"/>
        <v/>
      </c>
      <c r="E107" s="110" t="str">
        <f>IF(E105&lt;&gt;"",E105,"")</f>
        <v/>
      </c>
      <c r="F107" s="295" t="s">
        <v>132</v>
      </c>
      <c r="G107" s="313" t="str">
        <f>IF(AND(G105&lt;&gt;"",J107&lt;&gt;""),G105,"")</f>
        <v/>
      </c>
      <c r="H107" s="295" t="s">
        <v>667</v>
      </c>
      <c r="I107" s="295">
        <v>30</v>
      </c>
      <c r="J107" s="351"/>
      <c r="L107" s="293" t="s">
        <v>672</v>
      </c>
      <c r="M107" s="341" t="str">
        <f>IF(T108&lt;&gt;0,ROUND(((100-T108)/T108)*100,2),IF(J107&lt;&gt;"",T107,""))</f>
        <v/>
      </c>
      <c r="N107" s="314" t="str">
        <f>IF(T108&lt;&gt;0,ROUND(((100-T108)/T108)*100,2),IF(J107&lt;&gt;"",T106,""))</f>
        <v/>
      </c>
      <c r="AL107" s="293" t="s">
        <v>132</v>
      </c>
      <c r="AM107" s="293" t="s">
        <v>133</v>
      </c>
      <c r="AQ107" s="429">
        <v>2500</v>
      </c>
      <c r="AR107" s="429">
        <v>1540</v>
      </c>
      <c r="AW107" s="299" t="str">
        <f t="shared" si="24"/>
        <v>FL01</v>
      </c>
      <c r="AX107" s="299" t="str">
        <f t="shared" si="25"/>
        <v/>
      </c>
      <c r="AY107" s="286">
        <f t="shared" si="22"/>
        <v>107</v>
      </c>
      <c r="AZ107" s="319" t="str">
        <f t="shared" si="21"/>
        <v>AX107;</v>
      </c>
    </row>
    <row r="108" spans="1:52" s="319" customFormat="1" ht="14.25" customHeight="1" thickBot="1">
      <c r="A108" s="666"/>
      <c r="B108" s="315" t="s">
        <v>567</v>
      </c>
      <c r="C108" s="316" t="s">
        <v>133</v>
      </c>
      <c r="D108" s="317" t="str">
        <f t="shared" si="23"/>
        <v/>
      </c>
      <c r="E108" s="110" t="str">
        <f>IF(E105&lt;&gt;"",E105,"")</f>
        <v/>
      </c>
      <c r="F108" s="317" t="s">
        <v>132</v>
      </c>
      <c r="G108" s="313" t="str">
        <f>IF(G105="X","X","")</f>
        <v/>
      </c>
      <c r="H108" s="317" t="s">
        <v>669</v>
      </c>
      <c r="I108" s="317"/>
      <c r="J108" s="317"/>
      <c r="N108" s="314"/>
      <c r="O108" s="320" t="s">
        <v>670</v>
      </c>
      <c r="P108" s="317" t="s">
        <v>132</v>
      </c>
      <c r="Q108" s="320">
        <f>$Q$11</f>
        <v>0</v>
      </c>
      <c r="R108" s="323"/>
      <c r="S108" s="324"/>
      <c r="T108" s="323"/>
      <c r="U108" s="324"/>
      <c r="V108" s="324"/>
      <c r="W108" s="324"/>
      <c r="X108" s="324"/>
      <c r="Y108" s="324"/>
      <c r="Z108" s="324"/>
      <c r="AA108" s="324"/>
      <c r="AB108" s="324"/>
      <c r="AC108" s="324"/>
      <c r="AD108" s="324"/>
      <c r="AL108" s="319" t="s">
        <v>132</v>
      </c>
      <c r="AM108" s="319" t="s">
        <v>133</v>
      </c>
      <c r="AQ108" s="431">
        <v>2500</v>
      </c>
      <c r="AR108" s="431">
        <v>1540</v>
      </c>
      <c r="AS108" s="479">
        <v>0</v>
      </c>
      <c r="AT108" s="479">
        <v>0</v>
      </c>
      <c r="AU108" s="431"/>
      <c r="AV108" s="480" t="str">
        <f>IF(AND(AR$1&lt;&gt;0,AT$1&lt;&gt;0),IF(AND($AR$1&lt;=AQ108,$AT$1&lt;=AR108,$AR$1&gt;=AS108,$AT$1&gt;=AT108),"OK","NOK"),"")</f>
        <v>OK</v>
      </c>
      <c r="AW108" s="299" t="str">
        <f t="shared" si="24"/>
        <v>FL01</v>
      </c>
      <c r="AX108" s="299" t="str">
        <f t="shared" si="25"/>
        <v/>
      </c>
      <c r="AY108" s="286">
        <f t="shared" si="22"/>
        <v>108</v>
      </c>
      <c r="AZ108" s="319" t="str">
        <f t="shared" si="21"/>
        <v>AX108;</v>
      </c>
    </row>
    <row r="109" spans="1:52" s="286" customFormat="1" ht="16.5" customHeight="1" thickBot="1">
      <c r="A109" s="666"/>
      <c r="B109" s="308" t="s">
        <v>559</v>
      </c>
      <c r="C109" s="285" t="s">
        <v>159</v>
      </c>
      <c r="D109" s="289" t="str">
        <f t="shared" si="23"/>
        <v/>
      </c>
      <c r="E109" s="287" t="str">
        <f>IFERROR(IF($G$88&lt;&gt;"",IF(G109="x",IF(F109=$G$88,"V1",IF(AF109=1,"V2",IF(AND(AF109=$AF$88,AF109&lt;&gt;1),"V"&amp;$AG$88+1,"V"&amp;AF109+1))),""),""),"Wprowadź urządzenie bazowe")</f>
        <v/>
      </c>
      <c r="F109" s="289" t="s">
        <v>158</v>
      </c>
      <c r="G109" s="309" t="str">
        <f>IF($G$88=F109,"X","")</f>
        <v/>
      </c>
      <c r="H109" s="289" t="s">
        <v>667</v>
      </c>
      <c r="I109" s="289">
        <v>10</v>
      </c>
      <c r="J109" s="286" t="str">
        <f>IFERROR(IF(VALUE(MID(D88,2,2))&lt;9,"$HLB1-L0"&amp;(RIGHT(D88,1)+1),"$HLB1-L"&amp;(MID(D88,2,2)+1)),"Uzupełnij poziom")</f>
        <v>Uzupełnij poziom</v>
      </c>
      <c r="K109" s="286">
        <v>1000</v>
      </c>
      <c r="L109" s="286" t="s">
        <v>668</v>
      </c>
      <c r="N109" s="310">
        <f>IF(T112&lt;&gt;0,ROUND(((100-T112)/T112)*100,2),IF(J109&lt;&gt;"",T109,""))</f>
        <v>0</v>
      </c>
      <c r="O109" s="289"/>
      <c r="P109" s="289"/>
      <c r="Q109" s="289"/>
      <c r="S109" s="291"/>
      <c r="U109" s="291"/>
      <c r="V109" s="291"/>
      <c r="W109" s="291"/>
      <c r="X109" s="291"/>
      <c r="Y109" s="291"/>
      <c r="Z109" s="291"/>
      <c r="AA109" s="291"/>
      <c r="AB109" s="291"/>
      <c r="AC109" s="291"/>
      <c r="AD109" s="291"/>
      <c r="AE109" s="286" t="str">
        <f>UPPER(G109)</f>
        <v/>
      </c>
      <c r="AF109" s="286">
        <f>COUNTIF($AE$89:AE112,"X")</f>
        <v>0</v>
      </c>
      <c r="AL109" s="286" t="s">
        <v>158</v>
      </c>
      <c r="AM109" s="286" t="s">
        <v>159</v>
      </c>
      <c r="AQ109" s="430">
        <v>2500</v>
      </c>
      <c r="AR109" s="430">
        <v>1600</v>
      </c>
      <c r="AS109" s="430"/>
      <c r="AT109" s="430"/>
      <c r="AU109" s="430"/>
      <c r="AV109" s="430"/>
      <c r="AW109" s="299" t="str">
        <f t="shared" si="24"/>
        <v>FL02</v>
      </c>
      <c r="AX109" s="299" t="str">
        <f t="shared" si="25"/>
        <v/>
      </c>
      <c r="AY109" s="286">
        <f t="shared" si="22"/>
        <v>109</v>
      </c>
      <c r="AZ109" s="319" t="str">
        <f t="shared" si="21"/>
        <v>AX109;</v>
      </c>
    </row>
    <row r="110" spans="1:52" ht="16.5" customHeight="1" thickBot="1">
      <c r="A110" s="666"/>
      <c r="B110" s="311" t="s">
        <v>559</v>
      </c>
      <c r="C110" s="292" t="s">
        <v>159</v>
      </c>
      <c r="D110" s="295" t="str">
        <f t="shared" si="23"/>
        <v/>
      </c>
      <c r="E110" s="110" t="str">
        <f>IF(E109&lt;&gt;"",E109,"")</f>
        <v/>
      </c>
      <c r="F110" s="295" t="s">
        <v>158</v>
      </c>
      <c r="G110" s="313" t="str">
        <f>IF(AND(G109&lt;&gt;"",J110&lt;&gt;""),G109,"")</f>
        <v/>
      </c>
      <c r="H110" s="295" t="s">
        <v>667</v>
      </c>
      <c r="I110" s="295">
        <v>20</v>
      </c>
      <c r="J110" s="340" t="str">
        <f>IF('DANE CONTROLLINGU'!M28&lt;&gt;0,'DANE CONTROLLINGU'!N28,"")</f>
        <v/>
      </c>
      <c r="K110" s="295">
        <f>ROUND('DANE CONTROLLINGU'!L28*1000,3)</f>
        <v>0</v>
      </c>
      <c r="L110" s="293" t="s">
        <v>672</v>
      </c>
      <c r="M110" s="341" t="str">
        <f>IF(T112&lt;&gt;0,ROUND(((100-T112)/T112)*100,2),IF(J110&lt;&gt;"",T110,""))</f>
        <v/>
      </c>
      <c r="N110" s="314" t="str">
        <f>IF(T112&lt;&gt;0,ROUND(((100-T112)/T112)*100,2),IF(J110&lt;&gt;"",T110,""))</f>
        <v/>
      </c>
      <c r="AL110" s="293" t="s">
        <v>158</v>
      </c>
      <c r="AM110" s="293" t="s">
        <v>159</v>
      </c>
      <c r="AQ110" s="429">
        <v>2500</v>
      </c>
      <c r="AR110" s="429">
        <v>1600</v>
      </c>
      <c r="AW110" s="299" t="str">
        <f t="shared" si="24"/>
        <v>FL02</v>
      </c>
      <c r="AX110" s="299" t="str">
        <f t="shared" si="25"/>
        <v/>
      </c>
      <c r="AY110" s="286">
        <f t="shared" si="22"/>
        <v>110</v>
      </c>
      <c r="AZ110" s="319" t="str">
        <f t="shared" si="21"/>
        <v>AX110;</v>
      </c>
    </row>
    <row r="111" spans="1:52" ht="15" customHeight="1" thickBot="1">
      <c r="A111" s="666"/>
      <c r="B111" s="311" t="s">
        <v>559</v>
      </c>
      <c r="C111" s="292" t="s">
        <v>159</v>
      </c>
      <c r="D111" s="295" t="str">
        <f t="shared" si="23"/>
        <v/>
      </c>
      <c r="E111" s="110" t="str">
        <f>IF(E109&lt;&gt;"",E109,"")</f>
        <v/>
      </c>
      <c r="F111" s="295" t="s">
        <v>158</v>
      </c>
      <c r="G111" s="313" t="str">
        <f>IF(AND(G109&lt;&gt;"",J111&lt;&gt;""),G109,"")</f>
        <v/>
      </c>
      <c r="H111" s="295" t="s">
        <v>667</v>
      </c>
      <c r="I111" s="295">
        <v>30</v>
      </c>
      <c r="J111" s="351"/>
      <c r="L111" s="293" t="s">
        <v>672</v>
      </c>
      <c r="M111" s="341" t="str">
        <f>IF(T112&lt;&gt;0,ROUND(((100-T112)/T112)*100,2),IF(J111&lt;&gt;"",T111,""))</f>
        <v/>
      </c>
      <c r="N111" s="314" t="str">
        <f>IF(T112&lt;&gt;0,ROUND(((100-T112)/T112)*100,2),IF(J111&lt;&gt;"",T110,""))</f>
        <v/>
      </c>
      <c r="AL111" s="293" t="s">
        <v>158</v>
      </c>
      <c r="AM111" s="293" t="s">
        <v>159</v>
      </c>
      <c r="AQ111" s="429">
        <v>2500</v>
      </c>
      <c r="AR111" s="429">
        <v>1600</v>
      </c>
      <c r="AW111" s="299" t="str">
        <f t="shared" si="24"/>
        <v>FL02</v>
      </c>
      <c r="AX111" s="299" t="str">
        <f t="shared" si="25"/>
        <v/>
      </c>
      <c r="AY111" s="286">
        <f t="shared" si="22"/>
        <v>111</v>
      </c>
      <c r="AZ111" s="319" t="str">
        <f t="shared" si="21"/>
        <v>AX111;</v>
      </c>
    </row>
    <row r="112" spans="1:52" s="319" customFormat="1" ht="14.25" customHeight="1" thickBot="1">
      <c r="A112" s="666"/>
      <c r="B112" s="315" t="s">
        <v>559</v>
      </c>
      <c r="C112" s="316" t="s">
        <v>159</v>
      </c>
      <c r="D112" s="317" t="str">
        <f t="shared" si="23"/>
        <v/>
      </c>
      <c r="E112" s="110" t="str">
        <f>IF(E109&lt;&gt;"",E109,"")</f>
        <v/>
      </c>
      <c r="F112" s="317" t="s">
        <v>158</v>
      </c>
      <c r="G112" s="313" t="str">
        <f>IF(G109="X","X","")</f>
        <v/>
      </c>
      <c r="H112" s="317" t="s">
        <v>669</v>
      </c>
      <c r="I112" s="317"/>
      <c r="J112" s="317"/>
      <c r="N112" s="314"/>
      <c r="O112" s="320" t="s">
        <v>670</v>
      </c>
      <c r="P112" s="317" t="s">
        <v>158</v>
      </c>
      <c r="Q112" s="320">
        <f>$Q$11</f>
        <v>0</v>
      </c>
      <c r="R112" s="323"/>
      <c r="S112" s="324"/>
      <c r="T112" s="323"/>
      <c r="U112" s="324"/>
      <c r="V112" s="324"/>
      <c r="W112" s="324"/>
      <c r="X112" s="324"/>
      <c r="Y112" s="324"/>
      <c r="Z112" s="324"/>
      <c r="AA112" s="324"/>
      <c r="AB112" s="324"/>
      <c r="AC112" s="324"/>
      <c r="AD112" s="324"/>
      <c r="AL112" s="319" t="s">
        <v>158</v>
      </c>
      <c r="AM112" s="319" t="s">
        <v>159</v>
      </c>
      <c r="AQ112" s="431">
        <v>2500</v>
      </c>
      <c r="AR112" s="431">
        <v>1600</v>
      </c>
      <c r="AS112" s="479">
        <v>0</v>
      </c>
      <c r="AT112" s="479">
        <v>0</v>
      </c>
      <c r="AU112" s="431"/>
      <c r="AV112" s="480" t="str">
        <f>IF(AND(AR$1&lt;&gt;0,AT$1&lt;&gt;0),IF(AND($AR$1&lt;=AQ112,$AT$1&lt;=AR112,$AR$1&gt;=AS112,$AT$1&gt;=AT112),"OK","NOK"),"")</f>
        <v>OK</v>
      </c>
      <c r="AW112" s="299" t="str">
        <f t="shared" si="24"/>
        <v>FL02</v>
      </c>
      <c r="AX112" s="299" t="str">
        <f t="shared" si="25"/>
        <v/>
      </c>
      <c r="AY112" s="286">
        <f t="shared" si="22"/>
        <v>112</v>
      </c>
      <c r="AZ112" s="319" t="str">
        <f t="shared" si="21"/>
        <v>AX112;</v>
      </c>
    </row>
    <row r="113" spans="1:52" s="286" customFormat="1" ht="16.5" customHeight="1" thickBot="1">
      <c r="A113" s="666"/>
      <c r="B113" s="308" t="s">
        <v>346</v>
      </c>
      <c r="C113" s="285" t="s">
        <v>131</v>
      </c>
      <c r="D113" s="289" t="str">
        <f t="shared" si="23"/>
        <v/>
      </c>
      <c r="E113" s="287" t="str">
        <f>IFERROR(IF($G$88&lt;&gt;"",IF(G113="x",IF(F113=$G$88,"V1",IF(AF113=1,"V2",IF(AND(AF113=$AF$88,AF113&lt;&gt;1),"V"&amp;$AG$88+1,"V"&amp;AF113+1))),""),""),"Wprowadź urządzenie bazowe")</f>
        <v/>
      </c>
      <c r="F113" s="289" t="s">
        <v>130</v>
      </c>
      <c r="G113" s="309" t="str">
        <f>IF($G$88=F113,"X","")</f>
        <v/>
      </c>
      <c r="H113" s="289" t="s">
        <v>667</v>
      </c>
      <c r="I113" s="289">
        <v>10</v>
      </c>
      <c r="J113" s="286" t="str">
        <f>IFERROR(IF(VALUE(MID(D88,2,2))&lt;9,"$HLB1-L0"&amp;(RIGHT(D88,1)+1),"$HLB1-L"&amp;(MID(D88,2,2)+1)),"Uzupełnij poziom")</f>
        <v>Uzupełnij poziom</v>
      </c>
      <c r="K113" s="286">
        <v>1000</v>
      </c>
      <c r="L113" s="286" t="s">
        <v>668</v>
      </c>
      <c r="N113" s="310">
        <f>IF(T116&lt;&gt;0,ROUND(((100-T116)/T116)*100,2),IF(J113&lt;&gt;"",T113,""))</f>
        <v>0</v>
      </c>
      <c r="O113" s="289"/>
      <c r="P113" s="289"/>
      <c r="Q113" s="289"/>
      <c r="S113" s="291"/>
      <c r="U113" s="291"/>
      <c r="V113" s="291"/>
      <c r="W113" s="291"/>
      <c r="X113" s="291"/>
      <c r="Y113" s="291"/>
      <c r="Z113" s="291"/>
      <c r="AA113" s="291"/>
      <c r="AB113" s="291"/>
      <c r="AC113" s="291"/>
      <c r="AD113" s="291"/>
      <c r="AE113" s="286" t="str">
        <f>UPPER(G113)</f>
        <v/>
      </c>
      <c r="AF113" s="286">
        <f>COUNTIF($AE$89:AE116,"X")</f>
        <v>0</v>
      </c>
      <c r="AL113" s="286" t="s">
        <v>130</v>
      </c>
      <c r="AM113" s="286" t="s">
        <v>131</v>
      </c>
      <c r="AQ113" s="430">
        <v>1250</v>
      </c>
      <c r="AR113" s="430">
        <v>750</v>
      </c>
      <c r="AS113" s="430"/>
      <c r="AT113" s="430"/>
      <c r="AU113" s="430"/>
      <c r="AV113" s="430"/>
      <c r="AW113" s="299" t="str">
        <f t="shared" si="24"/>
        <v>SVEC</v>
      </c>
      <c r="AX113" s="299" t="str">
        <f t="shared" si="25"/>
        <v/>
      </c>
      <c r="AY113" s="286">
        <f t="shared" si="22"/>
        <v>113</v>
      </c>
      <c r="AZ113" s="319" t="str">
        <f t="shared" si="21"/>
        <v>AX113;</v>
      </c>
    </row>
    <row r="114" spans="1:52" ht="16.5" customHeight="1" thickBot="1">
      <c r="A114" s="666"/>
      <c r="B114" s="311" t="s">
        <v>346</v>
      </c>
      <c r="C114" s="292" t="s">
        <v>131</v>
      </c>
      <c r="D114" s="295" t="str">
        <f t="shared" si="23"/>
        <v/>
      </c>
      <c r="E114" s="110" t="str">
        <f>IF(E113&lt;&gt;"",E113,"")</f>
        <v/>
      </c>
      <c r="F114" s="295" t="s">
        <v>130</v>
      </c>
      <c r="G114" s="313" t="str">
        <f>IF(AND(G113&lt;&gt;"",J114&lt;&gt;""),G113,"")</f>
        <v/>
      </c>
      <c r="H114" s="295" t="s">
        <v>667</v>
      </c>
      <c r="I114" s="295">
        <v>20</v>
      </c>
      <c r="J114" s="340" t="str">
        <f>IF('DANE CONTROLLINGU'!M28&lt;&gt;0,'DANE CONTROLLINGU'!N28,"")</f>
        <v/>
      </c>
      <c r="K114" s="295">
        <f>ROUND('DANE CONTROLLINGU'!L28*1000,3)</f>
        <v>0</v>
      </c>
      <c r="L114" s="293" t="s">
        <v>672</v>
      </c>
      <c r="M114" s="341" t="str">
        <f>IF(T116&lt;&gt;0,ROUND(((100-T116)/T116)*100,2),IF(J114&lt;&gt;"",T114,""))</f>
        <v/>
      </c>
      <c r="N114" s="314" t="str">
        <f>IF(T116&lt;&gt;0,ROUND(((100-T116)/T116)*100,2),IF(J114&lt;&gt;"",T114,""))</f>
        <v/>
      </c>
      <c r="AL114" s="293" t="s">
        <v>130</v>
      </c>
      <c r="AM114" s="293" t="s">
        <v>131</v>
      </c>
      <c r="AQ114" s="429">
        <v>1250</v>
      </c>
      <c r="AR114" s="429">
        <v>750</v>
      </c>
      <c r="AW114" s="299" t="str">
        <f t="shared" si="24"/>
        <v>SVEC</v>
      </c>
      <c r="AX114" s="299" t="str">
        <f t="shared" si="25"/>
        <v/>
      </c>
      <c r="AY114" s="286">
        <f t="shared" si="22"/>
        <v>114</v>
      </c>
      <c r="AZ114" s="319" t="str">
        <f t="shared" si="21"/>
        <v>AX114;</v>
      </c>
    </row>
    <row r="115" spans="1:52" ht="15" customHeight="1" thickBot="1">
      <c r="A115" s="666"/>
      <c r="B115" s="311" t="s">
        <v>346</v>
      </c>
      <c r="C115" s="292" t="s">
        <v>131</v>
      </c>
      <c r="D115" s="295" t="str">
        <f t="shared" si="23"/>
        <v/>
      </c>
      <c r="E115" s="110" t="str">
        <f>IF(E113&lt;&gt;"",E113,"")</f>
        <v/>
      </c>
      <c r="F115" s="295" t="s">
        <v>130</v>
      </c>
      <c r="G115" s="313" t="str">
        <f>IF(AND(G113&lt;&gt;"",J115&lt;&gt;""),G113,"")</f>
        <v/>
      </c>
      <c r="H115" s="295" t="s">
        <v>667</v>
      </c>
      <c r="I115" s="295">
        <v>30</v>
      </c>
      <c r="J115" s="351"/>
      <c r="L115" s="293" t="s">
        <v>672</v>
      </c>
      <c r="M115" s="341" t="str">
        <f>IF(T116&lt;&gt;0,ROUND(((100-T116)/T116)*100,2),IF(J115&lt;&gt;"",T115,""))</f>
        <v/>
      </c>
      <c r="N115" s="314" t="str">
        <f>IF(T116&lt;&gt;0,ROUND(((100-T116)/T116)*100,2),IF(J115&lt;&gt;"",T114,""))</f>
        <v/>
      </c>
      <c r="AL115" s="293" t="s">
        <v>130</v>
      </c>
      <c r="AM115" s="293" t="s">
        <v>131</v>
      </c>
      <c r="AQ115" s="429">
        <v>1250</v>
      </c>
      <c r="AR115" s="429">
        <v>750</v>
      </c>
      <c r="AW115" s="299" t="str">
        <f t="shared" si="24"/>
        <v>SVEC</v>
      </c>
      <c r="AX115" s="299" t="str">
        <f t="shared" si="25"/>
        <v/>
      </c>
      <c r="AY115" s="286">
        <f t="shared" si="22"/>
        <v>115</v>
      </c>
      <c r="AZ115" s="319" t="str">
        <f t="shared" si="21"/>
        <v>AX115;</v>
      </c>
    </row>
    <row r="116" spans="1:52" s="299" customFormat="1" ht="14.25" customHeight="1" thickBot="1">
      <c r="A116" s="667"/>
      <c r="B116" s="337" t="s">
        <v>346</v>
      </c>
      <c r="C116" s="298" t="s">
        <v>131</v>
      </c>
      <c r="D116" s="301" t="str">
        <f t="shared" si="23"/>
        <v/>
      </c>
      <c r="E116" s="299" t="str">
        <f>IF(E113&lt;&gt;"",E113,"")</f>
        <v/>
      </c>
      <c r="F116" s="301" t="s">
        <v>130</v>
      </c>
      <c r="G116" s="338" t="str">
        <f>IF(G113="X","X","")</f>
        <v/>
      </c>
      <c r="H116" s="301" t="s">
        <v>669</v>
      </c>
      <c r="I116" s="301"/>
      <c r="J116" s="301"/>
      <c r="N116" s="339"/>
      <c r="O116" s="303" t="s">
        <v>670</v>
      </c>
      <c r="P116" s="301" t="s">
        <v>130</v>
      </c>
      <c r="Q116" s="303">
        <f>$Q$11</f>
        <v>0</v>
      </c>
      <c r="R116" s="304"/>
      <c r="S116" s="305"/>
      <c r="T116" s="304"/>
      <c r="U116" s="305"/>
      <c r="V116" s="305"/>
      <c r="W116" s="305"/>
      <c r="X116" s="305"/>
      <c r="Y116" s="305"/>
      <c r="Z116" s="305"/>
      <c r="AA116" s="305"/>
      <c r="AB116" s="305"/>
      <c r="AC116" s="305"/>
      <c r="AD116" s="305"/>
      <c r="AL116" s="299" t="s">
        <v>130</v>
      </c>
      <c r="AM116" s="299" t="s">
        <v>131</v>
      </c>
      <c r="AQ116" s="432">
        <v>1250</v>
      </c>
      <c r="AR116" s="432">
        <v>750</v>
      </c>
      <c r="AS116" s="479">
        <v>0</v>
      </c>
      <c r="AT116" s="479">
        <v>0</v>
      </c>
      <c r="AU116" s="432"/>
      <c r="AV116" s="480" t="str">
        <f>IF(AND(AR$1&lt;&gt;0,AT$1&lt;&gt;0),IF(AND($AR$1&lt;=AQ116,$AT$1&lt;=AR116,$AR$1&gt;=AS116,$AT$1&gt;=AT116),"OK","NOK"),"")</f>
        <v>NOK</v>
      </c>
      <c r="AW116" s="299" t="str">
        <f t="shared" si="24"/>
        <v>SVEC</v>
      </c>
      <c r="AX116" s="299" t="str">
        <f t="shared" si="25"/>
        <v>SVEC,</v>
      </c>
      <c r="AY116" s="286">
        <f t="shared" si="22"/>
        <v>116</v>
      </c>
      <c r="AZ116" s="319" t="str">
        <f t="shared" si="21"/>
        <v>AX116;</v>
      </c>
    </row>
    <row r="117" spans="1:52" s="110" customFormat="1" ht="15.75" thickBot="1">
      <c r="A117" s="283"/>
      <c r="B117" s="284" t="s">
        <v>665</v>
      </c>
      <c r="C117" s="356"/>
      <c r="D117" s="355" t="str">
        <f>IF(C117&lt;&gt;"",CONCATENATE("L",C117),"")</f>
        <v/>
      </c>
      <c r="F117" s="262"/>
      <c r="G117" s="329"/>
      <c r="H117" s="262"/>
      <c r="I117" s="262"/>
      <c r="J117" s="262"/>
      <c r="N117" s="314"/>
      <c r="O117" s="262"/>
      <c r="P117" s="262"/>
      <c r="Q117" s="262"/>
      <c r="S117" s="277"/>
      <c r="U117" s="277"/>
      <c r="V117" s="277"/>
      <c r="W117" s="277"/>
      <c r="X117" s="277"/>
      <c r="Y117" s="277"/>
      <c r="Z117" s="277"/>
      <c r="AA117" s="277"/>
      <c r="AB117" s="277"/>
      <c r="AC117" s="277"/>
      <c r="AD117" s="277"/>
      <c r="AF117" s="110">
        <f>MAX(AF118:AF145)</f>
        <v>0</v>
      </c>
      <c r="AG117" s="110">
        <f>_xlfn.IFNA(VLOOKUP($G$117,F118:AF145,27,FALSE),0)</f>
        <v>0</v>
      </c>
      <c r="AN117" s="394" t="str">
        <f>IF(G117&lt;&gt;"",VLOOKUP(G117,$AL$4:$AM$274,2,FALSE),"")</f>
        <v/>
      </c>
      <c r="AO117" s="289"/>
      <c r="AP117" s="395" t="str">
        <f>IF(AN117&lt;&gt;"",AN117&amp;", "&amp;AO117,"")</f>
        <v/>
      </c>
      <c r="AQ117" s="426"/>
      <c r="AR117" s="426"/>
      <c r="AS117" s="426"/>
      <c r="AT117" s="426"/>
      <c r="AU117" s="426"/>
      <c r="AV117" s="426"/>
      <c r="AW117" s="299">
        <f t="shared" si="24"/>
        <v>0</v>
      </c>
      <c r="AX117" s="299" t="str">
        <f t="shared" si="25"/>
        <v/>
      </c>
      <c r="AY117" s="286">
        <f t="shared" si="22"/>
        <v>117</v>
      </c>
      <c r="AZ117" s="319" t="str">
        <f t="shared" si="21"/>
        <v>AX117;</v>
      </c>
    </row>
    <row r="118" spans="1:52" s="286" customFormat="1" ht="15" customHeight="1" thickBot="1">
      <c r="A118" s="665" t="s">
        <v>675</v>
      </c>
      <c r="B118" s="308" t="s">
        <v>556</v>
      </c>
      <c r="C118" s="285" t="s">
        <v>155</v>
      </c>
      <c r="D118" s="289" t="str">
        <f t="shared" ref="D118:D145" si="26">$D$117</f>
        <v/>
      </c>
      <c r="E118" s="287" t="str">
        <f>IFERROR(IF($G$117&lt;&gt;"",IF(G118="x",IF(F118=$G$117,"V1",IF(AF118=1,"V2",IF(AND(AF118=$AF$117,AF118&lt;&gt;1),"V"&amp;$AG$117+1,"V"&amp;AF118+1))),""),""),"Wprowadź urządzenie bazowe")</f>
        <v/>
      </c>
      <c r="F118" s="289" t="s">
        <v>154</v>
      </c>
      <c r="G118" s="309"/>
      <c r="H118" s="289" t="s">
        <v>667</v>
      </c>
      <c r="I118" s="289">
        <v>10</v>
      </c>
      <c r="J118" s="286" t="str">
        <f>IFERROR(IF(VALUE(MID(D117,2,2))&lt;9,"$HLB1-L0"&amp;(RIGHT(D117,1)+1),"$HLB1-L"&amp;(MID(D117,2,2)+1)),"Uzupełnij poziom")</f>
        <v>Uzupełnij poziom</v>
      </c>
      <c r="K118" s="286">
        <v>1000</v>
      </c>
      <c r="L118" s="286" t="s">
        <v>668</v>
      </c>
      <c r="N118" s="310">
        <f>IF(T121&lt;&gt;0,ROUND(((100-T121)/T121)*100,2),IF(J118&lt;&gt;"",T118,""))</f>
        <v>0</v>
      </c>
      <c r="O118" s="289"/>
      <c r="P118" s="289"/>
      <c r="Q118" s="289"/>
      <c r="S118" s="291"/>
      <c r="U118" s="291"/>
      <c r="V118" s="291"/>
      <c r="W118" s="291"/>
      <c r="X118" s="291"/>
      <c r="Y118" s="291"/>
      <c r="Z118" s="291"/>
      <c r="AA118" s="291"/>
      <c r="AB118" s="291"/>
      <c r="AC118" s="291"/>
      <c r="AD118" s="291"/>
      <c r="AE118" s="286" t="str">
        <f>UPPER(G118)</f>
        <v/>
      </c>
      <c r="AF118" s="286">
        <f>COUNTIF($AE$118:AE121,"X")</f>
        <v>0</v>
      </c>
      <c r="AL118" s="286" t="s">
        <v>154</v>
      </c>
      <c r="AM118" s="286" t="s">
        <v>155</v>
      </c>
      <c r="AQ118" s="430">
        <v>2500</v>
      </c>
      <c r="AR118" s="430">
        <v>1700</v>
      </c>
      <c r="AS118" s="430">
        <v>380</v>
      </c>
      <c r="AT118" s="430">
        <v>380</v>
      </c>
      <c r="AU118" s="430"/>
      <c r="AV118" s="430"/>
      <c r="AW118" s="299" t="str">
        <f t="shared" si="24"/>
        <v>TH01</v>
      </c>
      <c r="AX118" s="299" t="str">
        <f t="shared" si="25"/>
        <v/>
      </c>
      <c r="AY118" s="286">
        <f t="shared" si="22"/>
        <v>118</v>
      </c>
      <c r="AZ118" s="319" t="str">
        <f t="shared" si="21"/>
        <v>AX118;</v>
      </c>
    </row>
    <row r="119" spans="1:52" ht="15" customHeight="1" thickBot="1">
      <c r="A119" s="666"/>
      <c r="B119" s="311" t="s">
        <v>556</v>
      </c>
      <c r="C119" s="292" t="s">
        <v>155</v>
      </c>
      <c r="D119" s="295" t="str">
        <f t="shared" si="26"/>
        <v/>
      </c>
      <c r="E119" s="110" t="str">
        <f>IF(E118&lt;&gt;"",E118,"")</f>
        <v/>
      </c>
      <c r="F119" s="295" t="s">
        <v>154</v>
      </c>
      <c r="G119" s="313" t="str">
        <f>IF(AND(G118&lt;&gt;"",J119&lt;&gt;""),G118,"")</f>
        <v/>
      </c>
      <c r="H119" s="295" t="s">
        <v>667</v>
      </c>
      <c r="I119" s="295">
        <v>20</v>
      </c>
      <c r="J119" s="340" t="str">
        <f>IF('DANE CONTROLLINGU'!M16&lt;&gt;0,'DANE CONTROLLINGU'!N16,"")</f>
        <v/>
      </c>
      <c r="K119" s="295">
        <f>ROUND('DANE CONTROLLINGU'!L16*1000,3)</f>
        <v>0</v>
      </c>
      <c r="L119" s="293" t="s">
        <v>672</v>
      </c>
      <c r="M119" s="341" t="str">
        <f>IF(T121&lt;&gt;0,ROUND(((100-T121)/T121)*100,2),IF(J119&lt;&gt;"",T119,""))</f>
        <v/>
      </c>
      <c r="N119" s="314" t="str">
        <f>IF(T121&lt;&gt;0,ROUND(((100-T121)/T121)*100,2),IF(J119&lt;&gt;"",T119,""))</f>
        <v/>
      </c>
      <c r="AL119" s="293" t="s">
        <v>154</v>
      </c>
      <c r="AM119" s="293" t="s">
        <v>155</v>
      </c>
      <c r="AQ119" s="429">
        <v>2500</v>
      </c>
      <c r="AR119" s="429">
        <v>1700</v>
      </c>
      <c r="AS119" s="429">
        <v>380</v>
      </c>
      <c r="AT119" s="429">
        <v>380</v>
      </c>
      <c r="AW119" s="299" t="str">
        <f t="shared" si="24"/>
        <v>TH01</v>
      </c>
      <c r="AX119" s="299" t="str">
        <f t="shared" si="25"/>
        <v/>
      </c>
      <c r="AY119" s="286">
        <f t="shared" si="22"/>
        <v>119</v>
      </c>
      <c r="AZ119" s="319" t="str">
        <f t="shared" si="21"/>
        <v>AX119;</v>
      </c>
    </row>
    <row r="120" spans="1:52" ht="15" customHeight="1" thickBot="1">
      <c r="A120" s="666"/>
      <c r="B120" s="311" t="s">
        <v>556</v>
      </c>
      <c r="C120" s="292" t="s">
        <v>155</v>
      </c>
      <c r="D120" s="295" t="str">
        <f t="shared" si="26"/>
        <v/>
      </c>
      <c r="E120" s="110" t="str">
        <f>IF(E118&lt;&gt;"",E118,"")</f>
        <v/>
      </c>
      <c r="F120" s="295" t="s">
        <v>154</v>
      </c>
      <c r="G120" s="313" t="str">
        <f>IF(AND(G118&lt;&gt;"",J120&lt;&gt;""),G118,"")</f>
        <v/>
      </c>
      <c r="H120" s="295" t="s">
        <v>667</v>
      </c>
      <c r="I120" s="295">
        <v>30</v>
      </c>
      <c r="J120" s="351"/>
      <c r="L120" s="293" t="s">
        <v>672</v>
      </c>
      <c r="M120" s="341" t="str">
        <f>IF(T121&lt;&gt;0,ROUND(((100-T121)/T121)*100,2),IF(J120&lt;&gt;"",T120,""))</f>
        <v/>
      </c>
      <c r="N120" s="314" t="str">
        <f>IF(T121&lt;&gt;0,ROUND(((100-T121)/T121)*100,2),IF(J120&lt;&gt;"",T120,""))</f>
        <v/>
      </c>
      <c r="AL120" s="293" t="s">
        <v>154</v>
      </c>
      <c r="AM120" s="293" t="s">
        <v>155</v>
      </c>
      <c r="AQ120" s="429">
        <v>2500</v>
      </c>
      <c r="AR120" s="429">
        <v>1700</v>
      </c>
      <c r="AS120" s="429">
        <v>380</v>
      </c>
      <c r="AT120" s="429">
        <v>380</v>
      </c>
      <c r="AW120" s="299" t="str">
        <f t="shared" si="24"/>
        <v>TH01</v>
      </c>
      <c r="AX120" s="299" t="str">
        <f t="shared" si="25"/>
        <v/>
      </c>
      <c r="AY120" s="286">
        <f t="shared" si="22"/>
        <v>120</v>
      </c>
      <c r="AZ120" s="319" t="str">
        <f t="shared" si="21"/>
        <v>AX120;</v>
      </c>
    </row>
    <row r="121" spans="1:52" s="319" customFormat="1" ht="15" customHeight="1" thickBot="1">
      <c r="A121" s="666"/>
      <c r="B121" s="315" t="s">
        <v>556</v>
      </c>
      <c r="C121" s="316" t="s">
        <v>155</v>
      </c>
      <c r="D121" s="317" t="str">
        <f t="shared" si="26"/>
        <v/>
      </c>
      <c r="E121" s="110" t="str">
        <f>IF(E118&lt;&gt;"",E118,"")</f>
        <v/>
      </c>
      <c r="F121" s="317" t="s">
        <v>154</v>
      </c>
      <c r="G121" s="313" t="str">
        <f>IF(G119="X","X","")</f>
        <v/>
      </c>
      <c r="H121" s="317" t="s">
        <v>669</v>
      </c>
      <c r="I121" s="317"/>
      <c r="J121" s="317"/>
      <c r="N121" s="314"/>
      <c r="O121" s="320" t="s">
        <v>670</v>
      </c>
      <c r="P121" s="317" t="s">
        <v>154</v>
      </c>
      <c r="Q121" s="320">
        <f>$Q$11</f>
        <v>0</v>
      </c>
      <c r="R121" s="323"/>
      <c r="S121" s="324"/>
      <c r="T121" s="323"/>
      <c r="U121" s="324"/>
      <c r="V121" s="324"/>
      <c r="W121" s="324"/>
      <c r="X121" s="324"/>
      <c r="Y121" s="324"/>
      <c r="Z121" s="324"/>
      <c r="AA121" s="324"/>
      <c r="AB121" s="324"/>
      <c r="AC121" s="324"/>
      <c r="AD121" s="324"/>
      <c r="AL121" s="319" t="s">
        <v>154</v>
      </c>
      <c r="AM121" s="319" t="s">
        <v>155</v>
      </c>
      <c r="AQ121" s="431">
        <v>2500</v>
      </c>
      <c r="AR121" s="431">
        <v>1700</v>
      </c>
      <c r="AS121" s="431">
        <v>380</v>
      </c>
      <c r="AT121" s="431">
        <v>380</v>
      </c>
      <c r="AU121" s="431"/>
      <c r="AV121" s="480" t="str">
        <f>IF(AND(AR$1&lt;&gt;0,AT$1&lt;&gt;0),IF(AND($AR$1&lt;=AQ121,$AT$1&lt;=AR121,$AR$1&gt;=AS121,$AT$1&gt;=AT121),"OK","NOK"),"")</f>
        <v>OK</v>
      </c>
      <c r="AW121" s="299" t="str">
        <f t="shared" si="24"/>
        <v>TH01</v>
      </c>
      <c r="AX121" s="299" t="str">
        <f t="shared" si="25"/>
        <v/>
      </c>
      <c r="AY121" s="286">
        <f t="shared" si="22"/>
        <v>121</v>
      </c>
      <c r="AZ121" s="319" t="str">
        <f t="shared" si="21"/>
        <v>AX121;</v>
      </c>
    </row>
    <row r="122" spans="1:52" s="286" customFormat="1" ht="15" customHeight="1" thickBot="1">
      <c r="A122" s="666"/>
      <c r="B122" s="308" t="s">
        <v>557</v>
      </c>
      <c r="C122" s="285" t="s">
        <v>157</v>
      </c>
      <c r="D122" s="289" t="str">
        <f t="shared" si="26"/>
        <v/>
      </c>
      <c r="E122" s="287" t="str">
        <f>IFERROR(IF($G$117&lt;&gt;"",IF(G122="x",IF(F122=$G$117,"V1",IF(AF122=1,"V2",IF(AND(AF122=$AF$117,AF122&lt;&gt;1),"V"&amp;$AG$117+1,"V"&amp;AF122+1))),""),""),"Wprowadź urządzenie bazowe")</f>
        <v/>
      </c>
      <c r="F122" s="289" t="s">
        <v>156</v>
      </c>
      <c r="G122" s="309"/>
      <c r="H122" s="289" t="s">
        <v>667</v>
      </c>
      <c r="I122" s="289">
        <v>10</v>
      </c>
      <c r="J122" s="286" t="str">
        <f>IFERROR(IF(VALUE(MID(D117,2,2))&lt;9,"$HLB1-L0"&amp;(RIGHT(D117,1)+1),"$HLB1-L"&amp;(MID(D117,2,2)+1)),"Uzupełnij poziom")</f>
        <v>Uzupełnij poziom</v>
      </c>
      <c r="K122" s="286">
        <v>1000</v>
      </c>
      <c r="L122" s="286" t="s">
        <v>668</v>
      </c>
      <c r="N122" s="310">
        <f>IF(T125&lt;&gt;0,ROUND(((100-T125)/T125)*100,2),IF(J122&lt;&gt;"",T122,""))</f>
        <v>0</v>
      </c>
      <c r="O122" s="289"/>
      <c r="P122" s="289"/>
      <c r="Q122" s="289"/>
      <c r="S122" s="291"/>
      <c r="U122" s="291"/>
      <c r="V122" s="291"/>
      <c r="W122" s="291"/>
      <c r="X122" s="291"/>
      <c r="Y122" s="291"/>
      <c r="Z122" s="291"/>
      <c r="AA122" s="291"/>
      <c r="AB122" s="291"/>
      <c r="AC122" s="291"/>
      <c r="AD122" s="291"/>
      <c r="AE122" s="286" t="str">
        <f>UPPER(G122)</f>
        <v/>
      </c>
      <c r="AF122" s="286">
        <f>COUNTIF($AE$118:AE125,"X")</f>
        <v>0</v>
      </c>
      <c r="AL122" s="286" t="s">
        <v>156</v>
      </c>
      <c r="AM122" s="286" t="s">
        <v>157</v>
      </c>
      <c r="AQ122" s="430">
        <v>2500</v>
      </c>
      <c r="AR122" s="430">
        <v>1700</v>
      </c>
      <c r="AS122" s="430">
        <v>500</v>
      </c>
      <c r="AT122" s="430">
        <v>200</v>
      </c>
      <c r="AU122" s="430"/>
      <c r="AV122" s="430"/>
      <c r="AW122" s="299" t="str">
        <f t="shared" si="24"/>
        <v>TH02</v>
      </c>
      <c r="AX122" s="299" t="str">
        <f t="shared" si="25"/>
        <v/>
      </c>
      <c r="AY122" s="286">
        <f t="shared" si="22"/>
        <v>122</v>
      </c>
      <c r="AZ122" s="319" t="str">
        <f t="shared" si="21"/>
        <v>AX122;</v>
      </c>
    </row>
    <row r="123" spans="1:52" ht="15" customHeight="1" thickBot="1">
      <c r="A123" s="666"/>
      <c r="B123" s="311" t="s">
        <v>557</v>
      </c>
      <c r="C123" s="292" t="s">
        <v>157</v>
      </c>
      <c r="D123" s="295" t="str">
        <f t="shared" si="26"/>
        <v/>
      </c>
      <c r="E123" s="110" t="str">
        <f>IF(E122&lt;&gt;"",E122,"")</f>
        <v/>
      </c>
      <c r="F123" s="295" t="s">
        <v>156</v>
      </c>
      <c r="G123" s="313" t="str">
        <f>IF(AND(G122&lt;&gt;"",J123&lt;&gt;""),G122,"")</f>
        <v/>
      </c>
      <c r="H123" s="295" t="s">
        <v>667</v>
      </c>
      <c r="I123" s="295">
        <v>20</v>
      </c>
      <c r="J123" s="340" t="str">
        <f>IF('DANE CONTROLLINGU'!M16&lt;&gt;0,'DANE CONTROLLINGU'!N16,"")</f>
        <v/>
      </c>
      <c r="K123" s="295">
        <f>ROUND('DANE CONTROLLINGU'!L16*1000,3)</f>
        <v>0</v>
      </c>
      <c r="L123" s="293" t="s">
        <v>672</v>
      </c>
      <c r="M123" s="341" t="str">
        <f>IF(T125&lt;&gt;0,ROUND(((100-T125)/T125)*100,2),IF(J123&lt;&gt;"",T123,""))</f>
        <v/>
      </c>
      <c r="N123" s="314" t="str">
        <f>IF(T125&lt;&gt;0,ROUND(((100-T125)/T125)*100,2),IF(J123&lt;&gt;"",T123,""))</f>
        <v/>
      </c>
      <c r="AL123" s="293" t="s">
        <v>156</v>
      </c>
      <c r="AM123" s="293" t="s">
        <v>157</v>
      </c>
      <c r="AQ123" s="429">
        <v>2500</v>
      </c>
      <c r="AR123" s="429">
        <v>1700</v>
      </c>
      <c r="AS123" s="429">
        <v>500</v>
      </c>
      <c r="AT123" s="429">
        <v>200</v>
      </c>
      <c r="AW123" s="299" t="str">
        <f t="shared" si="24"/>
        <v>TH02</v>
      </c>
      <c r="AX123" s="299" t="str">
        <f t="shared" si="25"/>
        <v/>
      </c>
      <c r="AY123" s="286">
        <f t="shared" si="22"/>
        <v>123</v>
      </c>
      <c r="AZ123" s="319" t="str">
        <f t="shared" si="21"/>
        <v>AX123;</v>
      </c>
    </row>
    <row r="124" spans="1:52" ht="15" customHeight="1" thickBot="1">
      <c r="A124" s="666"/>
      <c r="B124" s="311" t="s">
        <v>557</v>
      </c>
      <c r="C124" s="292" t="s">
        <v>157</v>
      </c>
      <c r="D124" s="295" t="str">
        <f t="shared" si="26"/>
        <v/>
      </c>
      <c r="E124" s="110" t="str">
        <f>IF(E122&lt;&gt;"",E122,"")</f>
        <v/>
      </c>
      <c r="F124" s="295" t="s">
        <v>156</v>
      </c>
      <c r="G124" s="313" t="str">
        <f>IF(AND(G122&lt;&gt;"",J124&lt;&gt;""),G122,"")</f>
        <v/>
      </c>
      <c r="H124" s="295" t="s">
        <v>667</v>
      </c>
      <c r="I124" s="295">
        <v>30</v>
      </c>
      <c r="J124" s="351"/>
      <c r="L124" s="293" t="s">
        <v>672</v>
      </c>
      <c r="M124" s="341" t="str">
        <f>IF(T125&lt;&gt;0,ROUND(((100-T125)/T125)*100,2),IF(J124&lt;&gt;"",T124,""))</f>
        <v/>
      </c>
      <c r="N124" s="314" t="str">
        <f>IF(T125&lt;&gt;0,ROUND(((100-T125)/T125)*100,2),IF(J124&lt;&gt;"",T124,""))</f>
        <v/>
      </c>
      <c r="AL124" s="293" t="s">
        <v>156</v>
      </c>
      <c r="AM124" s="293" t="s">
        <v>157</v>
      </c>
      <c r="AQ124" s="429">
        <v>2500</v>
      </c>
      <c r="AR124" s="429">
        <v>1700</v>
      </c>
      <c r="AS124" s="429">
        <v>500</v>
      </c>
      <c r="AT124" s="429">
        <v>200</v>
      </c>
      <c r="AW124" s="299" t="str">
        <f t="shared" si="24"/>
        <v>TH02</v>
      </c>
      <c r="AX124" s="299" t="str">
        <f t="shared" si="25"/>
        <v/>
      </c>
      <c r="AY124" s="286">
        <f t="shared" si="22"/>
        <v>124</v>
      </c>
      <c r="AZ124" s="319" t="str">
        <f t="shared" si="21"/>
        <v>AX124;</v>
      </c>
    </row>
    <row r="125" spans="1:52" s="319" customFormat="1" ht="15" customHeight="1" thickBot="1">
      <c r="A125" s="666"/>
      <c r="B125" s="315" t="s">
        <v>557</v>
      </c>
      <c r="C125" s="316" t="s">
        <v>157</v>
      </c>
      <c r="D125" s="317" t="str">
        <f t="shared" si="26"/>
        <v/>
      </c>
      <c r="E125" s="110" t="str">
        <f>IF(E122&lt;&gt;"",E122,"")</f>
        <v/>
      </c>
      <c r="F125" s="317" t="s">
        <v>156</v>
      </c>
      <c r="G125" s="313" t="str">
        <f>IF(G122="X","X","")</f>
        <v/>
      </c>
      <c r="H125" s="317" t="s">
        <v>669</v>
      </c>
      <c r="I125" s="317"/>
      <c r="J125" s="317"/>
      <c r="N125" s="314"/>
      <c r="O125" s="320" t="s">
        <v>670</v>
      </c>
      <c r="P125" s="317" t="s">
        <v>156</v>
      </c>
      <c r="Q125" s="320">
        <f>$Q$11</f>
        <v>0</v>
      </c>
      <c r="R125" s="323"/>
      <c r="S125" s="324"/>
      <c r="T125" s="323"/>
      <c r="U125" s="324"/>
      <c r="V125" s="324"/>
      <c r="W125" s="324"/>
      <c r="X125" s="324"/>
      <c r="Y125" s="324"/>
      <c r="Z125" s="324"/>
      <c r="AA125" s="324"/>
      <c r="AB125" s="324"/>
      <c r="AC125" s="324"/>
      <c r="AD125" s="324"/>
      <c r="AL125" s="319" t="s">
        <v>156</v>
      </c>
      <c r="AM125" s="319" t="s">
        <v>157</v>
      </c>
      <c r="AQ125" s="431">
        <v>2500</v>
      </c>
      <c r="AR125" s="431">
        <v>1700</v>
      </c>
      <c r="AS125" s="431">
        <v>500</v>
      </c>
      <c r="AT125" s="431">
        <v>200</v>
      </c>
      <c r="AU125" s="431"/>
      <c r="AV125" s="480" t="str">
        <f>IF(AND(AR$1&lt;&gt;0,AT$1&lt;&gt;0),IF(AND($AR$1&lt;=AQ125,$AT$1&lt;=AR125,$AR$1&gt;=AS125,$AT$1&gt;=AT125),"OK","NOK"),"")</f>
        <v>OK</v>
      </c>
      <c r="AW125" s="299" t="str">
        <f t="shared" si="24"/>
        <v>TH02</v>
      </c>
      <c r="AX125" s="299" t="str">
        <f t="shared" si="25"/>
        <v/>
      </c>
      <c r="AY125" s="286">
        <f t="shared" si="22"/>
        <v>125</v>
      </c>
      <c r="AZ125" s="319" t="str">
        <f t="shared" si="21"/>
        <v>AX125;</v>
      </c>
    </row>
    <row r="126" spans="1:52" s="286" customFormat="1" ht="15" customHeight="1" thickBot="1">
      <c r="A126" s="666"/>
      <c r="B126" s="308" t="s">
        <v>558</v>
      </c>
      <c r="C126" s="285" t="s">
        <v>619</v>
      </c>
      <c r="D126" s="289" t="str">
        <f t="shared" si="26"/>
        <v/>
      </c>
      <c r="E126" s="287" t="str">
        <f>IFERROR(IF($G$117&lt;&gt;"",IF(G126="x",IF(F126=$G$117,"V1",IF(AF126=1,"V2",IF(AND(AF126=$AF$117,AF126&lt;&gt;1),"V"&amp;$AG$117+1,"V"&amp;AF126+1))),""),""),"Wprowadź urządzenie bazowe")</f>
        <v/>
      </c>
      <c r="F126" s="289" t="s">
        <v>555</v>
      </c>
      <c r="G126" s="309"/>
      <c r="H126" s="289" t="s">
        <v>667</v>
      </c>
      <c r="I126" s="289">
        <v>10</v>
      </c>
      <c r="J126" s="286" t="str">
        <f>IFERROR(IF(VALUE(MID(D117,2,2))&lt;9,"$HLB1-L0"&amp;(RIGHT(D117,1)+1),"$HLB1-L"&amp;(MID(D117,2,2)+1)),"Uzupełnij poziom")</f>
        <v>Uzupełnij poziom</v>
      </c>
      <c r="K126" s="286">
        <v>1000</v>
      </c>
      <c r="L126" s="286" t="s">
        <v>668</v>
      </c>
      <c r="N126" s="310">
        <f>IF(T129&lt;&gt;0,ROUND(((100-T129)/T129)*100,2),IF(J126&lt;&gt;"",T126,""))</f>
        <v>0</v>
      </c>
      <c r="O126" s="289"/>
      <c r="P126" s="289"/>
      <c r="Q126" s="289"/>
      <c r="S126" s="291"/>
      <c r="U126" s="291"/>
      <c r="V126" s="291"/>
      <c r="W126" s="291"/>
      <c r="X126" s="291"/>
      <c r="Y126" s="291"/>
      <c r="Z126" s="291"/>
      <c r="AA126" s="291"/>
      <c r="AB126" s="291"/>
      <c r="AC126" s="291"/>
      <c r="AD126" s="291"/>
      <c r="AE126" s="286" t="str">
        <f>UPPER(G126)</f>
        <v/>
      </c>
      <c r="AF126" s="286">
        <f>COUNTIF($AE$118:AE129,"X")</f>
        <v>0</v>
      </c>
      <c r="AL126" s="286" t="s">
        <v>555</v>
      </c>
      <c r="AM126" s="286" t="s">
        <v>619</v>
      </c>
      <c r="AQ126" s="430">
        <v>2700</v>
      </c>
      <c r="AR126" s="430">
        <v>1700</v>
      </c>
      <c r="AS126" s="430">
        <v>380</v>
      </c>
      <c r="AT126" s="430">
        <v>380</v>
      </c>
      <c r="AU126" s="430"/>
      <c r="AV126" s="430"/>
      <c r="AW126" s="299" t="str">
        <f t="shared" si="24"/>
        <v>TH03</v>
      </c>
      <c r="AX126" s="299" t="str">
        <f t="shared" si="25"/>
        <v/>
      </c>
      <c r="AY126" s="286">
        <f t="shared" si="22"/>
        <v>126</v>
      </c>
      <c r="AZ126" s="319" t="str">
        <f t="shared" si="21"/>
        <v>AX126;</v>
      </c>
    </row>
    <row r="127" spans="1:52" ht="15" customHeight="1" thickBot="1">
      <c r="A127" s="666"/>
      <c r="B127" s="311" t="s">
        <v>558</v>
      </c>
      <c r="C127" s="292" t="s">
        <v>619</v>
      </c>
      <c r="D127" s="295" t="str">
        <f t="shared" si="26"/>
        <v/>
      </c>
      <c r="E127" s="110" t="str">
        <f>IF(E126&lt;&gt;"",E126,"")</f>
        <v/>
      </c>
      <c r="F127" s="295" t="s">
        <v>555</v>
      </c>
      <c r="G127" s="313" t="str">
        <f>IF(AND(G126&lt;&gt;"",J127&lt;&gt;""),G126,"")</f>
        <v/>
      </c>
      <c r="H127" s="295" t="s">
        <v>667</v>
      </c>
      <c r="I127" s="295">
        <v>20</v>
      </c>
      <c r="J127" s="340" t="str">
        <f>IF('DANE CONTROLLINGU'!M16&lt;&gt;0,'DANE CONTROLLINGU'!N16,"")</f>
        <v/>
      </c>
      <c r="K127" s="295">
        <f>ROUND('DANE CONTROLLINGU'!L16*1000,3)</f>
        <v>0</v>
      </c>
      <c r="L127" s="293" t="s">
        <v>672</v>
      </c>
      <c r="M127" s="341" t="str">
        <f>IF(T129&lt;&gt;0,ROUND(((100-T129)/T129)*100,2),IF(J127&lt;&gt;"",T127,""))</f>
        <v/>
      </c>
      <c r="N127" s="314" t="str">
        <f>IF(T129&lt;&gt;0,ROUND(((100-T129)/T129)*100,2),IF(J127&lt;&gt;"",T127,""))</f>
        <v/>
      </c>
      <c r="AL127" s="293" t="s">
        <v>555</v>
      </c>
      <c r="AM127" s="293" t="s">
        <v>619</v>
      </c>
      <c r="AQ127" s="429">
        <v>2700</v>
      </c>
      <c r="AR127" s="429">
        <v>1700</v>
      </c>
      <c r="AS127" s="429">
        <v>380</v>
      </c>
      <c r="AT127" s="429">
        <v>380</v>
      </c>
      <c r="AW127" s="299" t="str">
        <f t="shared" si="24"/>
        <v>TH03</v>
      </c>
      <c r="AX127" s="299" t="str">
        <f t="shared" si="25"/>
        <v/>
      </c>
      <c r="AY127" s="286">
        <f t="shared" si="22"/>
        <v>127</v>
      </c>
      <c r="AZ127" s="319" t="str">
        <f t="shared" si="21"/>
        <v>AX127;</v>
      </c>
    </row>
    <row r="128" spans="1:52" ht="15" customHeight="1" thickBot="1">
      <c r="A128" s="666"/>
      <c r="B128" s="311" t="s">
        <v>558</v>
      </c>
      <c r="C128" s="292" t="s">
        <v>619</v>
      </c>
      <c r="D128" s="295" t="str">
        <f t="shared" si="26"/>
        <v/>
      </c>
      <c r="E128" s="110" t="str">
        <f>IF(E126&lt;&gt;"",E126,"")</f>
        <v/>
      </c>
      <c r="F128" s="295" t="s">
        <v>555</v>
      </c>
      <c r="G128" s="313" t="str">
        <f>IF(AND(G126&lt;&gt;"",J128&lt;&gt;""),G126,"")</f>
        <v/>
      </c>
      <c r="H128" s="295" t="s">
        <v>667</v>
      </c>
      <c r="I128" s="295">
        <v>30</v>
      </c>
      <c r="J128" s="351"/>
      <c r="L128" s="293" t="s">
        <v>672</v>
      </c>
      <c r="M128" s="341" t="str">
        <f>IF(T129&lt;&gt;0,ROUND(((100-T129)/T129)*100,2),IF(J128&lt;&gt;"",T128,""))</f>
        <v/>
      </c>
      <c r="N128" s="314" t="str">
        <f>IF(T129&lt;&gt;0,ROUND(((100-T129)/T129)*100,2),IF(J128&lt;&gt;"",T128,""))</f>
        <v/>
      </c>
      <c r="AL128" s="293" t="s">
        <v>555</v>
      </c>
      <c r="AM128" s="293" t="s">
        <v>619</v>
      </c>
      <c r="AQ128" s="429">
        <v>2700</v>
      </c>
      <c r="AR128" s="429">
        <v>1700</v>
      </c>
      <c r="AS128" s="429">
        <v>380</v>
      </c>
      <c r="AT128" s="429">
        <v>380</v>
      </c>
      <c r="AW128" s="299" t="str">
        <f t="shared" si="24"/>
        <v>TH03</v>
      </c>
      <c r="AX128" s="299" t="str">
        <f t="shared" si="25"/>
        <v/>
      </c>
      <c r="AY128" s="286">
        <f t="shared" si="22"/>
        <v>128</v>
      </c>
      <c r="AZ128" s="319" t="str">
        <f t="shared" si="21"/>
        <v>AX128;</v>
      </c>
    </row>
    <row r="129" spans="1:52" s="319" customFormat="1" ht="15" customHeight="1" thickBot="1">
      <c r="A129" s="666"/>
      <c r="B129" s="315" t="s">
        <v>558</v>
      </c>
      <c r="C129" s="316" t="s">
        <v>619</v>
      </c>
      <c r="D129" s="317" t="str">
        <f t="shared" si="26"/>
        <v/>
      </c>
      <c r="E129" s="110" t="str">
        <f>IF(E126&lt;&gt;"",E126,"")</f>
        <v/>
      </c>
      <c r="F129" s="317" t="s">
        <v>555</v>
      </c>
      <c r="G129" s="313" t="str">
        <f>IF(G126="X","X","")</f>
        <v/>
      </c>
      <c r="H129" s="317" t="s">
        <v>669</v>
      </c>
      <c r="I129" s="317"/>
      <c r="J129" s="317"/>
      <c r="N129" s="314"/>
      <c r="O129" s="320" t="s">
        <v>670</v>
      </c>
      <c r="P129" s="317" t="s">
        <v>555</v>
      </c>
      <c r="Q129" s="320">
        <f>$Q$11</f>
        <v>0</v>
      </c>
      <c r="R129" s="323"/>
      <c r="S129" s="324"/>
      <c r="T129" s="323"/>
      <c r="U129" s="324"/>
      <c r="V129" s="324"/>
      <c r="W129" s="324"/>
      <c r="X129" s="324"/>
      <c r="Y129" s="324"/>
      <c r="Z129" s="324"/>
      <c r="AA129" s="324"/>
      <c r="AB129" s="324"/>
      <c r="AC129" s="324"/>
      <c r="AD129" s="324"/>
      <c r="AL129" s="319" t="s">
        <v>555</v>
      </c>
      <c r="AM129" s="319" t="s">
        <v>619</v>
      </c>
      <c r="AQ129" s="431">
        <v>2700</v>
      </c>
      <c r="AR129" s="431">
        <v>1700</v>
      </c>
      <c r="AS129" s="431">
        <v>380</v>
      </c>
      <c r="AT129" s="431">
        <v>380</v>
      </c>
      <c r="AU129" s="431"/>
      <c r="AV129" s="480" t="str">
        <f>IF(AND(AR$1&lt;&gt;0,AT$1&lt;&gt;0),IF(AND($AR$1&lt;=AQ129,$AT$1&lt;=AR129,$AR$1&gt;=AS129,$AT$1&gt;=AT129),"OK","NOK"),"")</f>
        <v>OK</v>
      </c>
      <c r="AW129" s="299" t="str">
        <f t="shared" si="24"/>
        <v>TH03</v>
      </c>
      <c r="AX129" s="299" t="str">
        <f t="shared" si="25"/>
        <v/>
      </c>
      <c r="AY129" s="286">
        <f t="shared" si="22"/>
        <v>129</v>
      </c>
      <c r="AZ129" s="319" t="str">
        <f t="shared" si="21"/>
        <v>AX129;</v>
      </c>
    </row>
    <row r="130" spans="1:52" s="286" customFormat="1" ht="16.5" customHeight="1" thickBot="1">
      <c r="A130" s="666"/>
      <c r="B130" s="308" t="s">
        <v>357</v>
      </c>
      <c r="C130" s="285" t="s">
        <v>312</v>
      </c>
      <c r="D130" s="289" t="str">
        <f t="shared" si="26"/>
        <v/>
      </c>
      <c r="E130" s="287" t="str">
        <f>IFERROR(IF($G$117&lt;&gt;"",IF(G130="x",IF(F130=$G$117,"V1",IF(AF130=1,"V2",IF(AND(AF130=$AF$117,AF130&lt;&gt;1),"V"&amp;$AG$117+1,"V"&amp;AF130+1))),""),""),"Wprowadź urządzenie bazowe")</f>
        <v/>
      </c>
      <c r="F130" s="289" t="s">
        <v>299</v>
      </c>
      <c r="G130" s="309" t="str">
        <f>IF($G$117=F130,"X","")</f>
        <v/>
      </c>
      <c r="H130" s="289" t="s">
        <v>667</v>
      </c>
      <c r="I130" s="289">
        <v>10</v>
      </c>
      <c r="J130" s="286" t="str">
        <f>IFERROR(IF(VALUE(MID(D117,2,2))&lt;9,"$HLB1-L0"&amp;(RIGHT(D117,1)+1),"$HLB1-L"&amp;(MID(D117,2,2)+1)),"Uzupełnij poziom")</f>
        <v>Uzupełnij poziom</v>
      </c>
      <c r="K130" s="286">
        <v>1000</v>
      </c>
      <c r="L130" s="286" t="s">
        <v>668</v>
      </c>
      <c r="N130" s="310">
        <f>IF(T133&lt;&gt;0,ROUND(((100-T133)/T133)*100,2),IF(J130&lt;&gt;"",T130,""))</f>
        <v>0</v>
      </c>
      <c r="O130" s="289"/>
      <c r="P130" s="289"/>
      <c r="Q130" s="289"/>
      <c r="S130" s="291"/>
      <c r="U130" s="291"/>
      <c r="V130" s="291"/>
      <c r="W130" s="291"/>
      <c r="X130" s="291"/>
      <c r="Y130" s="291"/>
      <c r="Z130" s="291"/>
      <c r="AA130" s="291"/>
      <c r="AB130" s="291"/>
      <c r="AC130" s="291"/>
      <c r="AD130" s="291"/>
      <c r="AE130" s="286" t="str">
        <f>UPPER(G130)</f>
        <v/>
      </c>
      <c r="AF130" s="286">
        <f>COUNTIF($AE$118:AE133,"X")</f>
        <v>0</v>
      </c>
      <c r="AL130" s="286" t="s">
        <v>299</v>
      </c>
      <c r="AM130" s="286" t="s">
        <v>312</v>
      </c>
      <c r="AQ130" s="430">
        <v>1800</v>
      </c>
      <c r="AR130" s="430">
        <v>1200</v>
      </c>
      <c r="AS130" s="430">
        <v>350</v>
      </c>
      <c r="AT130" s="430">
        <v>200</v>
      </c>
      <c r="AU130" s="430"/>
      <c r="AV130" s="430"/>
      <c r="AW130" s="299" t="str">
        <f t="shared" si="24"/>
        <v>GER1</v>
      </c>
      <c r="AX130" s="299" t="str">
        <f t="shared" si="25"/>
        <v/>
      </c>
      <c r="AY130" s="286">
        <f t="shared" si="22"/>
        <v>130</v>
      </c>
      <c r="AZ130" s="319" t="str">
        <f t="shared" si="21"/>
        <v>AX130;</v>
      </c>
    </row>
    <row r="131" spans="1:52" ht="16.5" customHeight="1" thickBot="1">
      <c r="A131" s="666"/>
      <c r="B131" s="311" t="s">
        <v>357</v>
      </c>
      <c r="C131" s="292" t="s">
        <v>312</v>
      </c>
      <c r="D131" s="295" t="str">
        <f t="shared" si="26"/>
        <v/>
      </c>
      <c r="E131" s="110" t="str">
        <f>IF(E130&lt;&gt;"",E130,"")</f>
        <v/>
      </c>
      <c r="F131" s="295" t="s">
        <v>299</v>
      </c>
      <c r="G131" s="313" t="str">
        <f>IF(AND(G130&lt;&gt;"",J131&lt;&gt;""),G130,"")</f>
        <v/>
      </c>
      <c r="H131" s="295" t="s">
        <v>667</v>
      </c>
      <c r="I131" s="295">
        <v>20</v>
      </c>
      <c r="J131" s="340" t="str">
        <f>IF('DANE CONTROLLINGU'!M16&lt;&gt;0,'DANE CONTROLLINGU'!N16,"")</f>
        <v/>
      </c>
      <c r="K131" s="295">
        <f>ROUND('DANE CONTROLLINGU'!L16*1000,3)</f>
        <v>0</v>
      </c>
      <c r="L131" s="293" t="s">
        <v>672</v>
      </c>
      <c r="M131" s="341" t="str">
        <f>IF(T133&lt;&gt;0,ROUND(((100-T133)/T133)*100,2),IF(J131&lt;&gt;"",T131,""))</f>
        <v/>
      </c>
      <c r="N131" s="314" t="str">
        <f>IF(T133&lt;&gt;0,ROUND(((100-T133)/T133)*100,2),IF(J131&lt;&gt;"",T131,""))</f>
        <v/>
      </c>
      <c r="AL131" s="293" t="s">
        <v>299</v>
      </c>
      <c r="AM131" s="293" t="s">
        <v>312</v>
      </c>
      <c r="AQ131" s="429">
        <v>1800</v>
      </c>
      <c r="AR131" s="429">
        <v>1200</v>
      </c>
      <c r="AS131" s="429">
        <v>350</v>
      </c>
      <c r="AT131" s="429">
        <v>200</v>
      </c>
      <c r="AW131" s="299" t="str">
        <f t="shared" si="24"/>
        <v>GER1</v>
      </c>
      <c r="AX131" s="299" t="str">
        <f t="shared" si="25"/>
        <v/>
      </c>
      <c r="AY131" s="286">
        <f t="shared" si="22"/>
        <v>131</v>
      </c>
      <c r="AZ131" s="319" t="str">
        <f t="shared" si="21"/>
        <v>AX131;</v>
      </c>
    </row>
    <row r="132" spans="1:52" ht="15" customHeight="1" thickBot="1">
      <c r="A132" s="666"/>
      <c r="B132" s="311" t="s">
        <v>357</v>
      </c>
      <c r="C132" s="292" t="s">
        <v>312</v>
      </c>
      <c r="D132" s="295" t="str">
        <f t="shared" si="26"/>
        <v/>
      </c>
      <c r="E132" s="110" t="str">
        <f>IF(E130&lt;&gt;"",E130,"")</f>
        <v/>
      </c>
      <c r="F132" s="295" t="s">
        <v>299</v>
      </c>
      <c r="G132" s="313" t="str">
        <f>IF(AND(G130&lt;&gt;"",J132&lt;&gt;""),G130,"")</f>
        <v/>
      </c>
      <c r="H132" s="295" t="s">
        <v>667</v>
      </c>
      <c r="I132" s="295">
        <v>30</v>
      </c>
      <c r="J132" s="351"/>
      <c r="L132" s="293" t="s">
        <v>672</v>
      </c>
      <c r="M132" s="341" t="str">
        <f>IF(T133&lt;&gt;0,ROUND(((100-T133)/T133)*100,2),IF(J132&lt;&gt;"",T132,""))</f>
        <v/>
      </c>
      <c r="N132" s="314" t="str">
        <f>IF(T133&lt;&gt;0,ROUND(((100-T133)/T133)*100,2),IF(J132&lt;&gt;"",T132,""))</f>
        <v/>
      </c>
      <c r="AL132" s="293" t="s">
        <v>299</v>
      </c>
      <c r="AM132" s="293" t="s">
        <v>312</v>
      </c>
      <c r="AQ132" s="429">
        <v>1800</v>
      </c>
      <c r="AR132" s="429">
        <v>1200</v>
      </c>
      <c r="AS132" s="429">
        <v>350</v>
      </c>
      <c r="AT132" s="429">
        <v>200</v>
      </c>
      <c r="AW132" s="299" t="str">
        <f t="shared" si="24"/>
        <v>GER1</v>
      </c>
      <c r="AX132" s="299" t="str">
        <f t="shared" si="25"/>
        <v/>
      </c>
      <c r="AY132" s="286">
        <f t="shared" si="22"/>
        <v>132</v>
      </c>
      <c r="AZ132" s="319" t="str">
        <f t="shared" si="21"/>
        <v>AX132;</v>
      </c>
    </row>
    <row r="133" spans="1:52" s="319" customFormat="1" ht="14.25" customHeight="1" thickBot="1">
      <c r="A133" s="666"/>
      <c r="B133" s="315" t="s">
        <v>357</v>
      </c>
      <c r="C133" s="316" t="s">
        <v>312</v>
      </c>
      <c r="D133" s="317" t="str">
        <f t="shared" si="26"/>
        <v/>
      </c>
      <c r="E133" s="110" t="str">
        <f>IF(E130&lt;&gt;"",E130,"")</f>
        <v/>
      </c>
      <c r="F133" s="317" t="s">
        <v>299</v>
      </c>
      <c r="G133" s="313" t="str">
        <f>IF(G130="X","X","")</f>
        <v/>
      </c>
      <c r="H133" s="317" t="s">
        <v>669</v>
      </c>
      <c r="I133" s="317"/>
      <c r="J133" s="317"/>
      <c r="N133" s="314"/>
      <c r="O133" s="320" t="s">
        <v>670</v>
      </c>
      <c r="P133" s="317" t="s">
        <v>299</v>
      </c>
      <c r="Q133" s="320">
        <f>$Q$11</f>
        <v>0</v>
      </c>
      <c r="R133" s="323"/>
      <c r="S133" s="324"/>
      <c r="T133" s="323"/>
      <c r="U133" s="324"/>
      <c r="V133" s="324"/>
      <c r="W133" s="324"/>
      <c r="X133" s="324"/>
      <c r="Y133" s="324"/>
      <c r="Z133" s="324"/>
      <c r="AA133" s="324"/>
      <c r="AB133" s="324"/>
      <c r="AC133" s="324"/>
      <c r="AD133" s="324"/>
      <c r="AL133" s="319" t="s">
        <v>299</v>
      </c>
      <c r="AM133" s="319" t="s">
        <v>312</v>
      </c>
      <c r="AQ133" s="431">
        <v>1800</v>
      </c>
      <c r="AR133" s="431">
        <v>1200</v>
      </c>
      <c r="AS133" s="431">
        <v>350</v>
      </c>
      <c r="AT133" s="431">
        <v>200</v>
      </c>
      <c r="AU133" s="431"/>
      <c r="AV133" s="480" t="str">
        <f>IF(AND(AR$1&lt;&gt;0,AT$1&lt;&gt;0),IF(AND($AR$1&lt;=AQ133,$AT$1&lt;=AR133,$AR$1&gt;=AS133,$AT$1&gt;=AT133),"OK","NOK"),"")</f>
        <v>OK</v>
      </c>
      <c r="AW133" s="299" t="str">
        <f t="shared" si="24"/>
        <v>GER1</v>
      </c>
      <c r="AX133" s="299" t="str">
        <f t="shared" si="25"/>
        <v/>
      </c>
      <c r="AY133" s="286">
        <f t="shared" si="22"/>
        <v>133</v>
      </c>
      <c r="AZ133" s="319" t="str">
        <f t="shared" si="21"/>
        <v>AX133;</v>
      </c>
    </row>
    <row r="134" spans="1:52" s="286" customFormat="1" ht="16.5" customHeight="1" thickBot="1">
      <c r="A134" s="666"/>
      <c r="B134" s="308" t="s">
        <v>567</v>
      </c>
      <c r="C134" s="285" t="s">
        <v>133</v>
      </c>
      <c r="D134" s="289" t="str">
        <f t="shared" si="26"/>
        <v/>
      </c>
      <c r="E134" s="287" t="str">
        <f>IFERROR(IF($G$117&lt;&gt;"",IF(G134="x",IF(F134=$G$117,"V1",IF(AF134=1,"V2",IF(AND(AF134=$AF$117,AF134&lt;&gt;1),"V"&amp;$AG$117+1,"V"&amp;AF134+1))),""),""),"Wprowadź urządzenie bazowe")</f>
        <v/>
      </c>
      <c r="F134" s="289" t="s">
        <v>132</v>
      </c>
      <c r="G134" s="309" t="str">
        <f>IF($G$117=F134,"X","")</f>
        <v/>
      </c>
      <c r="H134" s="289" t="s">
        <v>667</v>
      </c>
      <c r="I134" s="289">
        <v>10</v>
      </c>
      <c r="J134" s="286" t="str">
        <f>IFERROR(IF(VALUE(MID(D117,2,2))&lt;9,"$HLB1-L0"&amp;(RIGHT(D117,1)+1),"$HLB1-L"&amp;(MID(D117,2,2)+1)),"Uzupełnij poziom")</f>
        <v>Uzupełnij poziom</v>
      </c>
      <c r="K134" s="286">
        <v>1000</v>
      </c>
      <c r="L134" s="286" t="s">
        <v>668</v>
      </c>
      <c r="N134" s="310">
        <f>IF(T137&lt;&gt;0,ROUND(((100-T137)/T137)*100,2),IF(J134&lt;&gt;"",T134,""))</f>
        <v>0</v>
      </c>
      <c r="O134" s="289"/>
      <c r="P134" s="289"/>
      <c r="Q134" s="289"/>
      <c r="S134" s="291"/>
      <c r="U134" s="291"/>
      <c r="V134" s="291"/>
      <c r="W134" s="291"/>
      <c r="X134" s="291"/>
      <c r="Y134" s="291"/>
      <c r="Z134" s="291"/>
      <c r="AA134" s="291"/>
      <c r="AB134" s="291"/>
      <c r="AC134" s="291"/>
      <c r="AD134" s="291"/>
      <c r="AE134" s="286" t="str">
        <f>UPPER(G134)</f>
        <v/>
      </c>
      <c r="AF134" s="286">
        <f>COUNTIF($AE$118:AE137,"X")</f>
        <v>0</v>
      </c>
      <c r="AL134" s="286" t="s">
        <v>132</v>
      </c>
      <c r="AM134" s="286" t="s">
        <v>133</v>
      </c>
      <c r="AQ134" s="430">
        <v>2500</v>
      </c>
      <c r="AR134" s="430">
        <v>1540</v>
      </c>
      <c r="AS134" s="430"/>
      <c r="AT134" s="430"/>
      <c r="AU134" s="430"/>
      <c r="AV134" s="430"/>
      <c r="AW134" s="299" t="str">
        <f t="shared" si="24"/>
        <v>FL01</v>
      </c>
      <c r="AX134" s="299" t="str">
        <f t="shared" si="25"/>
        <v/>
      </c>
      <c r="AY134" s="286">
        <f t="shared" si="22"/>
        <v>134</v>
      </c>
      <c r="AZ134" s="319" t="str">
        <f t="shared" si="21"/>
        <v>AX134;</v>
      </c>
    </row>
    <row r="135" spans="1:52" ht="16.5" customHeight="1" thickBot="1">
      <c r="A135" s="666"/>
      <c r="B135" s="311" t="s">
        <v>567</v>
      </c>
      <c r="C135" s="292" t="s">
        <v>133</v>
      </c>
      <c r="D135" s="295" t="str">
        <f t="shared" si="26"/>
        <v/>
      </c>
      <c r="E135" s="110" t="str">
        <f>IF(E134&lt;&gt;"",E134,"")</f>
        <v/>
      </c>
      <c r="F135" s="295" t="s">
        <v>132</v>
      </c>
      <c r="G135" s="313" t="str">
        <f>IF(AND(G134&lt;&gt;"",J135&lt;&gt;""),G134,"")</f>
        <v/>
      </c>
      <c r="H135" s="295" t="s">
        <v>667</v>
      </c>
      <c r="I135" s="295">
        <v>20</v>
      </c>
      <c r="J135" s="340" t="str">
        <f>IF('DANE CONTROLLINGU'!M16&lt;&gt;0,'DANE CONTROLLINGU'!N16,"")</f>
        <v/>
      </c>
      <c r="K135" s="295">
        <f>ROUND('DANE CONTROLLINGU'!L16*1000,3)</f>
        <v>0</v>
      </c>
      <c r="L135" s="293" t="s">
        <v>672</v>
      </c>
      <c r="M135" s="341" t="str">
        <f>IF(T137&lt;&gt;0,ROUND(((100-T137)/T137)*100,2),IF(J135&lt;&gt;"",T135,""))</f>
        <v/>
      </c>
      <c r="N135" s="314" t="str">
        <f>IF(T137&lt;&gt;0,ROUND(((100-T137)/T137)*100,2),IF(J135&lt;&gt;"",T135,""))</f>
        <v/>
      </c>
      <c r="AL135" s="293" t="s">
        <v>132</v>
      </c>
      <c r="AM135" s="293" t="s">
        <v>133</v>
      </c>
      <c r="AQ135" s="429">
        <v>2500</v>
      </c>
      <c r="AR135" s="429">
        <v>1540</v>
      </c>
      <c r="AW135" s="299" t="str">
        <f t="shared" si="24"/>
        <v>FL01</v>
      </c>
      <c r="AX135" s="299" t="str">
        <f t="shared" si="25"/>
        <v/>
      </c>
      <c r="AY135" s="286">
        <f t="shared" si="22"/>
        <v>135</v>
      </c>
      <c r="AZ135" s="319" t="str">
        <f t="shared" si="21"/>
        <v>AX135;</v>
      </c>
    </row>
    <row r="136" spans="1:52" ht="15" customHeight="1" thickBot="1">
      <c r="A136" s="666"/>
      <c r="B136" s="311" t="s">
        <v>567</v>
      </c>
      <c r="C136" s="292" t="s">
        <v>133</v>
      </c>
      <c r="D136" s="295" t="str">
        <f t="shared" si="26"/>
        <v/>
      </c>
      <c r="E136" s="110" t="str">
        <f>IF(E134&lt;&gt;"",E134,"")</f>
        <v/>
      </c>
      <c r="F136" s="295" t="s">
        <v>132</v>
      </c>
      <c r="G136" s="313" t="str">
        <f>IF(AND(G134&lt;&gt;"",J136&lt;&gt;""),G134,"")</f>
        <v/>
      </c>
      <c r="H136" s="295" t="s">
        <v>667</v>
      </c>
      <c r="I136" s="295">
        <v>30</v>
      </c>
      <c r="J136" s="351"/>
      <c r="L136" s="293" t="s">
        <v>672</v>
      </c>
      <c r="M136" s="341" t="str">
        <f>IF(T137&lt;&gt;0,ROUND(((100-T137)/T137)*100,2),IF(J136&lt;&gt;"",T136,""))</f>
        <v/>
      </c>
      <c r="N136" s="314" t="str">
        <f>IF(T137&lt;&gt;0,ROUND(((100-T137)/T137)*100,2),IF(J136&lt;&gt;"",T136,""))</f>
        <v/>
      </c>
      <c r="AL136" s="293" t="s">
        <v>132</v>
      </c>
      <c r="AM136" s="293" t="s">
        <v>133</v>
      </c>
      <c r="AQ136" s="429">
        <v>2500</v>
      </c>
      <c r="AR136" s="429">
        <v>1540</v>
      </c>
      <c r="AW136" s="299" t="str">
        <f t="shared" si="24"/>
        <v>FL01</v>
      </c>
      <c r="AX136" s="299" t="str">
        <f t="shared" si="25"/>
        <v/>
      </c>
      <c r="AY136" s="286">
        <f t="shared" si="22"/>
        <v>136</v>
      </c>
      <c r="AZ136" s="319" t="str">
        <f t="shared" si="21"/>
        <v>AX136;</v>
      </c>
    </row>
    <row r="137" spans="1:52" s="319" customFormat="1" ht="14.25" customHeight="1" thickBot="1">
      <c r="A137" s="666"/>
      <c r="B137" s="315" t="s">
        <v>567</v>
      </c>
      <c r="C137" s="316" t="s">
        <v>133</v>
      </c>
      <c r="D137" s="317" t="str">
        <f t="shared" si="26"/>
        <v/>
      </c>
      <c r="E137" s="110" t="str">
        <f>IF(E134&lt;&gt;"",E134,"")</f>
        <v/>
      </c>
      <c r="F137" s="317" t="s">
        <v>132</v>
      </c>
      <c r="G137" s="313" t="str">
        <f>IF(G134="X","X","")</f>
        <v/>
      </c>
      <c r="H137" s="317" t="s">
        <v>669</v>
      </c>
      <c r="I137" s="317"/>
      <c r="J137" s="317"/>
      <c r="N137" s="314"/>
      <c r="O137" s="320" t="s">
        <v>670</v>
      </c>
      <c r="P137" s="317" t="s">
        <v>132</v>
      </c>
      <c r="Q137" s="320">
        <f>$Q$11</f>
        <v>0</v>
      </c>
      <c r="R137" s="323"/>
      <c r="S137" s="324"/>
      <c r="T137" s="323"/>
      <c r="U137" s="324"/>
      <c r="V137" s="324"/>
      <c r="W137" s="324"/>
      <c r="X137" s="324"/>
      <c r="Y137" s="324"/>
      <c r="Z137" s="324"/>
      <c r="AA137" s="324"/>
      <c r="AB137" s="324"/>
      <c r="AC137" s="324"/>
      <c r="AD137" s="324"/>
      <c r="AL137" s="319" t="s">
        <v>132</v>
      </c>
      <c r="AM137" s="319" t="s">
        <v>133</v>
      </c>
      <c r="AQ137" s="431">
        <v>2500</v>
      </c>
      <c r="AR137" s="431">
        <v>1540</v>
      </c>
      <c r="AS137" s="479">
        <v>0</v>
      </c>
      <c r="AT137" s="479">
        <v>0</v>
      </c>
      <c r="AU137" s="431"/>
      <c r="AV137" s="480" t="str">
        <f>IF(AND(AR$1&lt;&gt;0,AT$1&lt;&gt;0),IF(AND($AR$1&lt;=AQ137,$AT$1&lt;=AR137,$AR$1&gt;=AS137,$AT$1&gt;=AT137),"OK","NOK"),"")</f>
        <v>OK</v>
      </c>
      <c r="AW137" s="299" t="str">
        <f t="shared" si="24"/>
        <v>FL01</v>
      </c>
      <c r="AX137" s="299" t="str">
        <f t="shared" si="25"/>
        <v/>
      </c>
      <c r="AY137" s="286">
        <f t="shared" si="22"/>
        <v>137</v>
      </c>
      <c r="AZ137" s="319" t="str">
        <f t="shared" si="21"/>
        <v>AX137;</v>
      </c>
    </row>
    <row r="138" spans="1:52" s="286" customFormat="1" ht="16.5" customHeight="1" thickBot="1">
      <c r="A138" s="666"/>
      <c r="B138" s="308" t="s">
        <v>559</v>
      </c>
      <c r="C138" s="285" t="s">
        <v>159</v>
      </c>
      <c r="D138" s="289" t="str">
        <f t="shared" si="26"/>
        <v/>
      </c>
      <c r="E138" s="287" t="str">
        <f>IFERROR(IF($G$117&lt;&gt;"",IF(G138="x",IF(F138=$G$117,"V1",IF(AF138=1,"V2",IF(AND(AF138=$AF$117,AF138&lt;&gt;1),"V"&amp;$AG$117+1,"V"&amp;AF138+1))),""),""),"Wprowadź urządzenie bazowe")</f>
        <v/>
      </c>
      <c r="F138" s="289" t="s">
        <v>158</v>
      </c>
      <c r="G138" s="309" t="str">
        <f>IF($G$117=F138,"X","")</f>
        <v/>
      </c>
      <c r="H138" s="289" t="s">
        <v>667</v>
      </c>
      <c r="I138" s="289">
        <v>10</v>
      </c>
      <c r="J138" s="286" t="str">
        <f>IFERROR(IF(VALUE(MID(D117,2,2))&lt;9,"$HLB1-L0"&amp;(RIGHT(D117,1)+1),"$HLB1-L"&amp;(MID(D117,2,2)+1)),"Uzupełnij poziom")</f>
        <v>Uzupełnij poziom</v>
      </c>
      <c r="K138" s="286">
        <v>1000</v>
      </c>
      <c r="L138" s="286" t="s">
        <v>668</v>
      </c>
      <c r="N138" s="310">
        <f>IF(T141&lt;&gt;0,ROUND(((100-T141)/T141)*100,2),IF(J138&lt;&gt;"",T138,""))</f>
        <v>0</v>
      </c>
      <c r="O138" s="289"/>
      <c r="P138" s="289"/>
      <c r="Q138" s="289"/>
      <c r="S138" s="291"/>
      <c r="U138" s="291"/>
      <c r="V138" s="291"/>
      <c r="W138" s="291"/>
      <c r="X138" s="291"/>
      <c r="Y138" s="291"/>
      <c r="Z138" s="291"/>
      <c r="AA138" s="291"/>
      <c r="AB138" s="291"/>
      <c r="AC138" s="291"/>
      <c r="AD138" s="291"/>
      <c r="AE138" s="286" t="str">
        <f>UPPER(G138)</f>
        <v/>
      </c>
      <c r="AF138" s="286">
        <f>COUNTIF($AE$118:AE141,"X")</f>
        <v>0</v>
      </c>
      <c r="AL138" s="286" t="s">
        <v>158</v>
      </c>
      <c r="AM138" s="286" t="s">
        <v>159</v>
      </c>
      <c r="AQ138" s="430">
        <v>2500</v>
      </c>
      <c r="AR138" s="430">
        <v>1600</v>
      </c>
      <c r="AS138" s="430"/>
      <c r="AT138" s="430"/>
      <c r="AU138" s="430"/>
      <c r="AV138" s="430"/>
      <c r="AW138" s="299" t="str">
        <f t="shared" si="24"/>
        <v>FL02</v>
      </c>
      <c r="AX138" s="299" t="str">
        <f t="shared" si="25"/>
        <v/>
      </c>
      <c r="AY138" s="286">
        <f t="shared" si="22"/>
        <v>138</v>
      </c>
      <c r="AZ138" s="319" t="str">
        <f t="shared" si="21"/>
        <v>AX138;</v>
      </c>
    </row>
    <row r="139" spans="1:52" ht="16.5" customHeight="1" thickBot="1">
      <c r="A139" s="666"/>
      <c r="B139" s="311" t="s">
        <v>559</v>
      </c>
      <c r="C139" s="292" t="s">
        <v>159</v>
      </c>
      <c r="D139" s="295" t="str">
        <f t="shared" si="26"/>
        <v/>
      </c>
      <c r="E139" s="110" t="str">
        <f>IF(E138&lt;&gt;"",E138,"")</f>
        <v/>
      </c>
      <c r="F139" s="295" t="s">
        <v>158</v>
      </c>
      <c r="G139" s="313" t="str">
        <f>IF(AND(G138&lt;&gt;"",J139&lt;&gt;""),G138,"")</f>
        <v/>
      </c>
      <c r="H139" s="295" t="s">
        <v>667</v>
      </c>
      <c r="I139" s="295">
        <v>20</v>
      </c>
      <c r="J139" s="340" t="str">
        <f>IF('DANE CONTROLLINGU'!M16&lt;&gt;0,'DANE CONTROLLINGU'!N16,"")</f>
        <v/>
      </c>
      <c r="K139" s="295">
        <f>ROUND('DANE CONTROLLINGU'!L16*1000,3)</f>
        <v>0</v>
      </c>
      <c r="L139" s="293" t="s">
        <v>672</v>
      </c>
      <c r="M139" s="341" t="str">
        <f>IF(T141&lt;&gt;0,ROUND(((100-T141)/T141)*100,2),IF(J139&lt;&gt;"",T139,""))</f>
        <v/>
      </c>
      <c r="N139" s="314" t="str">
        <f>IF(T141&lt;&gt;0,ROUND(((100-T141)/T141)*100,2),IF(J139&lt;&gt;"",T139,""))</f>
        <v/>
      </c>
      <c r="AL139" s="293" t="s">
        <v>158</v>
      </c>
      <c r="AM139" s="293" t="s">
        <v>159</v>
      </c>
      <c r="AQ139" s="429">
        <v>2500</v>
      </c>
      <c r="AR139" s="429">
        <v>1600</v>
      </c>
      <c r="AW139" s="299" t="str">
        <f t="shared" si="24"/>
        <v>FL02</v>
      </c>
      <c r="AX139" s="299" t="str">
        <f t="shared" si="25"/>
        <v/>
      </c>
      <c r="AY139" s="286">
        <f t="shared" si="22"/>
        <v>139</v>
      </c>
      <c r="AZ139" s="319" t="str">
        <f t="shared" si="21"/>
        <v>AX139;</v>
      </c>
    </row>
    <row r="140" spans="1:52" ht="15" customHeight="1" thickBot="1">
      <c r="A140" s="666"/>
      <c r="B140" s="311" t="s">
        <v>559</v>
      </c>
      <c r="C140" s="292" t="s">
        <v>159</v>
      </c>
      <c r="D140" s="295" t="str">
        <f t="shared" si="26"/>
        <v/>
      </c>
      <c r="E140" s="110" t="str">
        <f>IF(E138&lt;&gt;"",E138,"")</f>
        <v/>
      </c>
      <c r="F140" s="295" t="s">
        <v>158</v>
      </c>
      <c r="G140" s="313" t="str">
        <f>IF(AND(G138&lt;&gt;"",J140&lt;&gt;""),G138,"")</f>
        <v/>
      </c>
      <c r="H140" s="295" t="s">
        <v>667</v>
      </c>
      <c r="I140" s="295">
        <v>30</v>
      </c>
      <c r="J140" s="351"/>
      <c r="L140" s="293" t="s">
        <v>672</v>
      </c>
      <c r="M140" s="341" t="str">
        <f>IF(T141&lt;&gt;0,ROUND(((100-T141)/T141)*100,2),IF(J140&lt;&gt;"",T140,""))</f>
        <v/>
      </c>
      <c r="N140" s="314" t="str">
        <f>IF(T141&lt;&gt;0,ROUND(((100-T141)/T141)*100,2),IF(J140&lt;&gt;"",T140,""))</f>
        <v/>
      </c>
      <c r="AL140" s="293" t="s">
        <v>158</v>
      </c>
      <c r="AM140" s="293" t="s">
        <v>159</v>
      </c>
      <c r="AQ140" s="429">
        <v>2500</v>
      </c>
      <c r="AR140" s="429">
        <v>1600</v>
      </c>
      <c r="AW140" s="299" t="str">
        <f t="shared" si="24"/>
        <v>FL02</v>
      </c>
      <c r="AX140" s="299" t="str">
        <f t="shared" si="25"/>
        <v/>
      </c>
      <c r="AY140" s="286">
        <f t="shared" si="22"/>
        <v>140</v>
      </c>
      <c r="AZ140" s="319" t="str">
        <f t="shared" ref="AZ140:AZ203" si="27">"AX"&amp;AY140&amp;";"</f>
        <v>AX140;</v>
      </c>
    </row>
    <row r="141" spans="1:52" s="319" customFormat="1" ht="14.25" customHeight="1" thickBot="1">
      <c r="A141" s="666"/>
      <c r="B141" s="315" t="s">
        <v>559</v>
      </c>
      <c r="C141" s="316" t="s">
        <v>159</v>
      </c>
      <c r="D141" s="317" t="str">
        <f t="shared" si="26"/>
        <v/>
      </c>
      <c r="E141" s="110" t="str">
        <f>IF(E138&lt;&gt;"",E138,"")</f>
        <v/>
      </c>
      <c r="F141" s="317" t="s">
        <v>158</v>
      </c>
      <c r="G141" s="313" t="str">
        <f>IF(G138="X","X","")</f>
        <v/>
      </c>
      <c r="H141" s="317" t="s">
        <v>669</v>
      </c>
      <c r="I141" s="317"/>
      <c r="J141" s="317"/>
      <c r="N141" s="314"/>
      <c r="O141" s="320" t="s">
        <v>670</v>
      </c>
      <c r="P141" s="317" t="s">
        <v>158</v>
      </c>
      <c r="Q141" s="320">
        <f>$Q$11</f>
        <v>0</v>
      </c>
      <c r="R141" s="323"/>
      <c r="S141" s="324"/>
      <c r="T141" s="323"/>
      <c r="U141" s="324"/>
      <c r="V141" s="324"/>
      <c r="W141" s="324"/>
      <c r="X141" s="324"/>
      <c r="Y141" s="324"/>
      <c r="Z141" s="324"/>
      <c r="AA141" s="324"/>
      <c r="AB141" s="324"/>
      <c r="AC141" s="324"/>
      <c r="AD141" s="324"/>
      <c r="AL141" s="319" t="s">
        <v>158</v>
      </c>
      <c r="AM141" s="319" t="s">
        <v>159</v>
      </c>
      <c r="AQ141" s="431">
        <v>2500</v>
      </c>
      <c r="AR141" s="431">
        <v>1600</v>
      </c>
      <c r="AS141" s="479">
        <v>0</v>
      </c>
      <c r="AT141" s="479">
        <v>0</v>
      </c>
      <c r="AU141" s="431"/>
      <c r="AV141" s="480" t="str">
        <f>IF(AND(AR$1&lt;&gt;0,AT$1&lt;&gt;0),IF(AND($AR$1&lt;=AQ141,$AT$1&lt;=AR141,$AR$1&gt;=AS141,$AT$1&gt;=AT141),"OK","NOK"),"")</f>
        <v>OK</v>
      </c>
      <c r="AW141" s="299" t="str">
        <f t="shared" si="24"/>
        <v>FL02</v>
      </c>
      <c r="AX141" s="299" t="str">
        <f t="shared" si="25"/>
        <v/>
      </c>
      <c r="AY141" s="286">
        <f t="shared" ref="AY141:AY204" si="28">AY140+1</f>
        <v>141</v>
      </c>
      <c r="AZ141" s="319" t="str">
        <f t="shared" si="27"/>
        <v>AX141;</v>
      </c>
    </row>
    <row r="142" spans="1:52" s="286" customFormat="1" ht="16.5" customHeight="1" thickBot="1">
      <c r="A142" s="666"/>
      <c r="B142" s="308" t="s">
        <v>346</v>
      </c>
      <c r="C142" s="285" t="s">
        <v>131</v>
      </c>
      <c r="D142" s="289" t="str">
        <f t="shared" si="26"/>
        <v/>
      </c>
      <c r="E142" s="287" t="str">
        <f>IFERROR(IF($G$117&lt;&gt;"",IF(G142="x",IF(F142=$G$117,"V1",IF(AF142=1,"V2",IF(AND(AF142=$AF$117,AF142&lt;&gt;1),"V"&amp;$AG$117+1,"V"&amp;AF142+1))),""),""),"Wprowadź urządzenie bazowe")</f>
        <v/>
      </c>
      <c r="F142" s="289" t="s">
        <v>130</v>
      </c>
      <c r="G142" s="309" t="str">
        <f>IF($G$117=F142,"X","")</f>
        <v/>
      </c>
      <c r="H142" s="289" t="s">
        <v>667</v>
      </c>
      <c r="I142" s="289">
        <v>10</v>
      </c>
      <c r="J142" s="286" t="str">
        <f>IFERROR(IF(VALUE(MID(D117,2,2))&lt;9,"$HLB1-L0"&amp;(RIGHT(D117,1)+1),"$HLB1-L"&amp;(MID(D117,2,2)+1)),"Uzupełnij poziom")</f>
        <v>Uzupełnij poziom</v>
      </c>
      <c r="K142" s="286">
        <v>1000</v>
      </c>
      <c r="L142" s="286" t="s">
        <v>668</v>
      </c>
      <c r="N142" s="310">
        <f>IF(T145&lt;&gt;0,ROUND(((100-T145)/T145)*100,2),IF(J142&lt;&gt;"",T142,""))</f>
        <v>0</v>
      </c>
      <c r="O142" s="289"/>
      <c r="P142" s="289"/>
      <c r="Q142" s="289"/>
      <c r="S142" s="291"/>
      <c r="U142" s="291"/>
      <c r="V142" s="291"/>
      <c r="W142" s="291"/>
      <c r="X142" s="291"/>
      <c r="Y142" s="291"/>
      <c r="Z142" s="291"/>
      <c r="AA142" s="291"/>
      <c r="AB142" s="291"/>
      <c r="AC142" s="291"/>
      <c r="AD142" s="291"/>
      <c r="AE142" s="286" t="str">
        <f>UPPER(G142)</f>
        <v/>
      </c>
      <c r="AF142" s="286">
        <f>COUNTIF($AE$118:AE145,"X")</f>
        <v>0</v>
      </c>
      <c r="AL142" s="286" t="s">
        <v>130</v>
      </c>
      <c r="AM142" s="286" t="s">
        <v>131</v>
      </c>
      <c r="AQ142" s="430">
        <v>1250</v>
      </c>
      <c r="AR142" s="430">
        <v>750</v>
      </c>
      <c r="AS142" s="430"/>
      <c r="AT142" s="430"/>
      <c r="AU142" s="430"/>
      <c r="AV142" s="430"/>
      <c r="AW142" s="299" t="str">
        <f t="shared" si="24"/>
        <v>SVEC</v>
      </c>
      <c r="AX142" s="299" t="str">
        <f t="shared" si="25"/>
        <v/>
      </c>
      <c r="AY142" s="286">
        <f t="shared" si="28"/>
        <v>142</v>
      </c>
      <c r="AZ142" s="319" t="str">
        <f t="shared" si="27"/>
        <v>AX142;</v>
      </c>
    </row>
    <row r="143" spans="1:52" ht="16.5" customHeight="1" thickBot="1">
      <c r="A143" s="666"/>
      <c r="B143" s="311" t="s">
        <v>346</v>
      </c>
      <c r="C143" s="292" t="s">
        <v>131</v>
      </c>
      <c r="D143" s="295" t="str">
        <f t="shared" si="26"/>
        <v/>
      </c>
      <c r="E143" s="110" t="str">
        <f>IF(E142&lt;&gt;"",E142,"")</f>
        <v/>
      </c>
      <c r="F143" s="295" t="s">
        <v>130</v>
      </c>
      <c r="G143" s="313" t="str">
        <f>IF(AND(G142&lt;&gt;"",J143&lt;&gt;""),G142,"")</f>
        <v/>
      </c>
      <c r="H143" s="295" t="s">
        <v>667</v>
      </c>
      <c r="I143" s="295">
        <v>20</v>
      </c>
      <c r="J143" s="340" t="str">
        <f>IF('DANE CONTROLLINGU'!M16&lt;&gt;0,'DANE CONTROLLINGU'!N16,"")</f>
        <v/>
      </c>
      <c r="K143" s="295">
        <f>ROUND('DANE CONTROLLINGU'!L16*1000,3)</f>
        <v>0</v>
      </c>
      <c r="L143" s="293" t="s">
        <v>672</v>
      </c>
      <c r="M143" s="341" t="str">
        <f>IF(T145&lt;&gt;0,ROUND(((100-T145)/T145)*100,2),IF(J143&lt;&gt;"",T143,""))</f>
        <v/>
      </c>
      <c r="N143" s="314" t="str">
        <f>IF(T145&lt;&gt;0,ROUND(((100-T145)/T145)*100,2),IF(J143&lt;&gt;"",T143,""))</f>
        <v/>
      </c>
      <c r="AL143" s="293" t="s">
        <v>130</v>
      </c>
      <c r="AM143" s="293" t="s">
        <v>131</v>
      </c>
      <c r="AQ143" s="429">
        <v>1250</v>
      </c>
      <c r="AR143" s="429">
        <v>750</v>
      </c>
      <c r="AW143" s="299" t="str">
        <f t="shared" si="24"/>
        <v>SVEC</v>
      </c>
      <c r="AX143" s="299" t="str">
        <f t="shared" si="25"/>
        <v/>
      </c>
      <c r="AY143" s="286">
        <f t="shared" si="28"/>
        <v>143</v>
      </c>
      <c r="AZ143" s="319" t="str">
        <f t="shared" si="27"/>
        <v>AX143;</v>
      </c>
    </row>
    <row r="144" spans="1:52" ht="15" customHeight="1" thickBot="1">
      <c r="A144" s="666"/>
      <c r="B144" s="311" t="s">
        <v>346</v>
      </c>
      <c r="C144" s="292" t="s">
        <v>131</v>
      </c>
      <c r="D144" s="295" t="str">
        <f t="shared" si="26"/>
        <v/>
      </c>
      <c r="E144" s="110" t="str">
        <f>IF(E142&lt;&gt;"",E142,"")</f>
        <v/>
      </c>
      <c r="F144" s="295" t="s">
        <v>130</v>
      </c>
      <c r="G144" s="313" t="str">
        <f>IF(AND(G142&lt;&gt;"",J144&lt;&gt;""),G142,"")</f>
        <v/>
      </c>
      <c r="H144" s="295" t="s">
        <v>667</v>
      </c>
      <c r="I144" s="295">
        <v>30</v>
      </c>
      <c r="J144" s="351"/>
      <c r="L144" s="293" t="s">
        <v>672</v>
      </c>
      <c r="M144" s="341" t="str">
        <f>IF(T145&lt;&gt;0,ROUND(((100-T145)/T145)*100,2),IF(J144&lt;&gt;"",T144,""))</f>
        <v/>
      </c>
      <c r="N144" s="314" t="str">
        <f>IF(T145&lt;&gt;0,ROUND(((100-T145)/T145)*100,2),IF(J144&lt;&gt;"",T144,""))</f>
        <v/>
      </c>
      <c r="AL144" s="293" t="s">
        <v>130</v>
      </c>
      <c r="AM144" s="293" t="s">
        <v>131</v>
      </c>
      <c r="AQ144" s="429">
        <v>1250</v>
      </c>
      <c r="AR144" s="429">
        <v>750</v>
      </c>
      <c r="AW144" s="299" t="str">
        <f t="shared" si="24"/>
        <v>SVEC</v>
      </c>
      <c r="AX144" s="299" t="str">
        <f t="shared" si="25"/>
        <v/>
      </c>
      <c r="AY144" s="286">
        <f t="shared" si="28"/>
        <v>144</v>
      </c>
      <c r="AZ144" s="319" t="str">
        <f t="shared" si="27"/>
        <v>AX144;</v>
      </c>
    </row>
    <row r="145" spans="1:52" s="299" customFormat="1" ht="14.25" customHeight="1" thickBot="1">
      <c r="A145" s="667"/>
      <c r="B145" s="337" t="s">
        <v>346</v>
      </c>
      <c r="C145" s="298" t="s">
        <v>131</v>
      </c>
      <c r="D145" s="301" t="str">
        <f t="shared" si="26"/>
        <v/>
      </c>
      <c r="E145" s="299" t="str">
        <f>IF(E142&lt;&gt;"",E142,"")</f>
        <v/>
      </c>
      <c r="F145" s="301" t="s">
        <v>130</v>
      </c>
      <c r="G145" s="338" t="str">
        <f>IF(G142="X","X","")</f>
        <v/>
      </c>
      <c r="H145" s="301" t="s">
        <v>669</v>
      </c>
      <c r="I145" s="301"/>
      <c r="J145" s="301"/>
      <c r="N145" s="339"/>
      <c r="O145" s="303" t="s">
        <v>670</v>
      </c>
      <c r="P145" s="301" t="s">
        <v>130</v>
      </c>
      <c r="Q145" s="303">
        <f>$Q$11</f>
        <v>0</v>
      </c>
      <c r="R145" s="304"/>
      <c r="S145" s="305"/>
      <c r="T145" s="304"/>
      <c r="U145" s="305"/>
      <c r="V145" s="305"/>
      <c r="W145" s="305"/>
      <c r="X145" s="305"/>
      <c r="Y145" s="305"/>
      <c r="Z145" s="305"/>
      <c r="AA145" s="305"/>
      <c r="AB145" s="305"/>
      <c r="AC145" s="305"/>
      <c r="AD145" s="305"/>
      <c r="AL145" s="299" t="s">
        <v>130</v>
      </c>
      <c r="AM145" s="299" t="s">
        <v>131</v>
      </c>
      <c r="AQ145" s="432">
        <v>1250</v>
      </c>
      <c r="AR145" s="432">
        <v>750</v>
      </c>
      <c r="AS145" s="479">
        <v>0</v>
      </c>
      <c r="AT145" s="479">
        <v>0</v>
      </c>
      <c r="AU145" s="432"/>
      <c r="AV145" s="480" t="str">
        <f>IF(AND(AR$1&lt;&gt;0,AT$1&lt;&gt;0),IF(AND($AR$1&lt;=AQ145,$AT$1&lt;=AR145,$AR$1&gt;=AS145,$AT$1&gt;=AT145),"OK","NOK"),"")</f>
        <v>NOK</v>
      </c>
      <c r="AW145" s="299" t="str">
        <f t="shared" si="24"/>
        <v>SVEC</v>
      </c>
      <c r="AX145" s="299" t="str">
        <f t="shared" si="25"/>
        <v>SVEC,</v>
      </c>
      <c r="AY145" s="286">
        <f t="shared" si="28"/>
        <v>145</v>
      </c>
      <c r="AZ145" s="319" t="str">
        <f t="shared" si="27"/>
        <v>AX145;</v>
      </c>
    </row>
    <row r="146" spans="1:52" s="110" customFormat="1" ht="15.75" thickBot="1">
      <c r="A146" s="283"/>
      <c r="B146" s="284" t="s">
        <v>665</v>
      </c>
      <c r="C146" s="356"/>
      <c r="D146" s="355" t="str">
        <f>IF(C146&lt;&gt;"",CONCATENATE("L",C146),"")</f>
        <v/>
      </c>
      <c r="F146" s="262"/>
      <c r="G146" s="329"/>
      <c r="H146" s="262"/>
      <c r="I146" s="262"/>
      <c r="J146" s="262"/>
      <c r="N146" s="314"/>
      <c r="O146" s="262"/>
      <c r="P146" s="262"/>
      <c r="Q146" s="262"/>
      <c r="S146" s="277"/>
      <c r="U146" s="277"/>
      <c r="V146" s="277"/>
      <c r="W146" s="277"/>
      <c r="X146" s="277"/>
      <c r="Y146" s="277"/>
      <c r="Z146" s="277"/>
      <c r="AA146" s="277"/>
      <c r="AB146" s="277"/>
      <c r="AC146" s="277"/>
      <c r="AD146" s="277"/>
      <c r="AF146" s="110">
        <f>MAX(AF147:AF174)</f>
        <v>0</v>
      </c>
      <c r="AG146" s="110">
        <f>_xlfn.IFNA(VLOOKUP($G$146,F147:AF174,27,FALSE),0)</f>
        <v>0</v>
      </c>
      <c r="AN146" s="394" t="str">
        <f>IF(G146&lt;&gt;"",VLOOKUP(G146,$AL$4:$AM$274,2,FALSE),"")</f>
        <v/>
      </c>
      <c r="AO146" s="289"/>
      <c r="AP146" s="395" t="str">
        <f>IF(AN146&lt;&gt;"",AN146&amp;", "&amp;AO146,"")</f>
        <v/>
      </c>
      <c r="AQ146" s="426"/>
      <c r="AR146" s="426"/>
      <c r="AS146" s="426"/>
      <c r="AT146" s="426"/>
      <c r="AU146" s="426"/>
      <c r="AV146" s="426"/>
      <c r="AW146" s="299">
        <f t="shared" si="24"/>
        <v>0</v>
      </c>
      <c r="AX146" s="299" t="str">
        <f t="shared" si="25"/>
        <v/>
      </c>
      <c r="AY146" s="286">
        <f t="shared" si="28"/>
        <v>146</v>
      </c>
      <c r="AZ146" s="319" t="str">
        <f t="shared" si="27"/>
        <v>AX146;</v>
      </c>
    </row>
    <row r="147" spans="1:52" s="286" customFormat="1" ht="15" customHeight="1" thickBot="1">
      <c r="A147" s="665" t="s">
        <v>676</v>
      </c>
      <c r="B147" s="308" t="s">
        <v>556</v>
      </c>
      <c r="C147" s="285" t="s">
        <v>155</v>
      </c>
      <c r="D147" s="289" t="str">
        <f t="shared" ref="D147:D174" si="29">$D$146</f>
        <v/>
      </c>
      <c r="E147" s="287" t="str">
        <f>IFERROR(IF($G$146&lt;&gt;"",IF(G147="x",IF(F147=$G$146,"V1",IF(AF147=1,"V2",IF(AND(AF147=$AF$146,AF147&lt;&gt;1),"V"&amp;$AG$146+1,"V"&amp;AF147+1))),""),""),"Wprowadź urządzenie bazowe")</f>
        <v/>
      </c>
      <c r="F147" s="289" t="s">
        <v>154</v>
      </c>
      <c r="G147" s="309"/>
      <c r="H147" s="289" t="s">
        <v>667</v>
      </c>
      <c r="I147" s="289">
        <v>10</v>
      </c>
      <c r="J147" s="286" t="str">
        <f>IFERROR(IF(VALUE(MID(D146,2,2))&lt;9,"$HLB1-L0"&amp;(RIGHT(D146,1)+1),"$HLB1-L"&amp;(MID(D146,2,2)+1)),"Uzupełnij poziom")</f>
        <v>Uzupełnij poziom</v>
      </c>
      <c r="K147" s="286">
        <v>1000</v>
      </c>
      <c r="L147" s="286" t="s">
        <v>668</v>
      </c>
      <c r="N147" s="310">
        <f>IF(T150&lt;&gt;0,ROUND(((100-T150)/T150)*100,2),IF(J147&lt;&gt;"",T147,""))</f>
        <v>0</v>
      </c>
      <c r="O147" s="289"/>
      <c r="P147" s="289"/>
      <c r="Q147" s="289"/>
      <c r="S147" s="291"/>
      <c r="U147" s="291"/>
      <c r="V147" s="291"/>
      <c r="W147" s="291"/>
      <c r="X147" s="291"/>
      <c r="Y147" s="291"/>
      <c r="Z147" s="291"/>
      <c r="AA147" s="291"/>
      <c r="AB147" s="291"/>
      <c r="AC147" s="291"/>
      <c r="AD147" s="291"/>
      <c r="AE147" s="286" t="str">
        <f>UPPER(G147)</f>
        <v/>
      </c>
      <c r="AF147" s="286">
        <f>COUNTIF($AE$147:AE150,"X")</f>
        <v>0</v>
      </c>
      <c r="AL147" s="286" t="s">
        <v>154</v>
      </c>
      <c r="AM147" s="286" t="s">
        <v>155</v>
      </c>
      <c r="AQ147" s="430">
        <v>2500</v>
      </c>
      <c r="AR147" s="430">
        <v>1700</v>
      </c>
      <c r="AS147" s="430">
        <v>380</v>
      </c>
      <c r="AT147" s="430">
        <v>380</v>
      </c>
      <c r="AU147" s="430"/>
      <c r="AV147" s="430"/>
      <c r="AW147" s="299" t="str">
        <f t="shared" si="24"/>
        <v>TH01</v>
      </c>
      <c r="AX147" s="299" t="str">
        <f t="shared" si="25"/>
        <v/>
      </c>
      <c r="AY147" s="286">
        <f t="shared" si="28"/>
        <v>147</v>
      </c>
      <c r="AZ147" s="319" t="str">
        <f t="shared" si="27"/>
        <v>AX147;</v>
      </c>
    </row>
    <row r="148" spans="1:52" ht="15" customHeight="1" thickBot="1">
      <c r="A148" s="666"/>
      <c r="B148" s="311" t="s">
        <v>556</v>
      </c>
      <c r="C148" s="292" t="s">
        <v>155</v>
      </c>
      <c r="D148" s="295" t="str">
        <f t="shared" si="29"/>
        <v/>
      </c>
      <c r="E148" s="110" t="str">
        <f>IF(E147&lt;&gt;"",E147,"")</f>
        <v/>
      </c>
      <c r="F148" s="295" t="s">
        <v>154</v>
      </c>
      <c r="G148" s="313" t="str">
        <f>IF(AND(G147&lt;&gt;"",J148&lt;&gt;""),G147,"")</f>
        <v/>
      </c>
      <c r="H148" s="295" t="s">
        <v>667</v>
      </c>
      <c r="I148" s="295">
        <v>20</v>
      </c>
      <c r="J148" s="340" t="str">
        <f>IF('DANE CONTROLLINGU'!M4&lt;&gt;0,'DANE CONTROLLINGU'!N4,"")</f>
        <v/>
      </c>
      <c r="K148" s="295">
        <f>ROUND('DANE CONTROLLINGU'!L4*1000,3)</f>
        <v>0</v>
      </c>
      <c r="L148" s="293" t="s">
        <v>672</v>
      </c>
      <c r="M148" s="341" t="str">
        <f>IF(T150&lt;&gt;0,ROUND(((100-T150)/T150)*100,2),IF(J148&lt;&gt;"",T148,""))</f>
        <v/>
      </c>
      <c r="N148" s="314" t="str">
        <f>IF(T150&lt;&gt;0,ROUND(((100-T150)/T150)*100,2),IF(J148&lt;&gt;"",T148,""))</f>
        <v/>
      </c>
      <c r="AL148" s="293" t="s">
        <v>154</v>
      </c>
      <c r="AM148" s="293" t="s">
        <v>155</v>
      </c>
      <c r="AQ148" s="429">
        <v>2500</v>
      </c>
      <c r="AR148" s="429">
        <v>1700</v>
      </c>
      <c r="AS148" s="429">
        <v>380</v>
      </c>
      <c r="AT148" s="429">
        <v>380</v>
      </c>
      <c r="AW148" s="299" t="str">
        <f t="shared" si="24"/>
        <v>TH01</v>
      </c>
      <c r="AX148" s="299" t="str">
        <f t="shared" si="25"/>
        <v/>
      </c>
      <c r="AY148" s="286">
        <f t="shared" si="28"/>
        <v>148</v>
      </c>
      <c r="AZ148" s="319" t="str">
        <f t="shared" si="27"/>
        <v>AX148;</v>
      </c>
    </row>
    <row r="149" spans="1:52" ht="15" customHeight="1" thickBot="1">
      <c r="A149" s="666"/>
      <c r="B149" s="311" t="s">
        <v>556</v>
      </c>
      <c r="C149" s="292" t="s">
        <v>155</v>
      </c>
      <c r="D149" s="295" t="str">
        <f t="shared" si="29"/>
        <v/>
      </c>
      <c r="E149" s="110" t="str">
        <f>IF(E147&lt;&gt;"",E147,"")</f>
        <v/>
      </c>
      <c r="F149" s="295" t="s">
        <v>154</v>
      </c>
      <c r="G149" s="313" t="str">
        <f>IF(AND(G147&lt;&gt;"",J149&lt;&gt;""),G147,"")</f>
        <v/>
      </c>
      <c r="H149" s="295" t="s">
        <v>667</v>
      </c>
      <c r="I149" s="295">
        <v>30</v>
      </c>
      <c r="J149" s="351"/>
      <c r="L149" s="293" t="s">
        <v>672</v>
      </c>
      <c r="M149" s="341" t="str">
        <f>IF(T150&lt;&gt;0,ROUND(((100-T150)/T150)*100,2),IF(J149&lt;&gt;"",T149,""))</f>
        <v/>
      </c>
      <c r="N149" s="314" t="str">
        <f>IF(T150&lt;&gt;0,ROUND(((100-T150)/T150)*100,2),IF(J149&lt;&gt;"",T149,""))</f>
        <v/>
      </c>
      <c r="AL149" s="293" t="s">
        <v>154</v>
      </c>
      <c r="AM149" s="293" t="s">
        <v>155</v>
      </c>
      <c r="AQ149" s="429">
        <v>2500</v>
      </c>
      <c r="AR149" s="429">
        <v>1700</v>
      </c>
      <c r="AS149" s="429">
        <v>380</v>
      </c>
      <c r="AT149" s="429">
        <v>380</v>
      </c>
      <c r="AW149" s="299" t="str">
        <f t="shared" si="24"/>
        <v>TH01</v>
      </c>
      <c r="AX149" s="299" t="str">
        <f t="shared" si="25"/>
        <v/>
      </c>
      <c r="AY149" s="286">
        <f t="shared" si="28"/>
        <v>149</v>
      </c>
      <c r="AZ149" s="319" t="str">
        <f t="shared" si="27"/>
        <v>AX149;</v>
      </c>
    </row>
    <row r="150" spans="1:52" s="319" customFormat="1" ht="15" customHeight="1" thickBot="1">
      <c r="A150" s="666"/>
      <c r="B150" s="315" t="s">
        <v>556</v>
      </c>
      <c r="C150" s="316" t="s">
        <v>155</v>
      </c>
      <c r="D150" s="317" t="str">
        <f t="shared" si="29"/>
        <v/>
      </c>
      <c r="E150" s="110" t="str">
        <f>IF(E147&lt;&gt;"",E147,"")</f>
        <v/>
      </c>
      <c r="F150" s="317" t="s">
        <v>154</v>
      </c>
      <c r="G150" s="313" t="str">
        <f>IF(G148="X","X","")</f>
        <v/>
      </c>
      <c r="H150" s="317" t="s">
        <v>669</v>
      </c>
      <c r="I150" s="317"/>
      <c r="J150" s="317"/>
      <c r="N150" s="314"/>
      <c r="O150" s="320" t="s">
        <v>670</v>
      </c>
      <c r="P150" s="317" t="s">
        <v>154</v>
      </c>
      <c r="Q150" s="320">
        <f>$Q$11</f>
        <v>0</v>
      </c>
      <c r="R150" s="323"/>
      <c r="S150" s="324"/>
      <c r="T150" s="323"/>
      <c r="U150" s="324"/>
      <c r="V150" s="324"/>
      <c r="W150" s="324"/>
      <c r="X150" s="324"/>
      <c r="Y150" s="324"/>
      <c r="Z150" s="324"/>
      <c r="AA150" s="324"/>
      <c r="AB150" s="324"/>
      <c r="AC150" s="324"/>
      <c r="AD150" s="324"/>
      <c r="AL150" s="319" t="s">
        <v>154</v>
      </c>
      <c r="AM150" s="319" t="s">
        <v>155</v>
      </c>
      <c r="AQ150" s="431">
        <v>2500</v>
      </c>
      <c r="AR150" s="431">
        <v>1700</v>
      </c>
      <c r="AS150" s="431">
        <v>380</v>
      </c>
      <c r="AT150" s="431">
        <v>380</v>
      </c>
      <c r="AU150" s="431"/>
      <c r="AV150" s="480" t="str">
        <f>IF(AND(AR$1&lt;&gt;0,AT$1&lt;&gt;0),IF(AND($AR$1&lt;=AQ150,$AT$1&lt;=AR150,$AR$1&gt;=AS150,$AT$1&gt;=AT150),"OK","NOK"),"")</f>
        <v>OK</v>
      </c>
      <c r="AW150" s="299" t="str">
        <f t="shared" si="24"/>
        <v>TH01</v>
      </c>
      <c r="AX150" s="299" t="str">
        <f t="shared" si="25"/>
        <v/>
      </c>
      <c r="AY150" s="286">
        <f t="shared" si="28"/>
        <v>150</v>
      </c>
      <c r="AZ150" s="319" t="str">
        <f t="shared" si="27"/>
        <v>AX150;</v>
      </c>
    </row>
    <row r="151" spans="1:52" s="286" customFormat="1" ht="15" customHeight="1" thickBot="1">
      <c r="A151" s="666"/>
      <c r="B151" s="308" t="s">
        <v>557</v>
      </c>
      <c r="C151" s="285" t="s">
        <v>157</v>
      </c>
      <c r="D151" s="289" t="str">
        <f t="shared" si="29"/>
        <v/>
      </c>
      <c r="E151" s="287" t="str">
        <f>IFERROR(IF($G$146&lt;&gt;"",IF(G151="x",IF(F151=$G$146,"V1",IF(AF151=1,"V2",IF(AND(AF151=$AF$146,AF151&lt;&gt;1),"V"&amp;$AG$146+1,"V"&amp;AF151+1))),""),""),"Wprowadź urządzenie bazowe")</f>
        <v/>
      </c>
      <c r="F151" s="289" t="s">
        <v>156</v>
      </c>
      <c r="G151" s="309"/>
      <c r="H151" s="289" t="s">
        <v>667</v>
      </c>
      <c r="I151" s="289">
        <v>10</v>
      </c>
      <c r="J151" s="286" t="str">
        <f>IFERROR(IF(VALUE(MID(D146,2,2))&lt;9,"$HLB1-L0"&amp;(RIGHT(D146,1)+1),"$HLB1-L"&amp;(MID(D146,2,2)+1)),"Uzupełnij poziom")</f>
        <v>Uzupełnij poziom</v>
      </c>
      <c r="K151" s="286">
        <v>1000</v>
      </c>
      <c r="L151" s="286" t="s">
        <v>668</v>
      </c>
      <c r="N151" s="310">
        <f>IF(T154&lt;&gt;0,ROUND(((100-T154)/T154)*100,2),IF(J151&lt;&gt;"",T151,""))</f>
        <v>0</v>
      </c>
      <c r="O151" s="289"/>
      <c r="P151" s="289"/>
      <c r="Q151" s="289"/>
      <c r="S151" s="291"/>
      <c r="U151" s="291"/>
      <c r="V151" s="291"/>
      <c r="W151" s="291"/>
      <c r="X151" s="291"/>
      <c r="Y151" s="291"/>
      <c r="Z151" s="291"/>
      <c r="AA151" s="291"/>
      <c r="AB151" s="291"/>
      <c r="AC151" s="291"/>
      <c r="AD151" s="291"/>
      <c r="AE151" s="286" t="str">
        <f>UPPER(G151)</f>
        <v/>
      </c>
      <c r="AF151" s="286">
        <f>COUNTIF($AE$147:AE154,"X")</f>
        <v>0</v>
      </c>
      <c r="AL151" s="286" t="s">
        <v>156</v>
      </c>
      <c r="AM151" s="286" t="s">
        <v>157</v>
      </c>
      <c r="AQ151" s="430">
        <v>2500</v>
      </c>
      <c r="AR151" s="430">
        <v>1700</v>
      </c>
      <c r="AS151" s="430">
        <v>500</v>
      </c>
      <c r="AT151" s="430">
        <v>200</v>
      </c>
      <c r="AU151" s="430"/>
      <c r="AV151" s="430"/>
      <c r="AW151" s="299" t="str">
        <f t="shared" si="24"/>
        <v>TH02</v>
      </c>
      <c r="AX151" s="299" t="str">
        <f t="shared" si="25"/>
        <v/>
      </c>
      <c r="AY151" s="286">
        <f t="shared" si="28"/>
        <v>151</v>
      </c>
      <c r="AZ151" s="319" t="str">
        <f t="shared" si="27"/>
        <v>AX151;</v>
      </c>
    </row>
    <row r="152" spans="1:52" ht="15" customHeight="1" thickBot="1">
      <c r="A152" s="666"/>
      <c r="B152" s="311" t="s">
        <v>557</v>
      </c>
      <c r="C152" s="292" t="s">
        <v>157</v>
      </c>
      <c r="D152" s="295" t="str">
        <f t="shared" si="29"/>
        <v/>
      </c>
      <c r="E152" s="110" t="str">
        <f>IF(E151&lt;&gt;"",E151,"")</f>
        <v/>
      </c>
      <c r="F152" s="295" t="s">
        <v>156</v>
      </c>
      <c r="G152" s="313" t="str">
        <f>IF(AND(G151&lt;&gt;"",J152&lt;&gt;""),G151,"")</f>
        <v/>
      </c>
      <c r="H152" s="295" t="s">
        <v>667</v>
      </c>
      <c r="I152" s="295">
        <v>20</v>
      </c>
      <c r="J152" s="340" t="str">
        <f>IF('DANE CONTROLLINGU'!M4&lt;&gt;0,'DANE CONTROLLINGU'!N4,"")</f>
        <v/>
      </c>
      <c r="K152" s="295">
        <f>ROUND('DANE CONTROLLINGU'!L4*1000,3)</f>
        <v>0</v>
      </c>
      <c r="L152" s="293" t="s">
        <v>672</v>
      </c>
      <c r="M152" s="341" t="str">
        <f>IF(T154&lt;&gt;0,ROUND(((100-T154)/T154)*100,2),IF(J152&lt;&gt;"",T152,""))</f>
        <v/>
      </c>
      <c r="N152" s="314" t="str">
        <f>IF(T154&lt;&gt;0,ROUND(((100-T154)/T154)*100,2),IF(J152&lt;&gt;"",T152,""))</f>
        <v/>
      </c>
      <c r="AL152" s="293" t="s">
        <v>156</v>
      </c>
      <c r="AM152" s="293" t="s">
        <v>157</v>
      </c>
      <c r="AQ152" s="429">
        <v>2500</v>
      </c>
      <c r="AR152" s="429">
        <v>1700</v>
      </c>
      <c r="AS152" s="429">
        <v>500</v>
      </c>
      <c r="AT152" s="429">
        <v>200</v>
      </c>
      <c r="AW152" s="299" t="str">
        <f t="shared" si="24"/>
        <v>TH02</v>
      </c>
      <c r="AX152" s="299" t="str">
        <f t="shared" si="25"/>
        <v/>
      </c>
      <c r="AY152" s="286">
        <f t="shared" si="28"/>
        <v>152</v>
      </c>
      <c r="AZ152" s="319" t="str">
        <f t="shared" si="27"/>
        <v>AX152;</v>
      </c>
    </row>
    <row r="153" spans="1:52" ht="15" customHeight="1" thickBot="1">
      <c r="A153" s="666"/>
      <c r="B153" s="311" t="s">
        <v>557</v>
      </c>
      <c r="C153" s="292" t="s">
        <v>157</v>
      </c>
      <c r="D153" s="295" t="str">
        <f t="shared" si="29"/>
        <v/>
      </c>
      <c r="E153" s="110" t="str">
        <f>IF(E151&lt;&gt;"",E151,"")</f>
        <v/>
      </c>
      <c r="F153" s="295" t="s">
        <v>156</v>
      </c>
      <c r="G153" s="313" t="str">
        <f>IF(AND(G151&lt;&gt;"",J153&lt;&gt;""),G151,"")</f>
        <v/>
      </c>
      <c r="H153" s="295" t="s">
        <v>667</v>
      </c>
      <c r="I153" s="295">
        <v>30</v>
      </c>
      <c r="J153" s="351"/>
      <c r="L153" s="293" t="s">
        <v>672</v>
      </c>
      <c r="M153" s="341" t="str">
        <f>IF(T154&lt;&gt;0,ROUND(((100-T154)/T154)*100,2),IF(J153&lt;&gt;"",T153,""))</f>
        <v/>
      </c>
      <c r="N153" s="314" t="str">
        <f>IF(T154&lt;&gt;0,ROUND(((100-T154)/T154)*100,2),IF(J153&lt;&gt;"",T153,""))</f>
        <v/>
      </c>
      <c r="AL153" s="293" t="s">
        <v>156</v>
      </c>
      <c r="AM153" s="293" t="s">
        <v>157</v>
      </c>
      <c r="AQ153" s="429">
        <v>2500</v>
      </c>
      <c r="AR153" s="429">
        <v>1700</v>
      </c>
      <c r="AS153" s="429">
        <v>500</v>
      </c>
      <c r="AT153" s="429">
        <v>200</v>
      </c>
      <c r="AW153" s="299" t="str">
        <f t="shared" si="24"/>
        <v>TH02</v>
      </c>
      <c r="AX153" s="299" t="str">
        <f t="shared" si="25"/>
        <v/>
      </c>
      <c r="AY153" s="286">
        <f t="shared" si="28"/>
        <v>153</v>
      </c>
      <c r="AZ153" s="319" t="str">
        <f t="shared" si="27"/>
        <v>AX153;</v>
      </c>
    </row>
    <row r="154" spans="1:52" s="319" customFormat="1" ht="15" customHeight="1" thickBot="1">
      <c r="A154" s="666"/>
      <c r="B154" s="315" t="s">
        <v>557</v>
      </c>
      <c r="C154" s="316" t="s">
        <v>157</v>
      </c>
      <c r="D154" s="317" t="str">
        <f t="shared" si="29"/>
        <v/>
      </c>
      <c r="E154" s="110" t="str">
        <f>IF(E151&lt;&gt;"",E151,"")</f>
        <v/>
      </c>
      <c r="F154" s="317" t="s">
        <v>156</v>
      </c>
      <c r="G154" s="313" t="str">
        <f>IF(G151="X","X","")</f>
        <v/>
      </c>
      <c r="H154" s="317" t="s">
        <v>669</v>
      </c>
      <c r="I154" s="317"/>
      <c r="J154" s="317"/>
      <c r="N154" s="314"/>
      <c r="O154" s="320" t="s">
        <v>670</v>
      </c>
      <c r="P154" s="317" t="s">
        <v>156</v>
      </c>
      <c r="Q154" s="320">
        <f>$Q$11</f>
        <v>0</v>
      </c>
      <c r="R154" s="323"/>
      <c r="S154" s="324"/>
      <c r="T154" s="323"/>
      <c r="U154" s="324"/>
      <c r="V154" s="324"/>
      <c r="W154" s="324"/>
      <c r="X154" s="324"/>
      <c r="Y154" s="324"/>
      <c r="Z154" s="324"/>
      <c r="AA154" s="324"/>
      <c r="AB154" s="324"/>
      <c r="AC154" s="324"/>
      <c r="AD154" s="324"/>
      <c r="AL154" s="319" t="s">
        <v>156</v>
      </c>
      <c r="AM154" s="319" t="s">
        <v>157</v>
      </c>
      <c r="AQ154" s="431">
        <v>2500</v>
      </c>
      <c r="AR154" s="431">
        <v>1700</v>
      </c>
      <c r="AS154" s="431">
        <v>500</v>
      </c>
      <c r="AT154" s="431">
        <v>200</v>
      </c>
      <c r="AU154" s="431"/>
      <c r="AV154" s="480" t="str">
        <f>IF(AND(AR$1&lt;&gt;0,AT$1&lt;&gt;0),IF(AND($AR$1&lt;=AQ154,$AT$1&lt;=AR154,$AR$1&gt;=AS154,$AT$1&gt;=AT154),"OK","NOK"),"")</f>
        <v>OK</v>
      </c>
      <c r="AW154" s="299" t="str">
        <f t="shared" si="24"/>
        <v>TH02</v>
      </c>
      <c r="AX154" s="299" t="str">
        <f t="shared" si="25"/>
        <v/>
      </c>
      <c r="AY154" s="286">
        <f t="shared" si="28"/>
        <v>154</v>
      </c>
      <c r="AZ154" s="319" t="str">
        <f t="shared" si="27"/>
        <v>AX154;</v>
      </c>
    </row>
    <row r="155" spans="1:52" s="286" customFormat="1" ht="15" customHeight="1" thickBot="1">
      <c r="A155" s="666"/>
      <c r="B155" s="308" t="s">
        <v>558</v>
      </c>
      <c r="C155" s="285" t="s">
        <v>619</v>
      </c>
      <c r="D155" s="289" t="str">
        <f t="shared" si="29"/>
        <v/>
      </c>
      <c r="E155" s="287" t="str">
        <f>IFERROR(IF($G$146&lt;&gt;"",IF(G155="x",IF(F155=$G$146,"V1",IF(AF155=1,"V2",IF(AND(AF155=$AF$146,AF155&lt;&gt;1),"V"&amp;$AG$146+1,"V"&amp;AF155+1))),""),""),"Wprowadź urządzenie bazowe")</f>
        <v/>
      </c>
      <c r="F155" s="289" t="s">
        <v>555</v>
      </c>
      <c r="G155" s="309"/>
      <c r="H155" s="289" t="s">
        <v>667</v>
      </c>
      <c r="I155" s="289">
        <v>10</v>
      </c>
      <c r="J155" s="286" t="str">
        <f>IFERROR(IF(VALUE(MID(D146,2,2))&lt;9,"$HLB1-L0"&amp;(RIGHT(D146,1)+1),"$HLB1-L"&amp;(MID(D146,2,2)+1)),"Uzupełnij poziom")</f>
        <v>Uzupełnij poziom</v>
      </c>
      <c r="K155" s="286">
        <v>1000</v>
      </c>
      <c r="L155" s="286" t="s">
        <v>668</v>
      </c>
      <c r="N155" s="310">
        <f>IF(T158&lt;&gt;0,ROUND(((100-T158)/T158)*100,2),IF(J155&lt;&gt;"",T155,""))</f>
        <v>0</v>
      </c>
      <c r="O155" s="289"/>
      <c r="P155" s="289"/>
      <c r="Q155" s="289"/>
      <c r="S155" s="291"/>
      <c r="U155" s="291"/>
      <c r="V155" s="291"/>
      <c r="W155" s="291"/>
      <c r="X155" s="291"/>
      <c r="Y155" s="291"/>
      <c r="Z155" s="291"/>
      <c r="AA155" s="291"/>
      <c r="AB155" s="291"/>
      <c r="AC155" s="291"/>
      <c r="AD155" s="291"/>
      <c r="AE155" s="286" t="str">
        <f>UPPER(G155)</f>
        <v/>
      </c>
      <c r="AF155" s="286">
        <f>COUNTIF($AE$147:AE158,"X")</f>
        <v>0</v>
      </c>
      <c r="AL155" s="286" t="s">
        <v>555</v>
      </c>
      <c r="AM155" s="286" t="s">
        <v>619</v>
      </c>
      <c r="AQ155" s="430">
        <v>2700</v>
      </c>
      <c r="AR155" s="430">
        <v>1700</v>
      </c>
      <c r="AS155" s="430">
        <v>380</v>
      </c>
      <c r="AT155" s="430">
        <v>380</v>
      </c>
      <c r="AU155" s="430"/>
      <c r="AV155" s="430"/>
      <c r="AW155" s="299" t="str">
        <f t="shared" si="24"/>
        <v>TH03</v>
      </c>
      <c r="AX155" s="299" t="str">
        <f t="shared" si="25"/>
        <v/>
      </c>
      <c r="AY155" s="286">
        <f t="shared" si="28"/>
        <v>155</v>
      </c>
      <c r="AZ155" s="319" t="str">
        <f t="shared" si="27"/>
        <v>AX155;</v>
      </c>
    </row>
    <row r="156" spans="1:52" ht="15" customHeight="1" thickBot="1">
      <c r="A156" s="666"/>
      <c r="B156" s="311" t="s">
        <v>558</v>
      </c>
      <c r="C156" s="292" t="s">
        <v>619</v>
      </c>
      <c r="D156" s="295" t="str">
        <f t="shared" si="29"/>
        <v/>
      </c>
      <c r="E156" s="110" t="str">
        <f>IF(E155&lt;&gt;"",E155,"")</f>
        <v/>
      </c>
      <c r="F156" s="295" t="s">
        <v>555</v>
      </c>
      <c r="G156" s="313" t="str">
        <f>IF(AND(G155&lt;&gt;"",J156&lt;&gt;""),G155,"")</f>
        <v/>
      </c>
      <c r="H156" s="295" t="s">
        <v>667</v>
      </c>
      <c r="I156" s="295">
        <v>20</v>
      </c>
      <c r="J156" s="340" t="str">
        <f>IF('DANE CONTROLLINGU'!M4&lt;&gt;0,'DANE CONTROLLINGU'!N4,"")</f>
        <v/>
      </c>
      <c r="K156" s="295">
        <f>ROUND('DANE CONTROLLINGU'!L4*1000,3)</f>
        <v>0</v>
      </c>
      <c r="L156" s="293" t="s">
        <v>672</v>
      </c>
      <c r="M156" s="341" t="str">
        <f>IF(T158&lt;&gt;0,ROUND(((100-T158)/T158)*100,2),IF(J156&lt;&gt;"",T156,""))</f>
        <v/>
      </c>
      <c r="N156" s="314" t="str">
        <f>IF(T158&lt;&gt;0,ROUND(((100-T158)/T158)*100,2),IF(J156&lt;&gt;"",T156,""))</f>
        <v/>
      </c>
      <c r="AL156" s="293" t="s">
        <v>555</v>
      </c>
      <c r="AM156" s="293" t="s">
        <v>619</v>
      </c>
      <c r="AQ156" s="429">
        <v>2700</v>
      </c>
      <c r="AR156" s="429">
        <v>1700</v>
      </c>
      <c r="AS156" s="429">
        <v>380</v>
      </c>
      <c r="AT156" s="429">
        <v>380</v>
      </c>
      <c r="AW156" s="299" t="str">
        <f t="shared" si="24"/>
        <v>TH03</v>
      </c>
      <c r="AX156" s="299" t="str">
        <f t="shared" si="25"/>
        <v/>
      </c>
      <c r="AY156" s="286">
        <f t="shared" si="28"/>
        <v>156</v>
      </c>
      <c r="AZ156" s="319" t="str">
        <f t="shared" si="27"/>
        <v>AX156;</v>
      </c>
    </row>
    <row r="157" spans="1:52" ht="15" customHeight="1" thickBot="1">
      <c r="A157" s="666"/>
      <c r="B157" s="311" t="s">
        <v>558</v>
      </c>
      <c r="C157" s="292" t="s">
        <v>619</v>
      </c>
      <c r="D157" s="295" t="str">
        <f t="shared" si="29"/>
        <v/>
      </c>
      <c r="E157" s="110" t="str">
        <f>IF(E155&lt;&gt;"",E155,"")</f>
        <v/>
      </c>
      <c r="F157" s="295" t="s">
        <v>555</v>
      </c>
      <c r="G157" s="313" t="str">
        <f>IF(AND(G155&lt;&gt;"",J157&lt;&gt;""),G155,"")</f>
        <v/>
      </c>
      <c r="H157" s="295" t="s">
        <v>667</v>
      </c>
      <c r="I157" s="295">
        <v>30</v>
      </c>
      <c r="J157" s="351"/>
      <c r="L157" s="293" t="s">
        <v>672</v>
      </c>
      <c r="M157" s="341" t="str">
        <f>IF(T158&lt;&gt;0,ROUND(((100-T158)/T158)*100,2),IF(J157&lt;&gt;"",T157,""))</f>
        <v/>
      </c>
      <c r="N157" s="314" t="str">
        <f>IF(T158&lt;&gt;0,ROUND(((100-T158)/T158)*100,2),IF(J157&lt;&gt;"",T157,""))</f>
        <v/>
      </c>
      <c r="AL157" s="293" t="s">
        <v>555</v>
      </c>
      <c r="AM157" s="293" t="s">
        <v>619</v>
      </c>
      <c r="AQ157" s="429">
        <v>2700</v>
      </c>
      <c r="AR157" s="429">
        <v>1700</v>
      </c>
      <c r="AS157" s="429">
        <v>380</v>
      </c>
      <c r="AT157" s="429">
        <v>380</v>
      </c>
      <c r="AW157" s="299" t="str">
        <f t="shared" si="24"/>
        <v>TH03</v>
      </c>
      <c r="AX157" s="299" t="str">
        <f t="shared" si="25"/>
        <v/>
      </c>
      <c r="AY157" s="286">
        <f t="shared" si="28"/>
        <v>157</v>
      </c>
      <c r="AZ157" s="319" t="str">
        <f t="shared" si="27"/>
        <v>AX157;</v>
      </c>
    </row>
    <row r="158" spans="1:52" s="319" customFormat="1" ht="15" customHeight="1" thickBot="1">
      <c r="A158" s="666"/>
      <c r="B158" s="315" t="s">
        <v>558</v>
      </c>
      <c r="C158" s="316" t="s">
        <v>619</v>
      </c>
      <c r="D158" s="317" t="str">
        <f t="shared" si="29"/>
        <v/>
      </c>
      <c r="E158" s="110" t="str">
        <f>IF(E155&lt;&gt;"",E155,"")</f>
        <v/>
      </c>
      <c r="F158" s="317" t="s">
        <v>555</v>
      </c>
      <c r="G158" s="313" t="str">
        <f>IF(G155="X","X","")</f>
        <v/>
      </c>
      <c r="H158" s="317" t="s">
        <v>669</v>
      </c>
      <c r="I158" s="317"/>
      <c r="J158" s="317"/>
      <c r="N158" s="314"/>
      <c r="O158" s="320" t="s">
        <v>670</v>
      </c>
      <c r="P158" s="317" t="s">
        <v>555</v>
      </c>
      <c r="Q158" s="320">
        <f>$Q$11</f>
        <v>0</v>
      </c>
      <c r="R158" s="323"/>
      <c r="S158" s="324"/>
      <c r="T158" s="323"/>
      <c r="U158" s="324"/>
      <c r="V158" s="324"/>
      <c r="W158" s="324"/>
      <c r="X158" s="324"/>
      <c r="Y158" s="324"/>
      <c r="Z158" s="324"/>
      <c r="AA158" s="324"/>
      <c r="AB158" s="324"/>
      <c r="AC158" s="324"/>
      <c r="AD158" s="324"/>
      <c r="AL158" s="319" t="s">
        <v>555</v>
      </c>
      <c r="AM158" s="319" t="s">
        <v>619</v>
      </c>
      <c r="AQ158" s="431">
        <v>2700</v>
      </c>
      <c r="AR158" s="431">
        <v>1700</v>
      </c>
      <c r="AS158" s="431">
        <v>380</v>
      </c>
      <c r="AT158" s="431">
        <v>380</v>
      </c>
      <c r="AU158" s="431"/>
      <c r="AV158" s="480" t="str">
        <f>IF(AND(AR$1&lt;&gt;0,AT$1&lt;&gt;0),IF(AND($AR$1&lt;=AQ158,$AT$1&lt;=AR158,$AR$1&gt;=AS158,$AT$1&gt;=AT158),"OK","NOK"),"")</f>
        <v>OK</v>
      </c>
      <c r="AW158" s="299" t="str">
        <f t="shared" ref="AW158:AW221" si="30">AL158</f>
        <v>TH03</v>
      </c>
      <c r="AX158" s="299" t="str">
        <f t="shared" ref="AX158:AX221" si="31">IF(AV158="NOK",AW158&amp;",","")</f>
        <v/>
      </c>
      <c r="AY158" s="286">
        <f t="shared" si="28"/>
        <v>158</v>
      </c>
      <c r="AZ158" s="319" t="str">
        <f t="shared" si="27"/>
        <v>AX158;</v>
      </c>
    </row>
    <row r="159" spans="1:52" s="286" customFormat="1" ht="16.5" customHeight="1" thickBot="1">
      <c r="A159" s="666"/>
      <c r="B159" s="308" t="s">
        <v>357</v>
      </c>
      <c r="C159" s="285" t="s">
        <v>312</v>
      </c>
      <c r="D159" s="289" t="str">
        <f t="shared" si="29"/>
        <v/>
      </c>
      <c r="E159" s="287" t="str">
        <f>IFERROR(IF($G$146&lt;&gt;"",IF(G159="x",IF(F159=$G$146,"V1",IF(AF159=1,"V2",IF(AND(AF159=$AF$146,AF159&lt;&gt;1),"V"&amp;$AG$146+1,"V"&amp;AF159+1))),""),""),"Wprowadź urządzenie bazowe")</f>
        <v/>
      </c>
      <c r="F159" s="289" t="s">
        <v>299</v>
      </c>
      <c r="G159" s="309"/>
      <c r="H159" s="289" t="s">
        <v>667</v>
      </c>
      <c r="I159" s="289">
        <v>10</v>
      </c>
      <c r="J159" s="286" t="str">
        <f>IFERROR(IF(VALUE(MID(D146,2,2))&lt;9,"$HLB1-L0"&amp;(RIGHT(D146,1)+1),"$HLB1-L"&amp;(MID(D146,2,2)+1)),"Uzupełnij poziom")</f>
        <v>Uzupełnij poziom</v>
      </c>
      <c r="K159" s="286">
        <v>1000</v>
      </c>
      <c r="L159" s="286" t="s">
        <v>668</v>
      </c>
      <c r="N159" s="310">
        <f>IF(T162&lt;&gt;0,ROUND(((100-T162)/T162)*100,2),IF(J159&lt;&gt;"",T159,""))</f>
        <v>0</v>
      </c>
      <c r="O159" s="289"/>
      <c r="P159" s="289"/>
      <c r="Q159" s="289"/>
      <c r="S159" s="291"/>
      <c r="U159" s="291"/>
      <c r="V159" s="291"/>
      <c r="W159" s="291"/>
      <c r="X159" s="291"/>
      <c r="Y159" s="291"/>
      <c r="Z159" s="291"/>
      <c r="AA159" s="291"/>
      <c r="AB159" s="291"/>
      <c r="AC159" s="291"/>
      <c r="AD159" s="291"/>
      <c r="AE159" s="286" t="str">
        <f>UPPER(G159)</f>
        <v/>
      </c>
      <c r="AF159" s="286">
        <f>COUNTIF($AE$147:AE162,"X")</f>
        <v>0</v>
      </c>
      <c r="AL159" s="286" t="s">
        <v>299</v>
      </c>
      <c r="AM159" s="286" t="s">
        <v>312</v>
      </c>
      <c r="AQ159" s="430">
        <v>1800</v>
      </c>
      <c r="AR159" s="430">
        <v>1200</v>
      </c>
      <c r="AS159" s="430">
        <v>350</v>
      </c>
      <c r="AT159" s="430">
        <v>200</v>
      </c>
      <c r="AU159" s="430"/>
      <c r="AV159" s="430"/>
      <c r="AW159" s="299" t="str">
        <f t="shared" si="30"/>
        <v>GER1</v>
      </c>
      <c r="AX159" s="299" t="str">
        <f t="shared" si="31"/>
        <v/>
      </c>
      <c r="AY159" s="286">
        <f t="shared" si="28"/>
        <v>159</v>
      </c>
      <c r="AZ159" s="319" t="str">
        <f t="shared" si="27"/>
        <v>AX159;</v>
      </c>
    </row>
    <row r="160" spans="1:52" ht="16.5" customHeight="1" thickBot="1">
      <c r="A160" s="666"/>
      <c r="B160" s="311" t="s">
        <v>357</v>
      </c>
      <c r="C160" s="292" t="s">
        <v>312</v>
      </c>
      <c r="D160" s="295" t="str">
        <f t="shared" si="29"/>
        <v/>
      </c>
      <c r="E160" s="110" t="str">
        <f>IF(E159&lt;&gt;"",E159,"")</f>
        <v/>
      </c>
      <c r="F160" s="295" t="s">
        <v>299</v>
      </c>
      <c r="G160" s="313" t="str">
        <f>IF(AND(G159&lt;&gt;"",J160&lt;&gt;""),G159,"")</f>
        <v/>
      </c>
      <c r="H160" s="295" t="s">
        <v>667</v>
      </c>
      <c r="I160" s="295">
        <v>20</v>
      </c>
      <c r="J160" s="340" t="str">
        <f>IF('DANE CONTROLLINGU'!M4&lt;&gt;0,'DANE CONTROLLINGU'!N4,"")</f>
        <v/>
      </c>
      <c r="K160" s="295">
        <f>ROUND('DANE CONTROLLINGU'!L4*1000,3)</f>
        <v>0</v>
      </c>
      <c r="L160" s="293" t="s">
        <v>672</v>
      </c>
      <c r="M160" s="341" t="str">
        <f>IF(T162&lt;&gt;0,ROUND(((100-T162)/T162)*100,2),IF(J160&lt;&gt;"",T160,""))</f>
        <v/>
      </c>
      <c r="N160" s="314" t="str">
        <f>IF(T162&lt;&gt;0,ROUND(((100-T162)/T162)*100,2),IF(J160&lt;&gt;"",T160,""))</f>
        <v/>
      </c>
      <c r="AL160" s="293" t="s">
        <v>299</v>
      </c>
      <c r="AM160" s="293" t="s">
        <v>312</v>
      </c>
      <c r="AQ160" s="429">
        <v>1800</v>
      </c>
      <c r="AR160" s="429">
        <v>1200</v>
      </c>
      <c r="AS160" s="429">
        <v>350</v>
      </c>
      <c r="AT160" s="429">
        <v>200</v>
      </c>
      <c r="AW160" s="299" t="str">
        <f t="shared" si="30"/>
        <v>GER1</v>
      </c>
      <c r="AX160" s="299" t="str">
        <f t="shared" si="31"/>
        <v/>
      </c>
      <c r="AY160" s="286">
        <f t="shared" si="28"/>
        <v>160</v>
      </c>
      <c r="AZ160" s="319" t="str">
        <f t="shared" si="27"/>
        <v>AX160;</v>
      </c>
    </row>
    <row r="161" spans="1:52" ht="15" customHeight="1" thickBot="1">
      <c r="A161" s="666"/>
      <c r="B161" s="311" t="s">
        <v>357</v>
      </c>
      <c r="C161" s="292" t="s">
        <v>312</v>
      </c>
      <c r="D161" s="295" t="str">
        <f t="shared" si="29"/>
        <v/>
      </c>
      <c r="E161" s="110" t="str">
        <f>IF(E159&lt;&gt;"",E159,"")</f>
        <v/>
      </c>
      <c r="F161" s="295" t="s">
        <v>299</v>
      </c>
      <c r="G161" s="313" t="str">
        <f>IF(AND(G159&lt;&gt;"",J161&lt;&gt;""),G159,"")</f>
        <v/>
      </c>
      <c r="H161" s="295" t="s">
        <v>667</v>
      </c>
      <c r="I161" s="295">
        <v>30</v>
      </c>
      <c r="J161" s="351"/>
      <c r="L161" s="293" t="s">
        <v>672</v>
      </c>
      <c r="M161" s="341" t="str">
        <f>IF(T162&lt;&gt;0,ROUND(((100-T162)/T162)*100,2),IF(J161&lt;&gt;"",T161,""))</f>
        <v/>
      </c>
      <c r="N161" s="314" t="str">
        <f>IF(T162&lt;&gt;0,ROUND(((100-T162)/T162)*100,2),IF(J161&lt;&gt;"",T161,""))</f>
        <v/>
      </c>
      <c r="AL161" s="293" t="s">
        <v>299</v>
      </c>
      <c r="AM161" s="293" t="s">
        <v>312</v>
      </c>
      <c r="AQ161" s="429">
        <v>1800</v>
      </c>
      <c r="AR161" s="429">
        <v>1200</v>
      </c>
      <c r="AS161" s="429">
        <v>350</v>
      </c>
      <c r="AT161" s="429">
        <v>200</v>
      </c>
      <c r="AW161" s="299" t="str">
        <f t="shared" si="30"/>
        <v>GER1</v>
      </c>
      <c r="AX161" s="299" t="str">
        <f t="shared" si="31"/>
        <v/>
      </c>
      <c r="AY161" s="286">
        <f t="shared" si="28"/>
        <v>161</v>
      </c>
      <c r="AZ161" s="319" t="str">
        <f t="shared" si="27"/>
        <v>AX161;</v>
      </c>
    </row>
    <row r="162" spans="1:52" s="319" customFormat="1" ht="14.25" customHeight="1" thickBot="1">
      <c r="A162" s="666"/>
      <c r="B162" s="315" t="s">
        <v>357</v>
      </c>
      <c r="C162" s="316" t="s">
        <v>312</v>
      </c>
      <c r="D162" s="317" t="str">
        <f t="shared" si="29"/>
        <v/>
      </c>
      <c r="E162" s="110" t="str">
        <f>IF(E159&lt;&gt;"",E159,"")</f>
        <v/>
      </c>
      <c r="F162" s="317" t="s">
        <v>299</v>
      </c>
      <c r="G162" s="313" t="str">
        <f>IF(G159="X","X","")</f>
        <v/>
      </c>
      <c r="H162" s="317" t="s">
        <v>669</v>
      </c>
      <c r="I162" s="317"/>
      <c r="J162" s="317"/>
      <c r="N162" s="314"/>
      <c r="O162" s="320" t="s">
        <v>670</v>
      </c>
      <c r="P162" s="317" t="s">
        <v>299</v>
      </c>
      <c r="Q162" s="320">
        <f>$Q$11</f>
        <v>0</v>
      </c>
      <c r="R162" s="323"/>
      <c r="S162" s="324"/>
      <c r="T162" s="323"/>
      <c r="U162" s="324"/>
      <c r="V162" s="324"/>
      <c r="W162" s="324"/>
      <c r="X162" s="324"/>
      <c r="Y162" s="324"/>
      <c r="Z162" s="324"/>
      <c r="AA162" s="324"/>
      <c r="AB162" s="324"/>
      <c r="AC162" s="324"/>
      <c r="AD162" s="324"/>
      <c r="AL162" s="319" t="s">
        <v>299</v>
      </c>
      <c r="AM162" s="319" t="s">
        <v>312</v>
      </c>
      <c r="AQ162" s="431">
        <v>1800</v>
      </c>
      <c r="AR162" s="431">
        <v>1200</v>
      </c>
      <c r="AS162" s="431">
        <v>350</v>
      </c>
      <c r="AT162" s="431">
        <v>200</v>
      </c>
      <c r="AU162" s="431"/>
      <c r="AV162" s="480" t="str">
        <f>IF(AND(AR$1&lt;&gt;0,AT$1&lt;&gt;0),IF(AND($AR$1&lt;=AQ162,$AT$1&lt;=AR162,$AR$1&gt;=AS162,$AT$1&gt;=AT162),"OK","NOK"),"")</f>
        <v>OK</v>
      </c>
      <c r="AW162" s="299" t="str">
        <f t="shared" si="30"/>
        <v>GER1</v>
      </c>
      <c r="AX162" s="299" t="str">
        <f t="shared" si="31"/>
        <v/>
      </c>
      <c r="AY162" s="286">
        <f t="shared" si="28"/>
        <v>162</v>
      </c>
      <c r="AZ162" s="319" t="str">
        <f t="shared" si="27"/>
        <v>AX162;</v>
      </c>
    </row>
    <row r="163" spans="1:52" s="286" customFormat="1" ht="16.5" customHeight="1" thickBot="1">
      <c r="A163" s="666"/>
      <c r="B163" s="308" t="s">
        <v>567</v>
      </c>
      <c r="C163" s="285" t="s">
        <v>133</v>
      </c>
      <c r="D163" s="289" t="str">
        <f t="shared" si="29"/>
        <v/>
      </c>
      <c r="E163" s="287" t="str">
        <f>IFERROR(IF($G$146&lt;&gt;"",IF(G163="x",IF(F163=$G$146,"V1",IF(AF163=1,"V2",IF(AND(AF163=$AF$146,AF163&lt;&gt;1),"V"&amp;$AG$146+1,"V"&amp;AF163+1))),""),""),"Wprowadź urządzenie bazowe")</f>
        <v/>
      </c>
      <c r="F163" s="289" t="s">
        <v>132</v>
      </c>
      <c r="G163" s="309"/>
      <c r="H163" s="289" t="s">
        <v>667</v>
      </c>
      <c r="I163" s="289">
        <v>10</v>
      </c>
      <c r="J163" s="286" t="str">
        <f>IFERROR(IF(VALUE(MID(D146,2,2))&lt;9,"$HLB1-L0"&amp;(RIGHT(D146,1)+1),"$HLB1-L"&amp;(MID(D146,2,2)+1)),"Uzupełnij poziom")</f>
        <v>Uzupełnij poziom</v>
      </c>
      <c r="K163" s="286">
        <v>1000</v>
      </c>
      <c r="L163" s="286" t="s">
        <v>668</v>
      </c>
      <c r="N163" s="310">
        <f>IF(T166&lt;&gt;0,ROUND(((100-T166)/T166)*100,2),IF(J163&lt;&gt;"",T163,""))</f>
        <v>0</v>
      </c>
      <c r="O163" s="289"/>
      <c r="P163" s="289"/>
      <c r="Q163" s="289"/>
      <c r="S163" s="291"/>
      <c r="U163" s="291"/>
      <c r="V163" s="291"/>
      <c r="W163" s="291"/>
      <c r="X163" s="291"/>
      <c r="Y163" s="291"/>
      <c r="Z163" s="291"/>
      <c r="AA163" s="291"/>
      <c r="AB163" s="291"/>
      <c r="AC163" s="291"/>
      <c r="AD163" s="291"/>
      <c r="AE163" s="286" t="str">
        <f>UPPER(G163)</f>
        <v/>
      </c>
      <c r="AF163" s="286">
        <f>COUNTIF($AE$147:AE166,"X")</f>
        <v>0</v>
      </c>
      <c r="AL163" s="286" t="s">
        <v>132</v>
      </c>
      <c r="AM163" s="286" t="s">
        <v>133</v>
      </c>
      <c r="AQ163" s="430">
        <v>2500</v>
      </c>
      <c r="AR163" s="430">
        <v>1540</v>
      </c>
      <c r="AS163" s="430"/>
      <c r="AT163" s="430"/>
      <c r="AU163" s="430"/>
      <c r="AV163" s="430"/>
      <c r="AW163" s="299" t="str">
        <f t="shared" si="30"/>
        <v>FL01</v>
      </c>
      <c r="AX163" s="299" t="str">
        <f t="shared" si="31"/>
        <v/>
      </c>
      <c r="AY163" s="286">
        <f t="shared" si="28"/>
        <v>163</v>
      </c>
      <c r="AZ163" s="319" t="str">
        <f t="shared" si="27"/>
        <v>AX163;</v>
      </c>
    </row>
    <row r="164" spans="1:52" ht="16.5" customHeight="1" thickBot="1">
      <c r="A164" s="666"/>
      <c r="B164" s="311" t="s">
        <v>567</v>
      </c>
      <c r="C164" s="292" t="s">
        <v>133</v>
      </c>
      <c r="D164" s="295" t="str">
        <f t="shared" si="29"/>
        <v/>
      </c>
      <c r="E164" s="110" t="str">
        <f>IF(E163&lt;&gt;"",E163,"")</f>
        <v/>
      </c>
      <c r="F164" s="295" t="s">
        <v>132</v>
      </c>
      <c r="G164" s="313" t="str">
        <f>IF(AND(G163&lt;&gt;"",J164&lt;&gt;""),G163,"")</f>
        <v/>
      </c>
      <c r="H164" s="295" t="s">
        <v>667</v>
      </c>
      <c r="I164" s="295">
        <v>20</v>
      </c>
      <c r="J164" s="340" t="str">
        <f>IF('DANE CONTROLLINGU'!M4&lt;&gt;0,'DANE CONTROLLINGU'!N4,"")</f>
        <v/>
      </c>
      <c r="K164" s="295">
        <f>ROUND('DANE CONTROLLINGU'!L4*1000,3)</f>
        <v>0</v>
      </c>
      <c r="L164" s="293" t="s">
        <v>672</v>
      </c>
      <c r="M164" s="341" t="str">
        <f>IF(T166&lt;&gt;0,ROUND(((100-T166)/T166)*100,2),IF(J164&lt;&gt;"",T164,""))</f>
        <v/>
      </c>
      <c r="N164" s="314" t="str">
        <f>IF(T166&lt;&gt;0,ROUND(((100-T166)/T166)*100,2),IF(J164&lt;&gt;"",T164,""))</f>
        <v/>
      </c>
      <c r="AL164" s="293" t="s">
        <v>132</v>
      </c>
      <c r="AM164" s="293" t="s">
        <v>133</v>
      </c>
      <c r="AQ164" s="429">
        <v>2500</v>
      </c>
      <c r="AR164" s="429">
        <v>1540</v>
      </c>
      <c r="AW164" s="299" t="str">
        <f t="shared" si="30"/>
        <v>FL01</v>
      </c>
      <c r="AX164" s="299" t="str">
        <f t="shared" si="31"/>
        <v/>
      </c>
      <c r="AY164" s="286">
        <f t="shared" si="28"/>
        <v>164</v>
      </c>
      <c r="AZ164" s="319" t="str">
        <f t="shared" si="27"/>
        <v>AX164;</v>
      </c>
    </row>
    <row r="165" spans="1:52" ht="15" customHeight="1" thickBot="1">
      <c r="A165" s="666"/>
      <c r="B165" s="311" t="s">
        <v>567</v>
      </c>
      <c r="C165" s="292" t="s">
        <v>133</v>
      </c>
      <c r="D165" s="295" t="str">
        <f t="shared" si="29"/>
        <v/>
      </c>
      <c r="E165" s="110" t="str">
        <f>IF(E163&lt;&gt;"",E163,"")</f>
        <v/>
      </c>
      <c r="F165" s="295" t="s">
        <v>132</v>
      </c>
      <c r="G165" s="313" t="str">
        <f>IF(AND(G163&lt;&gt;"",J165&lt;&gt;""),G163,"")</f>
        <v/>
      </c>
      <c r="H165" s="295" t="s">
        <v>667</v>
      </c>
      <c r="I165" s="295">
        <v>30</v>
      </c>
      <c r="J165" s="351"/>
      <c r="L165" s="293" t="s">
        <v>672</v>
      </c>
      <c r="M165" s="341" t="str">
        <f>IF(T166&lt;&gt;0,ROUND(((100-T166)/T166)*100,2),IF(J165&lt;&gt;"",T165,""))</f>
        <v/>
      </c>
      <c r="N165" s="314" t="str">
        <f>IF(T166&lt;&gt;0,ROUND(((100-T166)/T166)*100,2),IF(J165&lt;&gt;"",T165,""))</f>
        <v/>
      </c>
      <c r="AL165" s="293" t="s">
        <v>132</v>
      </c>
      <c r="AM165" s="293" t="s">
        <v>133</v>
      </c>
      <c r="AQ165" s="429">
        <v>2500</v>
      </c>
      <c r="AR165" s="429">
        <v>1540</v>
      </c>
      <c r="AW165" s="299" t="str">
        <f t="shared" si="30"/>
        <v>FL01</v>
      </c>
      <c r="AX165" s="299" t="str">
        <f t="shared" si="31"/>
        <v/>
      </c>
      <c r="AY165" s="286">
        <f t="shared" si="28"/>
        <v>165</v>
      </c>
      <c r="AZ165" s="319" t="str">
        <f t="shared" si="27"/>
        <v>AX165;</v>
      </c>
    </row>
    <row r="166" spans="1:52" s="319" customFormat="1" ht="14.25" customHeight="1" thickBot="1">
      <c r="A166" s="666"/>
      <c r="B166" s="315" t="s">
        <v>567</v>
      </c>
      <c r="C166" s="316" t="s">
        <v>133</v>
      </c>
      <c r="D166" s="317" t="str">
        <f t="shared" si="29"/>
        <v/>
      </c>
      <c r="E166" s="110" t="str">
        <f>IF(E163&lt;&gt;"",E163,"")</f>
        <v/>
      </c>
      <c r="F166" s="317" t="s">
        <v>132</v>
      </c>
      <c r="G166" s="313" t="str">
        <f>IF(G163="X","X","")</f>
        <v/>
      </c>
      <c r="H166" s="317" t="s">
        <v>669</v>
      </c>
      <c r="I166" s="317"/>
      <c r="J166" s="317"/>
      <c r="N166" s="314"/>
      <c r="O166" s="320" t="s">
        <v>670</v>
      </c>
      <c r="P166" s="317" t="s">
        <v>132</v>
      </c>
      <c r="Q166" s="320">
        <f>$Q$11</f>
        <v>0</v>
      </c>
      <c r="R166" s="323"/>
      <c r="S166" s="324"/>
      <c r="T166" s="323"/>
      <c r="U166" s="324"/>
      <c r="V166" s="324"/>
      <c r="W166" s="324"/>
      <c r="X166" s="324"/>
      <c r="Y166" s="324"/>
      <c r="Z166" s="324"/>
      <c r="AA166" s="324"/>
      <c r="AB166" s="324"/>
      <c r="AC166" s="324"/>
      <c r="AD166" s="324"/>
      <c r="AL166" s="319" t="s">
        <v>132</v>
      </c>
      <c r="AM166" s="319" t="s">
        <v>133</v>
      </c>
      <c r="AQ166" s="431">
        <v>2500</v>
      </c>
      <c r="AR166" s="431">
        <v>1540</v>
      </c>
      <c r="AS166" s="479">
        <v>0</v>
      </c>
      <c r="AT166" s="479">
        <v>0</v>
      </c>
      <c r="AU166" s="431"/>
      <c r="AV166" s="480" t="str">
        <f>IF(AND(AR$1&lt;&gt;0,AT$1&lt;&gt;0),IF(AND($AR$1&lt;=AQ166,$AT$1&lt;=AR166,$AR$1&gt;=AS166,$AT$1&gt;=AT166),"OK","NOK"),"")</f>
        <v>OK</v>
      </c>
      <c r="AW166" s="299" t="str">
        <f t="shared" si="30"/>
        <v>FL01</v>
      </c>
      <c r="AX166" s="299" t="str">
        <f t="shared" si="31"/>
        <v/>
      </c>
      <c r="AY166" s="286">
        <f t="shared" si="28"/>
        <v>166</v>
      </c>
      <c r="AZ166" s="319" t="str">
        <f t="shared" si="27"/>
        <v>AX166;</v>
      </c>
    </row>
    <row r="167" spans="1:52" s="286" customFormat="1" ht="16.5" customHeight="1" thickBot="1">
      <c r="A167" s="666"/>
      <c r="B167" s="308" t="s">
        <v>559</v>
      </c>
      <c r="C167" s="285" t="s">
        <v>159</v>
      </c>
      <c r="D167" s="289" t="str">
        <f t="shared" si="29"/>
        <v/>
      </c>
      <c r="E167" s="287" t="str">
        <f>IFERROR(IF($G$146&lt;&gt;"",IF(G167="x",IF(F167=$G$146,"V1",IF(AF167=1,"V2",IF(AND(AF167=$AF$146,AF167&lt;&gt;1),"V"&amp;$AG$146+1,"V"&amp;AF167+1))),""),""),"Wprowadź urządzenie bazowe")</f>
        <v/>
      </c>
      <c r="F167" s="289" t="s">
        <v>158</v>
      </c>
      <c r="G167" s="309"/>
      <c r="H167" s="289" t="s">
        <v>667</v>
      </c>
      <c r="I167" s="289">
        <v>10</v>
      </c>
      <c r="J167" s="286" t="str">
        <f>IFERROR(IF(VALUE(MID(D146,2,2))&lt;9,"$HLB1-L0"&amp;(RIGHT(D146,1)+1),"$HLB1-L"&amp;(MID(D146,2,2)+1)),"Uzupełnij poziom")</f>
        <v>Uzupełnij poziom</v>
      </c>
      <c r="K167" s="286">
        <v>1000</v>
      </c>
      <c r="L167" s="286" t="s">
        <v>668</v>
      </c>
      <c r="N167" s="310">
        <f>IF(T170&lt;&gt;0,ROUND(((100-T170)/T170)*100,2),IF(J167&lt;&gt;"",T167,""))</f>
        <v>0</v>
      </c>
      <c r="O167" s="289"/>
      <c r="P167" s="289"/>
      <c r="Q167" s="289"/>
      <c r="S167" s="291"/>
      <c r="U167" s="291"/>
      <c r="V167" s="291"/>
      <c r="W167" s="291"/>
      <c r="X167" s="291"/>
      <c r="Y167" s="291"/>
      <c r="Z167" s="291"/>
      <c r="AA167" s="291"/>
      <c r="AB167" s="291"/>
      <c r="AC167" s="291"/>
      <c r="AD167" s="291"/>
      <c r="AE167" s="286" t="str">
        <f>UPPER(G167)</f>
        <v/>
      </c>
      <c r="AF167" s="286">
        <f>COUNTIF($AE$147:AE170,"X")</f>
        <v>0</v>
      </c>
      <c r="AL167" s="286" t="s">
        <v>158</v>
      </c>
      <c r="AM167" s="286" t="s">
        <v>159</v>
      </c>
      <c r="AQ167" s="430">
        <v>2500</v>
      </c>
      <c r="AR167" s="430">
        <v>1600</v>
      </c>
      <c r="AS167" s="430"/>
      <c r="AT167" s="430"/>
      <c r="AU167" s="430"/>
      <c r="AV167" s="430"/>
      <c r="AW167" s="299" t="str">
        <f t="shared" si="30"/>
        <v>FL02</v>
      </c>
      <c r="AX167" s="299" t="str">
        <f t="shared" si="31"/>
        <v/>
      </c>
      <c r="AY167" s="286">
        <f t="shared" si="28"/>
        <v>167</v>
      </c>
      <c r="AZ167" s="319" t="str">
        <f t="shared" si="27"/>
        <v>AX167;</v>
      </c>
    </row>
    <row r="168" spans="1:52" ht="16.5" customHeight="1" thickBot="1">
      <c r="A168" s="666"/>
      <c r="B168" s="311" t="s">
        <v>559</v>
      </c>
      <c r="C168" s="292" t="s">
        <v>159</v>
      </c>
      <c r="D168" s="295" t="str">
        <f t="shared" si="29"/>
        <v/>
      </c>
      <c r="E168" s="110" t="str">
        <f>IF(E167&lt;&gt;"",E167,"")</f>
        <v/>
      </c>
      <c r="F168" s="295" t="s">
        <v>158</v>
      </c>
      <c r="G168" s="313" t="str">
        <f>IF(AND(G167&lt;&gt;"",J168&lt;&gt;""),G167,"")</f>
        <v/>
      </c>
      <c r="H168" s="295" t="s">
        <v>667</v>
      </c>
      <c r="I168" s="295">
        <v>20</v>
      </c>
      <c r="J168" s="340" t="str">
        <f>IF('DANE CONTROLLINGU'!M4&lt;&gt;0,'DANE CONTROLLINGU'!N4,"")</f>
        <v/>
      </c>
      <c r="K168" s="295">
        <f>ROUND('DANE CONTROLLINGU'!L4*1000,3)</f>
        <v>0</v>
      </c>
      <c r="L168" s="293" t="s">
        <v>672</v>
      </c>
      <c r="M168" s="341" t="str">
        <f>IF(T170&lt;&gt;0,ROUND(((100-T170)/T170)*100,2),IF(J168&lt;&gt;"",T168,""))</f>
        <v/>
      </c>
      <c r="N168" s="314" t="str">
        <f>IF(T170&lt;&gt;0,ROUND(((100-T170)/T170)*100,2),IF(J168&lt;&gt;"",T168,""))</f>
        <v/>
      </c>
      <c r="AL168" s="293" t="s">
        <v>158</v>
      </c>
      <c r="AM168" s="293" t="s">
        <v>159</v>
      </c>
      <c r="AQ168" s="429">
        <v>2500</v>
      </c>
      <c r="AR168" s="429">
        <v>1600</v>
      </c>
      <c r="AW168" s="299" t="str">
        <f t="shared" si="30"/>
        <v>FL02</v>
      </c>
      <c r="AX168" s="299" t="str">
        <f t="shared" si="31"/>
        <v/>
      </c>
      <c r="AY168" s="286">
        <f t="shared" si="28"/>
        <v>168</v>
      </c>
      <c r="AZ168" s="319" t="str">
        <f t="shared" si="27"/>
        <v>AX168;</v>
      </c>
    </row>
    <row r="169" spans="1:52" ht="15" customHeight="1" thickBot="1">
      <c r="A169" s="666"/>
      <c r="B169" s="311" t="s">
        <v>559</v>
      </c>
      <c r="C169" s="292" t="s">
        <v>159</v>
      </c>
      <c r="D169" s="295" t="str">
        <f t="shared" si="29"/>
        <v/>
      </c>
      <c r="E169" s="110" t="str">
        <f>IF(E167&lt;&gt;"",E167,"")</f>
        <v/>
      </c>
      <c r="F169" s="295" t="s">
        <v>158</v>
      </c>
      <c r="G169" s="313" t="str">
        <f>IF(AND(G167&lt;&gt;"",J169&lt;&gt;""),G167,"")</f>
        <v/>
      </c>
      <c r="H169" s="295" t="s">
        <v>667</v>
      </c>
      <c r="I169" s="295">
        <v>30</v>
      </c>
      <c r="J169" s="351"/>
      <c r="L169" s="293" t="s">
        <v>672</v>
      </c>
      <c r="M169" s="341" t="str">
        <f>IF(T170&lt;&gt;0,ROUND(((100-T170)/T170)*100,2),IF(J169&lt;&gt;"",T169,""))</f>
        <v/>
      </c>
      <c r="N169" s="314" t="str">
        <f>IF(T170&lt;&gt;0,ROUND(((100-T170)/T170)*100,2),IF(J169&lt;&gt;"",T169,""))</f>
        <v/>
      </c>
      <c r="AL169" s="293" t="s">
        <v>158</v>
      </c>
      <c r="AM169" s="293" t="s">
        <v>159</v>
      </c>
      <c r="AQ169" s="429">
        <v>2500</v>
      </c>
      <c r="AR169" s="429">
        <v>1600</v>
      </c>
      <c r="AW169" s="299" t="str">
        <f t="shared" si="30"/>
        <v>FL02</v>
      </c>
      <c r="AX169" s="299" t="str">
        <f t="shared" si="31"/>
        <v/>
      </c>
      <c r="AY169" s="286">
        <f t="shared" si="28"/>
        <v>169</v>
      </c>
      <c r="AZ169" s="319" t="str">
        <f t="shared" si="27"/>
        <v>AX169;</v>
      </c>
    </row>
    <row r="170" spans="1:52" s="319" customFormat="1" ht="14.25" customHeight="1" thickBot="1">
      <c r="A170" s="666"/>
      <c r="B170" s="315" t="s">
        <v>559</v>
      </c>
      <c r="C170" s="316" t="s">
        <v>159</v>
      </c>
      <c r="D170" s="317" t="str">
        <f t="shared" si="29"/>
        <v/>
      </c>
      <c r="E170" s="110" t="str">
        <f>IF(E167&lt;&gt;"",E167,"")</f>
        <v/>
      </c>
      <c r="F170" s="317" t="s">
        <v>158</v>
      </c>
      <c r="G170" s="313" t="str">
        <f>IF(G167="X","X","")</f>
        <v/>
      </c>
      <c r="H170" s="317" t="s">
        <v>669</v>
      </c>
      <c r="I170" s="317"/>
      <c r="J170" s="317"/>
      <c r="N170" s="314"/>
      <c r="O170" s="320" t="s">
        <v>670</v>
      </c>
      <c r="P170" s="317" t="s">
        <v>158</v>
      </c>
      <c r="Q170" s="320">
        <f>$Q$11</f>
        <v>0</v>
      </c>
      <c r="R170" s="323"/>
      <c r="S170" s="324"/>
      <c r="T170" s="323"/>
      <c r="U170" s="324"/>
      <c r="V170" s="324"/>
      <c r="W170" s="324"/>
      <c r="X170" s="324"/>
      <c r="Y170" s="324"/>
      <c r="Z170" s="324"/>
      <c r="AA170" s="324"/>
      <c r="AB170" s="324"/>
      <c r="AC170" s="324"/>
      <c r="AD170" s="324"/>
      <c r="AL170" s="319" t="s">
        <v>158</v>
      </c>
      <c r="AM170" s="319" t="s">
        <v>159</v>
      </c>
      <c r="AQ170" s="431">
        <v>2500</v>
      </c>
      <c r="AR170" s="431">
        <v>1600</v>
      </c>
      <c r="AS170" s="479">
        <v>0</v>
      </c>
      <c r="AT170" s="479">
        <v>0</v>
      </c>
      <c r="AU170" s="431"/>
      <c r="AV170" s="480" t="str">
        <f>IF(AND(AR$1&lt;&gt;0,AT$1&lt;&gt;0),IF(AND($AR$1&lt;=AQ170,$AT$1&lt;=AR170,$AR$1&gt;=AS170,$AT$1&gt;=AT170),"OK","NOK"),"")</f>
        <v>OK</v>
      </c>
      <c r="AW170" s="299" t="str">
        <f t="shared" si="30"/>
        <v>FL02</v>
      </c>
      <c r="AX170" s="299" t="str">
        <f t="shared" si="31"/>
        <v/>
      </c>
      <c r="AY170" s="286">
        <f t="shared" si="28"/>
        <v>170</v>
      </c>
      <c r="AZ170" s="319" t="str">
        <f t="shared" si="27"/>
        <v>AX170;</v>
      </c>
    </row>
    <row r="171" spans="1:52" s="286" customFormat="1" ht="16.5" customHeight="1" thickBot="1">
      <c r="A171" s="666"/>
      <c r="B171" s="308" t="s">
        <v>346</v>
      </c>
      <c r="C171" s="285" t="s">
        <v>131</v>
      </c>
      <c r="D171" s="289" t="str">
        <f t="shared" si="29"/>
        <v/>
      </c>
      <c r="E171" s="287" t="str">
        <f>IFERROR(IF($G$146&lt;&gt;"",IF(G171="x",IF(F171=$G$146,"V1",IF(AF171=1,"V2",IF(AND(AF171=$AF$146,AF171&lt;&gt;1),"V"&amp;$AG$146+1,"V"&amp;AF171+1))),""),""),"Wprowadź urządzenie bazowe")</f>
        <v/>
      </c>
      <c r="F171" s="289" t="s">
        <v>130</v>
      </c>
      <c r="G171" s="309"/>
      <c r="H171" s="289" t="s">
        <v>667</v>
      </c>
      <c r="I171" s="289">
        <v>10</v>
      </c>
      <c r="J171" s="286" t="str">
        <f>IFERROR(IF(VALUE(MID(D146,2,2))&lt;9,"$HLB1-L0"&amp;(RIGHT(D146,1)+1),"$HLB1-L"&amp;(MID(D146,2,2)+1)),"Uzupełnij poziom")</f>
        <v>Uzupełnij poziom</v>
      </c>
      <c r="K171" s="286">
        <v>1000</v>
      </c>
      <c r="L171" s="286" t="s">
        <v>668</v>
      </c>
      <c r="N171" s="310">
        <f>IF(T174&lt;&gt;0,ROUND(((100-T174)/T174)*100,2),IF(J171&lt;&gt;"",T171,""))</f>
        <v>0</v>
      </c>
      <c r="O171" s="289"/>
      <c r="P171" s="289"/>
      <c r="Q171" s="289"/>
      <c r="S171" s="291"/>
      <c r="U171" s="291"/>
      <c r="V171" s="291"/>
      <c r="W171" s="291"/>
      <c r="X171" s="291"/>
      <c r="Y171" s="291"/>
      <c r="Z171" s="291"/>
      <c r="AA171" s="291"/>
      <c r="AB171" s="291"/>
      <c r="AC171" s="291"/>
      <c r="AD171" s="291"/>
      <c r="AE171" s="286" t="str">
        <f>UPPER(G171)</f>
        <v/>
      </c>
      <c r="AF171" s="286">
        <f>COUNTIF($AE$147:AE174,"X")</f>
        <v>0</v>
      </c>
      <c r="AL171" s="286" t="s">
        <v>130</v>
      </c>
      <c r="AM171" s="286" t="s">
        <v>131</v>
      </c>
      <c r="AQ171" s="430">
        <v>1250</v>
      </c>
      <c r="AR171" s="430">
        <v>750</v>
      </c>
      <c r="AS171" s="430"/>
      <c r="AT171" s="430"/>
      <c r="AU171" s="430"/>
      <c r="AV171" s="430"/>
      <c r="AW171" s="299" t="str">
        <f t="shared" si="30"/>
        <v>SVEC</v>
      </c>
      <c r="AX171" s="299" t="str">
        <f t="shared" si="31"/>
        <v/>
      </c>
      <c r="AY171" s="286">
        <f t="shared" si="28"/>
        <v>171</v>
      </c>
      <c r="AZ171" s="319" t="str">
        <f t="shared" si="27"/>
        <v>AX171;</v>
      </c>
    </row>
    <row r="172" spans="1:52" ht="16.5" customHeight="1" thickBot="1">
      <c r="A172" s="666"/>
      <c r="B172" s="311" t="s">
        <v>346</v>
      </c>
      <c r="C172" s="292" t="s">
        <v>131</v>
      </c>
      <c r="D172" s="295" t="str">
        <f t="shared" si="29"/>
        <v/>
      </c>
      <c r="E172" s="110" t="str">
        <f>IF(E171&lt;&gt;"",E171,"")</f>
        <v/>
      </c>
      <c r="F172" s="295" t="s">
        <v>130</v>
      </c>
      <c r="G172" s="313" t="str">
        <f>IF(AND(G171&lt;&gt;"",J172&lt;&gt;""),G171,"")</f>
        <v/>
      </c>
      <c r="H172" s="295" t="s">
        <v>667</v>
      </c>
      <c r="I172" s="295">
        <v>20</v>
      </c>
      <c r="J172" s="340" t="str">
        <f>IF('DANE CONTROLLINGU'!M4&lt;&gt;0,'DANE CONTROLLINGU'!N4,"")</f>
        <v/>
      </c>
      <c r="K172" s="295">
        <f>ROUND('DANE CONTROLLINGU'!L4*1000,3)</f>
        <v>0</v>
      </c>
      <c r="L172" s="293" t="s">
        <v>672</v>
      </c>
      <c r="M172" s="341" t="str">
        <f>IF(T174&lt;&gt;0,ROUND(((100-T174)/T174)*100,2),IF(J172&lt;&gt;"",T172,""))</f>
        <v/>
      </c>
      <c r="N172" s="314" t="str">
        <f>IF(T174&lt;&gt;0,ROUND(((100-T174)/T174)*100,2),IF(J172&lt;&gt;"",T172,""))</f>
        <v/>
      </c>
      <c r="AL172" s="293" t="s">
        <v>130</v>
      </c>
      <c r="AM172" s="293" t="s">
        <v>131</v>
      </c>
      <c r="AQ172" s="429">
        <v>1250</v>
      </c>
      <c r="AR172" s="429">
        <v>750</v>
      </c>
      <c r="AW172" s="299" t="str">
        <f t="shared" si="30"/>
        <v>SVEC</v>
      </c>
      <c r="AX172" s="299" t="str">
        <f t="shared" si="31"/>
        <v/>
      </c>
      <c r="AY172" s="286">
        <f t="shared" si="28"/>
        <v>172</v>
      </c>
      <c r="AZ172" s="319" t="str">
        <f t="shared" si="27"/>
        <v>AX172;</v>
      </c>
    </row>
    <row r="173" spans="1:52" ht="15" customHeight="1" thickBot="1">
      <c r="A173" s="666"/>
      <c r="B173" s="311" t="s">
        <v>346</v>
      </c>
      <c r="C173" s="292" t="s">
        <v>131</v>
      </c>
      <c r="D173" s="295" t="str">
        <f t="shared" si="29"/>
        <v/>
      </c>
      <c r="E173" s="110" t="str">
        <f>IF(E171&lt;&gt;"",E171,"")</f>
        <v/>
      </c>
      <c r="F173" s="295" t="s">
        <v>130</v>
      </c>
      <c r="G173" s="313" t="str">
        <f>IF(AND(G171&lt;&gt;"",J173&lt;&gt;""),G171,"")</f>
        <v/>
      </c>
      <c r="H173" s="295" t="s">
        <v>667</v>
      </c>
      <c r="I173" s="295">
        <v>30</v>
      </c>
      <c r="J173" s="351"/>
      <c r="L173" s="293" t="s">
        <v>672</v>
      </c>
      <c r="M173" s="341" t="str">
        <f>IF(T174&lt;&gt;0,ROUND(((100-T174)/T174)*100,2),IF(J173&lt;&gt;"",T173,""))</f>
        <v/>
      </c>
      <c r="N173" s="314" t="str">
        <f>IF(T174&lt;&gt;0,ROUND(((100-T174)/T174)*100,2),IF(J173&lt;&gt;"",T173,""))</f>
        <v/>
      </c>
      <c r="AL173" s="293" t="s">
        <v>130</v>
      </c>
      <c r="AM173" s="293" t="s">
        <v>131</v>
      </c>
      <c r="AQ173" s="429">
        <v>1250</v>
      </c>
      <c r="AR173" s="429">
        <v>750</v>
      </c>
      <c r="AW173" s="299" t="str">
        <f t="shared" si="30"/>
        <v>SVEC</v>
      </c>
      <c r="AX173" s="299" t="str">
        <f t="shared" si="31"/>
        <v/>
      </c>
      <c r="AY173" s="286">
        <f t="shared" si="28"/>
        <v>173</v>
      </c>
      <c r="AZ173" s="319" t="str">
        <f t="shared" si="27"/>
        <v>AX173;</v>
      </c>
    </row>
    <row r="174" spans="1:52" s="299" customFormat="1" ht="14.25" customHeight="1" thickBot="1">
      <c r="A174" s="667"/>
      <c r="B174" s="337" t="s">
        <v>346</v>
      </c>
      <c r="C174" s="298" t="s">
        <v>131</v>
      </c>
      <c r="D174" s="301" t="str">
        <f t="shared" si="29"/>
        <v/>
      </c>
      <c r="E174" s="299" t="str">
        <f>IF(E171&lt;&gt;"",E171,"")</f>
        <v/>
      </c>
      <c r="F174" s="301" t="s">
        <v>130</v>
      </c>
      <c r="G174" s="338" t="str">
        <f>IF(G171="X","X","")</f>
        <v/>
      </c>
      <c r="H174" s="301" t="s">
        <v>669</v>
      </c>
      <c r="I174" s="301"/>
      <c r="J174" s="301"/>
      <c r="N174" s="339"/>
      <c r="O174" s="303" t="s">
        <v>670</v>
      </c>
      <c r="P174" s="301" t="s">
        <v>130</v>
      </c>
      <c r="Q174" s="303">
        <f>$Q$11</f>
        <v>0</v>
      </c>
      <c r="R174" s="304"/>
      <c r="S174" s="305"/>
      <c r="T174" s="304"/>
      <c r="U174" s="305"/>
      <c r="V174" s="305"/>
      <c r="W174" s="305"/>
      <c r="X174" s="305"/>
      <c r="Y174" s="305"/>
      <c r="Z174" s="305"/>
      <c r="AA174" s="305"/>
      <c r="AB174" s="305"/>
      <c r="AC174" s="305"/>
      <c r="AD174" s="305"/>
      <c r="AL174" s="299" t="s">
        <v>130</v>
      </c>
      <c r="AM174" s="299" t="s">
        <v>131</v>
      </c>
      <c r="AQ174" s="432">
        <v>1250</v>
      </c>
      <c r="AR174" s="432">
        <v>750</v>
      </c>
      <c r="AS174" s="479">
        <v>0</v>
      </c>
      <c r="AT174" s="479">
        <v>0</v>
      </c>
      <c r="AU174" s="432"/>
      <c r="AV174" s="480" t="str">
        <f>IF(AND(AR$1&lt;&gt;0,AT$1&lt;&gt;0),IF(AND($AR$1&lt;=AQ174,$AT$1&lt;=AR174,$AR$1&gt;=AS174,$AT$1&gt;=AT174),"OK","NOK"),"")</f>
        <v>NOK</v>
      </c>
      <c r="AW174" s="299" t="str">
        <f t="shared" si="30"/>
        <v>SVEC</v>
      </c>
      <c r="AX174" s="299" t="str">
        <f t="shared" si="31"/>
        <v>SVEC,</v>
      </c>
      <c r="AY174" s="286">
        <f t="shared" si="28"/>
        <v>174</v>
      </c>
      <c r="AZ174" s="319" t="str">
        <f t="shared" si="27"/>
        <v>AX174;</v>
      </c>
    </row>
    <row r="175" spans="1:52" s="110" customFormat="1" ht="15.75" thickBot="1">
      <c r="A175" s="283"/>
      <c r="B175" s="284" t="s">
        <v>665</v>
      </c>
      <c r="C175" s="356"/>
      <c r="D175" s="355" t="str">
        <f>IF(C175&lt;&gt;"",CONCATENATE("L",C175),"")</f>
        <v/>
      </c>
      <c r="F175" s="262"/>
      <c r="G175" s="329"/>
      <c r="H175" s="262"/>
      <c r="I175" s="262"/>
      <c r="J175" s="262"/>
      <c r="N175" s="314"/>
      <c r="O175" s="262"/>
      <c r="P175" s="262"/>
      <c r="Q175" s="262"/>
      <c r="S175" s="277"/>
      <c r="U175" s="277"/>
      <c r="V175" s="277"/>
      <c r="W175" s="277"/>
      <c r="X175" s="277"/>
      <c r="Y175" s="277"/>
      <c r="Z175" s="277"/>
      <c r="AA175" s="277"/>
      <c r="AB175" s="277"/>
      <c r="AC175" s="277"/>
      <c r="AD175" s="277"/>
      <c r="AF175" s="110">
        <f>MAX(AF176:AF183)</f>
        <v>0</v>
      </c>
      <c r="AG175" s="110">
        <f>_xlfn.IFNA(VLOOKUP($G$175,F176:AF183,27,FALSE),0)</f>
        <v>0</v>
      </c>
      <c r="AN175" s="394" t="str">
        <f>IF(G175&lt;&gt;"",VLOOKUP(G175,$AL$4:$AM$274,2,FALSE),"")</f>
        <v/>
      </c>
      <c r="AO175" s="345" t="e">
        <f>VLOOKUP(AN175,$AO$277:$AQ$291,3,FALSE)</f>
        <v>#N/A</v>
      </c>
      <c r="AP175" s="395" t="str">
        <f>IF(AN175&lt;&gt;"",AN175&amp;", "&amp;AO175,"")</f>
        <v/>
      </c>
      <c r="AQ175" s="426"/>
      <c r="AR175" s="426"/>
      <c r="AS175" s="426"/>
      <c r="AT175" s="426"/>
      <c r="AU175" s="426"/>
      <c r="AV175" s="426"/>
      <c r="AW175" s="299">
        <f t="shared" si="30"/>
        <v>0</v>
      </c>
      <c r="AX175" s="299" t="str">
        <f t="shared" si="31"/>
        <v/>
      </c>
      <c r="AY175" s="286">
        <f t="shared" si="28"/>
        <v>175</v>
      </c>
      <c r="AZ175" s="319" t="str">
        <f t="shared" si="27"/>
        <v>AX175;</v>
      </c>
    </row>
    <row r="176" spans="1:52" s="286" customFormat="1" ht="15" customHeight="1" thickBot="1">
      <c r="A176" s="665" t="s">
        <v>75</v>
      </c>
      <c r="B176" s="308" t="s">
        <v>344</v>
      </c>
      <c r="C176" s="285" t="s">
        <v>127</v>
      </c>
      <c r="D176" s="289" t="str">
        <f t="shared" ref="D176:D183" si="32">$D$175</f>
        <v/>
      </c>
      <c r="E176" s="287" t="str">
        <f>IFERROR(IF($G$175&lt;&gt;"",IF(G176="x",IF(F176=$G$175,"V1",IF(AF176=1,"V2",IF(AND(AF176=$AF$175,AF176&lt;&gt;1),"V"&amp;$AG$175+1,"V"&amp;AF176+1))),""),""),"Wprowadź urządzenie bazowe")</f>
        <v/>
      </c>
      <c r="F176" s="289" t="s">
        <v>126</v>
      </c>
      <c r="G176" s="309"/>
      <c r="H176" s="289" t="s">
        <v>667</v>
      </c>
      <c r="I176" s="289">
        <v>10</v>
      </c>
      <c r="J176" s="286" t="str">
        <f>IFERROR(IF(VALUE(MID(D175,2,2))&lt;9,"$HLB1-L0"&amp;(RIGHT(D175,1)+1),"$HLB1-L"&amp;(MID(D175,2,2)+1)),"Uzupełnij poziom")</f>
        <v>Uzupełnij poziom</v>
      </c>
      <c r="K176" s="286">
        <v>1000</v>
      </c>
      <c r="L176" s="286" t="s">
        <v>668</v>
      </c>
      <c r="M176" s="287"/>
      <c r="N176" s="310">
        <f>IF(T177&lt;&gt;0,ROUND(((100-T177)/T177)*100,2),IF(J176&lt;&gt;"",T176,""))</f>
        <v>0</v>
      </c>
      <c r="O176" s="289"/>
      <c r="P176" s="289"/>
      <c r="Q176" s="289"/>
      <c r="S176" s="291"/>
      <c r="U176" s="291"/>
      <c r="V176" s="291"/>
      <c r="W176" s="291"/>
      <c r="X176" s="291"/>
      <c r="Y176" s="291"/>
      <c r="Z176" s="291"/>
      <c r="AA176" s="291"/>
      <c r="AB176" s="291"/>
      <c r="AC176" s="291"/>
      <c r="AD176" s="291"/>
      <c r="AE176" s="286" t="str">
        <f>UPPER(G176)</f>
        <v/>
      </c>
      <c r="AF176" s="286">
        <f>COUNTIF($AE$176:AE177,"X")</f>
        <v>0</v>
      </c>
      <c r="AL176" s="286" t="s">
        <v>126</v>
      </c>
      <c r="AM176" s="286" t="s">
        <v>127</v>
      </c>
      <c r="AQ176" s="430">
        <v>1850</v>
      </c>
      <c r="AR176" s="430">
        <v>1000</v>
      </c>
      <c r="AS176" s="430"/>
      <c r="AT176" s="430"/>
      <c r="AU176" s="430"/>
      <c r="AV176" s="430"/>
      <c r="AW176" s="299" t="str">
        <f t="shared" si="30"/>
        <v>JB01</v>
      </c>
      <c r="AX176" s="299" t="str">
        <f t="shared" si="31"/>
        <v/>
      </c>
      <c r="AY176" s="286">
        <f t="shared" si="28"/>
        <v>176</v>
      </c>
      <c r="AZ176" s="319" t="str">
        <f t="shared" si="27"/>
        <v>AX176;</v>
      </c>
    </row>
    <row r="177" spans="1:52" s="319" customFormat="1" ht="15.75" thickBot="1">
      <c r="A177" s="666"/>
      <c r="B177" s="315" t="s">
        <v>344</v>
      </c>
      <c r="C177" s="316" t="s">
        <v>127</v>
      </c>
      <c r="D177" s="317" t="str">
        <f t="shared" si="32"/>
        <v/>
      </c>
      <c r="E177" s="110" t="str">
        <f>IF(E176&lt;&gt;"",E176,"")</f>
        <v/>
      </c>
      <c r="F177" s="317" t="s">
        <v>126</v>
      </c>
      <c r="G177" s="318" t="str">
        <f>IF(G176="X","X","")</f>
        <v/>
      </c>
      <c r="H177" s="317" t="s">
        <v>669</v>
      </c>
      <c r="I177" s="317"/>
      <c r="J177" s="317"/>
      <c r="N177" s="314"/>
      <c r="O177" s="320" t="s">
        <v>670</v>
      </c>
      <c r="P177" s="317" t="s">
        <v>126</v>
      </c>
      <c r="Q177" s="320">
        <f>$Q$11</f>
        <v>0</v>
      </c>
      <c r="R177" s="323"/>
      <c r="S177" s="324"/>
      <c r="T177" s="323"/>
      <c r="U177" s="324"/>
      <c r="V177" s="324"/>
      <c r="W177" s="325"/>
      <c r="X177" s="325"/>
      <c r="Y177" s="324"/>
      <c r="Z177" s="325"/>
      <c r="AA177" s="325"/>
      <c r="AB177" s="325"/>
      <c r="AC177" s="324">
        <v>0</v>
      </c>
      <c r="AD177" s="324">
        <v>0</v>
      </c>
      <c r="AL177" s="319" t="s">
        <v>126</v>
      </c>
      <c r="AM177" s="319" t="s">
        <v>127</v>
      </c>
      <c r="AQ177" s="431">
        <v>1850</v>
      </c>
      <c r="AR177" s="431">
        <v>1000</v>
      </c>
      <c r="AS177" s="479">
        <v>0</v>
      </c>
      <c r="AT177" s="479">
        <v>0</v>
      </c>
      <c r="AU177" s="431"/>
      <c r="AV177" s="480" t="str">
        <f>IF(AND(AR$1&lt;&gt;0,AT$1&lt;&gt;0),IF(AND($AR$1&lt;=AQ177,$AT$1&lt;=AR177,$AR$1&gt;=AS177,$AT$1&gt;=AT177),"OK","NOK"),"")</f>
        <v>OK</v>
      </c>
      <c r="AW177" s="299" t="str">
        <f t="shared" si="30"/>
        <v>JB01</v>
      </c>
      <c r="AX177" s="299" t="str">
        <f t="shared" si="31"/>
        <v/>
      </c>
      <c r="AY177" s="286">
        <f t="shared" si="28"/>
        <v>177</v>
      </c>
      <c r="AZ177" s="319" t="str">
        <f t="shared" si="27"/>
        <v>AX177;</v>
      </c>
    </row>
    <row r="178" spans="1:52" s="286" customFormat="1" ht="15" customHeight="1" thickBot="1">
      <c r="A178" s="666"/>
      <c r="B178" s="308" t="s">
        <v>345</v>
      </c>
      <c r="C178" s="285" t="s">
        <v>129</v>
      </c>
      <c r="D178" s="289" t="str">
        <f t="shared" si="32"/>
        <v/>
      </c>
      <c r="E178" s="287" t="str">
        <f>IFERROR(IF($G$175&lt;&gt;"",IF(G178="x",IF(F178=$G$175,"V1",IF(AF178=1,"V2",IF(AND(AF178=$AF$175,AF178&lt;&gt;1),"V"&amp;$AG$175+1,"V"&amp;AF178+1))),""),""),"Wprowadź urządzenie bazowe")</f>
        <v/>
      </c>
      <c r="F178" s="289" t="s">
        <v>128</v>
      </c>
      <c r="G178" s="309"/>
      <c r="H178" s="289" t="s">
        <v>667</v>
      </c>
      <c r="I178" s="289">
        <v>10</v>
      </c>
      <c r="J178" s="286" t="str">
        <f>IFERROR(IF(VALUE(MID(D175,2,2))&lt;9,"$HLB1-L0"&amp;(RIGHT(D175,1)+1),"$HLB1-L"&amp;(MID(D175,2,2)+1)),"Uzupełnij poziom")</f>
        <v>Uzupełnij poziom</v>
      </c>
      <c r="K178" s="286">
        <v>1000</v>
      </c>
      <c r="L178" s="286" t="s">
        <v>668</v>
      </c>
      <c r="M178" s="287"/>
      <c r="N178" s="310">
        <f>IF(T179&lt;&gt;0,ROUND(((100-T179)/T179)*100,2),IF(J178&lt;&gt;"",T178,""))</f>
        <v>0</v>
      </c>
      <c r="O178" s="289"/>
      <c r="P178" s="289"/>
      <c r="Q178" s="289"/>
      <c r="S178" s="291"/>
      <c r="U178" s="291"/>
      <c r="V178" s="291"/>
      <c r="W178" s="291"/>
      <c r="X178" s="291"/>
      <c r="Y178" s="291"/>
      <c r="Z178" s="291"/>
      <c r="AA178" s="291"/>
      <c r="AB178" s="291"/>
      <c r="AC178" s="291"/>
      <c r="AD178" s="291"/>
      <c r="AE178" s="286" t="str">
        <f>UPPER(G178)</f>
        <v/>
      </c>
      <c r="AF178" s="286">
        <f>COUNTIF($AE$176:AE179,"X")</f>
        <v>0</v>
      </c>
      <c r="AL178" s="286" t="s">
        <v>128</v>
      </c>
      <c r="AM178" s="286" t="s">
        <v>129</v>
      </c>
      <c r="AQ178" s="430">
        <v>1800</v>
      </c>
      <c r="AR178" s="430">
        <v>1100</v>
      </c>
      <c r="AS178" s="430"/>
      <c r="AT178" s="430"/>
      <c r="AU178" s="430"/>
      <c r="AV178" s="430"/>
      <c r="AW178" s="299" t="str">
        <f t="shared" si="30"/>
        <v>JB02</v>
      </c>
      <c r="AX178" s="299" t="str">
        <f t="shared" si="31"/>
        <v/>
      </c>
      <c r="AY178" s="286">
        <f t="shared" si="28"/>
        <v>178</v>
      </c>
      <c r="AZ178" s="319" t="str">
        <f t="shared" si="27"/>
        <v>AX178;</v>
      </c>
    </row>
    <row r="179" spans="1:52" s="319" customFormat="1" ht="15.75" thickBot="1">
      <c r="A179" s="666"/>
      <c r="B179" s="315" t="s">
        <v>345</v>
      </c>
      <c r="C179" s="316" t="s">
        <v>129</v>
      </c>
      <c r="D179" s="317" t="str">
        <f t="shared" si="32"/>
        <v/>
      </c>
      <c r="E179" s="110" t="str">
        <f t="shared" ref="E179" si="33">IF(E178&lt;&gt;"",E178,"")</f>
        <v/>
      </c>
      <c r="F179" s="317" t="s">
        <v>128</v>
      </c>
      <c r="G179" s="318" t="str">
        <f>IF(G178="X","X","")</f>
        <v/>
      </c>
      <c r="H179" s="317" t="s">
        <v>669</v>
      </c>
      <c r="I179" s="317"/>
      <c r="J179" s="317"/>
      <c r="N179" s="314"/>
      <c r="O179" s="320" t="s">
        <v>670</v>
      </c>
      <c r="P179" s="317" t="s">
        <v>128</v>
      </c>
      <c r="Q179" s="320">
        <f>$Q$11</f>
        <v>0</v>
      </c>
      <c r="R179" s="323"/>
      <c r="S179" s="324"/>
      <c r="T179" s="323"/>
      <c r="U179" s="324"/>
      <c r="V179" s="324"/>
      <c r="W179" s="325"/>
      <c r="X179" s="325"/>
      <c r="Y179" s="324"/>
      <c r="Z179" s="325"/>
      <c r="AA179" s="325"/>
      <c r="AB179" s="325"/>
      <c r="AC179" s="324">
        <v>0</v>
      </c>
      <c r="AD179" s="324">
        <v>0</v>
      </c>
      <c r="AL179" s="319" t="s">
        <v>128</v>
      </c>
      <c r="AM179" s="319" t="s">
        <v>129</v>
      </c>
      <c r="AQ179" s="431">
        <v>1800</v>
      </c>
      <c r="AR179" s="431">
        <v>1100</v>
      </c>
      <c r="AS179" s="479">
        <v>0</v>
      </c>
      <c r="AT179" s="479">
        <v>0</v>
      </c>
      <c r="AU179" s="431"/>
      <c r="AV179" s="480" t="str">
        <f>IF(AND(AR$1&lt;&gt;0,AT$1&lt;&gt;0),IF(AND($AR$1&lt;=AQ179,$AT$1&lt;=AR179,$AR$1&gt;=AS179,$AT$1&gt;=AT179),"OK","NOK"),"")</f>
        <v>OK</v>
      </c>
      <c r="AW179" s="299" t="str">
        <f t="shared" si="30"/>
        <v>JB02</v>
      </c>
      <c r="AX179" s="299" t="str">
        <f t="shared" si="31"/>
        <v/>
      </c>
      <c r="AY179" s="286">
        <f t="shared" si="28"/>
        <v>179</v>
      </c>
      <c r="AZ179" s="319" t="str">
        <f t="shared" si="27"/>
        <v>AX179;</v>
      </c>
    </row>
    <row r="180" spans="1:52" s="286" customFormat="1" ht="15" customHeight="1" thickBot="1">
      <c r="A180" s="666"/>
      <c r="B180" s="308" t="s">
        <v>353</v>
      </c>
      <c r="C180" s="285" t="s">
        <v>153</v>
      </c>
      <c r="D180" s="289" t="str">
        <f t="shared" si="32"/>
        <v/>
      </c>
      <c r="E180" s="287" t="str">
        <f>IFERROR(IF($G$175&lt;&gt;"",IF(G180="x",IF(F180=$G$175,"V1",IF(AF180=1,"V2",IF(AND(AF180=$AF$175,AF180&lt;&gt;1),"V"&amp;$AG$175+1,"V"&amp;AF180+1))),""),""),"Wprowadź urządzenie bazowe")</f>
        <v/>
      </c>
      <c r="F180" s="289" t="s">
        <v>152</v>
      </c>
      <c r="G180" s="309"/>
      <c r="H180" s="289" t="s">
        <v>667</v>
      </c>
      <c r="I180" s="289">
        <v>10</v>
      </c>
      <c r="J180" s="286" t="str">
        <f>IFERROR(IF(VALUE(MID(D175,2,2))&lt;9,"$HLB1-L0"&amp;(RIGHT(D175,1)+1),"$HLB1-L"&amp;(MID(D175,2,2)+1)),"Uzupełnij poziom")</f>
        <v>Uzupełnij poziom</v>
      </c>
      <c r="K180" s="286">
        <v>1000</v>
      </c>
      <c r="L180" s="286" t="s">
        <v>668</v>
      </c>
      <c r="M180" s="287"/>
      <c r="N180" s="310">
        <f>IF(T181&lt;&gt;0,ROUND(((100-T181)/T181)*100,2),IF(J180&lt;&gt;"",T180,""))</f>
        <v>0</v>
      </c>
      <c r="O180" s="289"/>
      <c r="P180" s="289"/>
      <c r="Q180" s="289"/>
      <c r="S180" s="291"/>
      <c r="U180" s="291"/>
      <c r="V180" s="291"/>
      <c r="W180" s="291"/>
      <c r="X180" s="291"/>
      <c r="Y180" s="291"/>
      <c r="Z180" s="291"/>
      <c r="AA180" s="291"/>
      <c r="AB180" s="291"/>
      <c r="AC180" s="291"/>
      <c r="AD180" s="291"/>
      <c r="AE180" s="286" t="str">
        <f>UPPER(G180)</f>
        <v/>
      </c>
      <c r="AF180" s="286">
        <f>COUNTIF($AE$176:AE181,"X")</f>
        <v>0</v>
      </c>
      <c r="AL180" s="286" t="s">
        <v>152</v>
      </c>
      <c r="AM180" s="286" t="s">
        <v>153</v>
      </c>
      <c r="AQ180" s="430">
        <v>2200</v>
      </c>
      <c r="AR180" s="430">
        <v>1460</v>
      </c>
      <c r="AS180" s="430"/>
      <c r="AT180" s="430"/>
      <c r="AU180" s="430"/>
      <c r="AV180" s="430"/>
      <c r="AW180" s="299" t="str">
        <f t="shared" si="30"/>
        <v>JB03</v>
      </c>
      <c r="AX180" s="299" t="str">
        <f t="shared" si="31"/>
        <v/>
      </c>
      <c r="AY180" s="286">
        <f t="shared" si="28"/>
        <v>180</v>
      </c>
      <c r="AZ180" s="319" t="str">
        <f t="shared" si="27"/>
        <v>AX180;</v>
      </c>
    </row>
    <row r="181" spans="1:52" s="319" customFormat="1" ht="15.75" thickBot="1">
      <c r="A181" s="666"/>
      <c r="B181" s="315" t="s">
        <v>353</v>
      </c>
      <c r="C181" s="316" t="s">
        <v>153</v>
      </c>
      <c r="D181" s="317" t="str">
        <f t="shared" si="32"/>
        <v/>
      </c>
      <c r="E181" s="110" t="str">
        <f t="shared" ref="E181" si="34">IF(E180&lt;&gt;"",E180,"")</f>
        <v/>
      </c>
      <c r="F181" s="317" t="s">
        <v>152</v>
      </c>
      <c r="G181" s="318" t="str">
        <f>IF(G180="X","X","")</f>
        <v/>
      </c>
      <c r="H181" s="317" t="s">
        <v>669</v>
      </c>
      <c r="I181" s="317"/>
      <c r="J181" s="317"/>
      <c r="N181" s="314"/>
      <c r="O181" s="320" t="s">
        <v>670</v>
      </c>
      <c r="P181" s="317" t="s">
        <v>152</v>
      </c>
      <c r="Q181" s="320">
        <f>$Q$11</f>
        <v>0</v>
      </c>
      <c r="R181" s="323"/>
      <c r="S181" s="324"/>
      <c r="T181" s="323"/>
      <c r="U181" s="324"/>
      <c r="V181" s="324"/>
      <c r="W181" s="325"/>
      <c r="X181" s="325"/>
      <c r="Y181" s="324"/>
      <c r="Z181" s="325"/>
      <c r="AA181" s="325"/>
      <c r="AB181" s="325"/>
      <c r="AC181" s="324">
        <v>0</v>
      </c>
      <c r="AD181" s="324">
        <v>0</v>
      </c>
      <c r="AL181" s="319" t="s">
        <v>152</v>
      </c>
      <c r="AM181" s="319" t="s">
        <v>153</v>
      </c>
      <c r="AQ181" s="431">
        <v>2200</v>
      </c>
      <c r="AR181" s="431">
        <v>1460</v>
      </c>
      <c r="AS181" s="479">
        <v>0</v>
      </c>
      <c r="AT181" s="479">
        <v>0</v>
      </c>
      <c r="AU181" s="431"/>
      <c r="AV181" s="480" t="str">
        <f>IF(AND(AR$1&lt;&gt;0,AT$1&lt;&gt;0),IF(AND($AR$1&lt;=AQ181,$AT$1&lt;=AR181,$AR$1&gt;=AS181,$AT$1&gt;=AT181),"OK","NOK"),"")</f>
        <v>OK</v>
      </c>
      <c r="AW181" s="299" t="str">
        <f t="shared" si="30"/>
        <v>JB03</v>
      </c>
      <c r="AX181" s="299" t="str">
        <f t="shared" si="31"/>
        <v/>
      </c>
      <c r="AY181" s="286">
        <f t="shared" si="28"/>
        <v>181</v>
      </c>
      <c r="AZ181" s="319" t="str">
        <f t="shared" si="27"/>
        <v>AX181;</v>
      </c>
    </row>
    <row r="182" spans="1:52" s="286" customFormat="1" ht="15" customHeight="1" thickBot="1">
      <c r="A182" s="666"/>
      <c r="B182" s="308" t="s">
        <v>356</v>
      </c>
      <c r="C182" s="285" t="s">
        <v>355</v>
      </c>
      <c r="D182" s="289" t="str">
        <f t="shared" si="32"/>
        <v/>
      </c>
      <c r="E182" s="287" t="str">
        <f>IFERROR(IF($G$175&lt;&gt;"",IF(G182="x",IF(F182=$G$175,"V1",IF(AF182=1,"V2",IF(AND(AF182=$AF$175,AF182&lt;&gt;1),"V"&amp;$AG$175+1,"V"&amp;AF182+1))),""),""),"Wprowadź urządzenie bazowe")</f>
        <v/>
      </c>
      <c r="F182" s="289" t="s">
        <v>354</v>
      </c>
      <c r="G182" s="309" t="str">
        <f>IF($G$175=F182,"X","")</f>
        <v/>
      </c>
      <c r="H182" s="289" t="s">
        <v>667</v>
      </c>
      <c r="I182" s="289">
        <v>10</v>
      </c>
      <c r="J182" s="286" t="str">
        <f>IFERROR(IF(VALUE(MID(D175,2,2))&lt;9,"$HLB1-L0"&amp;(RIGHT(D175,1)+1),"$HLB1-L"&amp;(MID(D175,2,2)+1)),"Uzupełnij poziom")</f>
        <v>Uzupełnij poziom</v>
      </c>
      <c r="K182" s="286">
        <v>1000</v>
      </c>
      <c r="L182" s="286" t="s">
        <v>668</v>
      </c>
      <c r="M182" s="287"/>
      <c r="N182" s="310">
        <f>IF(T183&lt;&gt;0,ROUND(((100-T183)/T183)*100,2),IF(J182&lt;&gt;"",T182,""))</f>
        <v>0</v>
      </c>
      <c r="O182" s="289"/>
      <c r="P182" s="289"/>
      <c r="Q182" s="289"/>
      <c r="S182" s="291"/>
      <c r="U182" s="291"/>
      <c r="V182" s="291"/>
      <c r="W182" s="291"/>
      <c r="X182" s="291"/>
      <c r="Y182" s="291"/>
      <c r="Z182" s="291"/>
      <c r="AA182" s="291"/>
      <c r="AB182" s="291"/>
      <c r="AC182" s="291"/>
      <c r="AD182" s="291"/>
      <c r="AE182" s="286" t="str">
        <f>UPPER(G182)</f>
        <v/>
      </c>
      <c r="AF182" s="286">
        <f>COUNTIF($AE$176:AE183,"X")</f>
        <v>0</v>
      </c>
      <c r="AL182" s="286" t="s">
        <v>354</v>
      </c>
      <c r="AM182" s="286" t="s">
        <v>355</v>
      </c>
      <c r="AQ182" s="430"/>
      <c r="AR182" s="430"/>
      <c r="AS182" s="430"/>
      <c r="AT182" s="430"/>
      <c r="AU182" s="430"/>
      <c r="AV182" s="430"/>
      <c r="AW182" s="299" t="str">
        <f t="shared" si="30"/>
        <v>JB04</v>
      </c>
      <c r="AX182" s="299" t="str">
        <f t="shared" si="31"/>
        <v/>
      </c>
      <c r="AY182" s="286">
        <f t="shared" si="28"/>
        <v>182</v>
      </c>
      <c r="AZ182" s="319" t="str">
        <f t="shared" si="27"/>
        <v>AX182;</v>
      </c>
    </row>
    <row r="183" spans="1:52" s="299" customFormat="1" ht="15.75" thickBot="1">
      <c r="A183" s="667"/>
      <c r="B183" s="337" t="s">
        <v>356</v>
      </c>
      <c r="C183" s="298" t="s">
        <v>355</v>
      </c>
      <c r="D183" s="301" t="str">
        <f t="shared" si="32"/>
        <v/>
      </c>
      <c r="E183" s="299" t="str">
        <f>IF(E182&lt;&gt;"",E182,"")</f>
        <v/>
      </c>
      <c r="F183" s="301" t="s">
        <v>354</v>
      </c>
      <c r="G183" s="338" t="str">
        <f>IF(G182="X","X","")</f>
        <v/>
      </c>
      <c r="H183" s="301" t="s">
        <v>669</v>
      </c>
      <c r="I183" s="301"/>
      <c r="J183" s="301"/>
      <c r="N183" s="339"/>
      <c r="O183" s="303" t="s">
        <v>670</v>
      </c>
      <c r="P183" s="301" t="s">
        <v>354</v>
      </c>
      <c r="Q183" s="303">
        <f>$Q$11</f>
        <v>0</v>
      </c>
      <c r="R183" s="304"/>
      <c r="S183" s="305"/>
      <c r="T183" s="304"/>
      <c r="U183" s="305"/>
      <c r="V183" s="305"/>
      <c r="W183" s="342"/>
      <c r="X183" s="342"/>
      <c r="Y183" s="305"/>
      <c r="Z183" s="342"/>
      <c r="AA183" s="342"/>
      <c r="AB183" s="342"/>
      <c r="AC183" s="305">
        <v>0</v>
      </c>
      <c r="AD183" s="305">
        <v>0</v>
      </c>
      <c r="AL183" s="299" t="s">
        <v>354</v>
      </c>
      <c r="AM183" s="299" t="s">
        <v>355</v>
      </c>
      <c r="AQ183" s="432"/>
      <c r="AR183" s="432"/>
      <c r="AS183" s="479">
        <v>0</v>
      </c>
      <c r="AT183" s="479">
        <v>0</v>
      </c>
      <c r="AU183" s="432"/>
      <c r="AV183" s="480" t="str">
        <f>IF(AND(AR$1&lt;&gt;0,AT$1&lt;&gt;0),IF(AND($AR$1&lt;=AQ183,$AT$1&lt;=AR183,$AR$1&gt;=AS183,$AT$1&gt;=AT183),"OK","NOK"),"")</f>
        <v>NOK</v>
      </c>
      <c r="AW183" s="299" t="str">
        <f t="shared" si="30"/>
        <v>JB04</v>
      </c>
      <c r="AX183" s="299" t="str">
        <f t="shared" si="31"/>
        <v>JB04,</v>
      </c>
      <c r="AY183" s="286">
        <f t="shared" si="28"/>
        <v>183</v>
      </c>
      <c r="AZ183" s="319" t="str">
        <f t="shared" si="27"/>
        <v>AX183;</v>
      </c>
    </row>
    <row r="184" spans="1:52" s="110" customFormat="1" ht="15.75" thickBot="1">
      <c r="A184" s="283"/>
      <c r="B184" s="284" t="s">
        <v>665</v>
      </c>
      <c r="C184" s="356"/>
      <c r="D184" s="355" t="str">
        <f>IF(C184&lt;&gt;"",CONCATENATE("L",C184),"")</f>
        <v/>
      </c>
      <c r="F184" s="262"/>
      <c r="G184" s="329"/>
      <c r="H184" s="262"/>
      <c r="I184" s="262"/>
      <c r="J184" s="262"/>
      <c r="N184" s="314"/>
      <c r="O184" s="262"/>
      <c r="P184" s="262"/>
      <c r="Q184" s="262"/>
      <c r="S184" s="277"/>
      <c r="U184" s="277"/>
      <c r="V184" s="277"/>
      <c r="W184" s="277"/>
      <c r="X184" s="277"/>
      <c r="Y184" s="277"/>
      <c r="Z184" s="277"/>
      <c r="AA184" s="277"/>
      <c r="AB184" s="277"/>
      <c r="AC184" s="277"/>
      <c r="AD184" s="277"/>
      <c r="AF184" s="110">
        <f>MAX(AF185:AF192)</f>
        <v>0</v>
      </c>
      <c r="AG184" s="110">
        <f>_xlfn.IFNA(VLOOKUP($G$184,F185:AF192,27,FALSE),0)</f>
        <v>0</v>
      </c>
      <c r="AN184" s="394" t="str">
        <f>IF(G184&lt;&gt;"",VLOOKUP(G184,$AL$4:$AM$274,2,FALSE),"")</f>
        <v/>
      </c>
      <c r="AO184" s="345" t="e">
        <f>VLOOKUP(AN184,$AO$277:$AQ$291,3,FALSE)</f>
        <v>#N/A</v>
      </c>
      <c r="AP184" s="395" t="str">
        <f>IF(AN184&lt;&gt;"",AN184&amp;", "&amp;AO184,"")</f>
        <v/>
      </c>
      <c r="AQ184" s="426"/>
      <c r="AR184" s="426"/>
      <c r="AS184" s="426"/>
      <c r="AT184" s="426"/>
      <c r="AU184" s="426"/>
      <c r="AV184" s="426"/>
      <c r="AW184" s="299">
        <f t="shared" si="30"/>
        <v>0</v>
      </c>
      <c r="AX184" s="299" t="str">
        <f t="shared" si="31"/>
        <v/>
      </c>
      <c r="AY184" s="286">
        <f t="shared" si="28"/>
        <v>184</v>
      </c>
      <c r="AZ184" s="319" t="str">
        <f t="shared" si="27"/>
        <v>AX184;</v>
      </c>
    </row>
    <row r="185" spans="1:52" s="286" customFormat="1" ht="15" customHeight="1" thickBot="1">
      <c r="A185" s="665" t="s">
        <v>75</v>
      </c>
      <c r="B185" s="308" t="s">
        <v>344</v>
      </c>
      <c r="C185" s="285" t="s">
        <v>127</v>
      </c>
      <c r="D185" s="289" t="str">
        <f t="shared" ref="D185:D192" si="35">$D$184</f>
        <v/>
      </c>
      <c r="E185" s="287" t="str">
        <f>IFERROR(IF($G$184&lt;&gt;"",IF(G185="x",IF(F185=$G$184,"V1",IF(AF185=1,"V2",IF(AND(AF185=$AF$184,AF185&lt;&gt;1),"V"&amp;$AG$184+1,"V"&amp;AF185+1))),""),""),"Wprowadź urządzenie bazowe")</f>
        <v/>
      </c>
      <c r="F185" s="289" t="s">
        <v>126</v>
      </c>
      <c r="G185" s="309" t="str">
        <f>IF($G$184=F185,"X","")</f>
        <v/>
      </c>
      <c r="H185" s="289" t="s">
        <v>667</v>
      </c>
      <c r="I185" s="289">
        <v>10</v>
      </c>
      <c r="J185" s="286" t="str">
        <f>IFERROR(IF(VALUE(MID(D184,2,2))&lt;9,"$HLB1-L0"&amp;(RIGHT(D184,1)+1),"$HLB1-L"&amp;(MID(D184,2,2)+1)),"Uzupełnij poziom")</f>
        <v>Uzupełnij poziom</v>
      </c>
      <c r="K185" s="286">
        <v>1000</v>
      </c>
      <c r="L185" s="286" t="s">
        <v>668</v>
      </c>
      <c r="M185" s="287"/>
      <c r="N185" s="310">
        <f>IF(T186&lt;&gt;0,ROUND(((100-T186)/T186)*100,2),IF(J185&lt;&gt;"",T185,""))</f>
        <v>0</v>
      </c>
      <c r="O185" s="289"/>
      <c r="P185" s="289"/>
      <c r="Q185" s="289"/>
      <c r="S185" s="291"/>
      <c r="U185" s="291"/>
      <c r="V185" s="291"/>
      <c r="W185" s="291"/>
      <c r="X185" s="291"/>
      <c r="Y185" s="291"/>
      <c r="Z185" s="291"/>
      <c r="AA185" s="291"/>
      <c r="AB185" s="291"/>
      <c r="AC185" s="291"/>
      <c r="AD185" s="291"/>
      <c r="AE185" s="286" t="str">
        <f>UPPER(G185)</f>
        <v/>
      </c>
      <c r="AF185" s="286">
        <f>COUNTIF($AE$185:AE186,"X")</f>
        <v>0</v>
      </c>
      <c r="AL185" s="286" t="s">
        <v>126</v>
      </c>
      <c r="AM185" s="286" t="s">
        <v>127</v>
      </c>
      <c r="AQ185" s="430">
        <v>1850</v>
      </c>
      <c r="AR185" s="430">
        <v>1000</v>
      </c>
      <c r="AS185" s="430"/>
      <c r="AT185" s="430"/>
      <c r="AU185" s="430"/>
      <c r="AV185" s="430"/>
      <c r="AW185" s="299" t="str">
        <f t="shared" si="30"/>
        <v>JB01</v>
      </c>
      <c r="AX185" s="299" t="str">
        <f t="shared" si="31"/>
        <v/>
      </c>
      <c r="AY185" s="286">
        <f t="shared" si="28"/>
        <v>185</v>
      </c>
      <c r="AZ185" s="319" t="str">
        <f t="shared" si="27"/>
        <v>AX185;</v>
      </c>
    </row>
    <row r="186" spans="1:52" s="319" customFormat="1" ht="15.75" thickBot="1">
      <c r="A186" s="666"/>
      <c r="B186" s="315" t="s">
        <v>344</v>
      </c>
      <c r="C186" s="316" t="s">
        <v>127</v>
      </c>
      <c r="D186" s="317" t="str">
        <f t="shared" si="35"/>
        <v/>
      </c>
      <c r="E186" s="110" t="str">
        <f>IF(E185&lt;&gt;"",E185,"")</f>
        <v/>
      </c>
      <c r="F186" s="317" t="s">
        <v>126</v>
      </c>
      <c r="G186" s="318" t="str">
        <f>IF(G185="X","X","")</f>
        <v/>
      </c>
      <c r="H186" s="317" t="s">
        <v>669</v>
      </c>
      <c r="I186" s="317"/>
      <c r="J186" s="317"/>
      <c r="N186" s="314"/>
      <c r="O186" s="320" t="s">
        <v>670</v>
      </c>
      <c r="P186" s="317" t="s">
        <v>126</v>
      </c>
      <c r="Q186" s="320">
        <f>$Q$11</f>
        <v>0</v>
      </c>
      <c r="R186" s="323"/>
      <c r="S186" s="324"/>
      <c r="T186" s="323"/>
      <c r="U186" s="324"/>
      <c r="V186" s="324"/>
      <c r="W186" s="325"/>
      <c r="X186" s="325"/>
      <c r="Y186" s="324"/>
      <c r="Z186" s="325"/>
      <c r="AA186" s="325"/>
      <c r="AB186" s="325"/>
      <c r="AC186" s="324">
        <v>0</v>
      </c>
      <c r="AD186" s="324">
        <v>0</v>
      </c>
      <c r="AL186" s="319" t="s">
        <v>126</v>
      </c>
      <c r="AM186" s="319" t="s">
        <v>127</v>
      </c>
      <c r="AQ186" s="431">
        <v>1850</v>
      </c>
      <c r="AR186" s="431">
        <v>1000</v>
      </c>
      <c r="AS186" s="479">
        <v>0</v>
      </c>
      <c r="AT186" s="479">
        <v>0</v>
      </c>
      <c r="AU186" s="431"/>
      <c r="AV186" s="480" t="str">
        <f>IF(AND(AR$1&lt;&gt;0,AT$1&lt;&gt;0),IF(AND($AR$1&lt;=AQ186,$AT$1&lt;=AR186,$AR$1&gt;=AS186,$AT$1&gt;=AT186),"OK","NOK"),"")</f>
        <v>OK</v>
      </c>
      <c r="AW186" s="299" t="str">
        <f t="shared" si="30"/>
        <v>JB01</v>
      </c>
      <c r="AX186" s="299" t="str">
        <f t="shared" si="31"/>
        <v/>
      </c>
      <c r="AY186" s="286">
        <f t="shared" si="28"/>
        <v>186</v>
      </c>
      <c r="AZ186" s="319" t="str">
        <f t="shared" si="27"/>
        <v>AX186;</v>
      </c>
    </row>
    <row r="187" spans="1:52" s="286" customFormat="1" ht="15" customHeight="1" thickBot="1">
      <c r="A187" s="666"/>
      <c r="B187" s="308" t="s">
        <v>345</v>
      </c>
      <c r="C187" s="285" t="s">
        <v>129</v>
      </c>
      <c r="D187" s="289" t="str">
        <f t="shared" si="35"/>
        <v/>
      </c>
      <c r="E187" s="287" t="str">
        <f>IFERROR(IF($G$184&lt;&gt;"",IF(G187="x",IF(F187=$G$184,"V1",IF(AF187=1,"V2",IF(AND(AF187=$AF$184,AF187&lt;&gt;1),"V"&amp;$AG$184+1,"V"&amp;AF187+1))),""),""),"Wprowadź urządzenie bazowe")</f>
        <v/>
      </c>
      <c r="F187" s="289" t="s">
        <v>128</v>
      </c>
      <c r="G187" s="309" t="str">
        <f>IF($G$184=F187,"X","")</f>
        <v/>
      </c>
      <c r="H187" s="289" t="s">
        <v>667</v>
      </c>
      <c r="I187" s="289">
        <v>10</v>
      </c>
      <c r="J187" s="286" t="str">
        <f>IFERROR(IF(VALUE(MID(D184,2,2))&lt;9,"$HLB1-L0"&amp;(RIGHT(D184,1)+1),"$HLB1-L"&amp;(MID(D184,2,2)+1)),"Uzupełnij poziom")</f>
        <v>Uzupełnij poziom</v>
      </c>
      <c r="K187" s="286">
        <v>1000</v>
      </c>
      <c r="L187" s="286" t="s">
        <v>668</v>
      </c>
      <c r="M187" s="287"/>
      <c r="N187" s="310">
        <f>IF(T188&lt;&gt;0,ROUND(((100-T188)/T188)*100,2),IF(J187&lt;&gt;"",T187,""))</f>
        <v>0</v>
      </c>
      <c r="O187" s="289"/>
      <c r="P187" s="289"/>
      <c r="Q187" s="289"/>
      <c r="S187" s="291"/>
      <c r="U187" s="291"/>
      <c r="V187" s="291"/>
      <c r="W187" s="291"/>
      <c r="X187" s="291"/>
      <c r="Y187" s="291"/>
      <c r="Z187" s="291"/>
      <c r="AA187" s="291"/>
      <c r="AB187" s="291"/>
      <c r="AC187" s="291"/>
      <c r="AD187" s="291"/>
      <c r="AE187" s="286" t="str">
        <f>UPPER(G187)</f>
        <v/>
      </c>
      <c r="AF187" s="286">
        <f>COUNTIF($AE$185:AE188,"X")</f>
        <v>0</v>
      </c>
      <c r="AL187" s="286" t="s">
        <v>128</v>
      </c>
      <c r="AM187" s="286" t="s">
        <v>129</v>
      </c>
      <c r="AQ187" s="430">
        <v>1800</v>
      </c>
      <c r="AR187" s="430">
        <v>1100</v>
      </c>
      <c r="AS187" s="430"/>
      <c r="AT187" s="430"/>
      <c r="AU187" s="430"/>
      <c r="AV187" s="430"/>
      <c r="AW187" s="299" t="str">
        <f t="shared" si="30"/>
        <v>JB02</v>
      </c>
      <c r="AX187" s="299" t="str">
        <f t="shared" si="31"/>
        <v/>
      </c>
      <c r="AY187" s="286">
        <f t="shared" si="28"/>
        <v>187</v>
      </c>
      <c r="AZ187" s="319" t="str">
        <f t="shared" si="27"/>
        <v>AX187;</v>
      </c>
    </row>
    <row r="188" spans="1:52" s="319" customFormat="1" ht="15.75" thickBot="1">
      <c r="A188" s="666"/>
      <c r="B188" s="315" t="s">
        <v>345</v>
      </c>
      <c r="C188" s="316" t="s">
        <v>129</v>
      </c>
      <c r="D188" s="317" t="str">
        <f t="shared" si="35"/>
        <v/>
      </c>
      <c r="E188" s="110" t="str">
        <f t="shared" ref="E188" si="36">IF(E187&lt;&gt;"",E187,"")</f>
        <v/>
      </c>
      <c r="F188" s="317" t="s">
        <v>128</v>
      </c>
      <c r="G188" s="318" t="str">
        <f>IF(G187="X","X","")</f>
        <v/>
      </c>
      <c r="H188" s="317" t="s">
        <v>669</v>
      </c>
      <c r="I188" s="317"/>
      <c r="J188" s="317"/>
      <c r="N188" s="314"/>
      <c r="O188" s="320" t="s">
        <v>670</v>
      </c>
      <c r="P188" s="317" t="s">
        <v>128</v>
      </c>
      <c r="Q188" s="320">
        <f>$Q$11</f>
        <v>0</v>
      </c>
      <c r="R188" s="323"/>
      <c r="S188" s="324"/>
      <c r="T188" s="323"/>
      <c r="U188" s="324"/>
      <c r="V188" s="324"/>
      <c r="W188" s="325"/>
      <c r="X188" s="325"/>
      <c r="Y188" s="324"/>
      <c r="Z188" s="325"/>
      <c r="AA188" s="325"/>
      <c r="AB188" s="325"/>
      <c r="AC188" s="324">
        <v>0</v>
      </c>
      <c r="AD188" s="324">
        <v>0</v>
      </c>
      <c r="AL188" s="319" t="s">
        <v>128</v>
      </c>
      <c r="AM188" s="319" t="s">
        <v>129</v>
      </c>
      <c r="AQ188" s="431">
        <v>1800</v>
      </c>
      <c r="AR188" s="431">
        <v>1100</v>
      </c>
      <c r="AS188" s="479">
        <v>0</v>
      </c>
      <c r="AT188" s="479">
        <v>0</v>
      </c>
      <c r="AU188" s="431"/>
      <c r="AV188" s="480" t="str">
        <f>IF(AND(AR$1&lt;&gt;0,AT$1&lt;&gt;0),IF(AND($AR$1&lt;=AQ188,$AT$1&lt;=AR188,$AR$1&gt;=AS188,$AT$1&gt;=AT188),"OK","NOK"),"")</f>
        <v>OK</v>
      </c>
      <c r="AW188" s="299" t="str">
        <f t="shared" si="30"/>
        <v>JB02</v>
      </c>
      <c r="AX188" s="299" t="str">
        <f t="shared" si="31"/>
        <v/>
      </c>
      <c r="AY188" s="286">
        <f t="shared" si="28"/>
        <v>188</v>
      </c>
      <c r="AZ188" s="319" t="str">
        <f t="shared" si="27"/>
        <v>AX188;</v>
      </c>
    </row>
    <row r="189" spans="1:52" s="286" customFormat="1" ht="15" customHeight="1" thickBot="1">
      <c r="A189" s="666"/>
      <c r="B189" s="308" t="s">
        <v>353</v>
      </c>
      <c r="C189" s="285" t="s">
        <v>153</v>
      </c>
      <c r="D189" s="289" t="str">
        <f t="shared" si="35"/>
        <v/>
      </c>
      <c r="E189" s="287" t="str">
        <f>IFERROR(IF($G$184&lt;&gt;"",IF(G189="x",IF(F189=$G$184,"V1",IF(AF189=1,"V2",IF(AND(AF189=$AF$184,AF189&lt;&gt;1),"V"&amp;$AG$184+1,"V"&amp;AF189+1))),""),""),"Wprowadź urządzenie bazowe")</f>
        <v/>
      </c>
      <c r="F189" s="289" t="s">
        <v>152</v>
      </c>
      <c r="G189" s="309" t="str">
        <f>IF($G$184=F189,"X","")</f>
        <v/>
      </c>
      <c r="H189" s="289" t="s">
        <v>667</v>
      </c>
      <c r="I189" s="289">
        <v>10</v>
      </c>
      <c r="J189" s="286" t="str">
        <f>IFERROR(IF(VALUE(MID(D184,2,2))&lt;9,"$HLB1-L0"&amp;(RIGHT(D184,1)+1),"$HLB1-L"&amp;(MID(D184,2,2)+1)),"Uzupełnij poziom")</f>
        <v>Uzupełnij poziom</v>
      </c>
      <c r="K189" s="286">
        <v>1000</v>
      </c>
      <c r="L189" s="286" t="s">
        <v>668</v>
      </c>
      <c r="M189" s="287"/>
      <c r="N189" s="310">
        <f>IF(T190&lt;&gt;0,ROUND(((100-T190)/T190)*100,2),IF(J189&lt;&gt;"",T189,""))</f>
        <v>0</v>
      </c>
      <c r="O189" s="289"/>
      <c r="P189" s="289"/>
      <c r="Q189" s="289"/>
      <c r="S189" s="291"/>
      <c r="U189" s="291"/>
      <c r="V189" s="291"/>
      <c r="W189" s="291"/>
      <c r="X189" s="291"/>
      <c r="Y189" s="291"/>
      <c r="Z189" s="291"/>
      <c r="AA189" s="291"/>
      <c r="AB189" s="291"/>
      <c r="AC189" s="291"/>
      <c r="AD189" s="291"/>
      <c r="AE189" s="286" t="str">
        <f>UPPER(G189)</f>
        <v/>
      </c>
      <c r="AF189" s="286">
        <f>COUNTIF($AE$185:AE190,"X")</f>
        <v>0</v>
      </c>
      <c r="AL189" s="286" t="s">
        <v>152</v>
      </c>
      <c r="AM189" s="286" t="s">
        <v>153</v>
      </c>
      <c r="AQ189" s="430">
        <v>2200</v>
      </c>
      <c r="AR189" s="430">
        <v>1460</v>
      </c>
      <c r="AS189" s="430"/>
      <c r="AT189" s="430"/>
      <c r="AU189" s="430"/>
      <c r="AV189" s="430"/>
      <c r="AW189" s="299" t="str">
        <f t="shared" si="30"/>
        <v>JB03</v>
      </c>
      <c r="AX189" s="299" t="str">
        <f t="shared" si="31"/>
        <v/>
      </c>
      <c r="AY189" s="286">
        <f t="shared" si="28"/>
        <v>189</v>
      </c>
      <c r="AZ189" s="319" t="str">
        <f t="shared" si="27"/>
        <v>AX189;</v>
      </c>
    </row>
    <row r="190" spans="1:52" s="319" customFormat="1" ht="15.75" thickBot="1">
      <c r="A190" s="666"/>
      <c r="B190" s="315" t="s">
        <v>353</v>
      </c>
      <c r="C190" s="316" t="s">
        <v>153</v>
      </c>
      <c r="D190" s="317" t="str">
        <f t="shared" si="35"/>
        <v/>
      </c>
      <c r="E190" s="110" t="str">
        <f t="shared" ref="E190" si="37">IF(E189&lt;&gt;"",E189,"")</f>
        <v/>
      </c>
      <c r="F190" s="317" t="s">
        <v>152</v>
      </c>
      <c r="G190" s="318" t="str">
        <f>IF(G189="X","X","")</f>
        <v/>
      </c>
      <c r="H190" s="317" t="s">
        <v>669</v>
      </c>
      <c r="I190" s="317"/>
      <c r="J190" s="317"/>
      <c r="N190" s="314"/>
      <c r="O190" s="320" t="s">
        <v>670</v>
      </c>
      <c r="P190" s="317" t="s">
        <v>152</v>
      </c>
      <c r="Q190" s="320">
        <f>$Q$11</f>
        <v>0</v>
      </c>
      <c r="R190" s="323"/>
      <c r="S190" s="324"/>
      <c r="T190" s="323"/>
      <c r="U190" s="324"/>
      <c r="V190" s="324"/>
      <c r="W190" s="325"/>
      <c r="X190" s="325"/>
      <c r="Y190" s="324"/>
      <c r="Z190" s="325"/>
      <c r="AA190" s="325"/>
      <c r="AB190" s="325"/>
      <c r="AC190" s="324">
        <v>0</v>
      </c>
      <c r="AD190" s="324">
        <v>0</v>
      </c>
      <c r="AL190" s="319" t="s">
        <v>152</v>
      </c>
      <c r="AM190" s="319" t="s">
        <v>153</v>
      </c>
      <c r="AQ190" s="431">
        <v>2200</v>
      </c>
      <c r="AR190" s="431">
        <v>1460</v>
      </c>
      <c r="AS190" s="479">
        <v>0</v>
      </c>
      <c r="AT190" s="479">
        <v>0</v>
      </c>
      <c r="AU190" s="431"/>
      <c r="AV190" s="480" t="str">
        <f>IF(AND(AR$1&lt;&gt;0,AT$1&lt;&gt;0),IF(AND($AR$1&lt;=AQ190,$AT$1&lt;=AR190,$AR$1&gt;=AS190,$AT$1&gt;=AT190),"OK","NOK"),"")</f>
        <v>OK</v>
      </c>
      <c r="AW190" s="299" t="str">
        <f t="shared" si="30"/>
        <v>JB03</v>
      </c>
      <c r="AX190" s="299" t="str">
        <f t="shared" si="31"/>
        <v/>
      </c>
      <c r="AY190" s="286">
        <f t="shared" si="28"/>
        <v>190</v>
      </c>
      <c r="AZ190" s="319" t="str">
        <f t="shared" si="27"/>
        <v>AX190;</v>
      </c>
    </row>
    <row r="191" spans="1:52" s="286" customFormat="1" ht="15" customHeight="1" thickBot="1">
      <c r="A191" s="666"/>
      <c r="B191" s="308" t="s">
        <v>356</v>
      </c>
      <c r="C191" s="285" t="s">
        <v>355</v>
      </c>
      <c r="D191" s="289" t="str">
        <f t="shared" si="35"/>
        <v/>
      </c>
      <c r="E191" s="287" t="str">
        <f>IFERROR(IF($G$184&lt;&gt;"",IF(G191="x",IF(F191=$G$184,"V1",IF(AF191=1,"V2",IF(AND(AF191=$AF$184,AF191&lt;&gt;1),"V"&amp;$AG$184+1,"V"&amp;AF191+1))),""),""),"Wprowadź urządzenie bazowe")</f>
        <v/>
      </c>
      <c r="F191" s="289" t="s">
        <v>354</v>
      </c>
      <c r="G191" s="309" t="str">
        <f>IF($G$184=F191,"X","")</f>
        <v/>
      </c>
      <c r="H191" s="289" t="s">
        <v>667</v>
      </c>
      <c r="I191" s="289">
        <v>10</v>
      </c>
      <c r="J191" s="286" t="str">
        <f>IFERROR(IF(VALUE(MID(D184,2,2))&lt;9,"$HLB1-L0"&amp;(RIGHT(D184,1)+1),"$HLB1-L"&amp;(MID(D184,2,2)+1)),"Uzupełnij poziom")</f>
        <v>Uzupełnij poziom</v>
      </c>
      <c r="K191" s="286">
        <v>1000</v>
      </c>
      <c r="L191" s="286" t="s">
        <v>668</v>
      </c>
      <c r="M191" s="287"/>
      <c r="N191" s="310">
        <f>IF(T192&lt;&gt;0,ROUND(((100-T192)/T192)*100,2),IF(J191&lt;&gt;"",T191,""))</f>
        <v>0</v>
      </c>
      <c r="O191" s="289"/>
      <c r="P191" s="289"/>
      <c r="Q191" s="289"/>
      <c r="S191" s="291"/>
      <c r="U191" s="291"/>
      <c r="V191" s="291"/>
      <c r="W191" s="291"/>
      <c r="X191" s="291"/>
      <c r="Y191" s="291"/>
      <c r="Z191" s="291"/>
      <c r="AA191" s="291"/>
      <c r="AB191" s="291"/>
      <c r="AC191" s="291"/>
      <c r="AD191" s="291"/>
      <c r="AE191" s="286" t="str">
        <f>UPPER(G191)</f>
        <v/>
      </c>
      <c r="AF191" s="286">
        <f>COUNTIF($AE$185:AE192,"X")</f>
        <v>0</v>
      </c>
      <c r="AL191" s="286" t="s">
        <v>354</v>
      </c>
      <c r="AM191" s="286" t="s">
        <v>355</v>
      </c>
      <c r="AQ191" s="430"/>
      <c r="AR191" s="430"/>
      <c r="AS191" s="430"/>
      <c r="AT191" s="430"/>
      <c r="AU191" s="430"/>
      <c r="AV191" s="430"/>
      <c r="AW191" s="299" t="str">
        <f t="shared" si="30"/>
        <v>JB04</v>
      </c>
      <c r="AX191" s="299" t="str">
        <f t="shared" si="31"/>
        <v/>
      </c>
      <c r="AY191" s="286">
        <f t="shared" si="28"/>
        <v>191</v>
      </c>
      <c r="AZ191" s="319" t="str">
        <f t="shared" si="27"/>
        <v>AX191;</v>
      </c>
    </row>
    <row r="192" spans="1:52" s="299" customFormat="1" ht="15.75" thickBot="1">
      <c r="A192" s="667"/>
      <c r="B192" s="337" t="s">
        <v>356</v>
      </c>
      <c r="C192" s="298" t="s">
        <v>355</v>
      </c>
      <c r="D192" s="301" t="str">
        <f t="shared" si="35"/>
        <v/>
      </c>
      <c r="E192" s="299" t="str">
        <f>IF(E191&lt;&gt;"",E191,"")</f>
        <v/>
      </c>
      <c r="F192" s="301" t="s">
        <v>354</v>
      </c>
      <c r="G192" s="338" t="str">
        <f>IF(G191="X","X","")</f>
        <v/>
      </c>
      <c r="H192" s="301" t="s">
        <v>669</v>
      </c>
      <c r="I192" s="301"/>
      <c r="J192" s="301"/>
      <c r="N192" s="339"/>
      <c r="O192" s="303" t="s">
        <v>670</v>
      </c>
      <c r="P192" s="301" t="s">
        <v>354</v>
      </c>
      <c r="Q192" s="303">
        <f>$Q$11</f>
        <v>0</v>
      </c>
      <c r="R192" s="304"/>
      <c r="S192" s="305"/>
      <c r="T192" s="304"/>
      <c r="U192" s="305"/>
      <c r="V192" s="305"/>
      <c r="W192" s="342"/>
      <c r="X192" s="342"/>
      <c r="Y192" s="305"/>
      <c r="Z192" s="342"/>
      <c r="AA192" s="342"/>
      <c r="AB192" s="342"/>
      <c r="AC192" s="305">
        <v>0</v>
      </c>
      <c r="AD192" s="305">
        <v>0</v>
      </c>
      <c r="AL192" s="299" t="s">
        <v>354</v>
      </c>
      <c r="AM192" s="299" t="s">
        <v>355</v>
      </c>
      <c r="AQ192" s="432"/>
      <c r="AR192" s="432"/>
      <c r="AS192" s="479">
        <v>0</v>
      </c>
      <c r="AT192" s="479">
        <v>0</v>
      </c>
      <c r="AU192" s="432"/>
      <c r="AV192" s="480" t="str">
        <f>IF(AND(AR$1&lt;&gt;0,AT$1&lt;&gt;0),IF(AND($AR$1&lt;=AQ192,$AT$1&lt;=AR192,$AR$1&gt;=AS192,$AT$1&gt;=AT192),"OK","NOK"),"")</f>
        <v>NOK</v>
      </c>
      <c r="AW192" s="299" t="str">
        <f t="shared" si="30"/>
        <v>JB04</v>
      </c>
      <c r="AX192" s="299" t="str">
        <f t="shared" si="31"/>
        <v>JB04,</v>
      </c>
      <c r="AY192" s="286">
        <f t="shared" si="28"/>
        <v>192</v>
      </c>
      <c r="AZ192" s="319" t="str">
        <f t="shared" si="27"/>
        <v>AX192;</v>
      </c>
    </row>
    <row r="193" spans="1:52" s="110" customFormat="1" ht="15.75" thickBot="1">
      <c r="A193" s="283"/>
      <c r="B193" s="284" t="s">
        <v>665</v>
      </c>
      <c r="C193" s="356"/>
      <c r="D193" s="355" t="str">
        <f>IF(C193&lt;&gt;"",CONCATENATE("L",C193),"")</f>
        <v/>
      </c>
      <c r="F193" s="262"/>
      <c r="G193" s="329"/>
      <c r="H193" s="262"/>
      <c r="I193" s="262"/>
      <c r="J193" s="262"/>
      <c r="N193" s="314"/>
      <c r="O193" s="262"/>
      <c r="P193" s="262"/>
      <c r="Q193" s="262"/>
      <c r="S193" s="277"/>
      <c r="U193" s="277"/>
      <c r="V193" s="277"/>
      <c r="W193" s="277"/>
      <c r="X193" s="277"/>
      <c r="Y193" s="277"/>
      <c r="Z193" s="277"/>
      <c r="AA193" s="277"/>
      <c r="AB193" s="277"/>
      <c r="AC193" s="277"/>
      <c r="AD193" s="277"/>
      <c r="AF193" s="110">
        <f>MAX(AF194:AF201)</f>
        <v>0</v>
      </c>
      <c r="AG193" s="110">
        <f>_xlfn.IFNA(VLOOKUP($G$193,F194:AF201,27,FALSE),0)</f>
        <v>0</v>
      </c>
      <c r="AN193" s="394" t="str">
        <f>IF(G193&lt;&gt;"",VLOOKUP(G193,$AL$4:$AM$274,2,FALSE),"")</f>
        <v/>
      </c>
      <c r="AO193" s="345" t="e">
        <f>VLOOKUP(AN193,$AO$277:$AQ$291,3,FALSE)</f>
        <v>#N/A</v>
      </c>
      <c r="AP193" s="395" t="str">
        <f>IF(AN193&lt;&gt;"",AN193&amp;", "&amp;AO193,"")</f>
        <v/>
      </c>
      <c r="AQ193" s="426"/>
      <c r="AR193" s="426"/>
      <c r="AS193" s="426"/>
      <c r="AT193" s="426"/>
      <c r="AU193" s="426"/>
      <c r="AV193" s="426"/>
      <c r="AW193" s="299">
        <f t="shared" si="30"/>
        <v>0</v>
      </c>
      <c r="AX193" s="299" t="str">
        <f t="shared" si="31"/>
        <v/>
      </c>
      <c r="AY193" s="286">
        <f t="shared" si="28"/>
        <v>193</v>
      </c>
      <c r="AZ193" s="319" t="str">
        <f t="shared" si="27"/>
        <v>AX193;</v>
      </c>
    </row>
    <row r="194" spans="1:52" s="286" customFormat="1" ht="15" customHeight="1" thickBot="1">
      <c r="A194" s="665" t="s">
        <v>75</v>
      </c>
      <c r="B194" s="308" t="s">
        <v>344</v>
      </c>
      <c r="C194" s="285" t="s">
        <v>127</v>
      </c>
      <c r="D194" s="289" t="str">
        <f t="shared" ref="D194:D201" si="38">$D$193</f>
        <v/>
      </c>
      <c r="E194" s="287" t="str">
        <f>IFERROR(IF($G$193&lt;&gt;"",IF(G194="x",IF(F194=$G$193,"V1",IF(AF194=1,"V2",IF(AND(AF194=$AF$193,AF194&lt;&gt;1),"V"&amp;$AG$193+1,"V"&amp;AF194+1))),""),""),"Wprowadź urządzenie bazowe")</f>
        <v/>
      </c>
      <c r="F194" s="289" t="s">
        <v>126</v>
      </c>
      <c r="G194" s="309" t="str">
        <f>IF($G$193=F194,"X","")</f>
        <v/>
      </c>
      <c r="H194" s="289" t="s">
        <v>667</v>
      </c>
      <c r="I194" s="289">
        <v>10</v>
      </c>
      <c r="J194" s="286" t="str">
        <f>IFERROR(IF(VALUE(MID(D193,2,2))&lt;9,"$HLB1-L0"&amp;(RIGHT(D193,1)+1),"$HLB1-L"&amp;(MID(D193,2,2)+1)),"Uzupełnij poziom")</f>
        <v>Uzupełnij poziom</v>
      </c>
      <c r="K194" s="286">
        <v>1000</v>
      </c>
      <c r="L194" s="286" t="s">
        <v>668</v>
      </c>
      <c r="M194" s="287"/>
      <c r="N194" s="310">
        <f>IF(T195&lt;&gt;0,ROUND(((100-T195)/T195)*100,2),IF(J194&lt;&gt;"",T194,""))</f>
        <v>0</v>
      </c>
      <c r="O194" s="289"/>
      <c r="P194" s="289"/>
      <c r="Q194" s="289"/>
      <c r="S194" s="291"/>
      <c r="U194" s="291"/>
      <c r="V194" s="291"/>
      <c r="W194" s="291"/>
      <c r="X194" s="291"/>
      <c r="Y194" s="291"/>
      <c r="Z194" s="291"/>
      <c r="AA194" s="291"/>
      <c r="AB194" s="291"/>
      <c r="AC194" s="291"/>
      <c r="AD194" s="291"/>
      <c r="AE194" s="286" t="str">
        <f>UPPER(G194)</f>
        <v/>
      </c>
      <c r="AF194" s="286">
        <f>COUNTIF($AE$194:AE195,"X")</f>
        <v>0</v>
      </c>
      <c r="AL194" s="286" t="s">
        <v>126</v>
      </c>
      <c r="AM194" s="286" t="s">
        <v>127</v>
      </c>
      <c r="AQ194" s="430">
        <v>1850</v>
      </c>
      <c r="AR194" s="430">
        <v>1000</v>
      </c>
      <c r="AS194" s="430"/>
      <c r="AT194" s="430"/>
      <c r="AU194" s="430"/>
      <c r="AV194" s="430"/>
      <c r="AW194" s="299" t="str">
        <f t="shared" si="30"/>
        <v>JB01</v>
      </c>
      <c r="AX194" s="299" t="str">
        <f t="shared" si="31"/>
        <v/>
      </c>
      <c r="AY194" s="286">
        <f t="shared" si="28"/>
        <v>194</v>
      </c>
      <c r="AZ194" s="319" t="str">
        <f t="shared" si="27"/>
        <v>AX194;</v>
      </c>
    </row>
    <row r="195" spans="1:52" s="319" customFormat="1" ht="15.75" thickBot="1">
      <c r="A195" s="666"/>
      <c r="B195" s="315" t="s">
        <v>344</v>
      </c>
      <c r="C195" s="316" t="s">
        <v>127</v>
      </c>
      <c r="D195" s="317" t="str">
        <f t="shared" si="38"/>
        <v/>
      </c>
      <c r="E195" s="110" t="str">
        <f>IF(E194&lt;&gt;"",E194,"")</f>
        <v/>
      </c>
      <c r="F195" s="317" t="s">
        <v>126</v>
      </c>
      <c r="G195" s="318" t="str">
        <f>IF(G194="X","X","")</f>
        <v/>
      </c>
      <c r="H195" s="317" t="s">
        <v>669</v>
      </c>
      <c r="I195" s="317"/>
      <c r="J195" s="317"/>
      <c r="N195" s="314"/>
      <c r="O195" s="320" t="s">
        <v>670</v>
      </c>
      <c r="P195" s="317" t="s">
        <v>126</v>
      </c>
      <c r="Q195" s="320">
        <f>$Q$11</f>
        <v>0</v>
      </c>
      <c r="R195" s="323"/>
      <c r="S195" s="324"/>
      <c r="T195" s="323"/>
      <c r="U195" s="324"/>
      <c r="V195" s="324"/>
      <c r="W195" s="325"/>
      <c r="X195" s="325"/>
      <c r="Y195" s="324"/>
      <c r="Z195" s="325"/>
      <c r="AA195" s="325"/>
      <c r="AB195" s="325"/>
      <c r="AC195" s="324">
        <v>0</v>
      </c>
      <c r="AD195" s="324">
        <v>0</v>
      </c>
      <c r="AL195" s="319" t="s">
        <v>126</v>
      </c>
      <c r="AM195" s="319" t="s">
        <v>127</v>
      </c>
      <c r="AQ195" s="431">
        <v>1850</v>
      </c>
      <c r="AR195" s="431">
        <v>1000</v>
      </c>
      <c r="AS195" s="479">
        <v>0</v>
      </c>
      <c r="AT195" s="479">
        <v>0</v>
      </c>
      <c r="AU195" s="431"/>
      <c r="AV195" s="480" t="str">
        <f>IF(AND(AR$1&lt;&gt;0,AT$1&lt;&gt;0),IF(AND($AR$1&lt;=AQ195,$AT$1&lt;=AR195,$AR$1&gt;=AS195,$AT$1&gt;=AT195),"OK","NOK"),"")</f>
        <v>OK</v>
      </c>
      <c r="AW195" s="299" t="str">
        <f t="shared" si="30"/>
        <v>JB01</v>
      </c>
      <c r="AX195" s="299" t="str">
        <f t="shared" si="31"/>
        <v/>
      </c>
      <c r="AY195" s="286">
        <f t="shared" si="28"/>
        <v>195</v>
      </c>
      <c r="AZ195" s="319" t="str">
        <f t="shared" si="27"/>
        <v>AX195;</v>
      </c>
    </row>
    <row r="196" spans="1:52" s="286" customFormat="1" ht="15" customHeight="1" thickBot="1">
      <c r="A196" s="666"/>
      <c r="B196" s="308" t="s">
        <v>345</v>
      </c>
      <c r="C196" s="285" t="s">
        <v>129</v>
      </c>
      <c r="D196" s="289" t="str">
        <f t="shared" si="38"/>
        <v/>
      </c>
      <c r="E196" s="287" t="str">
        <f>IFERROR(IF($G$193&lt;&gt;"",IF(G196="x",IF(F196=$G$193,"V1",IF(AF196=1,"V2",IF(AND(AF196=$AF$193,AF196&lt;&gt;1),"V"&amp;$AG$193+1,"V"&amp;AF196+1))),""),""),"Wprowadź urządzenie bazowe")</f>
        <v/>
      </c>
      <c r="F196" s="289" t="s">
        <v>128</v>
      </c>
      <c r="G196" s="309" t="str">
        <f>IF($G$193=F196,"X","")</f>
        <v/>
      </c>
      <c r="H196" s="289" t="s">
        <v>667</v>
      </c>
      <c r="I196" s="289">
        <v>10</v>
      </c>
      <c r="J196" s="286" t="str">
        <f>IFERROR(IF(VALUE(MID(D193,2,2))&lt;9,"$HLB1-L0"&amp;(RIGHT(D193,1)+1),"$HLB1-L"&amp;(MID(D193,2,2)+1)),"Uzupełnij poziom")</f>
        <v>Uzupełnij poziom</v>
      </c>
      <c r="K196" s="286">
        <v>1000</v>
      </c>
      <c r="L196" s="286" t="s">
        <v>668</v>
      </c>
      <c r="M196" s="287"/>
      <c r="N196" s="310">
        <f>IF(T197&lt;&gt;0,ROUND(((100-T197)/T197)*100,2),IF(J196&lt;&gt;"",T196,""))</f>
        <v>0</v>
      </c>
      <c r="O196" s="289"/>
      <c r="P196" s="289"/>
      <c r="Q196" s="289"/>
      <c r="S196" s="291"/>
      <c r="U196" s="291"/>
      <c r="V196" s="291"/>
      <c r="W196" s="291"/>
      <c r="X196" s="291"/>
      <c r="Y196" s="291"/>
      <c r="Z196" s="291"/>
      <c r="AA196" s="291"/>
      <c r="AB196" s="291"/>
      <c r="AC196" s="291"/>
      <c r="AD196" s="291"/>
      <c r="AE196" s="286" t="str">
        <f>UPPER(G196)</f>
        <v/>
      </c>
      <c r="AF196" s="286">
        <f>COUNTIF($AE$194:AE197,"X")</f>
        <v>0</v>
      </c>
      <c r="AL196" s="286" t="s">
        <v>128</v>
      </c>
      <c r="AM196" s="286" t="s">
        <v>129</v>
      </c>
      <c r="AQ196" s="430">
        <v>1800</v>
      </c>
      <c r="AR196" s="430">
        <v>1100</v>
      </c>
      <c r="AS196" s="430"/>
      <c r="AT196" s="430"/>
      <c r="AU196" s="430"/>
      <c r="AV196" s="430"/>
      <c r="AW196" s="299" t="str">
        <f t="shared" si="30"/>
        <v>JB02</v>
      </c>
      <c r="AX196" s="299" t="str">
        <f t="shared" si="31"/>
        <v/>
      </c>
      <c r="AY196" s="286">
        <f t="shared" si="28"/>
        <v>196</v>
      </c>
      <c r="AZ196" s="319" t="str">
        <f t="shared" si="27"/>
        <v>AX196;</v>
      </c>
    </row>
    <row r="197" spans="1:52" s="319" customFormat="1" ht="15.75" thickBot="1">
      <c r="A197" s="666"/>
      <c r="B197" s="315" t="s">
        <v>345</v>
      </c>
      <c r="C197" s="316" t="s">
        <v>129</v>
      </c>
      <c r="D197" s="317" t="str">
        <f t="shared" si="38"/>
        <v/>
      </c>
      <c r="E197" s="110" t="str">
        <f t="shared" ref="E197" si="39">IF(E196&lt;&gt;"",E196,"")</f>
        <v/>
      </c>
      <c r="F197" s="317" t="s">
        <v>128</v>
      </c>
      <c r="G197" s="318" t="str">
        <f>IF(G196="X","X","")</f>
        <v/>
      </c>
      <c r="H197" s="317" t="s">
        <v>669</v>
      </c>
      <c r="I197" s="317"/>
      <c r="J197" s="317"/>
      <c r="N197" s="314"/>
      <c r="O197" s="320" t="s">
        <v>670</v>
      </c>
      <c r="P197" s="317" t="s">
        <v>128</v>
      </c>
      <c r="Q197" s="320">
        <f>$Q$11</f>
        <v>0</v>
      </c>
      <c r="R197" s="323"/>
      <c r="S197" s="324"/>
      <c r="T197" s="323"/>
      <c r="U197" s="324"/>
      <c r="V197" s="324"/>
      <c r="W197" s="325"/>
      <c r="X197" s="325"/>
      <c r="Y197" s="324"/>
      <c r="Z197" s="325"/>
      <c r="AA197" s="325"/>
      <c r="AB197" s="325"/>
      <c r="AC197" s="324">
        <v>0</v>
      </c>
      <c r="AD197" s="324">
        <v>0</v>
      </c>
      <c r="AL197" s="319" t="s">
        <v>128</v>
      </c>
      <c r="AM197" s="319" t="s">
        <v>129</v>
      </c>
      <c r="AQ197" s="431">
        <v>1800</v>
      </c>
      <c r="AR197" s="431">
        <v>1100</v>
      </c>
      <c r="AS197" s="479">
        <v>0</v>
      </c>
      <c r="AT197" s="479">
        <v>0</v>
      </c>
      <c r="AU197" s="431"/>
      <c r="AV197" s="480" t="str">
        <f>IF(AND(AR$1&lt;&gt;0,AT$1&lt;&gt;0),IF(AND($AR$1&lt;=AQ197,$AT$1&lt;=AR197,$AR$1&gt;=AS197,$AT$1&gt;=AT197),"OK","NOK"),"")</f>
        <v>OK</v>
      </c>
      <c r="AW197" s="299" t="str">
        <f t="shared" si="30"/>
        <v>JB02</v>
      </c>
      <c r="AX197" s="299" t="str">
        <f t="shared" si="31"/>
        <v/>
      </c>
      <c r="AY197" s="286">
        <f t="shared" si="28"/>
        <v>197</v>
      </c>
      <c r="AZ197" s="319" t="str">
        <f t="shared" si="27"/>
        <v>AX197;</v>
      </c>
    </row>
    <row r="198" spans="1:52" s="286" customFormat="1" ht="15" customHeight="1" thickBot="1">
      <c r="A198" s="666"/>
      <c r="B198" s="308" t="s">
        <v>353</v>
      </c>
      <c r="C198" s="285" t="s">
        <v>153</v>
      </c>
      <c r="D198" s="289" t="str">
        <f t="shared" si="38"/>
        <v/>
      </c>
      <c r="E198" s="287" t="str">
        <f>IFERROR(IF($G$193&lt;&gt;"",IF(G198="x",IF(F198=$G$193,"V1",IF(AF198=1,"V2",IF(AND(AF198=$AF$193,AF198&lt;&gt;1),"V"&amp;$AG$193+1,"V"&amp;AF198+1))),""),""),"Wprowadź urządzenie bazowe")</f>
        <v/>
      </c>
      <c r="F198" s="289" t="s">
        <v>152</v>
      </c>
      <c r="G198" s="309" t="str">
        <f>IF($G$193=F198,"X","")</f>
        <v/>
      </c>
      <c r="H198" s="289" t="s">
        <v>667</v>
      </c>
      <c r="I198" s="289">
        <v>10</v>
      </c>
      <c r="J198" s="286" t="str">
        <f>IFERROR(IF(VALUE(MID(D193,2,2))&lt;9,"$HLB1-L0"&amp;(RIGHT(D193,1)+1),"$HLB1-L"&amp;(MID(D193,2,2)+1)),"Uzupełnij poziom")</f>
        <v>Uzupełnij poziom</v>
      </c>
      <c r="K198" s="286">
        <v>1000</v>
      </c>
      <c r="L198" s="286" t="s">
        <v>668</v>
      </c>
      <c r="M198" s="287"/>
      <c r="N198" s="310">
        <f>IF(T199&lt;&gt;0,ROUND(((100-T199)/T199)*100,2),IF(J198&lt;&gt;"",T198,""))</f>
        <v>0</v>
      </c>
      <c r="O198" s="289"/>
      <c r="P198" s="289"/>
      <c r="Q198" s="289"/>
      <c r="S198" s="291"/>
      <c r="U198" s="291"/>
      <c r="V198" s="291"/>
      <c r="W198" s="291"/>
      <c r="X198" s="291"/>
      <c r="Y198" s="291"/>
      <c r="Z198" s="291"/>
      <c r="AA198" s="291"/>
      <c r="AB198" s="291"/>
      <c r="AC198" s="291"/>
      <c r="AD198" s="291"/>
      <c r="AE198" s="286" t="str">
        <f>UPPER(G198)</f>
        <v/>
      </c>
      <c r="AF198" s="286">
        <f>COUNTIF($AE$194:AE199,"X")</f>
        <v>0</v>
      </c>
      <c r="AL198" s="286" t="s">
        <v>152</v>
      </c>
      <c r="AM198" s="286" t="s">
        <v>153</v>
      </c>
      <c r="AQ198" s="430">
        <v>2200</v>
      </c>
      <c r="AR198" s="430">
        <v>1460</v>
      </c>
      <c r="AS198" s="430"/>
      <c r="AT198" s="430"/>
      <c r="AU198" s="430"/>
      <c r="AV198" s="430"/>
      <c r="AW198" s="299" t="str">
        <f t="shared" si="30"/>
        <v>JB03</v>
      </c>
      <c r="AX198" s="299" t="str">
        <f t="shared" si="31"/>
        <v/>
      </c>
      <c r="AY198" s="286">
        <f t="shared" si="28"/>
        <v>198</v>
      </c>
      <c r="AZ198" s="319" t="str">
        <f t="shared" si="27"/>
        <v>AX198;</v>
      </c>
    </row>
    <row r="199" spans="1:52" s="319" customFormat="1" ht="15.75" thickBot="1">
      <c r="A199" s="666"/>
      <c r="B199" s="315" t="s">
        <v>353</v>
      </c>
      <c r="C199" s="316" t="s">
        <v>153</v>
      </c>
      <c r="D199" s="317" t="str">
        <f t="shared" si="38"/>
        <v/>
      </c>
      <c r="E199" s="110" t="str">
        <f t="shared" ref="E199" si="40">IF(E198&lt;&gt;"",E198,"")</f>
        <v/>
      </c>
      <c r="F199" s="317" t="s">
        <v>152</v>
      </c>
      <c r="G199" s="318" t="str">
        <f>IF(G198="X","X","")</f>
        <v/>
      </c>
      <c r="H199" s="317" t="s">
        <v>669</v>
      </c>
      <c r="I199" s="317"/>
      <c r="J199" s="317"/>
      <c r="N199" s="314"/>
      <c r="O199" s="320" t="s">
        <v>670</v>
      </c>
      <c r="P199" s="317" t="s">
        <v>152</v>
      </c>
      <c r="Q199" s="320">
        <f>$Q$11</f>
        <v>0</v>
      </c>
      <c r="R199" s="323"/>
      <c r="S199" s="324"/>
      <c r="T199" s="323"/>
      <c r="U199" s="324"/>
      <c r="V199" s="324"/>
      <c r="W199" s="325"/>
      <c r="X199" s="325"/>
      <c r="Y199" s="324"/>
      <c r="Z199" s="325"/>
      <c r="AA199" s="325"/>
      <c r="AB199" s="325"/>
      <c r="AC199" s="324">
        <v>0</v>
      </c>
      <c r="AD199" s="324">
        <v>0</v>
      </c>
      <c r="AL199" s="319" t="s">
        <v>152</v>
      </c>
      <c r="AM199" s="319" t="s">
        <v>153</v>
      </c>
      <c r="AQ199" s="431">
        <v>2200</v>
      </c>
      <c r="AR199" s="431">
        <v>1460</v>
      </c>
      <c r="AS199" s="479">
        <v>0</v>
      </c>
      <c r="AT199" s="479">
        <v>0</v>
      </c>
      <c r="AU199" s="431"/>
      <c r="AV199" s="480" t="str">
        <f>IF(AND(AR$1&lt;&gt;0,AT$1&lt;&gt;0),IF(AND($AR$1&lt;=AQ199,$AT$1&lt;=AR199,$AR$1&gt;=AS199,$AT$1&gt;=AT199),"OK","NOK"),"")</f>
        <v>OK</v>
      </c>
      <c r="AW199" s="299" t="str">
        <f t="shared" si="30"/>
        <v>JB03</v>
      </c>
      <c r="AX199" s="299" t="str">
        <f t="shared" si="31"/>
        <v/>
      </c>
      <c r="AY199" s="286">
        <f t="shared" si="28"/>
        <v>199</v>
      </c>
      <c r="AZ199" s="319" t="str">
        <f t="shared" si="27"/>
        <v>AX199;</v>
      </c>
    </row>
    <row r="200" spans="1:52" s="286" customFormat="1" ht="15" customHeight="1" thickBot="1">
      <c r="A200" s="666"/>
      <c r="B200" s="308" t="s">
        <v>356</v>
      </c>
      <c r="C200" s="285" t="s">
        <v>355</v>
      </c>
      <c r="D200" s="289" t="str">
        <f t="shared" si="38"/>
        <v/>
      </c>
      <c r="E200" s="287" t="str">
        <f>IFERROR(IF($G$193&lt;&gt;"",IF(G200="x",IF(F200=$G$193,"V1",IF(AF200=1,"V2",IF(AND(AF200=$AF$193,AF200&lt;&gt;1),"V"&amp;$AG$193+1,"V"&amp;AF200+1))),""),""),"Wprowadź urządzenie bazowe")</f>
        <v/>
      </c>
      <c r="F200" s="289" t="s">
        <v>354</v>
      </c>
      <c r="G200" s="309" t="str">
        <f>IF($G$193=F200,"X","")</f>
        <v/>
      </c>
      <c r="H200" s="289" t="s">
        <v>667</v>
      </c>
      <c r="I200" s="289">
        <v>10</v>
      </c>
      <c r="J200" s="286" t="str">
        <f>IFERROR(IF(VALUE(MID(D193,2,2))&lt;9,"$HLB1-L0"&amp;(RIGHT(D193,1)+1),"$HLB1-L"&amp;(MID(D193,2,2)+1)),"Uzupełnij poziom")</f>
        <v>Uzupełnij poziom</v>
      </c>
      <c r="K200" s="286">
        <v>1000</v>
      </c>
      <c r="L200" s="286" t="s">
        <v>668</v>
      </c>
      <c r="M200" s="287"/>
      <c r="N200" s="310">
        <f>IF(T201&lt;&gt;0,ROUND(((100-T201)/T201)*100,2),IF(J200&lt;&gt;"",T200,""))</f>
        <v>0</v>
      </c>
      <c r="O200" s="289"/>
      <c r="P200" s="289"/>
      <c r="Q200" s="289"/>
      <c r="S200" s="291"/>
      <c r="U200" s="291"/>
      <c r="V200" s="291"/>
      <c r="W200" s="291"/>
      <c r="X200" s="291"/>
      <c r="Y200" s="291"/>
      <c r="Z200" s="291"/>
      <c r="AA200" s="291"/>
      <c r="AB200" s="291"/>
      <c r="AC200" s="291"/>
      <c r="AD200" s="291"/>
      <c r="AE200" s="286" t="str">
        <f>UPPER(G200)</f>
        <v/>
      </c>
      <c r="AF200" s="286">
        <f>COUNTIF($AE$194:AE201,"X")</f>
        <v>0</v>
      </c>
      <c r="AL200" s="286" t="s">
        <v>354</v>
      </c>
      <c r="AM200" s="286" t="s">
        <v>355</v>
      </c>
      <c r="AQ200" s="430"/>
      <c r="AR200" s="430"/>
      <c r="AS200" s="430"/>
      <c r="AT200" s="430"/>
      <c r="AU200" s="430"/>
      <c r="AV200" s="430"/>
      <c r="AW200" s="299" t="str">
        <f t="shared" si="30"/>
        <v>JB04</v>
      </c>
      <c r="AX200" s="299" t="str">
        <f t="shared" si="31"/>
        <v/>
      </c>
      <c r="AY200" s="286">
        <f t="shared" si="28"/>
        <v>200</v>
      </c>
      <c r="AZ200" s="319" t="str">
        <f t="shared" si="27"/>
        <v>AX200;</v>
      </c>
    </row>
    <row r="201" spans="1:52" s="299" customFormat="1" ht="15.75" thickBot="1">
      <c r="A201" s="667"/>
      <c r="B201" s="337" t="s">
        <v>356</v>
      </c>
      <c r="C201" s="298" t="s">
        <v>355</v>
      </c>
      <c r="D201" s="301" t="str">
        <f t="shared" si="38"/>
        <v/>
      </c>
      <c r="E201" s="299" t="str">
        <f>IF(E200&lt;&gt;"",E200,"")</f>
        <v/>
      </c>
      <c r="F201" s="301" t="s">
        <v>354</v>
      </c>
      <c r="G201" s="338" t="str">
        <f>IF(G200="X","X","")</f>
        <v/>
      </c>
      <c r="H201" s="301" t="s">
        <v>669</v>
      </c>
      <c r="I201" s="301"/>
      <c r="J201" s="301"/>
      <c r="N201" s="339"/>
      <c r="O201" s="303" t="s">
        <v>670</v>
      </c>
      <c r="P201" s="301" t="s">
        <v>354</v>
      </c>
      <c r="Q201" s="303">
        <f>$Q$11</f>
        <v>0</v>
      </c>
      <c r="R201" s="304"/>
      <c r="S201" s="305"/>
      <c r="T201" s="304"/>
      <c r="U201" s="305"/>
      <c r="V201" s="305"/>
      <c r="W201" s="342"/>
      <c r="X201" s="342"/>
      <c r="Y201" s="305"/>
      <c r="Z201" s="342"/>
      <c r="AA201" s="342"/>
      <c r="AB201" s="342"/>
      <c r="AC201" s="305">
        <v>0</v>
      </c>
      <c r="AD201" s="305">
        <v>0</v>
      </c>
      <c r="AL201" s="299" t="s">
        <v>354</v>
      </c>
      <c r="AM201" s="299" t="s">
        <v>355</v>
      </c>
      <c r="AQ201" s="432"/>
      <c r="AR201" s="432"/>
      <c r="AS201" s="479">
        <v>0</v>
      </c>
      <c r="AT201" s="479">
        <v>0</v>
      </c>
      <c r="AU201" s="432"/>
      <c r="AV201" s="480" t="str">
        <f>IF(AND(AR$1&lt;&gt;0,AT$1&lt;&gt;0),IF(AND($AR$1&lt;=AQ201,$AT$1&lt;=AR201,$AR$1&gt;=AS201,$AT$1&gt;=AT201),"OK","NOK"),"")</f>
        <v>NOK</v>
      </c>
      <c r="AW201" s="299" t="str">
        <f t="shared" si="30"/>
        <v>JB04</v>
      </c>
      <c r="AX201" s="299" t="str">
        <f t="shared" si="31"/>
        <v>JB04,</v>
      </c>
      <c r="AY201" s="286">
        <f t="shared" si="28"/>
        <v>201</v>
      </c>
      <c r="AZ201" s="319" t="str">
        <f t="shared" si="27"/>
        <v>AX201;</v>
      </c>
    </row>
    <row r="202" spans="1:52" s="110" customFormat="1" ht="15.75" thickBot="1">
      <c r="A202" s="283"/>
      <c r="B202" s="284" t="s">
        <v>665</v>
      </c>
      <c r="C202" s="356"/>
      <c r="D202" s="355" t="str">
        <f>IF(C202&lt;&gt;"",CONCATENATE("L",C202),"")</f>
        <v/>
      </c>
      <c r="F202" s="262"/>
      <c r="G202" s="329"/>
      <c r="H202" s="262"/>
      <c r="I202" s="262"/>
      <c r="J202" s="262"/>
      <c r="N202" s="314"/>
      <c r="O202" s="262"/>
      <c r="P202" s="262"/>
      <c r="Q202" s="262"/>
      <c r="S202" s="277"/>
      <c r="U202" s="277"/>
      <c r="V202" s="277"/>
      <c r="W202" s="277"/>
      <c r="X202" s="277"/>
      <c r="Y202" s="277"/>
      <c r="Z202" s="277"/>
      <c r="AA202" s="277"/>
      <c r="AB202" s="277"/>
      <c r="AC202" s="277"/>
      <c r="AD202" s="277"/>
      <c r="AF202" s="110">
        <f>MAX(AF203:AF210)</f>
        <v>0</v>
      </c>
      <c r="AG202" s="110">
        <f>_xlfn.IFNA(VLOOKUP($G$202,F203:AF210,27,FALSE),0)</f>
        <v>0</v>
      </c>
      <c r="AN202" s="394" t="str">
        <f>IF(G202&lt;&gt;"",VLOOKUP(G202,$AL$4:$AM$274,2,FALSE),"")</f>
        <v/>
      </c>
      <c r="AO202" s="345" t="e">
        <f>VLOOKUP(AN202,$AO$277:$AQ$291,3,FALSE)</f>
        <v>#N/A</v>
      </c>
      <c r="AP202" s="395" t="str">
        <f>IF(AN202&lt;&gt;"",AN202&amp;", "&amp;AO202,"")</f>
        <v/>
      </c>
      <c r="AQ202" s="426"/>
      <c r="AR202" s="426"/>
      <c r="AS202" s="426"/>
      <c r="AT202" s="426"/>
      <c r="AU202" s="426"/>
      <c r="AV202" s="426"/>
      <c r="AW202" s="299">
        <f t="shared" si="30"/>
        <v>0</v>
      </c>
      <c r="AX202" s="299" t="str">
        <f t="shared" si="31"/>
        <v/>
      </c>
      <c r="AY202" s="286">
        <f t="shared" si="28"/>
        <v>202</v>
      </c>
      <c r="AZ202" s="319" t="str">
        <f t="shared" si="27"/>
        <v>AX202;</v>
      </c>
    </row>
    <row r="203" spans="1:52" s="286" customFormat="1" ht="15" customHeight="1" thickBot="1">
      <c r="A203" s="665" t="s">
        <v>75</v>
      </c>
      <c r="B203" s="308" t="s">
        <v>344</v>
      </c>
      <c r="C203" s="285" t="s">
        <v>127</v>
      </c>
      <c r="D203" s="289" t="str">
        <f t="shared" ref="D203:D210" si="41">$D$202</f>
        <v/>
      </c>
      <c r="E203" s="287" t="str">
        <f>IFERROR(IF($G$202&lt;&gt;"",IF(G203="x",IF(F203=$G$202,"V1",IF(AF203=1,"V2",IF(AND(AF203=$AF$202,AF203&lt;&gt;1),"V"&amp;$AG$202+1,"V"&amp;AF203+1))),""),""),"Wprowadź urządzenie bazowe")</f>
        <v/>
      </c>
      <c r="F203" s="289" t="s">
        <v>126</v>
      </c>
      <c r="G203" s="309" t="str">
        <f>IF($G$202=F203,"X","")</f>
        <v/>
      </c>
      <c r="H203" s="289" t="s">
        <v>667</v>
      </c>
      <c r="I203" s="289">
        <v>10</v>
      </c>
      <c r="J203" s="286" t="str">
        <f>IFERROR(IF(VALUE(MID(D202,2,2))&lt;9,"$HLB1-L0"&amp;(RIGHT(D202,1)+1),"$HLB1-L"&amp;(MID(D202,2,2)+1)),"Uzupełnij poziom")</f>
        <v>Uzupełnij poziom</v>
      </c>
      <c r="K203" s="286">
        <v>1000</v>
      </c>
      <c r="L203" s="286" t="s">
        <v>668</v>
      </c>
      <c r="M203" s="287"/>
      <c r="N203" s="310">
        <f>IF(T204&lt;&gt;0,ROUND(((100-T204)/T204)*100,2),IF(J203&lt;&gt;"",T203,""))</f>
        <v>0</v>
      </c>
      <c r="O203" s="289"/>
      <c r="P203" s="289"/>
      <c r="Q203" s="289"/>
      <c r="S203" s="291"/>
      <c r="U203" s="291"/>
      <c r="V203" s="291"/>
      <c r="W203" s="291"/>
      <c r="X203" s="291"/>
      <c r="Y203" s="291"/>
      <c r="Z203" s="291"/>
      <c r="AA203" s="291"/>
      <c r="AB203" s="291"/>
      <c r="AC203" s="291"/>
      <c r="AD203" s="291"/>
      <c r="AE203" s="286" t="str">
        <f>UPPER(G203)</f>
        <v/>
      </c>
      <c r="AF203" s="286">
        <f>COUNTIF($AE$203:AE204,"X")</f>
        <v>0</v>
      </c>
      <c r="AL203" s="286" t="s">
        <v>126</v>
      </c>
      <c r="AM203" s="286" t="s">
        <v>127</v>
      </c>
      <c r="AQ203" s="430">
        <v>1850</v>
      </c>
      <c r="AR203" s="430">
        <v>1000</v>
      </c>
      <c r="AS203" s="430">
        <v>200</v>
      </c>
      <c r="AT203" s="430">
        <v>200</v>
      </c>
      <c r="AU203" s="430"/>
      <c r="AV203" s="430"/>
      <c r="AW203" s="299" t="str">
        <f t="shared" si="30"/>
        <v>JB01</v>
      </c>
      <c r="AX203" s="299" t="str">
        <f t="shared" si="31"/>
        <v/>
      </c>
      <c r="AY203" s="286">
        <f t="shared" si="28"/>
        <v>203</v>
      </c>
      <c r="AZ203" s="319" t="str">
        <f t="shared" si="27"/>
        <v>AX203;</v>
      </c>
    </row>
    <row r="204" spans="1:52" s="319" customFormat="1" ht="15.75" thickBot="1">
      <c r="A204" s="666"/>
      <c r="B204" s="315" t="s">
        <v>344</v>
      </c>
      <c r="C204" s="316" t="s">
        <v>127</v>
      </c>
      <c r="D204" s="317" t="str">
        <f t="shared" si="41"/>
        <v/>
      </c>
      <c r="E204" s="110" t="str">
        <f>IF(E203&lt;&gt;"",E203,"")</f>
        <v/>
      </c>
      <c r="F204" s="317" t="s">
        <v>126</v>
      </c>
      <c r="G204" s="318" t="str">
        <f>IF(G203="X","X","")</f>
        <v/>
      </c>
      <c r="H204" s="317" t="s">
        <v>669</v>
      </c>
      <c r="I204" s="317"/>
      <c r="J204" s="317"/>
      <c r="N204" s="314"/>
      <c r="O204" s="320" t="s">
        <v>670</v>
      </c>
      <c r="P204" s="317" t="s">
        <v>126</v>
      </c>
      <c r="Q204" s="320">
        <f>$Q$11</f>
        <v>0</v>
      </c>
      <c r="R204" s="323"/>
      <c r="S204" s="324"/>
      <c r="T204" s="323"/>
      <c r="U204" s="324"/>
      <c r="V204" s="324"/>
      <c r="W204" s="325"/>
      <c r="X204" s="325"/>
      <c r="Y204" s="324"/>
      <c r="Z204" s="325"/>
      <c r="AA204" s="325"/>
      <c r="AB204" s="325"/>
      <c r="AC204" s="324">
        <v>0</v>
      </c>
      <c r="AD204" s="324">
        <v>0</v>
      </c>
      <c r="AL204" s="319" t="s">
        <v>126</v>
      </c>
      <c r="AM204" s="319" t="s">
        <v>127</v>
      </c>
      <c r="AQ204" s="431">
        <v>1850</v>
      </c>
      <c r="AR204" s="431">
        <v>1000</v>
      </c>
      <c r="AS204" s="431">
        <v>200</v>
      </c>
      <c r="AT204" s="431">
        <v>200</v>
      </c>
      <c r="AU204" s="431"/>
      <c r="AV204" s="480" t="str">
        <f>IF(AND(AR$1&lt;&gt;0,AT$1&lt;&gt;0),IF(AND($AR$1&lt;=AQ204,$AT$1&lt;=AR204,$AR$1&gt;=AS204,$AT$1&gt;=AT204),"OK","NOK"),"")</f>
        <v>OK</v>
      </c>
      <c r="AW204" s="299" t="str">
        <f t="shared" si="30"/>
        <v>JB01</v>
      </c>
      <c r="AX204" s="299" t="str">
        <f t="shared" si="31"/>
        <v/>
      </c>
      <c r="AY204" s="286">
        <f t="shared" si="28"/>
        <v>204</v>
      </c>
      <c r="AZ204" s="319" t="str">
        <f t="shared" ref="AZ204:AZ267" si="42">"AX"&amp;AY204&amp;";"</f>
        <v>AX204;</v>
      </c>
    </row>
    <row r="205" spans="1:52" s="286" customFormat="1" ht="15" customHeight="1" thickBot="1">
      <c r="A205" s="666"/>
      <c r="B205" s="308" t="s">
        <v>345</v>
      </c>
      <c r="C205" s="285" t="s">
        <v>129</v>
      </c>
      <c r="D205" s="289" t="str">
        <f t="shared" si="41"/>
        <v/>
      </c>
      <c r="E205" s="287" t="str">
        <f>IFERROR(IF($G$202&lt;&gt;"",IF(G205="x",IF(F205=$G$202,"V1",IF(AF205=1,"V2",IF(AND(AF205=$AF$202,AF205&lt;&gt;1),"V"&amp;$AG$202+1,"V"&amp;AF205+1))),""),""),"Wprowadź urządzenie bazowe")</f>
        <v/>
      </c>
      <c r="F205" s="289" t="s">
        <v>128</v>
      </c>
      <c r="G205" s="309" t="str">
        <f>IF($G$202=F205,"X","")</f>
        <v/>
      </c>
      <c r="H205" s="289" t="s">
        <v>667</v>
      </c>
      <c r="I205" s="289">
        <v>10</v>
      </c>
      <c r="J205" s="286" t="str">
        <f>IFERROR(IF(VALUE(MID(D202,2,2))&lt;9,"$HLB1-L0"&amp;(RIGHT(D202,1)+1),"$HLB1-L"&amp;(MID(D202,2,2)+1)),"Uzupełnij poziom")</f>
        <v>Uzupełnij poziom</v>
      </c>
      <c r="K205" s="286">
        <v>1000</v>
      </c>
      <c r="L205" s="286" t="s">
        <v>668</v>
      </c>
      <c r="M205" s="287"/>
      <c r="N205" s="310">
        <f>IF(T206&lt;&gt;0,ROUND(((100-T206)/T206)*100,2),IF(J205&lt;&gt;"",T205,""))</f>
        <v>0</v>
      </c>
      <c r="O205" s="289"/>
      <c r="P205" s="289"/>
      <c r="Q205" s="289"/>
      <c r="S205" s="291"/>
      <c r="U205" s="291"/>
      <c r="V205" s="291"/>
      <c r="W205" s="291"/>
      <c r="X205" s="291"/>
      <c r="Y205" s="291"/>
      <c r="Z205" s="291"/>
      <c r="AA205" s="291"/>
      <c r="AB205" s="291"/>
      <c r="AC205" s="291"/>
      <c r="AD205" s="291"/>
      <c r="AE205" s="286" t="str">
        <f>UPPER(G205)</f>
        <v/>
      </c>
      <c r="AF205" s="286">
        <f>COUNTIF($AE$203:AE206,"X")</f>
        <v>0</v>
      </c>
      <c r="AL205" s="286" t="s">
        <v>128</v>
      </c>
      <c r="AM205" s="286" t="s">
        <v>129</v>
      </c>
      <c r="AQ205" s="430">
        <v>1800</v>
      </c>
      <c r="AR205" s="430">
        <v>1100</v>
      </c>
      <c r="AS205" s="430">
        <v>200</v>
      </c>
      <c r="AT205" s="430">
        <v>200</v>
      </c>
      <c r="AU205" s="430"/>
      <c r="AV205" s="430"/>
      <c r="AW205" s="299" t="str">
        <f t="shared" si="30"/>
        <v>JB02</v>
      </c>
      <c r="AX205" s="299" t="str">
        <f t="shared" si="31"/>
        <v/>
      </c>
      <c r="AY205" s="286">
        <f t="shared" ref="AY205:AY268" si="43">AY204+1</f>
        <v>205</v>
      </c>
      <c r="AZ205" s="319" t="str">
        <f t="shared" si="42"/>
        <v>AX205;</v>
      </c>
    </row>
    <row r="206" spans="1:52" s="319" customFormat="1" ht="15.75" thickBot="1">
      <c r="A206" s="666"/>
      <c r="B206" s="315" t="s">
        <v>345</v>
      </c>
      <c r="C206" s="316" t="s">
        <v>129</v>
      </c>
      <c r="D206" s="317" t="str">
        <f t="shared" si="41"/>
        <v/>
      </c>
      <c r="E206" s="110" t="str">
        <f t="shared" ref="E206" si="44">IF(E205&lt;&gt;"",E205,"")</f>
        <v/>
      </c>
      <c r="F206" s="317" t="s">
        <v>128</v>
      </c>
      <c r="G206" s="318" t="str">
        <f>IF(G205="X","X","")</f>
        <v/>
      </c>
      <c r="H206" s="317" t="s">
        <v>669</v>
      </c>
      <c r="I206" s="317"/>
      <c r="J206" s="317"/>
      <c r="N206" s="314"/>
      <c r="O206" s="320" t="s">
        <v>670</v>
      </c>
      <c r="P206" s="317" t="s">
        <v>128</v>
      </c>
      <c r="Q206" s="320">
        <f>$Q$11</f>
        <v>0</v>
      </c>
      <c r="R206" s="323"/>
      <c r="S206" s="324"/>
      <c r="T206" s="323"/>
      <c r="U206" s="324"/>
      <c r="V206" s="324"/>
      <c r="W206" s="325"/>
      <c r="X206" s="325"/>
      <c r="Y206" s="324"/>
      <c r="Z206" s="325"/>
      <c r="AA206" s="325"/>
      <c r="AB206" s="325"/>
      <c r="AC206" s="324">
        <v>0</v>
      </c>
      <c r="AD206" s="324">
        <v>0</v>
      </c>
      <c r="AL206" s="319" t="s">
        <v>128</v>
      </c>
      <c r="AM206" s="319" t="s">
        <v>129</v>
      </c>
      <c r="AQ206" s="431">
        <v>1800</v>
      </c>
      <c r="AR206" s="431">
        <v>1100</v>
      </c>
      <c r="AS206" s="431">
        <v>200</v>
      </c>
      <c r="AT206" s="431">
        <v>200</v>
      </c>
      <c r="AU206" s="431"/>
      <c r="AV206" s="480" t="str">
        <f>IF(AND(AR$1&lt;&gt;0,AT$1&lt;&gt;0),IF(AND($AR$1&lt;=AQ206,$AT$1&lt;=AR206,$AR$1&gt;=AS206,$AT$1&gt;=AT206),"OK","NOK"),"")</f>
        <v>OK</v>
      </c>
      <c r="AW206" s="299" t="str">
        <f t="shared" si="30"/>
        <v>JB02</v>
      </c>
      <c r="AX206" s="299" t="str">
        <f t="shared" si="31"/>
        <v/>
      </c>
      <c r="AY206" s="286">
        <f t="shared" si="43"/>
        <v>206</v>
      </c>
      <c r="AZ206" s="319" t="str">
        <f t="shared" si="42"/>
        <v>AX206;</v>
      </c>
    </row>
    <row r="207" spans="1:52" s="286" customFormat="1" ht="15" customHeight="1" thickBot="1">
      <c r="A207" s="666"/>
      <c r="B207" s="308" t="s">
        <v>353</v>
      </c>
      <c r="C207" s="285" t="s">
        <v>153</v>
      </c>
      <c r="D207" s="289" t="str">
        <f t="shared" si="41"/>
        <v/>
      </c>
      <c r="E207" s="287" t="str">
        <f>IFERROR(IF($G$202&lt;&gt;"",IF(G207="x",IF(F207=$G$202,"V1",IF(AF207=1,"V2",IF(AND(AF207=$AF$202,AF207&lt;&gt;1),"V"&amp;$AG$202+1,"V"&amp;AF207+1))),""),""),"Wprowadź urządzenie bazowe")</f>
        <v/>
      </c>
      <c r="F207" s="289" t="s">
        <v>152</v>
      </c>
      <c r="G207" s="309" t="str">
        <f>IF($G$202=F207,"X","")</f>
        <v/>
      </c>
      <c r="H207" s="289" t="s">
        <v>667</v>
      </c>
      <c r="I207" s="289">
        <v>10</v>
      </c>
      <c r="J207" s="286" t="str">
        <f>IFERROR(IF(VALUE(MID(D202,2,2))&lt;9,"$HLB1-L0"&amp;(RIGHT(D202,1)+1),"$HLB1-L"&amp;(MID(D202,2,2)+1)),"Uzupełnij poziom")</f>
        <v>Uzupełnij poziom</v>
      </c>
      <c r="K207" s="286">
        <v>1000</v>
      </c>
      <c r="L207" s="286" t="s">
        <v>668</v>
      </c>
      <c r="M207" s="287"/>
      <c r="N207" s="310">
        <f>IF(T208&lt;&gt;0,ROUND(((100-T208)/T208)*100,2),IF(J207&lt;&gt;"",T207,""))</f>
        <v>0</v>
      </c>
      <c r="O207" s="289"/>
      <c r="P207" s="289"/>
      <c r="Q207" s="289"/>
      <c r="S207" s="291"/>
      <c r="U207" s="291"/>
      <c r="V207" s="291"/>
      <c r="W207" s="291"/>
      <c r="X207" s="291"/>
      <c r="Y207" s="291"/>
      <c r="Z207" s="291"/>
      <c r="AA207" s="291"/>
      <c r="AB207" s="291"/>
      <c r="AC207" s="291"/>
      <c r="AD207" s="291"/>
      <c r="AE207" s="286" t="str">
        <f>UPPER(G207)</f>
        <v/>
      </c>
      <c r="AF207" s="286">
        <f>COUNTIF($AE$203:AE208,"X")</f>
        <v>0</v>
      </c>
      <c r="AL207" s="286" t="s">
        <v>152</v>
      </c>
      <c r="AM207" s="286" t="s">
        <v>153</v>
      </c>
      <c r="AQ207" s="430">
        <v>2200</v>
      </c>
      <c r="AR207" s="430">
        <v>1460</v>
      </c>
      <c r="AS207" s="430">
        <v>200</v>
      </c>
      <c r="AT207" s="430">
        <v>200</v>
      </c>
      <c r="AU207" s="430"/>
      <c r="AV207" s="430"/>
      <c r="AW207" s="299" t="str">
        <f t="shared" si="30"/>
        <v>JB03</v>
      </c>
      <c r="AX207" s="299" t="str">
        <f t="shared" si="31"/>
        <v/>
      </c>
      <c r="AY207" s="286">
        <f t="shared" si="43"/>
        <v>207</v>
      </c>
      <c r="AZ207" s="319" t="str">
        <f t="shared" si="42"/>
        <v>AX207;</v>
      </c>
    </row>
    <row r="208" spans="1:52" s="319" customFormat="1" ht="15.75" thickBot="1">
      <c r="A208" s="666"/>
      <c r="B208" s="315" t="s">
        <v>353</v>
      </c>
      <c r="C208" s="316" t="s">
        <v>153</v>
      </c>
      <c r="D208" s="317" t="str">
        <f t="shared" si="41"/>
        <v/>
      </c>
      <c r="E208" s="110" t="str">
        <f t="shared" ref="E208" si="45">IF(E207&lt;&gt;"",E207,"")</f>
        <v/>
      </c>
      <c r="F208" s="317" t="s">
        <v>152</v>
      </c>
      <c r="G208" s="318" t="str">
        <f>IF(G207="X","X","")</f>
        <v/>
      </c>
      <c r="H208" s="317" t="s">
        <v>669</v>
      </c>
      <c r="I208" s="317"/>
      <c r="J208" s="317"/>
      <c r="N208" s="314"/>
      <c r="O208" s="320" t="s">
        <v>670</v>
      </c>
      <c r="P208" s="317" t="s">
        <v>152</v>
      </c>
      <c r="Q208" s="320">
        <f>$Q$11</f>
        <v>0</v>
      </c>
      <c r="R208" s="323"/>
      <c r="S208" s="324"/>
      <c r="T208" s="323"/>
      <c r="U208" s="324"/>
      <c r="V208" s="324"/>
      <c r="W208" s="325"/>
      <c r="X208" s="325"/>
      <c r="Y208" s="324"/>
      <c r="Z208" s="325"/>
      <c r="AA208" s="325"/>
      <c r="AB208" s="325"/>
      <c r="AC208" s="324">
        <v>0</v>
      </c>
      <c r="AD208" s="324">
        <v>0</v>
      </c>
      <c r="AL208" s="319" t="s">
        <v>152</v>
      </c>
      <c r="AM208" s="319" t="s">
        <v>153</v>
      </c>
      <c r="AQ208" s="431">
        <v>2200</v>
      </c>
      <c r="AR208" s="431">
        <v>1460</v>
      </c>
      <c r="AS208" s="431">
        <v>200</v>
      </c>
      <c r="AT208" s="431">
        <v>200</v>
      </c>
      <c r="AU208" s="431"/>
      <c r="AV208" s="480" t="str">
        <f>IF(AND(AR$1&lt;&gt;0,AT$1&lt;&gt;0),IF(AND($AR$1&lt;=AQ208,$AT$1&lt;=AR208,$AR$1&gt;=AS208,$AT$1&gt;=AT208),"OK","NOK"),"")</f>
        <v>OK</v>
      </c>
      <c r="AW208" s="299" t="str">
        <f t="shared" si="30"/>
        <v>JB03</v>
      </c>
      <c r="AX208" s="299" t="str">
        <f t="shared" si="31"/>
        <v/>
      </c>
      <c r="AY208" s="286">
        <f t="shared" si="43"/>
        <v>208</v>
      </c>
      <c r="AZ208" s="319" t="str">
        <f t="shared" si="42"/>
        <v>AX208;</v>
      </c>
    </row>
    <row r="209" spans="1:52" s="286" customFormat="1" ht="15" customHeight="1" thickBot="1">
      <c r="A209" s="666"/>
      <c r="B209" s="308" t="s">
        <v>356</v>
      </c>
      <c r="C209" s="285" t="s">
        <v>355</v>
      </c>
      <c r="D209" s="289" t="str">
        <f t="shared" si="41"/>
        <v/>
      </c>
      <c r="E209" s="287" t="str">
        <f>IFERROR(IF($G$202&lt;&gt;"",IF(G209="x",IF(F209=$G$202,"V1",IF(AF209=1,"V2",IF(AND(AF209=$AF$202,AF209&lt;&gt;1),"V"&amp;$AG$202+1,"V"&amp;AF209+1))),""),""),"Wprowadź urządzenie bazowe")</f>
        <v/>
      </c>
      <c r="F209" s="289" t="s">
        <v>354</v>
      </c>
      <c r="G209" s="309" t="str">
        <f>IF($G$202=F209,"X","")</f>
        <v/>
      </c>
      <c r="H209" s="289" t="s">
        <v>667</v>
      </c>
      <c r="I209" s="289">
        <v>10</v>
      </c>
      <c r="J209" s="286" t="str">
        <f>IFERROR(IF(VALUE(MID(D202,2,2))&lt;9,"$HLB1-L0"&amp;(RIGHT(D202,1)+1),"$HLB1-L"&amp;(MID(D202,2,2)+1)),"Uzupełnij poziom")</f>
        <v>Uzupełnij poziom</v>
      </c>
      <c r="K209" s="286">
        <v>1000</v>
      </c>
      <c r="L209" s="286" t="s">
        <v>668</v>
      </c>
      <c r="M209" s="287"/>
      <c r="N209" s="310">
        <f>IF(T210&lt;&gt;0,ROUND(((100-T210)/T210)*100,2),IF(J209&lt;&gt;"",T209,""))</f>
        <v>0</v>
      </c>
      <c r="O209" s="289"/>
      <c r="P209" s="289"/>
      <c r="Q209" s="289"/>
      <c r="S209" s="291"/>
      <c r="U209" s="291"/>
      <c r="V209" s="291"/>
      <c r="W209" s="291"/>
      <c r="X209" s="291"/>
      <c r="Y209" s="291"/>
      <c r="Z209" s="291"/>
      <c r="AA209" s="291"/>
      <c r="AB209" s="291"/>
      <c r="AC209" s="291"/>
      <c r="AD209" s="291"/>
      <c r="AE209" s="286" t="str">
        <f>UPPER(G209)</f>
        <v/>
      </c>
      <c r="AF209" s="286">
        <f>COUNTIF($AE$203:AE210,"X")</f>
        <v>0</v>
      </c>
      <c r="AL209" s="286" t="s">
        <v>354</v>
      </c>
      <c r="AM209" s="286" t="s">
        <v>355</v>
      </c>
      <c r="AQ209" s="430">
        <v>2200</v>
      </c>
      <c r="AR209" s="430">
        <v>1460</v>
      </c>
      <c r="AS209" s="430">
        <v>200</v>
      </c>
      <c r="AT209" s="430">
        <v>200</v>
      </c>
      <c r="AU209" s="430"/>
      <c r="AV209" s="430"/>
      <c r="AW209" s="299" t="str">
        <f t="shared" si="30"/>
        <v>JB04</v>
      </c>
      <c r="AX209" s="299" t="str">
        <f t="shared" si="31"/>
        <v/>
      </c>
      <c r="AY209" s="286">
        <f t="shared" si="43"/>
        <v>209</v>
      </c>
      <c r="AZ209" s="319" t="str">
        <f t="shared" si="42"/>
        <v>AX209;</v>
      </c>
    </row>
    <row r="210" spans="1:52" s="299" customFormat="1" ht="15.75" thickBot="1">
      <c r="A210" s="667"/>
      <c r="B210" s="337" t="s">
        <v>356</v>
      </c>
      <c r="C210" s="298" t="s">
        <v>355</v>
      </c>
      <c r="D210" s="301" t="str">
        <f t="shared" si="41"/>
        <v/>
      </c>
      <c r="E210" s="299" t="str">
        <f>IF(E209&lt;&gt;"",E209,"")</f>
        <v/>
      </c>
      <c r="F210" s="301" t="s">
        <v>354</v>
      </c>
      <c r="G210" s="338" t="str">
        <f>IF(G209="X","X","")</f>
        <v/>
      </c>
      <c r="H210" s="301" t="s">
        <v>669</v>
      </c>
      <c r="I210" s="301"/>
      <c r="J210" s="301"/>
      <c r="N210" s="339"/>
      <c r="O210" s="303" t="s">
        <v>670</v>
      </c>
      <c r="P210" s="301" t="s">
        <v>354</v>
      </c>
      <c r="Q210" s="303">
        <f>$Q$11</f>
        <v>0</v>
      </c>
      <c r="R210" s="304"/>
      <c r="S210" s="305"/>
      <c r="T210" s="304"/>
      <c r="U210" s="305"/>
      <c r="V210" s="305"/>
      <c r="W210" s="342"/>
      <c r="X210" s="342"/>
      <c r="Y210" s="305"/>
      <c r="Z210" s="342"/>
      <c r="AA210" s="342"/>
      <c r="AB210" s="342"/>
      <c r="AC210" s="305">
        <v>0</v>
      </c>
      <c r="AD210" s="305">
        <v>0</v>
      </c>
      <c r="AL210" s="299" t="s">
        <v>354</v>
      </c>
      <c r="AM210" s="299" t="s">
        <v>355</v>
      </c>
      <c r="AQ210" s="431">
        <v>2200</v>
      </c>
      <c r="AR210" s="431">
        <v>1460</v>
      </c>
      <c r="AS210" s="431">
        <v>200</v>
      </c>
      <c r="AT210" s="431">
        <v>200</v>
      </c>
      <c r="AU210" s="432"/>
      <c r="AV210" s="480" t="str">
        <f>IF(AND(AR$1&lt;&gt;0,AT$1&lt;&gt;0),IF(AND($AR$1&lt;=AQ210,$AT$1&lt;=AR210,$AR$1&gt;=AS210,$AT$1&gt;=AT210),"OK","NOK"),"")</f>
        <v>OK</v>
      </c>
      <c r="AW210" s="299" t="str">
        <f t="shared" si="30"/>
        <v>JB04</v>
      </c>
      <c r="AX210" s="299" t="str">
        <f t="shared" si="31"/>
        <v/>
      </c>
      <c r="AY210" s="286">
        <f t="shared" si="43"/>
        <v>210</v>
      </c>
      <c r="AZ210" s="319" t="str">
        <f t="shared" si="42"/>
        <v>AX210;</v>
      </c>
    </row>
    <row r="211" spans="1:52" s="319" customFormat="1" ht="15.75" thickBot="1">
      <c r="A211" s="283"/>
      <c r="B211" s="284" t="s">
        <v>665</v>
      </c>
      <c r="C211" s="356"/>
      <c r="D211" s="355" t="str">
        <f>IF(C211&lt;&gt;"",CONCATENATE("L",C211),"")</f>
        <v/>
      </c>
      <c r="E211" s="293"/>
      <c r="F211" s="295"/>
      <c r="G211" s="329"/>
      <c r="H211" s="295"/>
      <c r="I211" s="295"/>
      <c r="J211" s="295"/>
      <c r="K211" s="293"/>
      <c r="L211" s="293"/>
      <c r="M211" s="293"/>
      <c r="N211" s="314"/>
      <c r="O211" s="295"/>
      <c r="P211" s="295"/>
      <c r="Q211" s="295"/>
      <c r="R211" s="293"/>
      <c r="S211" s="324"/>
      <c r="U211" s="324"/>
      <c r="V211" s="324"/>
      <c r="W211" s="324"/>
      <c r="X211" s="324"/>
      <c r="Y211" s="324"/>
      <c r="Z211" s="324"/>
      <c r="AA211" s="324"/>
      <c r="AB211" s="324"/>
      <c r="AC211" s="324"/>
      <c r="AD211" s="324"/>
      <c r="AF211" s="319">
        <f>MAX(AF212:AF219)</f>
        <v>0</v>
      </c>
      <c r="AG211" s="319">
        <f>_xlfn.IFNA(VLOOKUP($G$211,F212:AF219,27,FALSE),0)</f>
        <v>0</v>
      </c>
      <c r="AN211" s="394" t="str">
        <f>IF(G211&lt;&gt;"",VLOOKUP(G211,$AL$4:$AM$274,2,FALSE),"")</f>
        <v/>
      </c>
      <c r="AO211" s="345" t="e">
        <f>VLOOKUP(AN211,$AO$277:$AQ$291,3,FALSE)</f>
        <v>#N/A</v>
      </c>
      <c r="AP211" s="395" t="str">
        <f>IF(AN211&lt;&gt;"",AN211&amp;", "&amp;AO211,"")</f>
        <v/>
      </c>
      <c r="AQ211" s="431"/>
      <c r="AR211" s="431"/>
      <c r="AS211" s="431"/>
      <c r="AT211" s="431"/>
      <c r="AU211" s="431"/>
      <c r="AV211" s="431"/>
      <c r="AW211" s="299">
        <f t="shared" si="30"/>
        <v>0</v>
      </c>
      <c r="AX211" s="299" t="str">
        <f t="shared" si="31"/>
        <v/>
      </c>
      <c r="AY211" s="286">
        <f t="shared" si="43"/>
        <v>211</v>
      </c>
      <c r="AZ211" s="319" t="str">
        <f t="shared" si="42"/>
        <v>AX211;</v>
      </c>
    </row>
    <row r="212" spans="1:52" s="286" customFormat="1" ht="15" customHeight="1" thickBot="1">
      <c r="A212" s="668" t="s">
        <v>677</v>
      </c>
      <c r="B212" s="308" t="s">
        <v>306</v>
      </c>
      <c r="C212" s="285" t="s">
        <v>149</v>
      </c>
      <c r="D212" s="289" t="str">
        <f t="shared" ref="D212:D219" si="46">$D$211</f>
        <v/>
      </c>
      <c r="E212" s="287" t="str">
        <f>IFERROR(IF($G$211&lt;&gt;"",IF(G212="x",IF(F212=$G$211,"V1",IF(AF212=1,"V2",IF(AND(AF212=$AF$211,AF212&lt;&gt;1),"V"&amp;$AG$211+1,"V"&amp;AF212+1))),""),""),"Wprowadź urządzenie bazowe")</f>
        <v/>
      </c>
      <c r="F212" s="289" t="s">
        <v>148</v>
      </c>
      <c r="G212" s="309"/>
      <c r="H212" s="289" t="s">
        <v>667</v>
      </c>
      <c r="I212" s="289">
        <v>10</v>
      </c>
      <c r="J212" s="286" t="str">
        <f>IFERROR(IF(VALUE(MID(D211,2,2))&lt;9,"$HLB1-L0"&amp;(RIGHT(D211,1)+1),"$HLB1-L"&amp;(MID(D211,2,2)+1)),"Uzupełnij poziom")</f>
        <v>Uzupełnij poziom</v>
      </c>
      <c r="K212" s="286">
        <v>1000</v>
      </c>
      <c r="L212" s="286" t="s">
        <v>668</v>
      </c>
      <c r="M212" s="287"/>
      <c r="N212" s="310">
        <f>IF(T213&lt;&gt;0,ROUND(((100-T213)/T213)*100,2),IF(J212&lt;&gt;"",T212,""))</f>
        <v>0</v>
      </c>
      <c r="O212" s="289"/>
      <c r="P212" s="289"/>
      <c r="Q212" s="289"/>
      <c r="S212" s="291"/>
      <c r="U212" s="291"/>
      <c r="V212" s="291"/>
      <c r="W212" s="291"/>
      <c r="X212" s="291"/>
      <c r="Y212" s="291"/>
      <c r="Z212" s="291"/>
      <c r="AA212" s="291"/>
      <c r="AB212" s="291"/>
      <c r="AC212" s="291"/>
      <c r="AD212" s="291"/>
      <c r="AE212" s="286" t="str">
        <f>UPPER(G212)</f>
        <v/>
      </c>
      <c r="AF212" s="286">
        <f>COUNTIF($AE$212:AE213,"X")</f>
        <v>0</v>
      </c>
      <c r="AL212" s="286" t="s">
        <v>148</v>
      </c>
      <c r="AM212" s="286" t="s">
        <v>149</v>
      </c>
      <c r="AQ212" s="430">
        <v>3000</v>
      </c>
      <c r="AR212" s="430">
        <v>1900</v>
      </c>
      <c r="AS212" s="430">
        <v>270</v>
      </c>
      <c r="AT212" s="430">
        <v>170</v>
      </c>
      <c r="AU212" s="430"/>
      <c r="AV212" s="430"/>
      <c r="AW212" s="299" t="str">
        <f t="shared" si="30"/>
        <v>IM01</v>
      </c>
      <c r="AX212" s="299" t="str">
        <f t="shared" si="31"/>
        <v/>
      </c>
      <c r="AY212" s="286">
        <f t="shared" si="43"/>
        <v>212</v>
      </c>
      <c r="AZ212" s="319" t="str">
        <f t="shared" si="42"/>
        <v>AX212;</v>
      </c>
    </row>
    <row r="213" spans="1:52" s="319" customFormat="1" ht="15.75" thickBot="1">
      <c r="A213" s="669"/>
      <c r="B213" s="315" t="s">
        <v>306</v>
      </c>
      <c r="C213" s="316" t="s">
        <v>149</v>
      </c>
      <c r="D213" s="317" t="str">
        <f t="shared" si="46"/>
        <v/>
      </c>
      <c r="E213" s="110" t="str">
        <f>IF(E212&lt;&gt;"",E212,"")</f>
        <v/>
      </c>
      <c r="F213" s="317" t="s">
        <v>148</v>
      </c>
      <c r="G213" s="318" t="str">
        <f>IF(G212="X","X","")</f>
        <v/>
      </c>
      <c r="H213" s="317" t="s">
        <v>669</v>
      </c>
      <c r="I213" s="317"/>
      <c r="J213" s="317"/>
      <c r="N213" s="343"/>
      <c r="O213" s="320" t="s">
        <v>670</v>
      </c>
      <c r="P213" s="317" t="s">
        <v>148</v>
      </c>
      <c r="Q213" s="320">
        <f>$Q$11</f>
        <v>0</v>
      </c>
      <c r="R213" s="323"/>
      <c r="S213" s="324"/>
      <c r="T213" s="323"/>
      <c r="U213" s="324"/>
      <c r="V213" s="324"/>
      <c r="W213" s="325"/>
      <c r="X213" s="325"/>
      <c r="Y213" s="324"/>
      <c r="Z213" s="325"/>
      <c r="AA213" s="325"/>
      <c r="AB213" s="325"/>
      <c r="AC213" s="324">
        <v>0</v>
      </c>
      <c r="AD213" s="324">
        <v>0</v>
      </c>
      <c r="AL213" s="319" t="s">
        <v>148</v>
      </c>
      <c r="AM213" s="319" t="s">
        <v>149</v>
      </c>
      <c r="AQ213" s="431">
        <v>3000</v>
      </c>
      <c r="AR213" s="431">
        <v>1900</v>
      </c>
      <c r="AS213" s="431">
        <v>270</v>
      </c>
      <c r="AT213" s="431">
        <v>170</v>
      </c>
      <c r="AU213" s="431"/>
      <c r="AV213" s="480" t="str">
        <f>IF(AND(AR$1&lt;&gt;0,AT$1&lt;&gt;0),IF(AND($AR$1&lt;=AQ213,$AT$1&lt;=AR213,$AR$1&gt;=AS213,$AT$1&gt;=AT213),"OK","NOK"),"")</f>
        <v>OK</v>
      </c>
      <c r="AW213" s="299" t="str">
        <f t="shared" si="30"/>
        <v>IM01</v>
      </c>
      <c r="AX213" s="299" t="str">
        <f t="shared" si="31"/>
        <v/>
      </c>
      <c r="AY213" s="286">
        <f t="shared" si="43"/>
        <v>213</v>
      </c>
      <c r="AZ213" s="319" t="str">
        <f t="shared" si="42"/>
        <v>AX213;</v>
      </c>
    </row>
    <row r="214" spans="1:52" s="286" customFormat="1" ht="15" customHeight="1" thickBot="1">
      <c r="A214" s="669"/>
      <c r="B214" s="308" t="s">
        <v>303</v>
      </c>
      <c r="C214" s="285" t="s">
        <v>125</v>
      </c>
      <c r="D214" s="289" t="str">
        <f t="shared" si="46"/>
        <v/>
      </c>
      <c r="E214" s="287" t="str">
        <f>IFERROR(IF($G$211&lt;&gt;"",IF(G214="x",IF(F214=$G$211,"V1",IF(AF214=1,"V2",IF(AND(AF214=$AF$211,AF214&lt;&gt;1),"V"&amp;$AG$211+1,"V"&amp;AF214+1))),""),""),"Wprowadź urządzenie bazowe")</f>
        <v/>
      </c>
      <c r="F214" s="289" t="s">
        <v>124</v>
      </c>
      <c r="G214" s="309" t="str">
        <f>IF($G$211=F214,"X","")</f>
        <v/>
      </c>
      <c r="H214" s="289" t="s">
        <v>667</v>
      </c>
      <c r="I214" s="289">
        <v>10</v>
      </c>
      <c r="J214" s="286" t="str">
        <f>IFERROR(IF(VALUE(MID(D211,2,2))&lt;9,"$HLB1-L0"&amp;(RIGHT(D211,1)+1),"$HLB1-L"&amp;(MID(D211,2,2)+1)),"Uzupełnij poziom")</f>
        <v>Uzupełnij poziom</v>
      </c>
      <c r="K214" s="286">
        <v>1000</v>
      </c>
      <c r="L214" s="286" t="s">
        <v>668</v>
      </c>
      <c r="M214" s="287"/>
      <c r="N214" s="310">
        <f>IF(T215&lt;&gt;0,ROUND(((100-T215)/T215)*100,2),IF(J214&lt;&gt;"",T214,""))</f>
        <v>0</v>
      </c>
      <c r="O214" s="289"/>
      <c r="P214" s="289"/>
      <c r="Q214" s="289"/>
      <c r="S214" s="291"/>
      <c r="U214" s="291"/>
      <c r="V214" s="291"/>
      <c r="W214" s="291"/>
      <c r="X214" s="291"/>
      <c r="Y214" s="291"/>
      <c r="Z214" s="291"/>
      <c r="AA214" s="291"/>
      <c r="AB214" s="291"/>
      <c r="AC214" s="291"/>
      <c r="AD214" s="291"/>
      <c r="AE214" s="286" t="str">
        <f>UPPER(G214)</f>
        <v/>
      </c>
      <c r="AF214" s="286">
        <f>COUNTIF($AE$212:AE215,"X")</f>
        <v>0</v>
      </c>
      <c r="AL214" s="286" t="s">
        <v>124</v>
      </c>
      <c r="AM214" s="286" t="s">
        <v>125</v>
      </c>
      <c r="AQ214" s="430">
        <v>3000</v>
      </c>
      <c r="AR214" s="430">
        <v>1500</v>
      </c>
      <c r="AS214" s="430">
        <v>270</v>
      </c>
      <c r="AT214" s="430">
        <v>170</v>
      </c>
      <c r="AU214" s="430"/>
      <c r="AV214" s="430"/>
      <c r="AW214" s="299" t="str">
        <f t="shared" si="30"/>
        <v>IM02</v>
      </c>
      <c r="AX214" s="299" t="str">
        <f t="shared" si="31"/>
        <v/>
      </c>
      <c r="AY214" s="286">
        <f t="shared" si="43"/>
        <v>214</v>
      </c>
      <c r="AZ214" s="319" t="str">
        <f t="shared" si="42"/>
        <v>AX214;</v>
      </c>
    </row>
    <row r="215" spans="1:52" s="319" customFormat="1" ht="15.75" thickBot="1">
      <c r="A215" s="669"/>
      <c r="B215" s="315" t="s">
        <v>303</v>
      </c>
      <c r="C215" s="316" t="s">
        <v>125</v>
      </c>
      <c r="D215" s="317" t="str">
        <f t="shared" si="46"/>
        <v/>
      </c>
      <c r="E215" s="110" t="str">
        <f t="shared" ref="E215" si="47">IF(E214&lt;&gt;"",E214,"")</f>
        <v/>
      </c>
      <c r="F215" s="317" t="s">
        <v>124</v>
      </c>
      <c r="G215" s="318" t="str">
        <f>IF(G214="X","X","")</f>
        <v/>
      </c>
      <c r="H215" s="317" t="s">
        <v>669</v>
      </c>
      <c r="I215" s="317"/>
      <c r="J215" s="317"/>
      <c r="N215" s="343"/>
      <c r="O215" s="320" t="s">
        <v>670</v>
      </c>
      <c r="P215" s="317" t="s">
        <v>124</v>
      </c>
      <c r="Q215" s="320">
        <f>$Q$11</f>
        <v>0</v>
      </c>
      <c r="R215" s="323"/>
      <c r="S215" s="324"/>
      <c r="T215" s="323"/>
      <c r="U215" s="324"/>
      <c r="V215" s="324"/>
      <c r="W215" s="325"/>
      <c r="X215" s="325"/>
      <c r="Y215" s="324"/>
      <c r="Z215" s="325"/>
      <c r="AA215" s="325"/>
      <c r="AB215" s="325"/>
      <c r="AC215" s="324">
        <v>0</v>
      </c>
      <c r="AD215" s="324">
        <v>0</v>
      </c>
      <c r="AL215" s="319" t="s">
        <v>124</v>
      </c>
      <c r="AM215" s="319" t="s">
        <v>125</v>
      </c>
      <c r="AQ215" s="431">
        <v>3000</v>
      </c>
      <c r="AR215" s="431">
        <v>1500</v>
      </c>
      <c r="AS215" s="431">
        <v>270</v>
      </c>
      <c r="AT215" s="431">
        <v>170</v>
      </c>
      <c r="AU215" s="431"/>
      <c r="AV215" s="480" t="str">
        <f>IF(AND(AR$1&lt;&gt;0,AT$1&lt;&gt;0),IF(AND($AR$1&lt;=AQ215,$AT$1&lt;=AR215,$AR$1&gt;=AS215,$AT$1&gt;=AT215),"OK","NOK"),"")</f>
        <v>OK</v>
      </c>
      <c r="AW215" s="299" t="str">
        <f t="shared" si="30"/>
        <v>IM02</v>
      </c>
      <c r="AX215" s="299" t="str">
        <f t="shared" si="31"/>
        <v/>
      </c>
      <c r="AY215" s="286">
        <f t="shared" si="43"/>
        <v>215</v>
      </c>
      <c r="AZ215" s="319" t="str">
        <f t="shared" si="42"/>
        <v>AX215;</v>
      </c>
    </row>
    <row r="216" spans="1:52" s="286" customFormat="1" ht="15" customHeight="1" thickBot="1">
      <c r="A216" s="669"/>
      <c r="B216" s="308" t="s">
        <v>307</v>
      </c>
      <c r="C216" s="285" t="s">
        <v>151</v>
      </c>
      <c r="D216" s="289" t="str">
        <f t="shared" si="46"/>
        <v/>
      </c>
      <c r="E216" s="287" t="str">
        <f>IFERROR(IF($G$211&lt;&gt;"",IF(G216="x",IF(F216=$G$211,"V1",IF(AF216=1,"V2",IF(AND(AF216=$AF$211,AF216&lt;&gt;1),"V"&amp;$AG$211+1,"V"&amp;AF216+1))),""),""),"Wprowadź urządzenie bazowe")</f>
        <v/>
      </c>
      <c r="F216" s="289" t="s">
        <v>150</v>
      </c>
      <c r="G216" s="309"/>
      <c r="H216" s="289" t="s">
        <v>667</v>
      </c>
      <c r="I216" s="289">
        <v>10</v>
      </c>
      <c r="J216" s="286" t="str">
        <f>IFERROR(IF(VALUE(MID(D211,2,2))&lt;9,"$HLB1-L0"&amp;(RIGHT(D211,1)+1),"$HLB1-L"&amp;(MID(D211,2,2)+1)),"Uzupełnij poziom")</f>
        <v>Uzupełnij poziom</v>
      </c>
      <c r="K216" s="286">
        <v>1000</v>
      </c>
      <c r="L216" s="286" t="s">
        <v>668</v>
      </c>
      <c r="M216" s="287"/>
      <c r="N216" s="310">
        <f>IF(T217&lt;&gt;0,ROUND(((100-T217)/T217)*100,2),IF(J216&lt;&gt;"",T216,""))</f>
        <v>0</v>
      </c>
      <c r="O216" s="289"/>
      <c r="P216" s="289"/>
      <c r="Q216" s="289"/>
      <c r="S216" s="291"/>
      <c r="U216" s="291"/>
      <c r="V216" s="291"/>
      <c r="W216" s="291"/>
      <c r="X216" s="291"/>
      <c r="Y216" s="291"/>
      <c r="Z216" s="291"/>
      <c r="AA216" s="291"/>
      <c r="AB216" s="291"/>
      <c r="AC216" s="291"/>
      <c r="AD216" s="291"/>
      <c r="AE216" s="286" t="str">
        <f>UPPER(G216)</f>
        <v/>
      </c>
      <c r="AF216" s="286">
        <f>COUNTIF($AE$212:AE217,"X")</f>
        <v>0</v>
      </c>
      <c r="AL216" s="286" t="s">
        <v>150</v>
      </c>
      <c r="AM216" s="286" t="s">
        <v>151</v>
      </c>
      <c r="AQ216" s="430">
        <v>3000</v>
      </c>
      <c r="AR216" s="430">
        <v>1450</v>
      </c>
      <c r="AS216" s="430">
        <v>270</v>
      </c>
      <c r="AT216" s="430">
        <v>170</v>
      </c>
      <c r="AU216" s="430"/>
      <c r="AV216" s="430"/>
      <c r="AW216" s="299" t="str">
        <f t="shared" si="30"/>
        <v>IM03</v>
      </c>
      <c r="AX216" s="299" t="str">
        <f t="shared" si="31"/>
        <v/>
      </c>
      <c r="AY216" s="286">
        <f t="shared" si="43"/>
        <v>216</v>
      </c>
      <c r="AZ216" s="319" t="str">
        <f t="shared" si="42"/>
        <v>AX216;</v>
      </c>
    </row>
    <row r="217" spans="1:52" s="319" customFormat="1" ht="15.75" thickBot="1">
      <c r="A217" s="669"/>
      <c r="B217" s="315" t="s">
        <v>307</v>
      </c>
      <c r="C217" s="316" t="s">
        <v>151</v>
      </c>
      <c r="D217" s="317" t="str">
        <f t="shared" si="46"/>
        <v/>
      </c>
      <c r="E217" s="110" t="str">
        <f t="shared" ref="E217" si="48">IF(E216&lt;&gt;"",E216,"")</f>
        <v/>
      </c>
      <c r="F217" s="317" t="s">
        <v>150</v>
      </c>
      <c r="G217" s="318" t="str">
        <f>IF(G216="X","X","")</f>
        <v/>
      </c>
      <c r="H217" s="317" t="s">
        <v>669</v>
      </c>
      <c r="I217" s="317"/>
      <c r="J217" s="317"/>
      <c r="N217" s="343"/>
      <c r="O217" s="320" t="s">
        <v>670</v>
      </c>
      <c r="P217" s="317" t="s">
        <v>150</v>
      </c>
      <c r="Q217" s="320">
        <f>$Q$11</f>
        <v>0</v>
      </c>
      <c r="R217" s="323"/>
      <c r="S217" s="324"/>
      <c r="T217" s="323"/>
      <c r="U217" s="324"/>
      <c r="V217" s="324"/>
      <c r="W217" s="325"/>
      <c r="X217" s="325"/>
      <c r="Y217" s="324"/>
      <c r="Z217" s="325"/>
      <c r="AA217" s="325"/>
      <c r="AB217" s="325"/>
      <c r="AC217" s="324">
        <v>0</v>
      </c>
      <c r="AD217" s="324">
        <v>0</v>
      </c>
      <c r="AL217" s="319" t="s">
        <v>150</v>
      </c>
      <c r="AM217" s="319" t="s">
        <v>151</v>
      </c>
      <c r="AQ217" s="431">
        <v>3000</v>
      </c>
      <c r="AR217" s="431">
        <v>1450</v>
      </c>
      <c r="AS217" s="431">
        <v>270</v>
      </c>
      <c r="AT217" s="431">
        <v>170</v>
      </c>
      <c r="AU217" s="431"/>
      <c r="AV217" s="480" t="str">
        <f>IF(AND(AR$1&lt;&gt;0,AT$1&lt;&gt;0),IF(AND($AR$1&lt;=AQ217,$AT$1&lt;=AR217,$AR$1&gt;=AS217,$AT$1&gt;=AT217),"OK","NOK"),"")</f>
        <v>OK</v>
      </c>
      <c r="AW217" s="299" t="str">
        <f t="shared" si="30"/>
        <v>IM03</v>
      </c>
      <c r="AX217" s="299" t="str">
        <f t="shared" si="31"/>
        <v/>
      </c>
      <c r="AY217" s="286">
        <f t="shared" si="43"/>
        <v>217</v>
      </c>
      <c r="AZ217" s="319" t="str">
        <f t="shared" si="42"/>
        <v>AX217;</v>
      </c>
    </row>
    <row r="218" spans="1:52" s="286" customFormat="1" ht="15" customHeight="1" thickBot="1">
      <c r="A218" s="669"/>
      <c r="B218" s="308" t="s">
        <v>352</v>
      </c>
      <c r="C218" s="285" t="s">
        <v>351</v>
      </c>
      <c r="D218" s="289" t="str">
        <f t="shared" si="46"/>
        <v/>
      </c>
      <c r="E218" s="287" t="str">
        <f>IFERROR(IF($G$211&lt;&gt;"",IF(G218="x",IF(F218=$G$211,"V1",IF(AF218=1,"V2",IF(AND(AF218=$AF$211,AF218&lt;&gt;1),"V"&amp;$AG$211+1,"V"&amp;AF218+1))),""),""),"Wprowadź urządzenie bazowe")</f>
        <v/>
      </c>
      <c r="F218" s="289" t="s">
        <v>678</v>
      </c>
      <c r="G218" s="309" t="str">
        <f>IF($G$211=F218,"X","")</f>
        <v/>
      </c>
      <c r="H218" s="289" t="s">
        <v>667</v>
      </c>
      <c r="I218" s="289">
        <v>10</v>
      </c>
      <c r="J218" s="286" t="str">
        <f>IFERROR(IF(VALUE(MID(D211,2,2))&lt;9,"$HLB1-L0"&amp;(RIGHT(D211,1)+1),"$HLB1-L"&amp;(MID(D211,2,2)+1)),"Uzupełnij poziom")</f>
        <v>Uzupełnij poziom</v>
      </c>
      <c r="K218" s="286">
        <v>1000</v>
      </c>
      <c r="L218" s="286" t="s">
        <v>668</v>
      </c>
      <c r="M218" s="287"/>
      <c r="N218" s="310">
        <f>IF(T219&lt;&gt;0,ROUND(((100-T219)/T219)*100,2),IF(J218&lt;&gt;"",T218,""))</f>
        <v>0</v>
      </c>
      <c r="O218" s="289"/>
      <c r="P218" s="289"/>
      <c r="Q218" s="289"/>
      <c r="S218" s="291"/>
      <c r="U218" s="291"/>
      <c r="V218" s="291"/>
      <c r="W218" s="291"/>
      <c r="X218" s="291"/>
      <c r="Y218" s="291"/>
      <c r="Z218" s="291"/>
      <c r="AA218" s="291"/>
      <c r="AB218" s="291"/>
      <c r="AC218" s="291"/>
      <c r="AD218" s="291"/>
      <c r="AE218" s="286" t="str">
        <f>UPPER(G218)</f>
        <v/>
      </c>
      <c r="AF218" s="286">
        <f>COUNTIF($AE$212:AE219,"X")</f>
        <v>0</v>
      </c>
      <c r="AL218" s="286" t="s">
        <v>678</v>
      </c>
      <c r="AM218" s="286" t="s">
        <v>351</v>
      </c>
      <c r="AQ218" s="430">
        <v>2250</v>
      </c>
      <c r="AR218" s="430">
        <v>1190</v>
      </c>
      <c r="AS218" s="430"/>
      <c r="AT218" s="430"/>
      <c r="AU218" s="430"/>
      <c r="AV218" s="430"/>
      <c r="AW218" s="299" t="str">
        <f t="shared" si="30"/>
        <v>TC01</v>
      </c>
      <c r="AX218" s="299" t="str">
        <f t="shared" si="31"/>
        <v/>
      </c>
      <c r="AY218" s="286">
        <f t="shared" si="43"/>
        <v>218</v>
      </c>
      <c r="AZ218" s="319" t="str">
        <f t="shared" si="42"/>
        <v>AX218;</v>
      </c>
    </row>
    <row r="219" spans="1:52" ht="15.75" thickBot="1">
      <c r="A219" s="670"/>
      <c r="B219" s="337" t="s">
        <v>352</v>
      </c>
      <c r="C219" s="298" t="s">
        <v>351</v>
      </c>
      <c r="D219" s="295" t="str">
        <f t="shared" si="46"/>
        <v/>
      </c>
      <c r="E219" s="299" t="str">
        <f t="shared" ref="E219" si="49">IF(E218&lt;&gt;"",E218,"")</f>
        <v/>
      </c>
      <c r="F219" s="301" t="s">
        <v>678</v>
      </c>
      <c r="G219" s="338" t="str">
        <f>IF(G218="X","X","")</f>
        <v/>
      </c>
      <c r="H219" s="301" t="s">
        <v>669</v>
      </c>
      <c r="I219" s="301"/>
      <c r="J219" s="301"/>
      <c r="K219" s="299"/>
      <c r="L219" s="299"/>
      <c r="M219" s="299"/>
      <c r="N219" s="339"/>
      <c r="O219" s="303" t="s">
        <v>670</v>
      </c>
      <c r="P219" s="301" t="s">
        <v>678</v>
      </c>
      <c r="Q219" s="303">
        <f>$Q$11</f>
        <v>0</v>
      </c>
      <c r="R219" s="304"/>
      <c r="T219" s="304"/>
      <c r="W219" s="336"/>
      <c r="X219" s="336"/>
      <c r="Z219" s="336"/>
      <c r="AA219" s="336"/>
      <c r="AB219" s="336"/>
      <c r="AC219" s="297">
        <v>0</v>
      </c>
      <c r="AD219" s="297">
        <v>0</v>
      </c>
      <c r="AL219" s="293" t="s">
        <v>678</v>
      </c>
      <c r="AM219" s="293" t="s">
        <v>351</v>
      </c>
      <c r="AQ219" s="429">
        <v>2250</v>
      </c>
      <c r="AR219" s="429">
        <v>1190</v>
      </c>
      <c r="AS219" s="479">
        <v>0</v>
      </c>
      <c r="AT219" s="479">
        <v>0</v>
      </c>
      <c r="AV219" s="480" t="str">
        <f>IF(AND(AR$1&lt;&gt;0,AT$1&lt;&gt;0),IF(AND($AR$1&lt;=AQ219,$AT$1&lt;=AR219,$AR$1&gt;=AS219,$AT$1&gt;=AT219),"OK","NOK"),"")</f>
        <v>OK</v>
      </c>
      <c r="AW219" s="299" t="str">
        <f t="shared" si="30"/>
        <v>TC01</v>
      </c>
      <c r="AX219" s="299" t="str">
        <f t="shared" si="31"/>
        <v/>
      </c>
      <c r="AY219" s="286">
        <f t="shared" si="43"/>
        <v>219</v>
      </c>
      <c r="AZ219" s="319" t="str">
        <f t="shared" si="42"/>
        <v>AX219;</v>
      </c>
    </row>
    <row r="220" spans="1:52" s="345" customFormat="1" ht="15.75" thickBot="1">
      <c r="A220" s="283"/>
      <c r="B220" s="284" t="s">
        <v>665</v>
      </c>
      <c r="C220" s="356"/>
      <c r="D220" s="357" t="str">
        <f>IF(C220&lt;&gt;"",CONCATENATE("L",C220),"")</f>
        <v/>
      </c>
      <c r="E220" s="293"/>
      <c r="F220" s="295"/>
      <c r="G220" s="329"/>
      <c r="H220" s="295"/>
      <c r="I220" s="295"/>
      <c r="J220" s="295"/>
      <c r="K220" s="293"/>
      <c r="L220" s="293"/>
      <c r="M220" s="293"/>
      <c r="N220" s="314"/>
      <c r="O220" s="295"/>
      <c r="P220" s="295"/>
      <c r="Q220" s="295"/>
      <c r="R220" s="293"/>
      <c r="S220" s="344"/>
      <c r="U220" s="344"/>
      <c r="V220" s="344"/>
      <c r="W220" s="344"/>
      <c r="X220" s="344"/>
      <c r="Y220" s="344"/>
      <c r="Z220" s="344"/>
      <c r="AA220" s="344"/>
      <c r="AB220" s="344"/>
      <c r="AC220" s="344"/>
      <c r="AD220" s="344"/>
      <c r="AF220" s="345">
        <f>MAX(AF221:AF226)</f>
        <v>0</v>
      </c>
      <c r="AG220" s="345">
        <f>_xlfn.IFNA(VLOOKUP($G$220,F221:AF226,27,FALSE),0)</f>
        <v>0</v>
      </c>
      <c r="AN220" s="394" t="str">
        <f>IF(G220&lt;&gt;"",VLOOKUP(G220,$AL$4:$AM$274,2,FALSE),"")</f>
        <v/>
      </c>
      <c r="AO220" s="345" t="e">
        <f>VLOOKUP(AN220,$AO$277:$AQ$291,3,FALSE)</f>
        <v>#N/A</v>
      </c>
      <c r="AP220" s="395" t="str">
        <f>IF(AN220&lt;&gt;"",AN220&amp;", "&amp;AO220,"")</f>
        <v/>
      </c>
      <c r="AQ220" s="433"/>
      <c r="AR220" s="433"/>
      <c r="AS220" s="433"/>
      <c r="AT220" s="433"/>
      <c r="AU220" s="433"/>
      <c r="AV220" s="433"/>
      <c r="AW220" s="299">
        <f t="shared" si="30"/>
        <v>0</v>
      </c>
      <c r="AX220" s="299" t="str">
        <f t="shared" si="31"/>
        <v/>
      </c>
      <c r="AY220" s="286">
        <f t="shared" si="43"/>
        <v>220</v>
      </c>
      <c r="AZ220" s="319" t="str">
        <f t="shared" si="42"/>
        <v>AX220;</v>
      </c>
    </row>
    <row r="221" spans="1:52" s="286" customFormat="1" ht="15" customHeight="1" thickBot="1">
      <c r="A221" s="665" t="s">
        <v>71</v>
      </c>
      <c r="B221" s="308" t="s">
        <v>305</v>
      </c>
      <c r="C221" s="285" t="s">
        <v>147</v>
      </c>
      <c r="D221" s="289" t="str">
        <f t="shared" ref="D221:D226" si="50">$D$220</f>
        <v/>
      </c>
      <c r="E221" s="287" t="str">
        <f>IFERROR(IF($G$220&lt;&gt;"",IF(G221="x",IF(F221=$G$220,"V1",IF(AF221=1,"V2",IF(AND(AF221=$AF$220,AF221&lt;&gt;1),"V"&amp;$AG$220+1,"V"&amp;AF221+1))),""),""),"Wprowadź urządzenie bazowe")</f>
        <v/>
      </c>
      <c r="F221" s="289" t="s">
        <v>146</v>
      </c>
      <c r="G221" s="309"/>
      <c r="H221" s="289" t="s">
        <v>667</v>
      </c>
      <c r="I221" s="289">
        <v>10</v>
      </c>
      <c r="J221" s="286" t="str">
        <f>IFERROR(IF(VALUE(MID(D220,2,2))&lt;9,"$HLB1-L0"&amp;(RIGHT(D220,1)+1),"$HLB1-L"&amp;(MID(D220,2,2)+1)),"Uzupełnij poziom")</f>
        <v>Uzupełnij poziom</v>
      </c>
      <c r="K221" s="286">
        <v>1000</v>
      </c>
      <c r="L221" s="286" t="s">
        <v>668</v>
      </c>
      <c r="M221" s="287"/>
      <c r="N221" s="310">
        <f>IF(T222&lt;&gt;0,ROUND(((100-T222)/T222)*100,2),IF(J221&lt;&gt;"",T221,""))</f>
        <v>0</v>
      </c>
      <c r="O221" s="289"/>
      <c r="P221" s="289"/>
      <c r="Q221" s="289"/>
      <c r="S221" s="291"/>
      <c r="U221" s="291"/>
      <c r="V221" s="291"/>
      <c r="W221" s="291"/>
      <c r="X221" s="291"/>
      <c r="Y221" s="291"/>
      <c r="Z221" s="291"/>
      <c r="AA221" s="291"/>
      <c r="AB221" s="291"/>
      <c r="AC221" s="291"/>
      <c r="AD221" s="291"/>
      <c r="AE221" s="286" t="str">
        <f>UPPER(G221)</f>
        <v/>
      </c>
      <c r="AF221" s="286">
        <f>COUNTIF($AE$221:AE222,"X")</f>
        <v>0</v>
      </c>
      <c r="AL221" s="286" t="s">
        <v>146</v>
      </c>
      <c r="AM221" s="286" t="s">
        <v>147</v>
      </c>
      <c r="AQ221" s="430">
        <v>3000</v>
      </c>
      <c r="AR221" s="430">
        <v>1800</v>
      </c>
      <c r="AS221" s="430"/>
      <c r="AT221" s="430"/>
      <c r="AU221" s="430"/>
      <c r="AV221" s="430"/>
      <c r="AW221" s="299" t="str">
        <f t="shared" si="30"/>
        <v>WJ01</v>
      </c>
      <c r="AX221" s="299" t="str">
        <f t="shared" si="31"/>
        <v/>
      </c>
      <c r="AY221" s="286">
        <f t="shared" si="43"/>
        <v>221</v>
      </c>
      <c r="AZ221" s="319" t="str">
        <f t="shared" si="42"/>
        <v>AX221;</v>
      </c>
    </row>
    <row r="222" spans="1:52" s="319" customFormat="1" ht="15.75" thickBot="1">
      <c r="A222" s="666"/>
      <c r="B222" s="315" t="s">
        <v>305</v>
      </c>
      <c r="C222" s="316" t="s">
        <v>147</v>
      </c>
      <c r="D222" s="317" t="str">
        <f t="shared" si="50"/>
        <v/>
      </c>
      <c r="E222" s="110" t="str">
        <f>IF(E221&lt;&gt;"",E221,"")</f>
        <v/>
      </c>
      <c r="F222" s="317" t="s">
        <v>146</v>
      </c>
      <c r="G222" s="318" t="str">
        <f>IF(G221="X","X","")</f>
        <v/>
      </c>
      <c r="H222" s="317" t="s">
        <v>669</v>
      </c>
      <c r="I222" s="317"/>
      <c r="J222" s="317"/>
      <c r="N222" s="343"/>
      <c r="O222" s="320" t="s">
        <v>670</v>
      </c>
      <c r="P222" s="317" t="s">
        <v>146</v>
      </c>
      <c r="Q222" s="320">
        <f>$Q$11</f>
        <v>0</v>
      </c>
      <c r="R222" s="323"/>
      <c r="S222" s="324"/>
      <c r="T222" s="323"/>
      <c r="U222" s="324"/>
      <c r="V222" s="324"/>
      <c r="W222" s="325"/>
      <c r="X222" s="325"/>
      <c r="Y222" s="324"/>
      <c r="Z222" s="325"/>
      <c r="AA222" s="325"/>
      <c r="AB222" s="325"/>
      <c r="AC222" s="324">
        <v>0</v>
      </c>
      <c r="AD222" s="324">
        <v>0</v>
      </c>
      <c r="AL222" s="319" t="s">
        <v>146</v>
      </c>
      <c r="AM222" s="319" t="s">
        <v>147</v>
      </c>
      <c r="AQ222" s="431">
        <v>3000</v>
      </c>
      <c r="AR222" s="431">
        <v>1800</v>
      </c>
      <c r="AS222" s="479">
        <v>0</v>
      </c>
      <c r="AT222" s="479">
        <v>0</v>
      </c>
      <c r="AU222" s="431"/>
      <c r="AV222" s="480" t="str">
        <f>IF(AND(AR$1&lt;&gt;0,AT$1&lt;&gt;0),IF(AND($AR$1&lt;=AQ222,$AT$1&lt;=AR222,$AR$1&gt;=AS222,$AT$1&gt;=AT222),"OK","NOK"),"")</f>
        <v>OK</v>
      </c>
      <c r="AW222" s="299" t="str">
        <f t="shared" ref="AW222:AW274" si="51">AL222</f>
        <v>WJ01</v>
      </c>
      <c r="AX222" s="299" t="str">
        <f t="shared" ref="AX222:AX274" si="52">IF(AV222="NOK",AW222&amp;",","")</f>
        <v/>
      </c>
      <c r="AY222" s="286">
        <f t="shared" si="43"/>
        <v>222</v>
      </c>
      <c r="AZ222" s="319" t="str">
        <f t="shared" si="42"/>
        <v>AX222;</v>
      </c>
    </row>
    <row r="223" spans="1:52" s="286" customFormat="1" ht="15" customHeight="1" thickBot="1">
      <c r="A223" s="666"/>
      <c r="B223" s="308" t="s">
        <v>302</v>
      </c>
      <c r="C223" s="285" t="s">
        <v>123</v>
      </c>
      <c r="D223" s="289" t="str">
        <f t="shared" si="50"/>
        <v/>
      </c>
      <c r="E223" s="287" t="str">
        <f>IFERROR(IF($G$220&lt;&gt;"",IF(G223="x",IF(F223=$G$220,"V1",IF(AF223=1,"V2",IF(AND(AF223=$AF$220,AF223&lt;&gt;1),"V"&amp;$AG$220+1,"V"&amp;AF223+1))),""),""),"Wprowadź urządzenie bazowe")</f>
        <v/>
      </c>
      <c r="F223" s="289" t="s">
        <v>122</v>
      </c>
      <c r="G223" s="309"/>
      <c r="H223" s="289" t="s">
        <v>667</v>
      </c>
      <c r="I223" s="289">
        <v>10</v>
      </c>
      <c r="J223" s="286" t="str">
        <f>IFERROR(IF(VALUE(MID(D220,2,2))&lt;9,"$HLB1-L0"&amp;(RIGHT(D220,1)+1),"$HLB1-L"&amp;(MID(D220,2,2)+1)),"Uzupełnij poziom")</f>
        <v>Uzupełnij poziom</v>
      </c>
      <c r="K223" s="286">
        <v>1000</v>
      </c>
      <c r="L223" s="286" t="s">
        <v>668</v>
      </c>
      <c r="M223" s="287"/>
      <c r="N223" s="310">
        <f>IF(T224&lt;&gt;0,ROUND(((100-T224)/T224)*100,2),IF(J223&lt;&gt;"",T223,""))</f>
        <v>0</v>
      </c>
      <c r="O223" s="289"/>
      <c r="P223" s="289"/>
      <c r="Q223" s="289"/>
      <c r="S223" s="291"/>
      <c r="U223" s="291"/>
      <c r="V223" s="291"/>
      <c r="W223" s="291"/>
      <c r="X223" s="291"/>
      <c r="Y223" s="291"/>
      <c r="Z223" s="291"/>
      <c r="AA223" s="291"/>
      <c r="AB223" s="291"/>
      <c r="AC223" s="291"/>
      <c r="AD223" s="291"/>
      <c r="AE223" s="286" t="str">
        <f>UPPER(G223)</f>
        <v/>
      </c>
      <c r="AF223" s="286">
        <f>COUNTIF($AE$221:AE224,"X")</f>
        <v>0</v>
      </c>
      <c r="AL223" s="286" t="s">
        <v>122</v>
      </c>
      <c r="AM223" s="286" t="s">
        <v>123</v>
      </c>
      <c r="AQ223" s="430">
        <v>2500</v>
      </c>
      <c r="AR223" s="430">
        <v>1500</v>
      </c>
      <c r="AS223" s="430"/>
      <c r="AT223" s="430"/>
      <c r="AU223" s="430"/>
      <c r="AV223" s="430"/>
      <c r="AW223" s="299" t="str">
        <f t="shared" si="51"/>
        <v>WJ02</v>
      </c>
      <c r="AX223" s="299" t="str">
        <f t="shared" si="52"/>
        <v/>
      </c>
      <c r="AY223" s="286">
        <f t="shared" si="43"/>
        <v>223</v>
      </c>
      <c r="AZ223" s="319" t="str">
        <f t="shared" si="42"/>
        <v>AX223;</v>
      </c>
    </row>
    <row r="224" spans="1:52" s="319" customFormat="1" ht="15.75" thickBot="1">
      <c r="A224" s="666"/>
      <c r="B224" s="315" t="s">
        <v>302</v>
      </c>
      <c r="C224" s="316" t="s">
        <v>123</v>
      </c>
      <c r="D224" s="317" t="str">
        <f t="shared" si="50"/>
        <v/>
      </c>
      <c r="E224" s="110" t="str">
        <f>IF(E223&lt;&gt;"",E223,"")</f>
        <v/>
      </c>
      <c r="F224" s="317" t="s">
        <v>122</v>
      </c>
      <c r="G224" s="318" t="str">
        <f>IF(G223="X","X","")</f>
        <v/>
      </c>
      <c r="H224" s="317" t="s">
        <v>669</v>
      </c>
      <c r="I224" s="317"/>
      <c r="J224" s="317"/>
      <c r="N224" s="343"/>
      <c r="O224" s="320" t="s">
        <v>670</v>
      </c>
      <c r="P224" s="317" t="s">
        <v>122</v>
      </c>
      <c r="Q224" s="320">
        <f>$Q$11</f>
        <v>0</v>
      </c>
      <c r="R224" s="323"/>
      <c r="S224" s="324"/>
      <c r="T224" s="323"/>
      <c r="U224" s="324"/>
      <c r="V224" s="324"/>
      <c r="W224" s="325"/>
      <c r="X224" s="325"/>
      <c r="Y224" s="324"/>
      <c r="Z224" s="325"/>
      <c r="AA224" s="325"/>
      <c r="AB224" s="325"/>
      <c r="AC224" s="324">
        <v>0</v>
      </c>
      <c r="AD224" s="324">
        <v>0</v>
      </c>
      <c r="AL224" s="319" t="s">
        <v>122</v>
      </c>
      <c r="AM224" s="319" t="s">
        <v>123</v>
      </c>
      <c r="AQ224" s="431">
        <v>2500</v>
      </c>
      <c r="AR224" s="431">
        <v>1500</v>
      </c>
      <c r="AS224" s="479">
        <v>0</v>
      </c>
      <c r="AT224" s="479">
        <v>0</v>
      </c>
      <c r="AU224" s="431"/>
      <c r="AV224" s="480" t="str">
        <f>IF(AND(AR$1&lt;&gt;0,AT$1&lt;&gt;0),IF(AND($AR$1&lt;=AQ224,$AT$1&lt;=AR224,$AR$1&gt;=AS224,$AT$1&gt;=AT224),"OK","NOK"),"")</f>
        <v>OK</v>
      </c>
      <c r="AW224" s="299" t="str">
        <f t="shared" si="51"/>
        <v>WJ02</v>
      </c>
      <c r="AX224" s="299" t="str">
        <f t="shared" si="52"/>
        <v/>
      </c>
      <c r="AY224" s="286">
        <f t="shared" si="43"/>
        <v>224</v>
      </c>
      <c r="AZ224" s="319" t="str">
        <f t="shared" si="42"/>
        <v>AX224;</v>
      </c>
    </row>
    <row r="225" spans="1:52" s="286" customFormat="1" ht="15" customHeight="1" thickBot="1">
      <c r="A225" s="666"/>
      <c r="B225" s="308" t="s">
        <v>310</v>
      </c>
      <c r="C225" s="285" t="s">
        <v>309</v>
      </c>
      <c r="D225" s="289" t="str">
        <f t="shared" si="50"/>
        <v/>
      </c>
      <c r="E225" s="287" t="str">
        <f>IFERROR(IF($G$220&lt;&gt;"",IF(G225="x",IF(F225=$G$220,"V1",IF(AF225=1,"V2",IF(AND(AF225=$AF$220,AF225&lt;&gt;1),"V"&amp;$AG$220+1,"V"&amp;AF225+1))),""),""),"Wprowadź urządzenie bazowe")</f>
        <v/>
      </c>
      <c r="F225" s="289" t="s">
        <v>308</v>
      </c>
      <c r="G225" s="309" t="str">
        <f>IF($G$220=F225,"X","")</f>
        <v/>
      </c>
      <c r="H225" s="289" t="s">
        <v>667</v>
      </c>
      <c r="I225" s="289">
        <v>10</v>
      </c>
      <c r="J225" s="286" t="str">
        <f>IFERROR(IF(VALUE(MID(D220,2,2))&lt;9,"$HLB1-L0"&amp;(RIGHT(D220,1)+1),"$HLB1-L"&amp;(MID(D220,2,2)+1)),"Uzupełnij poziom")</f>
        <v>Uzupełnij poziom</v>
      </c>
      <c r="K225" s="286">
        <v>1000</v>
      </c>
      <c r="L225" s="286" t="s">
        <v>668</v>
      </c>
      <c r="M225" s="287"/>
      <c r="N225" s="310">
        <f>IF(T226&lt;&gt;0,ROUND(((100-T226)/T226)*100,2),IF(J225&lt;&gt;"",T225,""))</f>
        <v>0</v>
      </c>
      <c r="O225" s="289"/>
      <c r="P225" s="289"/>
      <c r="Q225" s="289"/>
      <c r="S225" s="291"/>
      <c r="U225" s="291"/>
      <c r="V225" s="291"/>
      <c r="W225" s="291"/>
      <c r="X225" s="291"/>
      <c r="Y225" s="291"/>
      <c r="Z225" s="291"/>
      <c r="AA225" s="291"/>
      <c r="AB225" s="291"/>
      <c r="AC225" s="291"/>
      <c r="AD225" s="291"/>
      <c r="AE225" s="286" t="str">
        <f>UPPER(G225)</f>
        <v/>
      </c>
      <c r="AF225" s="286">
        <f>COUNTIF($AE$221:AE226,"X")</f>
        <v>0</v>
      </c>
      <c r="AL225" s="286" t="s">
        <v>308</v>
      </c>
      <c r="AM225" s="286" t="s">
        <v>309</v>
      </c>
      <c r="AQ225" s="430">
        <v>3600</v>
      </c>
      <c r="AR225" s="430">
        <v>1900</v>
      </c>
      <c r="AS225" s="430"/>
      <c r="AT225" s="430"/>
      <c r="AU225" s="430"/>
      <c r="AV225" s="430"/>
      <c r="AW225" s="299" t="str">
        <f t="shared" si="51"/>
        <v>WJ03</v>
      </c>
      <c r="AX225" s="299" t="str">
        <f t="shared" si="52"/>
        <v/>
      </c>
      <c r="AY225" s="286">
        <f t="shared" si="43"/>
        <v>225</v>
      </c>
      <c r="AZ225" s="319" t="str">
        <f t="shared" si="42"/>
        <v>AX225;</v>
      </c>
    </row>
    <row r="226" spans="1:52" ht="15.75" thickBot="1">
      <c r="A226" s="667"/>
      <c r="B226" s="337" t="s">
        <v>310</v>
      </c>
      <c r="C226" s="292" t="s">
        <v>309</v>
      </c>
      <c r="D226" s="295" t="str">
        <f t="shared" si="50"/>
        <v/>
      </c>
      <c r="E226" s="299" t="str">
        <f>IF(E225&lt;&gt;"",E225,"")</f>
        <v/>
      </c>
      <c r="F226" s="301" t="s">
        <v>308</v>
      </c>
      <c r="G226" s="338" t="str">
        <f>IF(G225="X","X","")</f>
        <v/>
      </c>
      <c r="H226" s="301" t="s">
        <v>669</v>
      </c>
      <c r="I226" s="301"/>
      <c r="J226" s="301"/>
      <c r="K226" s="299"/>
      <c r="L226" s="299"/>
      <c r="M226" s="299"/>
      <c r="N226" s="339"/>
      <c r="O226" s="303" t="s">
        <v>670</v>
      </c>
      <c r="P226" s="301" t="s">
        <v>308</v>
      </c>
      <c r="Q226" s="303">
        <f>$Q$11</f>
        <v>0</v>
      </c>
      <c r="R226" s="304"/>
      <c r="T226" s="304"/>
      <c r="W226" s="336"/>
      <c r="X226" s="336"/>
      <c r="Z226" s="336"/>
      <c r="AA226" s="336"/>
      <c r="AB226" s="336"/>
      <c r="AC226" s="297">
        <v>0</v>
      </c>
      <c r="AD226" s="297">
        <v>0</v>
      </c>
      <c r="AL226" s="293" t="s">
        <v>308</v>
      </c>
      <c r="AM226" s="293" t="s">
        <v>309</v>
      </c>
      <c r="AQ226" s="429">
        <v>3600</v>
      </c>
      <c r="AR226" s="429">
        <v>1900</v>
      </c>
      <c r="AS226" s="479">
        <v>0</v>
      </c>
      <c r="AT226" s="479">
        <v>0</v>
      </c>
      <c r="AV226" s="480" t="str">
        <f>IF(AND(AR$1&lt;&gt;0,AT$1&lt;&gt;0),IF(AND($AR$1&lt;=AQ226,$AT$1&lt;=AR226,$AR$1&gt;=AS226,$AT$1&gt;=AT226),"OK","NOK"),"")</f>
        <v>OK</v>
      </c>
      <c r="AW226" s="299" t="str">
        <f t="shared" si="51"/>
        <v>WJ03</v>
      </c>
      <c r="AX226" s="299" t="str">
        <f t="shared" si="52"/>
        <v/>
      </c>
      <c r="AY226" s="286">
        <f t="shared" si="43"/>
        <v>226</v>
      </c>
      <c r="AZ226" s="319" t="str">
        <f t="shared" si="42"/>
        <v>AX226;</v>
      </c>
    </row>
    <row r="227" spans="1:52" s="384" customFormat="1" ht="15.75" customHeight="1" thickBot="1">
      <c r="A227" s="359"/>
      <c r="B227" s="360" t="s">
        <v>665</v>
      </c>
      <c r="C227" s="383"/>
      <c r="D227" s="357" t="str">
        <f>IF(C227&lt;&gt;"",CONCATENATE("L",C227),"")</f>
        <v/>
      </c>
      <c r="G227" s="385"/>
      <c r="M227" s="386"/>
      <c r="N227" s="387"/>
      <c r="S227" s="388"/>
      <c r="U227" s="388"/>
      <c r="V227" s="388"/>
      <c r="W227" s="388"/>
      <c r="X227" s="388"/>
      <c r="Y227" s="388"/>
      <c r="Z227" s="388"/>
      <c r="AA227" s="388"/>
      <c r="AB227" s="388"/>
      <c r="AC227" s="388"/>
      <c r="AD227" s="388"/>
      <c r="AN227" s="394" t="str">
        <f>IF(G227&lt;&gt;"",VLOOKUP(G227,$AL$4:$AM$274,2,FALSE),"")</f>
        <v/>
      </c>
      <c r="AO227" s="399"/>
      <c r="AP227" s="395" t="str">
        <f>IF(AN227&lt;&gt;"",AN227&amp;", "&amp;AO227,"")</f>
        <v/>
      </c>
      <c r="AQ227" s="434"/>
      <c r="AR227" s="434"/>
      <c r="AS227" s="434"/>
      <c r="AT227" s="434"/>
      <c r="AU227" s="434"/>
      <c r="AV227" s="434"/>
      <c r="AW227" s="299">
        <f t="shared" si="51"/>
        <v>0</v>
      </c>
      <c r="AX227" s="299" t="str">
        <f t="shared" si="52"/>
        <v/>
      </c>
      <c r="AY227" s="286">
        <f t="shared" si="43"/>
        <v>227</v>
      </c>
      <c r="AZ227" s="319" t="str">
        <f t="shared" si="42"/>
        <v>AX227;</v>
      </c>
    </row>
    <row r="228" spans="1:52" s="289" customFormat="1" ht="15.75" customHeight="1" thickBot="1">
      <c r="A228" s="659" t="s">
        <v>616</v>
      </c>
      <c r="B228" s="364" t="s">
        <v>618</v>
      </c>
      <c r="C228" s="391" t="s">
        <v>617</v>
      </c>
      <c r="D228" s="289" t="str">
        <f t="shared" ref="D228:D235" si="53">$D$227</f>
        <v/>
      </c>
      <c r="E228" s="366" t="str">
        <f>IF(UPPER(G228)="X","V1","")</f>
        <v/>
      </c>
      <c r="F228" s="288" t="s">
        <v>617</v>
      </c>
      <c r="G228" s="377"/>
      <c r="H228" s="289" t="s">
        <v>667</v>
      </c>
      <c r="I228" s="289">
        <v>10</v>
      </c>
      <c r="J228" s="289" t="str">
        <f>IFERROR(IF(VALUE(MID(D227,2,2))&lt;9,"$HLB1-L0"&amp;(RIGHT(D227,1)+1),"$HLB1-L"&amp;(MID(D227,2,2)+1)),"Uzupełnij poziom")</f>
        <v>Uzupełnij poziom</v>
      </c>
      <c r="K228" s="289">
        <v>1000</v>
      </c>
      <c r="L228" s="289" t="s">
        <v>668</v>
      </c>
      <c r="M228" s="367"/>
      <c r="N228" s="290">
        <f>IF(T231&lt;&gt;0,ROUND(((100-T231)/T231)*100,2),IF(J228&lt;&gt;"",T230,""))</f>
        <v>0</v>
      </c>
      <c r="S228" s="368"/>
      <c r="U228" s="368"/>
      <c r="V228" s="368"/>
      <c r="W228" s="368"/>
      <c r="X228" s="368"/>
      <c r="Y228" s="368"/>
      <c r="Z228" s="368"/>
      <c r="AA228" s="368"/>
      <c r="AB228" s="368"/>
      <c r="AC228" s="368"/>
      <c r="AD228" s="368"/>
      <c r="AE228" s="286"/>
      <c r="AL228" s="289" t="s">
        <v>617</v>
      </c>
      <c r="AM228" s="289" t="s">
        <v>617</v>
      </c>
      <c r="AQ228" s="332"/>
      <c r="AR228" s="332"/>
      <c r="AS228" s="332"/>
      <c r="AT228" s="332"/>
      <c r="AU228" s="332"/>
      <c r="AV228" s="332"/>
      <c r="AW228" s="299" t="str">
        <f t="shared" si="51"/>
        <v>LGSM</v>
      </c>
      <c r="AX228" s="299" t="str">
        <f t="shared" si="52"/>
        <v/>
      </c>
      <c r="AY228" s="286">
        <f t="shared" si="43"/>
        <v>228</v>
      </c>
      <c r="AZ228" s="319" t="str">
        <f t="shared" si="42"/>
        <v>AX228;</v>
      </c>
    </row>
    <row r="229" spans="1:52" s="295" customFormat="1" ht="15.75" customHeight="1" thickBot="1">
      <c r="A229" s="660"/>
      <c r="B229" s="369" t="s">
        <v>618</v>
      </c>
      <c r="C229" s="392" t="s">
        <v>617</v>
      </c>
      <c r="D229" s="295" t="str">
        <f t="shared" si="53"/>
        <v/>
      </c>
      <c r="E229" s="295" t="str">
        <f>IF(E228&lt;&gt;"",E228,"")</f>
        <v/>
      </c>
      <c r="F229" s="294" t="s">
        <v>617</v>
      </c>
      <c r="G229" s="378" t="str">
        <f>IF(J229&lt;&gt;"","X","")</f>
        <v/>
      </c>
      <c r="H229" s="295" t="s">
        <v>667</v>
      </c>
      <c r="I229" s="295">
        <v>20</v>
      </c>
      <c r="L229" s="295" t="s">
        <v>668</v>
      </c>
      <c r="M229" s="371" t="str">
        <f>IF(T231&lt;&gt;0,ROUND(((100-T231)/T231)*100,2),IF(J229&lt;&gt;"",T229,""))</f>
        <v/>
      </c>
      <c r="N229" s="296" t="str">
        <f>IF(T231&lt;&gt;0,ROUND(((100-T231)/T231)*100,2),IF(J229&lt;&gt;"",T230,""))</f>
        <v/>
      </c>
      <c r="S229" s="372"/>
      <c r="U229" s="372"/>
      <c r="V229" s="372"/>
      <c r="W229" s="372"/>
      <c r="X229" s="372"/>
      <c r="Y229" s="372"/>
      <c r="Z229" s="372"/>
      <c r="AA229" s="372"/>
      <c r="AB229" s="372"/>
      <c r="AC229" s="372"/>
      <c r="AD229" s="372"/>
      <c r="AL229" s="295" t="s">
        <v>617</v>
      </c>
      <c r="AM229" s="295" t="s">
        <v>617</v>
      </c>
      <c r="AQ229" s="333"/>
      <c r="AR229" s="333"/>
      <c r="AS229" s="333"/>
      <c r="AT229" s="333"/>
      <c r="AU229" s="333"/>
      <c r="AV229" s="333"/>
      <c r="AW229" s="299" t="str">
        <f t="shared" si="51"/>
        <v>LGSM</v>
      </c>
      <c r="AX229" s="299" t="str">
        <f t="shared" si="52"/>
        <v/>
      </c>
      <c r="AY229" s="286">
        <f t="shared" si="43"/>
        <v>229</v>
      </c>
      <c r="AZ229" s="319" t="str">
        <f t="shared" si="42"/>
        <v>AX229;</v>
      </c>
    </row>
    <row r="230" spans="1:52" s="295" customFormat="1" ht="15.75" customHeight="1" thickBot="1">
      <c r="A230" s="660"/>
      <c r="B230" s="369" t="s">
        <v>618</v>
      </c>
      <c r="C230" s="392" t="s">
        <v>617</v>
      </c>
      <c r="D230" s="295" t="str">
        <f t="shared" si="53"/>
        <v/>
      </c>
      <c r="E230" s="295" t="str">
        <f>IF(E228&lt;&gt;"",E228,"")</f>
        <v/>
      </c>
      <c r="F230" s="294" t="s">
        <v>617</v>
      </c>
      <c r="G230" s="378" t="str">
        <f>IF(J230&lt;&gt;"","X","")</f>
        <v/>
      </c>
      <c r="H230" s="295" t="s">
        <v>667</v>
      </c>
      <c r="I230" s="295">
        <v>30</v>
      </c>
      <c r="L230" s="295" t="s">
        <v>668</v>
      </c>
      <c r="M230" s="371" t="str">
        <f>IF(T231&lt;&gt;0,ROUND(((100-T231)/T231)*100,2),IF(J230&lt;&gt;"",T230,""))</f>
        <v/>
      </c>
      <c r="N230" s="296" t="str">
        <f>IF(T231&lt;&gt;0,ROUND(((100-T231)/T231)*100,2),IF(J230&lt;&gt;"",T230,""))</f>
        <v/>
      </c>
      <c r="S230" s="372"/>
      <c r="U230" s="372"/>
      <c r="V230" s="372"/>
      <c r="W230" s="372"/>
      <c r="X230" s="372"/>
      <c r="Y230" s="372"/>
      <c r="Z230" s="372"/>
      <c r="AA230" s="372"/>
      <c r="AB230" s="372"/>
      <c r="AC230" s="372"/>
      <c r="AD230" s="372"/>
      <c r="AL230" s="295" t="s">
        <v>617</v>
      </c>
      <c r="AM230" s="295" t="s">
        <v>617</v>
      </c>
      <c r="AQ230" s="333"/>
      <c r="AR230" s="333"/>
      <c r="AS230" s="333"/>
      <c r="AT230" s="333"/>
      <c r="AU230" s="333"/>
      <c r="AV230" s="333"/>
      <c r="AW230" s="299" t="str">
        <f t="shared" si="51"/>
        <v>LGSM</v>
      </c>
      <c r="AX230" s="299" t="str">
        <f t="shared" si="52"/>
        <v/>
      </c>
      <c r="AY230" s="286">
        <f t="shared" si="43"/>
        <v>230</v>
      </c>
      <c r="AZ230" s="319" t="str">
        <f t="shared" si="42"/>
        <v>AX230;</v>
      </c>
    </row>
    <row r="231" spans="1:52" s="301" customFormat="1" ht="15.75" customHeight="1" thickBot="1">
      <c r="A231" s="660"/>
      <c r="B231" s="373" t="s">
        <v>618</v>
      </c>
      <c r="C231" s="393" t="s">
        <v>617</v>
      </c>
      <c r="D231" s="301" t="str">
        <f t="shared" si="53"/>
        <v/>
      </c>
      <c r="E231" s="301" t="str">
        <f>IF(E228&lt;&gt;"",E228,"")</f>
        <v/>
      </c>
      <c r="F231" s="300" t="s">
        <v>617</v>
      </c>
      <c r="G231" s="379" t="str">
        <f>IF(G228="X","X","")</f>
        <v/>
      </c>
      <c r="H231" s="301" t="s">
        <v>669</v>
      </c>
      <c r="M231" s="375"/>
      <c r="N231" s="302"/>
      <c r="O231" s="303" t="s">
        <v>670</v>
      </c>
      <c r="P231" s="300" t="s">
        <v>617</v>
      </c>
      <c r="Q231" s="303">
        <f>$Q$11</f>
        <v>0</v>
      </c>
      <c r="R231" s="303"/>
      <c r="S231" s="376"/>
      <c r="T231" s="303"/>
      <c r="U231" s="376"/>
      <c r="V231" s="376"/>
      <c r="W231" s="376"/>
      <c r="X231" s="376"/>
      <c r="Y231" s="376"/>
      <c r="Z231" s="376"/>
      <c r="AA231" s="376"/>
      <c r="AB231" s="376"/>
      <c r="AC231" s="376"/>
      <c r="AD231" s="376"/>
      <c r="AL231" s="301" t="s">
        <v>617</v>
      </c>
      <c r="AM231" s="301" t="s">
        <v>617</v>
      </c>
      <c r="AQ231" s="428"/>
      <c r="AR231" s="428"/>
      <c r="AS231" s="479">
        <v>0</v>
      </c>
      <c r="AT231" s="479">
        <v>0</v>
      </c>
      <c r="AU231" s="428"/>
      <c r="AV231" s="480" t="str">
        <f>IF(AND(AR$1&lt;&gt;0,AT$1&lt;&gt;0),IF(AND($AR$1&lt;=AQ231,$AT$1&lt;=AR231,$AR$1&gt;=AS231,$AT$1&gt;=AT231),"OK","NOK"),"")</f>
        <v>NOK</v>
      </c>
      <c r="AW231" s="299" t="str">
        <f t="shared" si="51"/>
        <v>LGSM</v>
      </c>
      <c r="AX231" s="299" t="str">
        <f t="shared" si="52"/>
        <v>LGSM,</v>
      </c>
      <c r="AY231" s="286">
        <f t="shared" si="43"/>
        <v>231</v>
      </c>
      <c r="AZ231" s="319" t="str">
        <f t="shared" si="42"/>
        <v>AX231;</v>
      </c>
    </row>
    <row r="232" spans="1:52" s="289" customFormat="1" ht="15.75" customHeight="1" thickBot="1">
      <c r="A232" s="660"/>
      <c r="B232" s="364" t="s">
        <v>618</v>
      </c>
      <c r="C232" s="391" t="s">
        <v>617</v>
      </c>
      <c r="D232" s="289" t="str">
        <f t="shared" si="53"/>
        <v/>
      </c>
      <c r="E232" s="366" t="str">
        <f>IF(UPPER(G232)="X","V2","")</f>
        <v/>
      </c>
      <c r="F232" s="288" t="s">
        <v>617</v>
      </c>
      <c r="G232" s="377"/>
      <c r="H232" s="289" t="s">
        <v>667</v>
      </c>
      <c r="I232" s="289">
        <v>10</v>
      </c>
      <c r="J232" s="289" t="str">
        <f>IFERROR(IF(VALUE(MID(D231,2,2))&lt;9,"$HLB1-L0"&amp;(RIGHT(D231,1)+2),"$HLB1-L"&amp;(MID(D231,2,2)+2)),"Uzupełnij poziom")</f>
        <v>Uzupełnij poziom</v>
      </c>
      <c r="K232" s="289">
        <v>1000</v>
      </c>
      <c r="L232" s="289" t="s">
        <v>668</v>
      </c>
      <c r="M232" s="367"/>
      <c r="N232" s="290" t="e">
        <f>IF(T235&lt;&gt;0,ROUND(((100-T235)/T235)*100,2),IF(J232&lt;&gt;"",T234,""))</f>
        <v>#VALUE!</v>
      </c>
      <c r="S232" s="368"/>
      <c r="U232" s="368"/>
      <c r="V232" s="368"/>
      <c r="W232" s="368"/>
      <c r="X232" s="368"/>
      <c r="Y232" s="368"/>
      <c r="Z232" s="368"/>
      <c r="AA232" s="368"/>
      <c r="AB232" s="368"/>
      <c r="AC232" s="368"/>
      <c r="AD232" s="368"/>
      <c r="AE232" s="286"/>
      <c r="AL232" s="289" t="s">
        <v>617</v>
      </c>
      <c r="AM232" s="289" t="s">
        <v>617</v>
      </c>
      <c r="AQ232" s="332"/>
      <c r="AR232" s="332"/>
      <c r="AS232" s="332"/>
      <c r="AT232" s="332"/>
      <c r="AU232" s="332"/>
      <c r="AV232" s="332"/>
      <c r="AW232" s="299" t="str">
        <f t="shared" si="51"/>
        <v>LGSM</v>
      </c>
      <c r="AX232" s="299" t="str">
        <f t="shared" si="52"/>
        <v/>
      </c>
      <c r="AY232" s="286">
        <f t="shared" si="43"/>
        <v>232</v>
      </c>
      <c r="AZ232" s="319" t="str">
        <f t="shared" si="42"/>
        <v>AX232;</v>
      </c>
    </row>
    <row r="233" spans="1:52" s="295" customFormat="1" ht="15.75" customHeight="1" thickBot="1">
      <c r="A233" s="660"/>
      <c r="B233" s="369" t="s">
        <v>618</v>
      </c>
      <c r="C233" s="392" t="s">
        <v>617</v>
      </c>
      <c r="D233" s="295" t="str">
        <f t="shared" si="53"/>
        <v/>
      </c>
      <c r="E233" s="295" t="str">
        <f>IF(E232&lt;&gt;"",E232,"")</f>
        <v/>
      </c>
      <c r="F233" s="294" t="s">
        <v>617</v>
      </c>
      <c r="G233" s="378" t="str">
        <f>IF(J233&lt;&gt;"","X","")</f>
        <v/>
      </c>
      <c r="H233" s="295" t="s">
        <v>667</v>
      </c>
      <c r="I233" s="295">
        <v>20</v>
      </c>
      <c r="L233" s="295" t="s">
        <v>668</v>
      </c>
      <c r="M233" s="371" t="e">
        <f>IF(T235&lt;&gt;0,ROUND(((100-T235)/T235)*100,2),IF(J233&lt;&gt;"",T233,""))</f>
        <v>#VALUE!</v>
      </c>
      <c r="N233" s="296" t="e">
        <f>IF(T235&lt;&gt;0,ROUND(((100-T235)/T235)*100,2),IF(J233&lt;&gt;"",T234,""))</f>
        <v>#VALUE!</v>
      </c>
      <c r="S233" s="372"/>
      <c r="U233" s="372"/>
      <c r="V233" s="372"/>
      <c r="W233" s="372"/>
      <c r="X233" s="372"/>
      <c r="Y233" s="372"/>
      <c r="Z233" s="372"/>
      <c r="AA233" s="372"/>
      <c r="AB233" s="372"/>
      <c r="AC233" s="372"/>
      <c r="AD233" s="372"/>
      <c r="AL233" s="295" t="s">
        <v>617</v>
      </c>
      <c r="AM233" s="295" t="s">
        <v>617</v>
      </c>
      <c r="AQ233" s="333"/>
      <c r="AR233" s="333"/>
      <c r="AS233" s="333"/>
      <c r="AT233" s="333"/>
      <c r="AU233" s="333"/>
      <c r="AV233" s="333"/>
      <c r="AW233" s="299" t="str">
        <f t="shared" si="51"/>
        <v>LGSM</v>
      </c>
      <c r="AX233" s="299" t="str">
        <f t="shared" si="52"/>
        <v/>
      </c>
      <c r="AY233" s="286">
        <f t="shared" si="43"/>
        <v>233</v>
      </c>
      <c r="AZ233" s="319" t="str">
        <f t="shared" si="42"/>
        <v>AX233;</v>
      </c>
    </row>
    <row r="234" spans="1:52" s="295" customFormat="1" ht="15.75" customHeight="1" thickBot="1">
      <c r="A234" s="660"/>
      <c r="B234" s="369" t="s">
        <v>618</v>
      </c>
      <c r="C234" s="392" t="s">
        <v>617</v>
      </c>
      <c r="D234" s="295" t="str">
        <f t="shared" si="53"/>
        <v/>
      </c>
      <c r="E234" s="295" t="str">
        <f>IF(E232&lt;&gt;"",E232,"")</f>
        <v/>
      </c>
      <c r="F234" s="294" t="s">
        <v>617</v>
      </c>
      <c r="G234" s="378" t="str">
        <f>IF(J234&lt;&gt;"","X","")</f>
        <v/>
      </c>
      <c r="H234" s="295" t="s">
        <v>667</v>
      </c>
      <c r="I234" s="295">
        <v>30</v>
      </c>
      <c r="L234" s="295" t="s">
        <v>668</v>
      </c>
      <c r="M234" s="371" t="e">
        <f>IF(T235&lt;&gt;0,ROUND(((100-T235)/T235)*100,2),IF(J234&lt;&gt;"",T234,""))</f>
        <v>#VALUE!</v>
      </c>
      <c r="N234" s="296" t="e">
        <f>IF(T235&lt;&gt;0,ROUND(((100-T235)/T235)*100,2),IF(J234&lt;&gt;"",T234,""))</f>
        <v>#VALUE!</v>
      </c>
      <c r="S234" s="372"/>
      <c r="U234" s="372"/>
      <c r="V234" s="372"/>
      <c r="W234" s="372"/>
      <c r="X234" s="372"/>
      <c r="Y234" s="372"/>
      <c r="Z234" s="372"/>
      <c r="AA234" s="372"/>
      <c r="AB234" s="372"/>
      <c r="AC234" s="372"/>
      <c r="AD234" s="372"/>
      <c r="AL234" s="295" t="s">
        <v>617</v>
      </c>
      <c r="AM234" s="295" t="s">
        <v>617</v>
      </c>
      <c r="AQ234" s="333"/>
      <c r="AR234" s="333"/>
      <c r="AS234" s="333"/>
      <c r="AT234" s="333"/>
      <c r="AU234" s="333"/>
      <c r="AV234" s="333"/>
      <c r="AW234" s="299" t="str">
        <f t="shared" si="51"/>
        <v>LGSM</v>
      </c>
      <c r="AX234" s="299" t="str">
        <f t="shared" si="52"/>
        <v/>
      </c>
      <c r="AY234" s="286">
        <f t="shared" si="43"/>
        <v>234</v>
      </c>
      <c r="AZ234" s="319" t="str">
        <f t="shared" si="42"/>
        <v>AX234;</v>
      </c>
    </row>
    <row r="235" spans="1:52" s="301" customFormat="1" ht="15.75" customHeight="1" thickBot="1">
      <c r="A235" s="661"/>
      <c r="B235" s="373" t="s">
        <v>618</v>
      </c>
      <c r="C235" s="393" t="s">
        <v>617</v>
      </c>
      <c r="D235" s="301" t="str">
        <f t="shared" si="53"/>
        <v/>
      </c>
      <c r="E235" s="301" t="str">
        <f>IF(E232&lt;&gt;"",E232,"")</f>
        <v/>
      </c>
      <c r="F235" s="300" t="s">
        <v>617</v>
      </c>
      <c r="G235" s="379" t="str">
        <f>IF(G232="X","X","")</f>
        <v/>
      </c>
      <c r="H235" s="301" t="s">
        <v>669</v>
      </c>
      <c r="M235" s="375"/>
      <c r="N235" s="302"/>
      <c r="O235" s="303" t="s">
        <v>670</v>
      </c>
      <c r="P235" s="300" t="s">
        <v>617</v>
      </c>
      <c r="Q235" s="303">
        <f>$Q$11</f>
        <v>0</v>
      </c>
      <c r="R235" s="303" t="str">
        <f>IF(R231&lt;&gt;"",R231,"")</f>
        <v/>
      </c>
      <c r="S235" s="376"/>
      <c r="T235" s="303" t="str">
        <f>IF(T231&lt;&gt;"",T231,"")</f>
        <v/>
      </c>
      <c r="U235" s="376"/>
      <c r="V235" s="376"/>
      <c r="W235" s="376"/>
      <c r="X235" s="376"/>
      <c r="Y235" s="376"/>
      <c r="Z235" s="376"/>
      <c r="AA235" s="376"/>
      <c r="AB235" s="376"/>
      <c r="AC235" s="376"/>
      <c r="AD235" s="376"/>
      <c r="AL235" s="301" t="s">
        <v>617</v>
      </c>
      <c r="AM235" s="301" t="s">
        <v>617</v>
      </c>
      <c r="AQ235" s="428"/>
      <c r="AR235" s="428"/>
      <c r="AS235" s="479">
        <v>0</v>
      </c>
      <c r="AT235" s="479">
        <v>0</v>
      </c>
      <c r="AU235" s="428"/>
      <c r="AV235" s="480" t="str">
        <f>IF(AND(AR$1&lt;&gt;0,AT$1&lt;&gt;0),IF(AND($AR$1&lt;=AQ235,$AT$1&lt;=AR235,$AR$1&gt;=AS235,$AT$1&gt;=AT235),"OK","NOK"),"")</f>
        <v>NOK</v>
      </c>
      <c r="AW235" s="299" t="str">
        <f t="shared" si="51"/>
        <v>LGSM</v>
      </c>
      <c r="AX235" s="299" t="str">
        <f t="shared" si="52"/>
        <v>LGSM,</v>
      </c>
      <c r="AY235" s="286">
        <f t="shared" si="43"/>
        <v>235</v>
      </c>
      <c r="AZ235" s="319" t="str">
        <f t="shared" si="42"/>
        <v>AX235;</v>
      </c>
    </row>
    <row r="236" spans="1:52" s="345" customFormat="1" ht="15.75" thickBot="1">
      <c r="A236" s="283"/>
      <c r="B236" s="284" t="s">
        <v>665</v>
      </c>
      <c r="C236" s="358"/>
      <c r="D236" s="357" t="str">
        <f>IF(C236&lt;&gt;"",CONCATENATE("L",C236),"")</f>
        <v/>
      </c>
      <c r="F236" s="384"/>
      <c r="G236" s="389"/>
      <c r="H236" s="384"/>
      <c r="I236" s="384"/>
      <c r="J236" s="384"/>
      <c r="N236" s="390"/>
      <c r="O236" s="384"/>
      <c r="P236" s="384"/>
      <c r="Q236" s="384"/>
      <c r="S236" s="344"/>
      <c r="U236" s="344"/>
      <c r="V236" s="344"/>
      <c r="W236" s="344"/>
      <c r="X236" s="344"/>
      <c r="Y236" s="344"/>
      <c r="Z236" s="344"/>
      <c r="AA236" s="344"/>
      <c r="AB236" s="344"/>
      <c r="AC236" s="344"/>
      <c r="AD236" s="344"/>
      <c r="AF236" s="345">
        <f>MAX(AF237:AF280)</f>
        <v>0</v>
      </c>
      <c r="AG236" s="345">
        <f>_xlfn.IFNA(VLOOKUP($G$220,F237:AF280,27,FALSE),0)</f>
        <v>0</v>
      </c>
      <c r="AN236" s="394" t="str">
        <f>IF(G236&lt;&gt;"",VLOOKUP(G236,$AL$4:$AM$274,2,FALSE),"")</f>
        <v/>
      </c>
      <c r="AP236" s="395" t="str">
        <f>IF(AN236&lt;&gt;"",AN236&amp;", "&amp;AO236,"")</f>
        <v/>
      </c>
      <c r="AQ236" s="433"/>
      <c r="AR236" s="433"/>
      <c r="AS236" s="433"/>
      <c r="AT236" s="433"/>
      <c r="AU236" s="433"/>
      <c r="AV236" s="433"/>
      <c r="AW236" s="299">
        <f t="shared" si="51"/>
        <v>0</v>
      </c>
      <c r="AX236" s="299" t="str">
        <f t="shared" si="52"/>
        <v/>
      </c>
      <c r="AY236" s="286">
        <f t="shared" si="43"/>
        <v>236</v>
      </c>
      <c r="AZ236" s="319" t="str">
        <f t="shared" si="42"/>
        <v>AX236;</v>
      </c>
    </row>
    <row r="237" spans="1:52" s="286" customFormat="1" ht="15" customHeight="1" thickBot="1">
      <c r="A237" s="657" t="s">
        <v>95</v>
      </c>
      <c r="B237" s="308" t="s">
        <v>358</v>
      </c>
      <c r="C237" s="285" t="s">
        <v>170</v>
      </c>
      <c r="D237" s="289" t="str">
        <f>$D$236</f>
        <v/>
      </c>
      <c r="E237" s="287" t="str">
        <f>IF(G237&lt;&gt;"","V1","")</f>
        <v/>
      </c>
      <c r="F237" s="289" t="s">
        <v>169</v>
      </c>
      <c r="G237" s="309"/>
      <c r="H237" s="289" t="s">
        <v>667</v>
      </c>
      <c r="I237" s="289">
        <v>10</v>
      </c>
      <c r="J237" s="286" t="str">
        <f>IFERROR(IF(VALUE(MID(D236,2,2))&lt;9,"$HLB1-L0"&amp;(RIGHT(D236,1)+1),"$HLB1-L"&amp;(MID(D236,2,2)+1)),"Uzupełnij poziom")</f>
        <v>Uzupełnij poziom</v>
      </c>
      <c r="K237" s="286">
        <v>1000</v>
      </c>
      <c r="L237" s="286" t="s">
        <v>668</v>
      </c>
      <c r="M237" s="287"/>
      <c r="N237" s="310">
        <f>IF(T238&lt;&gt;0,ROUND(((100-T238)/T238)*100,2),IF(J237&lt;&gt;"",T237,""))</f>
        <v>0</v>
      </c>
      <c r="O237" s="289"/>
      <c r="P237" s="289"/>
      <c r="Q237" s="289"/>
      <c r="S237" s="291"/>
      <c r="U237" s="291"/>
      <c r="V237" s="291"/>
      <c r="W237" s="291"/>
      <c r="X237" s="291"/>
      <c r="Y237" s="291"/>
      <c r="Z237" s="291"/>
      <c r="AA237" s="291"/>
      <c r="AB237" s="291"/>
      <c r="AC237" s="291"/>
      <c r="AD237" s="291"/>
      <c r="AE237" s="286" t="str">
        <f>UPPER(G237)</f>
        <v/>
      </c>
      <c r="AF237" s="286">
        <f>COUNTIF($AE$221:AE276,"X")</f>
        <v>0</v>
      </c>
      <c r="AL237" s="286" t="s">
        <v>169</v>
      </c>
      <c r="AM237" s="286" t="s">
        <v>170</v>
      </c>
      <c r="AQ237" s="430"/>
      <c r="AR237" s="430"/>
      <c r="AS237" s="430"/>
      <c r="AT237" s="430"/>
      <c r="AU237" s="430"/>
      <c r="AV237" s="430"/>
      <c r="AW237" s="299" t="str">
        <f t="shared" si="51"/>
        <v>PLAN</v>
      </c>
      <c r="AX237" s="299" t="str">
        <f t="shared" si="52"/>
        <v/>
      </c>
      <c r="AY237" s="286">
        <f t="shared" si="43"/>
        <v>237</v>
      </c>
      <c r="AZ237" s="319" t="str">
        <f t="shared" si="42"/>
        <v>AX237;</v>
      </c>
    </row>
    <row r="238" spans="1:52" s="299" customFormat="1" ht="15.75" thickBot="1">
      <c r="A238" s="658"/>
      <c r="B238" s="337" t="s">
        <v>358</v>
      </c>
      <c r="C238" s="298" t="s">
        <v>170</v>
      </c>
      <c r="D238" s="301" t="str">
        <f>$D$236</f>
        <v/>
      </c>
      <c r="E238" s="299" t="str">
        <f>IF(E237&lt;&gt;"",E237,"")</f>
        <v/>
      </c>
      <c r="F238" s="301" t="s">
        <v>169</v>
      </c>
      <c r="G238" s="338" t="str">
        <f>IF(G237="X","X","")</f>
        <v/>
      </c>
      <c r="H238" s="301" t="s">
        <v>669</v>
      </c>
      <c r="I238" s="301"/>
      <c r="J238" s="301"/>
      <c r="N238" s="339"/>
      <c r="O238" s="303" t="s">
        <v>670</v>
      </c>
      <c r="P238" s="301" t="s">
        <v>169</v>
      </c>
      <c r="Q238" s="303">
        <f>$Q$11</f>
        <v>0</v>
      </c>
      <c r="R238" s="304"/>
      <c r="S238" s="305"/>
      <c r="T238" s="304"/>
      <c r="U238" s="305"/>
      <c r="V238" s="305"/>
      <c r="W238" s="342"/>
      <c r="X238" s="342"/>
      <c r="Y238" s="305"/>
      <c r="Z238" s="342"/>
      <c r="AA238" s="342"/>
      <c r="AB238" s="342"/>
      <c r="AC238" s="305">
        <v>0</v>
      </c>
      <c r="AD238" s="305">
        <v>0</v>
      </c>
      <c r="AL238" s="299" t="s">
        <v>169</v>
      </c>
      <c r="AM238" s="299" t="s">
        <v>170</v>
      </c>
      <c r="AQ238" s="432"/>
      <c r="AR238" s="432"/>
      <c r="AS238" s="479">
        <v>0</v>
      </c>
      <c r="AT238" s="479">
        <v>0</v>
      </c>
      <c r="AU238" s="432"/>
      <c r="AV238" s="480" t="str">
        <f>IF(AND(AR$1&lt;&gt;0,AT$1&lt;&gt;0),IF(AND($AR$1&lt;=AQ238,$AT$1&lt;=AR238,$AR$1&gt;=AS238,$AT$1&gt;=AT238),"OK","NOK"),"")</f>
        <v>NOK</v>
      </c>
      <c r="AW238" s="299" t="str">
        <f t="shared" si="51"/>
        <v>PLAN</v>
      </c>
      <c r="AX238" s="299" t="str">
        <f t="shared" si="52"/>
        <v>PLAN,</v>
      </c>
      <c r="AY238" s="286">
        <f t="shared" si="43"/>
        <v>238</v>
      </c>
      <c r="AZ238" s="319" t="str">
        <f t="shared" si="42"/>
        <v>AX238;</v>
      </c>
    </row>
    <row r="239" spans="1:52" s="345" customFormat="1" ht="15.75" thickBot="1">
      <c r="A239" s="283"/>
      <c r="B239" s="284" t="s">
        <v>665</v>
      </c>
      <c r="C239" s="358"/>
      <c r="D239" s="357" t="str">
        <f>IF(C239&lt;&gt;"",CONCATENATE("L",C239),"")</f>
        <v/>
      </c>
      <c r="E239" s="293"/>
      <c r="F239" s="295"/>
      <c r="G239" s="329"/>
      <c r="H239" s="295"/>
      <c r="I239" s="295"/>
      <c r="J239" s="295"/>
      <c r="K239" s="293"/>
      <c r="L239" s="293"/>
      <c r="M239" s="293"/>
      <c r="N239" s="314"/>
      <c r="O239" s="295"/>
      <c r="P239" s="295"/>
      <c r="Q239" s="295"/>
      <c r="R239" s="293"/>
      <c r="S239" s="344"/>
      <c r="U239" s="344"/>
      <c r="V239" s="344"/>
      <c r="W239" s="344"/>
      <c r="X239" s="344"/>
      <c r="Y239" s="344"/>
      <c r="Z239" s="344"/>
      <c r="AA239" s="344"/>
      <c r="AB239" s="344"/>
      <c r="AC239" s="344"/>
      <c r="AD239" s="344"/>
      <c r="AF239" s="345">
        <f>MAX(AF240:AF265)</f>
        <v>0</v>
      </c>
      <c r="AG239" s="345">
        <f>_xlfn.IFNA(VLOOKUP($G$239,F240:AF265,27,FALSE),0)</f>
        <v>0</v>
      </c>
      <c r="AN239" s="394" t="str">
        <f>IF(G239&lt;&gt;"",VLOOKUP(G239,$AL$4:$AM$274,2,FALSE),"")</f>
        <v/>
      </c>
      <c r="AO239" s="345" t="e">
        <f>VLOOKUP(AN239,$AO$277:$AQ$296,3,FALSE)</f>
        <v>#N/A</v>
      </c>
      <c r="AP239" s="395" t="str">
        <f>IF(AN239&lt;&gt;"",AN239&amp;", "&amp;AO239,"")</f>
        <v/>
      </c>
      <c r="AQ239" s="433"/>
      <c r="AR239" s="433"/>
      <c r="AS239" s="433"/>
      <c r="AT239" s="433"/>
      <c r="AU239" s="433"/>
      <c r="AV239" s="433"/>
      <c r="AW239" s="299">
        <f t="shared" si="51"/>
        <v>0</v>
      </c>
      <c r="AX239" s="299" t="str">
        <f t="shared" si="52"/>
        <v/>
      </c>
      <c r="AY239" s="286">
        <f t="shared" si="43"/>
        <v>239</v>
      </c>
      <c r="AZ239" s="319" t="str">
        <f t="shared" si="42"/>
        <v>AX239;</v>
      </c>
    </row>
    <row r="240" spans="1:52" s="286" customFormat="1" ht="15" customHeight="1" thickBot="1">
      <c r="A240" s="665" t="s">
        <v>679</v>
      </c>
      <c r="B240" s="308" t="s">
        <v>306</v>
      </c>
      <c r="C240" s="292" t="s">
        <v>149</v>
      </c>
      <c r="D240" s="295" t="str">
        <f t="shared" ref="D240:D265" si="54">$D$239</f>
        <v/>
      </c>
      <c r="E240" s="287" t="str">
        <f>IFERROR(IF($G$239&lt;&gt;"",IF(G240="x",IF(F240=$G$239,"V1",IF(AF240=1,"V2",IF(AND(AF240=$AF$239,AF240&lt;&gt;1),"V"&amp;$AG$239+1,"V"&amp;AF240+1))),""),""),"Wprowadź urządzenie bazowe")</f>
        <v/>
      </c>
      <c r="F240" s="289" t="s">
        <v>148</v>
      </c>
      <c r="G240" s="309"/>
      <c r="H240" s="289" t="s">
        <v>667</v>
      </c>
      <c r="I240" s="289">
        <v>10</v>
      </c>
      <c r="J240" s="286" t="str">
        <f>IFERROR(IF(VALUE(MID(D239,2,2))&lt;9,"$HLB1-L0"&amp;(RIGHT(D239,1)+1),"$HLB1-L"&amp;(MID(D239,2,2)+1)),"Uzupełnij poziom")</f>
        <v>Uzupełnij poziom</v>
      </c>
      <c r="K240" s="286">
        <v>1000</v>
      </c>
      <c r="L240" s="286" t="s">
        <v>668</v>
      </c>
      <c r="M240" s="287"/>
      <c r="N240" s="310">
        <f>IF(T241&lt;&gt;0,ROUND(((100-T241)/T241)*100,2),IF(J240&lt;&gt;"",T240,""))</f>
        <v>0</v>
      </c>
      <c r="O240" s="289"/>
      <c r="P240" s="289"/>
      <c r="Q240" s="289"/>
      <c r="S240" s="291"/>
      <c r="U240" s="291"/>
      <c r="V240" s="291"/>
      <c r="W240" s="291"/>
      <c r="X240" s="291"/>
      <c r="Y240" s="291"/>
      <c r="Z240" s="291"/>
      <c r="AA240" s="291"/>
      <c r="AB240" s="291"/>
      <c r="AC240" s="291"/>
      <c r="AD240" s="291"/>
      <c r="AE240" s="286" t="str">
        <f>UPPER(G240)</f>
        <v/>
      </c>
      <c r="AF240" s="293">
        <f>COUNTIF($AE$240:AE241,"X")</f>
        <v>0</v>
      </c>
      <c r="AL240" s="286" t="s">
        <v>148</v>
      </c>
      <c r="AM240" s="286" t="s">
        <v>149</v>
      </c>
      <c r="AQ240" s="430">
        <v>3000</v>
      </c>
      <c r="AR240" s="430">
        <v>1900</v>
      </c>
      <c r="AS240" s="430">
        <v>270</v>
      </c>
      <c r="AT240" s="430">
        <v>170</v>
      </c>
      <c r="AU240" s="430"/>
      <c r="AV240" s="430"/>
      <c r="AW240" s="299" t="str">
        <f t="shared" si="51"/>
        <v>IM01</v>
      </c>
      <c r="AX240" s="299" t="str">
        <f t="shared" si="52"/>
        <v/>
      </c>
      <c r="AY240" s="286">
        <f t="shared" si="43"/>
        <v>240</v>
      </c>
      <c r="AZ240" s="319" t="str">
        <f t="shared" si="42"/>
        <v>AX240;</v>
      </c>
    </row>
    <row r="241" spans="1:52" s="319" customFormat="1" ht="15.75" thickBot="1">
      <c r="A241" s="666"/>
      <c r="B241" s="315" t="s">
        <v>306</v>
      </c>
      <c r="C241" s="316" t="s">
        <v>149</v>
      </c>
      <c r="D241" s="317" t="str">
        <f t="shared" si="54"/>
        <v/>
      </c>
      <c r="E241" s="110" t="str">
        <f>IF(E240&lt;&gt;"",E240,"")</f>
        <v/>
      </c>
      <c r="F241" s="317" t="s">
        <v>148</v>
      </c>
      <c r="G241" s="318" t="str">
        <f>IF(G240="X","X","")</f>
        <v/>
      </c>
      <c r="H241" s="317" t="s">
        <v>669</v>
      </c>
      <c r="I241" s="317"/>
      <c r="J241" s="317"/>
      <c r="N241" s="343"/>
      <c r="O241" s="320" t="s">
        <v>670</v>
      </c>
      <c r="P241" s="317" t="s">
        <v>148</v>
      </c>
      <c r="Q241" s="320">
        <f>$Q$11</f>
        <v>0</v>
      </c>
      <c r="R241" s="323"/>
      <c r="S241" s="324"/>
      <c r="T241" s="323"/>
      <c r="U241" s="324"/>
      <c r="V241" s="324"/>
      <c r="W241" s="325"/>
      <c r="X241" s="325"/>
      <c r="Y241" s="324"/>
      <c r="Z241" s="325"/>
      <c r="AA241" s="325"/>
      <c r="AB241" s="325"/>
      <c r="AC241" s="324">
        <v>0</v>
      </c>
      <c r="AD241" s="324">
        <v>0</v>
      </c>
      <c r="AL241" s="319" t="s">
        <v>148</v>
      </c>
      <c r="AM241" s="319" t="s">
        <v>149</v>
      </c>
      <c r="AQ241" s="431">
        <v>3000</v>
      </c>
      <c r="AR241" s="431">
        <v>1900</v>
      </c>
      <c r="AS241" s="431">
        <v>270</v>
      </c>
      <c r="AT241" s="431">
        <v>170</v>
      </c>
      <c r="AU241" s="431"/>
      <c r="AV241" s="480" t="str">
        <f>IF(AND(AR$1&lt;&gt;0,AT$1&lt;&gt;0),IF(AND($AR$1&lt;=AQ241,$AT$1&lt;=AR241,$AR$1&gt;=AS241,$AT$1&gt;=AT241),"OK","NOK"),"")</f>
        <v>OK</v>
      </c>
      <c r="AW241" s="299" t="str">
        <f t="shared" si="51"/>
        <v>IM01</v>
      </c>
      <c r="AX241" s="299" t="str">
        <f t="shared" si="52"/>
        <v/>
      </c>
      <c r="AY241" s="286">
        <f t="shared" si="43"/>
        <v>241</v>
      </c>
      <c r="AZ241" s="319" t="str">
        <f t="shared" si="42"/>
        <v>AX241;</v>
      </c>
    </row>
    <row r="242" spans="1:52" s="286" customFormat="1" ht="15" customHeight="1" thickBot="1">
      <c r="A242" s="666"/>
      <c r="B242" s="308" t="s">
        <v>303</v>
      </c>
      <c r="C242" s="285" t="s">
        <v>125</v>
      </c>
      <c r="D242" s="289" t="str">
        <f t="shared" si="54"/>
        <v/>
      </c>
      <c r="E242" s="287" t="str">
        <f>IFERROR(IF($G$239&lt;&gt;"",IF(G242="x",IF(F242=$G$239,"V1",IF(AF242=1,"V2",IF(AND(AF242=$AF$239,AF242&lt;&gt;1),"V"&amp;$AG$239+1,"V"&amp;AF242+1))),""),""),"Wprowadź urządzenie bazowe")</f>
        <v/>
      </c>
      <c r="F242" s="289" t="s">
        <v>124</v>
      </c>
      <c r="G242" s="309"/>
      <c r="H242" s="289" t="s">
        <v>667</v>
      </c>
      <c r="I242" s="289">
        <v>10</v>
      </c>
      <c r="J242" s="286" t="str">
        <f>IFERROR(IF(VALUE(MID(D239,2,2))&lt;9,"$HLB1-L0"&amp;(RIGHT(D239,1)+1),"$HLB1-L"&amp;(MID(D239,2,2)+1)),"Uzupełnij poziom")</f>
        <v>Uzupełnij poziom</v>
      </c>
      <c r="K242" s="286">
        <v>1000</v>
      </c>
      <c r="L242" s="286" t="s">
        <v>668</v>
      </c>
      <c r="M242" s="287"/>
      <c r="N242" s="310">
        <f>IF(T243&lt;&gt;0,ROUND(((100-T243)/T243)*100,2),IF(J242&lt;&gt;"",T242,""))</f>
        <v>0</v>
      </c>
      <c r="O242" s="289"/>
      <c r="P242" s="289"/>
      <c r="Q242" s="289"/>
      <c r="S242" s="291"/>
      <c r="U242" s="291"/>
      <c r="V242" s="291"/>
      <c r="W242" s="291"/>
      <c r="X242" s="291"/>
      <c r="Y242" s="291"/>
      <c r="Z242" s="291"/>
      <c r="AA242" s="291"/>
      <c r="AB242" s="291"/>
      <c r="AC242" s="291"/>
      <c r="AD242" s="291"/>
      <c r="AE242" s="286" t="str">
        <f>UPPER(G242)</f>
        <v/>
      </c>
      <c r="AF242" s="293">
        <f>COUNTIF($AE$240:AE243,"X")</f>
        <v>0</v>
      </c>
      <c r="AL242" s="286" t="s">
        <v>124</v>
      </c>
      <c r="AM242" s="286" t="s">
        <v>125</v>
      </c>
      <c r="AQ242" s="430">
        <v>3000</v>
      </c>
      <c r="AR242" s="430">
        <v>1500</v>
      </c>
      <c r="AS242" s="430">
        <v>270</v>
      </c>
      <c r="AT242" s="430">
        <v>170</v>
      </c>
      <c r="AU242" s="430"/>
      <c r="AV242" s="430"/>
      <c r="AW242" s="299" t="str">
        <f t="shared" si="51"/>
        <v>IM02</v>
      </c>
      <c r="AX242" s="299" t="str">
        <f t="shared" si="52"/>
        <v/>
      </c>
      <c r="AY242" s="286">
        <f t="shared" si="43"/>
        <v>242</v>
      </c>
      <c r="AZ242" s="319" t="str">
        <f t="shared" si="42"/>
        <v>AX242;</v>
      </c>
    </row>
    <row r="243" spans="1:52" s="319" customFormat="1" ht="15.75" thickBot="1">
      <c r="A243" s="666"/>
      <c r="B243" s="315" t="s">
        <v>303</v>
      </c>
      <c r="C243" s="316" t="s">
        <v>125</v>
      </c>
      <c r="D243" s="317" t="str">
        <f t="shared" si="54"/>
        <v/>
      </c>
      <c r="E243" s="110" t="str">
        <f t="shared" ref="E243" si="55">IF(E242&lt;&gt;"",E242,"")</f>
        <v/>
      </c>
      <c r="F243" s="317" t="s">
        <v>124</v>
      </c>
      <c r="G243" s="318" t="str">
        <f>IF(G242="X","X","")</f>
        <v/>
      </c>
      <c r="H243" s="317" t="s">
        <v>669</v>
      </c>
      <c r="I243" s="317"/>
      <c r="J243" s="317"/>
      <c r="N243" s="343"/>
      <c r="O243" s="320" t="s">
        <v>670</v>
      </c>
      <c r="P243" s="317" t="s">
        <v>124</v>
      </c>
      <c r="Q243" s="320">
        <f>$Q$11</f>
        <v>0</v>
      </c>
      <c r="R243" s="323"/>
      <c r="S243" s="324"/>
      <c r="T243" s="323"/>
      <c r="U243" s="324"/>
      <c r="V243" s="324"/>
      <c r="W243" s="325"/>
      <c r="X243" s="325"/>
      <c r="Y243" s="324"/>
      <c r="Z243" s="325"/>
      <c r="AA243" s="325"/>
      <c r="AB243" s="325"/>
      <c r="AC243" s="324">
        <v>0</v>
      </c>
      <c r="AD243" s="324">
        <v>0</v>
      </c>
      <c r="AL243" s="319" t="s">
        <v>124</v>
      </c>
      <c r="AM243" s="319" t="s">
        <v>125</v>
      </c>
      <c r="AQ243" s="431">
        <v>3000</v>
      </c>
      <c r="AR243" s="431">
        <v>1500</v>
      </c>
      <c r="AS243" s="431">
        <v>270</v>
      </c>
      <c r="AT243" s="431">
        <v>170</v>
      </c>
      <c r="AU243" s="431"/>
      <c r="AV243" s="480" t="str">
        <f>IF(AND(AR$1&lt;&gt;0,AT$1&lt;&gt;0),IF(AND($AR$1&lt;=AQ243,$AT$1&lt;=AR243,$AR$1&gt;=AS243,$AT$1&gt;=AT243),"OK","NOK"),"")</f>
        <v>OK</v>
      </c>
      <c r="AW243" s="299" t="str">
        <f t="shared" si="51"/>
        <v>IM02</v>
      </c>
      <c r="AX243" s="299" t="str">
        <f t="shared" si="52"/>
        <v/>
      </c>
      <c r="AY243" s="286">
        <f t="shared" si="43"/>
        <v>243</v>
      </c>
      <c r="AZ243" s="319" t="str">
        <f t="shared" si="42"/>
        <v>AX243;</v>
      </c>
    </row>
    <row r="244" spans="1:52" s="286" customFormat="1" ht="15" customHeight="1" thickBot="1">
      <c r="A244" s="666"/>
      <c r="B244" s="308" t="s">
        <v>307</v>
      </c>
      <c r="C244" s="285" t="s">
        <v>151</v>
      </c>
      <c r="D244" s="289" t="str">
        <f t="shared" si="54"/>
        <v/>
      </c>
      <c r="E244" s="287" t="str">
        <f>IFERROR(IF($G$239&lt;&gt;"",IF(G244="x",IF(F244=$G$239,"V1",IF(AF244=1,"V2",IF(AND(AF244=$AF$239,AF244&lt;&gt;1),"V"&amp;$AG$239+1,"V"&amp;AF244+1))),""),""),"Wprowadź urządzenie bazowe")</f>
        <v/>
      </c>
      <c r="F244" s="289" t="s">
        <v>150</v>
      </c>
      <c r="G244" s="309"/>
      <c r="H244" s="289" t="s">
        <v>667</v>
      </c>
      <c r="I244" s="289">
        <v>10</v>
      </c>
      <c r="J244" s="286" t="str">
        <f>IFERROR(IF(VALUE(MID(D239,2,2))&lt;9,"$HLB1-L0"&amp;(RIGHT(D239,1)+1),"$HLB1-L"&amp;(MID(D239,2,2)+1)),"Uzupełnij poziom")</f>
        <v>Uzupełnij poziom</v>
      </c>
      <c r="K244" s="286">
        <v>1000</v>
      </c>
      <c r="L244" s="286" t="s">
        <v>668</v>
      </c>
      <c r="M244" s="287"/>
      <c r="N244" s="310">
        <f>IF(T245&lt;&gt;0,ROUND(((100-T245)/T245)*100,2),IF(J244&lt;&gt;"",T244,""))</f>
        <v>0</v>
      </c>
      <c r="O244" s="289"/>
      <c r="P244" s="289"/>
      <c r="Q244" s="289"/>
      <c r="S244" s="291"/>
      <c r="U244" s="291"/>
      <c r="V244" s="291"/>
      <c r="W244" s="291"/>
      <c r="X244" s="291"/>
      <c r="Y244" s="291"/>
      <c r="Z244" s="291"/>
      <c r="AA244" s="291"/>
      <c r="AB244" s="291"/>
      <c r="AC244" s="291"/>
      <c r="AD244" s="291"/>
      <c r="AE244" s="286" t="str">
        <f>UPPER(G244)</f>
        <v/>
      </c>
      <c r="AF244" s="293">
        <f>COUNTIF($AE$240:AE245,"X")</f>
        <v>0</v>
      </c>
      <c r="AL244" s="286" t="s">
        <v>150</v>
      </c>
      <c r="AM244" s="286" t="s">
        <v>151</v>
      </c>
      <c r="AQ244" s="430">
        <v>3000</v>
      </c>
      <c r="AR244" s="430">
        <v>1450</v>
      </c>
      <c r="AS244" s="430">
        <v>270</v>
      </c>
      <c r="AT244" s="430">
        <v>170</v>
      </c>
      <c r="AU244" s="430"/>
      <c r="AV244" s="430"/>
      <c r="AW244" s="299" t="str">
        <f t="shared" si="51"/>
        <v>IM03</v>
      </c>
      <c r="AX244" s="299" t="str">
        <f t="shared" si="52"/>
        <v/>
      </c>
      <c r="AY244" s="286">
        <f t="shared" si="43"/>
        <v>244</v>
      </c>
      <c r="AZ244" s="319" t="str">
        <f t="shared" si="42"/>
        <v>AX244;</v>
      </c>
    </row>
    <row r="245" spans="1:52" s="319" customFormat="1" ht="15.75" thickBot="1">
      <c r="A245" s="666"/>
      <c r="B245" s="315" t="s">
        <v>307</v>
      </c>
      <c r="C245" s="316" t="s">
        <v>151</v>
      </c>
      <c r="D245" s="317" t="str">
        <f t="shared" si="54"/>
        <v/>
      </c>
      <c r="E245" s="110" t="str">
        <f t="shared" ref="E245" si="56">IF(E244&lt;&gt;"",E244,"")</f>
        <v/>
      </c>
      <c r="F245" s="317" t="s">
        <v>150</v>
      </c>
      <c r="G245" s="318" t="str">
        <f>IF(G244="X","X","")</f>
        <v/>
      </c>
      <c r="H245" s="317" t="s">
        <v>669</v>
      </c>
      <c r="I245" s="317"/>
      <c r="J245" s="317"/>
      <c r="N245" s="343"/>
      <c r="O245" s="320" t="s">
        <v>670</v>
      </c>
      <c r="P245" s="317" t="s">
        <v>150</v>
      </c>
      <c r="Q245" s="320">
        <f>$Q$11</f>
        <v>0</v>
      </c>
      <c r="R245" s="323"/>
      <c r="S245" s="324"/>
      <c r="T245" s="323"/>
      <c r="U245" s="324"/>
      <c r="V245" s="324"/>
      <c r="W245" s="325"/>
      <c r="X245" s="325"/>
      <c r="Y245" s="324"/>
      <c r="Z245" s="325"/>
      <c r="AA245" s="325"/>
      <c r="AB245" s="325"/>
      <c r="AC245" s="324">
        <v>0</v>
      </c>
      <c r="AD245" s="324">
        <v>0</v>
      </c>
      <c r="AL245" s="319" t="s">
        <v>150</v>
      </c>
      <c r="AM245" s="319" t="s">
        <v>151</v>
      </c>
      <c r="AQ245" s="431">
        <v>3000</v>
      </c>
      <c r="AR245" s="431">
        <v>1450</v>
      </c>
      <c r="AS245" s="431">
        <v>270</v>
      </c>
      <c r="AT245" s="431">
        <v>170</v>
      </c>
      <c r="AU245" s="431"/>
      <c r="AV245" s="480" t="str">
        <f>IF(AND(AR$1&lt;&gt;0,AT$1&lt;&gt;0),IF(AND($AR$1&lt;=AQ245,$AT$1&lt;=AR245,$AR$1&gt;=AS245,$AT$1&gt;=AT245),"OK","NOK"),"")</f>
        <v>OK</v>
      </c>
      <c r="AW245" s="299" t="str">
        <f t="shared" si="51"/>
        <v>IM03</v>
      </c>
      <c r="AX245" s="299" t="str">
        <f t="shared" si="52"/>
        <v/>
      </c>
      <c r="AY245" s="286">
        <f t="shared" si="43"/>
        <v>245</v>
      </c>
      <c r="AZ245" s="319" t="str">
        <f t="shared" si="42"/>
        <v>AX245;</v>
      </c>
    </row>
    <row r="246" spans="1:52" s="286" customFormat="1" ht="15" customHeight="1" thickBot="1">
      <c r="A246" s="666"/>
      <c r="B246" s="308" t="s">
        <v>352</v>
      </c>
      <c r="C246" s="285" t="s">
        <v>351</v>
      </c>
      <c r="D246" s="289" t="str">
        <f t="shared" si="54"/>
        <v/>
      </c>
      <c r="E246" s="287" t="str">
        <f>IFERROR(IF($G$239&lt;&gt;"",IF(G246="x",IF(F246=$G$239,"V1",IF(AF246=1,"V2",IF(AND(AF246=$AF$239,AF246&lt;&gt;1),"V"&amp;$AG$239+1,"V"&amp;AF246+1))),""),""),"Wprowadź urządzenie bazowe")</f>
        <v/>
      </c>
      <c r="F246" s="289" t="s">
        <v>678</v>
      </c>
      <c r="G246" s="309"/>
      <c r="H246" s="289" t="s">
        <v>667</v>
      </c>
      <c r="I246" s="289">
        <v>10</v>
      </c>
      <c r="J246" s="286" t="str">
        <f>IFERROR(IF(VALUE(MID(D239,2,2))&lt;9,"$HLB1-L0"&amp;(RIGHT(D239,1)+1),"$HLB1-L"&amp;(MID(D239,2,2)+1)),"Uzupełnij poziom")</f>
        <v>Uzupełnij poziom</v>
      </c>
      <c r="K246" s="286">
        <v>1000</v>
      </c>
      <c r="L246" s="286" t="s">
        <v>668</v>
      </c>
      <c r="M246" s="287"/>
      <c r="N246" s="310">
        <f>IF(T247&lt;&gt;0,ROUND(((100-T247)/T247)*100,2),IF(J246&lt;&gt;"",T246,""))</f>
        <v>0</v>
      </c>
      <c r="O246" s="289"/>
      <c r="P246" s="289"/>
      <c r="Q246" s="289"/>
      <c r="S246" s="291"/>
      <c r="U246" s="291"/>
      <c r="V246" s="291"/>
      <c r="W246" s="291"/>
      <c r="X246" s="291"/>
      <c r="Y246" s="291"/>
      <c r="Z246" s="291"/>
      <c r="AA246" s="291"/>
      <c r="AB246" s="291"/>
      <c r="AC246" s="291"/>
      <c r="AD246" s="291"/>
      <c r="AE246" s="286" t="str">
        <f>UPPER(G246)</f>
        <v/>
      </c>
      <c r="AF246" s="293">
        <f>COUNTIF($AE$240:AE247,"X")</f>
        <v>0</v>
      </c>
      <c r="AL246" s="286" t="s">
        <v>678</v>
      </c>
      <c r="AM246" s="286" t="s">
        <v>351</v>
      </c>
      <c r="AQ246" s="430">
        <v>2250</v>
      </c>
      <c r="AR246" s="430">
        <v>1190</v>
      </c>
      <c r="AS246" s="430"/>
      <c r="AT246" s="430"/>
      <c r="AU246" s="430"/>
      <c r="AV246" s="430"/>
      <c r="AW246" s="299" t="str">
        <f t="shared" si="51"/>
        <v>TC01</v>
      </c>
      <c r="AX246" s="299" t="str">
        <f t="shared" si="52"/>
        <v/>
      </c>
      <c r="AY246" s="286">
        <f t="shared" si="43"/>
        <v>246</v>
      </c>
      <c r="AZ246" s="319" t="str">
        <f t="shared" si="42"/>
        <v>AX246;</v>
      </c>
    </row>
    <row r="247" spans="1:52" s="319" customFormat="1" ht="15.75" thickBot="1">
      <c r="A247" s="666"/>
      <c r="B247" s="315" t="s">
        <v>352</v>
      </c>
      <c r="C247" s="316" t="s">
        <v>351</v>
      </c>
      <c r="D247" s="317" t="str">
        <f t="shared" si="54"/>
        <v/>
      </c>
      <c r="E247" s="110" t="str">
        <f t="shared" ref="E247" si="57">IF(E246&lt;&gt;"",E246,"")</f>
        <v/>
      </c>
      <c r="F247" s="317" t="s">
        <v>678</v>
      </c>
      <c r="G247" s="318" t="str">
        <f>IF(G246="X","X","")</f>
        <v/>
      </c>
      <c r="H247" s="317" t="s">
        <v>669</v>
      </c>
      <c r="I247" s="317"/>
      <c r="J247" s="317"/>
      <c r="N247" s="343"/>
      <c r="O247" s="320" t="s">
        <v>670</v>
      </c>
      <c r="P247" s="317" t="s">
        <v>678</v>
      </c>
      <c r="Q247" s="320">
        <f>$Q$11</f>
        <v>0</v>
      </c>
      <c r="R247" s="323"/>
      <c r="S247" s="324"/>
      <c r="T247" s="323"/>
      <c r="U247" s="324"/>
      <c r="V247" s="324"/>
      <c r="W247" s="325"/>
      <c r="X247" s="325"/>
      <c r="Y247" s="324"/>
      <c r="Z247" s="325"/>
      <c r="AA247" s="325"/>
      <c r="AB247" s="325"/>
      <c r="AC247" s="324">
        <v>0</v>
      </c>
      <c r="AD247" s="324">
        <v>0</v>
      </c>
      <c r="AL247" s="319" t="s">
        <v>678</v>
      </c>
      <c r="AM247" s="319" t="s">
        <v>351</v>
      </c>
      <c r="AQ247" s="431">
        <v>2250</v>
      </c>
      <c r="AR247" s="431">
        <v>1190</v>
      </c>
      <c r="AS247" s="479">
        <v>0</v>
      </c>
      <c r="AT247" s="479">
        <v>0</v>
      </c>
      <c r="AU247" s="431"/>
      <c r="AV247" s="480" t="str">
        <f>IF(AND(AR$1&lt;&gt;0,AT$1&lt;&gt;0),IF(AND($AR$1&lt;=AQ247,$AT$1&lt;=AR247,$AR$1&gt;=AS247,$AT$1&gt;=AT247),"OK","NOK"),"")</f>
        <v>OK</v>
      </c>
      <c r="AW247" s="299" t="str">
        <f t="shared" si="51"/>
        <v>TC01</v>
      </c>
      <c r="AX247" s="299" t="str">
        <f t="shared" si="52"/>
        <v/>
      </c>
      <c r="AY247" s="286">
        <f t="shared" si="43"/>
        <v>247</v>
      </c>
      <c r="AZ247" s="319" t="str">
        <f t="shared" si="42"/>
        <v>AX247;</v>
      </c>
    </row>
    <row r="248" spans="1:52" s="286" customFormat="1" ht="15" customHeight="1" thickBot="1">
      <c r="A248" s="666"/>
      <c r="B248" s="308" t="s">
        <v>566</v>
      </c>
      <c r="C248" s="285" t="s">
        <v>112</v>
      </c>
      <c r="D248" s="289" t="str">
        <f t="shared" si="54"/>
        <v/>
      </c>
      <c r="E248" s="287" t="str">
        <f>IFERROR(IF($G$239&lt;&gt;"",IF(G248="x",IF(F248=$G$239,"V1",IF(AF248=1,"V2",IF(AND(AF248=$AF$239,AF248&lt;&gt;1),"V"&amp;$AG$239+1,"V"&amp;AF248+1))),""),""),"Wprowadź urządzenie bazowe")</f>
        <v/>
      </c>
      <c r="F248" s="289" t="s">
        <v>111</v>
      </c>
      <c r="G248" s="309"/>
      <c r="H248" s="289" t="s">
        <v>667</v>
      </c>
      <c r="I248" s="289">
        <v>10</v>
      </c>
      <c r="J248" s="286" t="str">
        <f>IFERROR(IF(VALUE(MID(D239,2,2))&lt;9,"$HLB1-L0"&amp;(RIGHT(D239,1)+1),"$HLB1-L"&amp;(MID(D239,2,2)+1)),"Uzupełnij poziom")</f>
        <v>Uzupełnij poziom</v>
      </c>
      <c r="K248" s="286">
        <v>1000</v>
      </c>
      <c r="L248" s="286" t="s">
        <v>668</v>
      </c>
      <c r="M248" s="287"/>
      <c r="N248" s="310">
        <f>IF(T249&lt;&gt;0,ROUND(((100-T249)/T249)*100,2),IF(J248&lt;&gt;"",T248,""))</f>
        <v>0</v>
      </c>
      <c r="O248" s="289"/>
      <c r="P248" s="289"/>
      <c r="Q248" s="289"/>
      <c r="S248" s="291"/>
      <c r="U248" s="291"/>
      <c r="V248" s="291"/>
      <c r="W248" s="291"/>
      <c r="X248" s="291"/>
      <c r="Y248" s="291"/>
      <c r="Z248" s="291"/>
      <c r="AA248" s="291"/>
      <c r="AB248" s="291"/>
      <c r="AC248" s="291"/>
      <c r="AD248" s="291"/>
      <c r="AE248" s="286" t="str">
        <f>UPPER(G248)</f>
        <v/>
      </c>
      <c r="AF248" s="293">
        <f>COUNTIF($AE$240:AE249,"X")</f>
        <v>0</v>
      </c>
      <c r="AL248" s="286" t="s">
        <v>111</v>
      </c>
      <c r="AM248" s="286" t="s">
        <v>112</v>
      </c>
      <c r="AQ248" s="430">
        <v>2500</v>
      </c>
      <c r="AR248" s="430">
        <v>1750</v>
      </c>
      <c r="AS248" s="430"/>
      <c r="AT248" s="430"/>
      <c r="AU248" s="430"/>
      <c r="AV248" s="430"/>
      <c r="AW248" s="299" t="str">
        <f t="shared" si="51"/>
        <v>TMB1</v>
      </c>
      <c r="AX248" s="299" t="str">
        <f t="shared" si="52"/>
        <v/>
      </c>
      <c r="AY248" s="286">
        <f t="shared" si="43"/>
        <v>248</v>
      </c>
      <c r="AZ248" s="319" t="str">
        <f t="shared" si="42"/>
        <v>AX248;</v>
      </c>
    </row>
    <row r="249" spans="1:52" s="319" customFormat="1" ht="15.75" thickBot="1">
      <c r="A249" s="666"/>
      <c r="B249" s="315" t="s">
        <v>566</v>
      </c>
      <c r="C249" s="316" t="s">
        <v>112</v>
      </c>
      <c r="D249" s="317" t="str">
        <f t="shared" si="54"/>
        <v/>
      </c>
      <c r="E249" s="110" t="str">
        <f t="shared" ref="E249" si="58">IF(E248&lt;&gt;"",E248,"")</f>
        <v/>
      </c>
      <c r="F249" s="317" t="s">
        <v>111</v>
      </c>
      <c r="G249" s="318" t="str">
        <f>IF(G248="X","X","")</f>
        <v/>
      </c>
      <c r="H249" s="317" t="s">
        <v>669</v>
      </c>
      <c r="I249" s="317"/>
      <c r="J249" s="317"/>
      <c r="N249" s="343"/>
      <c r="O249" s="320" t="s">
        <v>670</v>
      </c>
      <c r="P249" s="317" t="s">
        <v>111</v>
      </c>
      <c r="Q249" s="320">
        <f>$Q$11</f>
        <v>0</v>
      </c>
      <c r="R249" s="323"/>
      <c r="S249" s="324"/>
      <c r="T249" s="323"/>
      <c r="U249" s="324"/>
      <c r="V249" s="324"/>
      <c r="W249" s="325"/>
      <c r="X249" s="325"/>
      <c r="Y249" s="324"/>
      <c r="Z249" s="325"/>
      <c r="AA249" s="325"/>
      <c r="AB249" s="325"/>
      <c r="AC249" s="324">
        <v>0</v>
      </c>
      <c r="AD249" s="324">
        <v>0</v>
      </c>
      <c r="AL249" s="319" t="s">
        <v>111</v>
      </c>
      <c r="AM249" s="319" t="s">
        <v>112</v>
      </c>
      <c r="AQ249" s="431">
        <v>2500</v>
      </c>
      <c r="AR249" s="431">
        <v>1750</v>
      </c>
      <c r="AS249" s="479">
        <v>0</v>
      </c>
      <c r="AT249" s="479">
        <v>0</v>
      </c>
      <c r="AU249" s="431"/>
      <c r="AV249" s="480" t="str">
        <f>IF(AND(AR$1&lt;&gt;0,AT$1&lt;&gt;0),IF(AND($AR$1&lt;=AQ249,$AT$1&lt;=AR249,$AR$1&gt;=AS249,$AT$1&gt;=AT249),"OK","NOK"),"")</f>
        <v>OK</v>
      </c>
      <c r="AW249" s="299" t="str">
        <f t="shared" si="51"/>
        <v>TMB1</v>
      </c>
      <c r="AX249" s="299" t="str">
        <f t="shared" si="52"/>
        <v/>
      </c>
      <c r="AY249" s="286">
        <f t="shared" si="43"/>
        <v>249</v>
      </c>
      <c r="AZ249" s="319" t="str">
        <f t="shared" si="42"/>
        <v>AX249;</v>
      </c>
    </row>
    <row r="250" spans="1:52" s="286" customFormat="1" ht="15" customHeight="1" thickBot="1">
      <c r="A250" s="666"/>
      <c r="B250" s="308" t="s">
        <v>121</v>
      </c>
      <c r="C250" s="285" t="s">
        <v>120</v>
      </c>
      <c r="D250" s="289" t="str">
        <f t="shared" si="54"/>
        <v/>
      </c>
      <c r="E250" s="287" t="str">
        <f>IFERROR(IF($G$239&lt;&gt;"",IF(G250="x",IF(F250=$G$239,"V1",IF(AF250=1,"V2",IF(AND(AF250=$AF$239,AF250&lt;&gt;1),"V"&amp;$AG$239+1,"V"&amp;AF250+1))),""),""),"Wprowadź urządzenie bazowe")</f>
        <v/>
      </c>
      <c r="F250" s="289" t="s">
        <v>119</v>
      </c>
      <c r="G250" s="309"/>
      <c r="H250" s="289" t="s">
        <v>667</v>
      </c>
      <c r="I250" s="289">
        <v>10</v>
      </c>
      <c r="J250" s="286" t="str">
        <f>IFERROR(IF(VALUE(MID(D239,2,2))&lt;9,"$HLB1-L0"&amp;(RIGHT(D239,1)+1),"$HLB1-L"&amp;(MID(D239,2,2)+1)),"Uzupełnij poziom")</f>
        <v>Uzupełnij poziom</v>
      </c>
      <c r="K250" s="286">
        <v>1000</v>
      </c>
      <c r="L250" s="286" t="s">
        <v>668</v>
      </c>
      <c r="M250" s="287"/>
      <c r="N250" s="310">
        <f>IF(T251&lt;&gt;0,ROUND(((100-T251)/T251)*100,2),IF(J250&lt;&gt;"",T250,""))</f>
        <v>0</v>
      </c>
      <c r="O250" s="289"/>
      <c r="P250" s="289"/>
      <c r="Q250" s="289"/>
      <c r="S250" s="291"/>
      <c r="U250" s="291"/>
      <c r="V250" s="291"/>
      <c r="W250" s="291"/>
      <c r="X250" s="291"/>
      <c r="Y250" s="291"/>
      <c r="Z250" s="291"/>
      <c r="AA250" s="291"/>
      <c r="AB250" s="291"/>
      <c r="AC250" s="291"/>
      <c r="AD250" s="291"/>
      <c r="AE250" s="286" t="str">
        <f>UPPER(G250)</f>
        <v/>
      </c>
      <c r="AF250" s="293">
        <f>COUNTIF($AE$240:AE251,"X")</f>
        <v>0</v>
      </c>
      <c r="AL250" s="286" t="s">
        <v>119</v>
      </c>
      <c r="AM250" s="286" t="s">
        <v>120</v>
      </c>
      <c r="AQ250" s="430">
        <v>1950</v>
      </c>
      <c r="AR250" s="430">
        <v>1300</v>
      </c>
      <c r="AS250" s="430"/>
      <c r="AT250" s="430"/>
      <c r="AU250" s="430"/>
      <c r="AV250" s="430"/>
      <c r="AW250" s="299" t="str">
        <f t="shared" si="51"/>
        <v>RS02</v>
      </c>
      <c r="AX250" s="299" t="str">
        <f t="shared" si="52"/>
        <v/>
      </c>
      <c r="AY250" s="286">
        <f t="shared" si="43"/>
        <v>250</v>
      </c>
      <c r="AZ250" s="319" t="str">
        <f t="shared" si="42"/>
        <v>AX250;</v>
      </c>
    </row>
    <row r="251" spans="1:52" s="319" customFormat="1" ht="15.75" thickBot="1">
      <c r="A251" s="666"/>
      <c r="B251" s="315" t="s">
        <v>121</v>
      </c>
      <c r="C251" s="316" t="s">
        <v>120</v>
      </c>
      <c r="D251" s="317" t="str">
        <f t="shared" si="54"/>
        <v/>
      </c>
      <c r="E251" s="110" t="str">
        <f t="shared" ref="E251" si="59">IF(E250&lt;&gt;"",E250,"")</f>
        <v/>
      </c>
      <c r="F251" s="317" t="s">
        <v>119</v>
      </c>
      <c r="G251" s="318" t="str">
        <f>IF(G250="X","X","")</f>
        <v/>
      </c>
      <c r="H251" s="317" t="s">
        <v>669</v>
      </c>
      <c r="I251" s="317"/>
      <c r="J251" s="317"/>
      <c r="N251" s="343"/>
      <c r="O251" s="320" t="s">
        <v>670</v>
      </c>
      <c r="P251" s="317" t="s">
        <v>119</v>
      </c>
      <c r="Q251" s="320">
        <f>$Q$11</f>
        <v>0</v>
      </c>
      <c r="R251" s="323"/>
      <c r="S251" s="324"/>
      <c r="T251" s="323"/>
      <c r="U251" s="324"/>
      <c r="V251" s="324"/>
      <c r="W251" s="325"/>
      <c r="X251" s="325"/>
      <c r="Y251" s="324"/>
      <c r="Z251" s="325"/>
      <c r="AA251" s="325"/>
      <c r="AB251" s="325"/>
      <c r="AC251" s="324">
        <v>0</v>
      </c>
      <c r="AD251" s="324">
        <v>0</v>
      </c>
      <c r="AL251" s="319" t="s">
        <v>119</v>
      </c>
      <c r="AM251" s="319" t="s">
        <v>120</v>
      </c>
      <c r="AQ251" s="431">
        <v>1950</v>
      </c>
      <c r="AR251" s="431">
        <v>1300</v>
      </c>
      <c r="AS251" s="479">
        <v>0</v>
      </c>
      <c r="AT251" s="479">
        <v>0</v>
      </c>
      <c r="AU251" s="431"/>
      <c r="AV251" s="480" t="str">
        <f>IF(AND(AR$1&lt;&gt;0,AT$1&lt;&gt;0),IF(AND($AR$1&lt;=AQ251,$AT$1&lt;=AR251,$AR$1&gt;=AS251,$AT$1&gt;=AT251),"OK","NOK"),"")</f>
        <v>OK</v>
      </c>
      <c r="AW251" s="299" t="str">
        <f t="shared" si="51"/>
        <v>RS02</v>
      </c>
      <c r="AX251" s="299" t="str">
        <f t="shared" si="52"/>
        <v/>
      </c>
      <c r="AY251" s="286">
        <f t="shared" si="43"/>
        <v>251</v>
      </c>
      <c r="AZ251" s="319" t="str">
        <f t="shared" si="42"/>
        <v>AX251;</v>
      </c>
    </row>
    <row r="252" spans="1:52" s="286" customFormat="1" ht="15" customHeight="1" thickBot="1">
      <c r="A252" s="666"/>
      <c r="B252" s="308" t="s">
        <v>234</v>
      </c>
      <c r="C252" s="285" t="s">
        <v>233</v>
      </c>
      <c r="D252" s="289" t="str">
        <f t="shared" si="54"/>
        <v/>
      </c>
      <c r="E252" s="287" t="str">
        <f>IFERROR(IF($G$239&lt;&gt;"",IF(G252="x",IF(F252=$G$239,"V1",IF(AF252=1,"V2",IF(AND(AF252=$AF$239,AF252&lt;&gt;1),"V"&amp;$AG$239+1,"V"&amp;AF252+1))),""),""),"Wprowadź urządzenie bazowe")</f>
        <v/>
      </c>
      <c r="F252" s="289" t="s">
        <v>232</v>
      </c>
      <c r="G252" s="309"/>
      <c r="H252" s="289" t="s">
        <v>667</v>
      </c>
      <c r="I252" s="289">
        <v>10</v>
      </c>
      <c r="J252" s="286" t="str">
        <f>IFERROR(IF(VALUE(MID(D239,2,2))&lt;9,"$HLB1-L0"&amp;(RIGHT(D239,1)+1),"$HLB1-L"&amp;(MID(D239,2,2)+1)),"Uzupełnij poziom")</f>
        <v>Uzupełnij poziom</v>
      </c>
      <c r="K252" s="286">
        <v>1000</v>
      </c>
      <c r="L252" s="286" t="s">
        <v>668</v>
      </c>
      <c r="M252" s="287"/>
      <c r="N252" s="310">
        <f>IF(T253&lt;&gt;0,ROUND(((100-T253)/T253)*100,2),IF(J252&lt;&gt;"",T252,""))</f>
        <v>0</v>
      </c>
      <c r="O252" s="289"/>
      <c r="P252" s="289"/>
      <c r="Q252" s="289"/>
      <c r="S252" s="291"/>
      <c r="U252" s="291"/>
      <c r="V252" s="291"/>
      <c r="W252" s="291"/>
      <c r="X252" s="291"/>
      <c r="Y252" s="291"/>
      <c r="Z252" s="291"/>
      <c r="AA252" s="291"/>
      <c r="AB252" s="291"/>
      <c r="AC252" s="291"/>
      <c r="AD252" s="291"/>
      <c r="AE252" s="286" t="str">
        <f>UPPER(G252)</f>
        <v/>
      </c>
      <c r="AF252" s="293">
        <f>COUNTIF($AE$240:AE253,"X")</f>
        <v>0</v>
      </c>
      <c r="AL252" s="286" t="s">
        <v>232</v>
      </c>
      <c r="AM252" s="286" t="s">
        <v>233</v>
      </c>
      <c r="AQ252" s="430">
        <v>2300</v>
      </c>
      <c r="AR252" s="430">
        <v>1300</v>
      </c>
      <c r="AS252" s="430"/>
      <c r="AT252" s="430"/>
      <c r="AU252" s="430"/>
      <c r="AV252" s="430"/>
      <c r="AW252" s="299" t="str">
        <f t="shared" si="51"/>
        <v>RS03</v>
      </c>
      <c r="AX252" s="299" t="str">
        <f t="shared" si="52"/>
        <v/>
      </c>
      <c r="AY252" s="286">
        <f t="shared" si="43"/>
        <v>252</v>
      </c>
      <c r="AZ252" s="319" t="str">
        <f t="shared" si="42"/>
        <v>AX252;</v>
      </c>
    </row>
    <row r="253" spans="1:52" s="319" customFormat="1" ht="15.75" thickBot="1">
      <c r="A253" s="666"/>
      <c r="B253" s="315" t="s">
        <v>234</v>
      </c>
      <c r="C253" s="316" t="s">
        <v>233</v>
      </c>
      <c r="D253" s="317" t="str">
        <f t="shared" si="54"/>
        <v/>
      </c>
      <c r="E253" s="110" t="str">
        <f t="shared" ref="E253" si="60">IF(E252&lt;&gt;"",E252,"")</f>
        <v/>
      </c>
      <c r="F253" s="317" t="s">
        <v>232</v>
      </c>
      <c r="G253" s="318" t="str">
        <f>IF(G252="X","X","")</f>
        <v/>
      </c>
      <c r="H253" s="317" t="s">
        <v>669</v>
      </c>
      <c r="I253" s="317"/>
      <c r="J253" s="317"/>
      <c r="N253" s="343"/>
      <c r="O253" s="320" t="s">
        <v>670</v>
      </c>
      <c r="P253" s="317" t="s">
        <v>232</v>
      </c>
      <c r="Q253" s="320">
        <f>$Q$11</f>
        <v>0</v>
      </c>
      <c r="R253" s="323"/>
      <c r="S253" s="324"/>
      <c r="T253" s="323"/>
      <c r="U253" s="324"/>
      <c r="V253" s="324"/>
      <c r="W253" s="325"/>
      <c r="X253" s="325"/>
      <c r="Y253" s="324"/>
      <c r="Z253" s="325"/>
      <c r="AA253" s="325"/>
      <c r="AB253" s="325"/>
      <c r="AC253" s="324">
        <v>0</v>
      </c>
      <c r="AD253" s="324">
        <v>0</v>
      </c>
      <c r="AL253" s="319" t="s">
        <v>232</v>
      </c>
      <c r="AM253" s="319" t="s">
        <v>233</v>
      </c>
      <c r="AQ253" s="431">
        <v>2300</v>
      </c>
      <c r="AR253" s="431">
        <v>1300</v>
      </c>
      <c r="AS253" s="479">
        <v>0</v>
      </c>
      <c r="AT253" s="479">
        <v>0</v>
      </c>
      <c r="AU253" s="431"/>
      <c r="AV253" s="480" t="str">
        <f>IF(AND(AR$1&lt;&gt;0,AT$1&lt;&gt;0),IF(AND($AR$1&lt;=AQ253,$AT$1&lt;=AR253,$AR$1&gt;=AS253,$AT$1&gt;=AT253),"OK","NOK"),"")</f>
        <v>OK</v>
      </c>
      <c r="AW253" s="299" t="str">
        <f t="shared" si="51"/>
        <v>RS03</v>
      </c>
      <c r="AX253" s="299" t="str">
        <f t="shared" si="52"/>
        <v/>
      </c>
      <c r="AY253" s="286">
        <f t="shared" si="43"/>
        <v>253</v>
      </c>
      <c r="AZ253" s="319" t="str">
        <f t="shared" si="42"/>
        <v>AX253;</v>
      </c>
    </row>
    <row r="254" spans="1:52" s="286" customFormat="1" ht="15" customHeight="1" thickBot="1">
      <c r="A254" s="666"/>
      <c r="B254" s="308" t="s">
        <v>343</v>
      </c>
      <c r="C254" s="285" t="s">
        <v>311</v>
      </c>
      <c r="D254" s="289" t="str">
        <f t="shared" si="54"/>
        <v/>
      </c>
      <c r="E254" s="287" t="str">
        <f>IFERROR(IF($G$239&lt;&gt;"",IF(G254="x",IF(F254=$G$239,"V1",IF(AF254=1,"V2",IF(AND(AF254=$AF$239,AF254&lt;&gt;1),"V"&amp;$AG$239+1,"V"&amp;AF254+1))),""),""),"Wprowadź urządzenie bazowe")</f>
        <v/>
      </c>
      <c r="F254" s="289" t="s">
        <v>342</v>
      </c>
      <c r="G254" s="309"/>
      <c r="H254" s="289" t="s">
        <v>667</v>
      </c>
      <c r="I254" s="289">
        <v>10</v>
      </c>
      <c r="J254" s="286" t="str">
        <f>IFERROR(IF(VALUE(MID(D239,2,2))&lt;9,"$HLB1-L0"&amp;(RIGHT(D239,1)+1),"$HLB1-L"&amp;(MID(D239,2,2)+1)),"Uzupełnij poziom")</f>
        <v>Uzupełnij poziom</v>
      </c>
      <c r="K254" s="286">
        <v>1000</v>
      </c>
      <c r="L254" s="286" t="s">
        <v>668</v>
      </c>
      <c r="M254" s="287"/>
      <c r="N254" s="310">
        <f>IF(T255&lt;&gt;0,ROUND(((100-T255)/T255)*100,2),IF(J254&lt;&gt;"",T254,""))</f>
        <v>0</v>
      </c>
      <c r="O254" s="289"/>
      <c r="P254" s="289"/>
      <c r="Q254" s="289"/>
      <c r="S254" s="291"/>
      <c r="U254" s="291"/>
      <c r="V254" s="291"/>
      <c r="W254" s="291"/>
      <c r="X254" s="291"/>
      <c r="Y254" s="291"/>
      <c r="Z254" s="291"/>
      <c r="AA254" s="291"/>
      <c r="AB254" s="291"/>
      <c r="AC254" s="291"/>
      <c r="AD254" s="291"/>
      <c r="AE254" s="286" t="str">
        <f>UPPER(G254)</f>
        <v/>
      </c>
      <c r="AF254" s="293">
        <f>COUNTIF($AE$240:AE255,"X")</f>
        <v>0</v>
      </c>
      <c r="AL254" s="286" t="s">
        <v>342</v>
      </c>
      <c r="AM254" s="286" t="s">
        <v>311</v>
      </c>
      <c r="AQ254" s="430">
        <v>2300</v>
      </c>
      <c r="AR254" s="430">
        <v>1300</v>
      </c>
      <c r="AS254" s="430"/>
      <c r="AT254" s="430"/>
      <c r="AU254" s="430"/>
      <c r="AV254" s="430"/>
      <c r="AW254" s="299" t="str">
        <f t="shared" si="51"/>
        <v>RS04</v>
      </c>
      <c r="AX254" s="299" t="str">
        <f t="shared" si="52"/>
        <v/>
      </c>
      <c r="AY254" s="286">
        <f t="shared" si="43"/>
        <v>254</v>
      </c>
      <c r="AZ254" s="319" t="str">
        <f t="shared" si="42"/>
        <v>AX254;</v>
      </c>
    </row>
    <row r="255" spans="1:52" s="319" customFormat="1" ht="15.75" thickBot="1">
      <c r="A255" s="666"/>
      <c r="B255" s="315" t="s">
        <v>343</v>
      </c>
      <c r="C255" s="316" t="s">
        <v>311</v>
      </c>
      <c r="D255" s="317" t="str">
        <f t="shared" si="54"/>
        <v/>
      </c>
      <c r="E255" s="110" t="str">
        <f t="shared" ref="E255" si="61">IF(E254&lt;&gt;"",E254,"")</f>
        <v/>
      </c>
      <c r="F255" s="317" t="s">
        <v>342</v>
      </c>
      <c r="G255" s="318" t="str">
        <f>IF(G254="X","X","")</f>
        <v/>
      </c>
      <c r="H255" s="317" t="s">
        <v>669</v>
      </c>
      <c r="I255" s="317"/>
      <c r="J255" s="317"/>
      <c r="N255" s="343"/>
      <c r="O255" s="320" t="s">
        <v>670</v>
      </c>
      <c r="P255" s="317" t="s">
        <v>342</v>
      </c>
      <c r="Q255" s="320">
        <f>$Q$11</f>
        <v>0</v>
      </c>
      <c r="R255" s="323"/>
      <c r="S255" s="324"/>
      <c r="T255" s="323"/>
      <c r="U255" s="324"/>
      <c r="V255" s="324"/>
      <c r="W255" s="325"/>
      <c r="X255" s="325"/>
      <c r="Y255" s="324"/>
      <c r="Z255" s="325"/>
      <c r="AA255" s="325"/>
      <c r="AB255" s="325"/>
      <c r="AC255" s="324">
        <v>0</v>
      </c>
      <c r="AD255" s="324">
        <v>0</v>
      </c>
      <c r="AL255" s="319" t="s">
        <v>342</v>
      </c>
      <c r="AM255" s="319" t="s">
        <v>311</v>
      </c>
      <c r="AQ255" s="431">
        <v>2300</v>
      </c>
      <c r="AR255" s="431">
        <v>1300</v>
      </c>
      <c r="AS255" s="479">
        <v>0</v>
      </c>
      <c r="AT255" s="479">
        <v>0</v>
      </c>
      <c r="AU255" s="431"/>
      <c r="AV255" s="480" t="str">
        <f>IF(AND(AR$1&lt;&gt;0,AT$1&lt;&gt;0),IF(AND($AR$1&lt;=AQ255,$AT$1&lt;=AR255,$AR$1&gt;=AS255,$AT$1&gt;=AT255),"OK","NOK"),"")</f>
        <v>OK</v>
      </c>
      <c r="AW255" s="299" t="str">
        <f t="shared" si="51"/>
        <v>RS04</v>
      </c>
      <c r="AX255" s="299" t="str">
        <f t="shared" si="52"/>
        <v/>
      </c>
      <c r="AY255" s="286">
        <f t="shared" si="43"/>
        <v>255</v>
      </c>
      <c r="AZ255" s="319" t="str">
        <f t="shared" si="42"/>
        <v>AX255;</v>
      </c>
    </row>
    <row r="256" spans="1:52" s="286" customFormat="1" ht="15" customHeight="1" thickBot="1">
      <c r="A256" s="666"/>
      <c r="B256" s="308" t="s">
        <v>115</v>
      </c>
      <c r="C256" s="285" t="s">
        <v>114</v>
      </c>
      <c r="D256" s="289" t="str">
        <f t="shared" si="54"/>
        <v/>
      </c>
      <c r="E256" s="287" t="str">
        <f>IFERROR(IF($G$239&lt;&gt;"",IF(G256="x",IF(F256=$G$239,"V1",IF(AF256=1,"V2",IF(AND(AF256=$AF$239,AF256&lt;&gt;1),"V"&amp;$AG$239+1,"V"&amp;AF256+1))),""),""),"Wprowadź urządzenie bazowe")</f>
        <v/>
      </c>
      <c r="F256" s="289" t="s">
        <v>113</v>
      </c>
      <c r="G256" s="309"/>
      <c r="H256" s="289" t="s">
        <v>667</v>
      </c>
      <c r="I256" s="289">
        <v>10</v>
      </c>
      <c r="J256" s="286" t="str">
        <f>IFERROR(IF(VALUE(MID(D239,2,2))&lt;9,"$HLB1-L0"&amp;(RIGHT(D239,1)+1),"$HLB1-L"&amp;(MID(D239,2,2)+1)),"Uzupełnij poziom")</f>
        <v>Uzupełnij poziom</v>
      </c>
      <c r="K256" s="286">
        <v>1000</v>
      </c>
      <c r="L256" s="286" t="s">
        <v>668</v>
      </c>
      <c r="M256" s="287"/>
      <c r="N256" s="310">
        <f>IF(T257&lt;&gt;0,ROUND(((100-T257)/T257)*100,2),IF(J256&lt;&gt;"",T256,""))</f>
        <v>0</v>
      </c>
      <c r="O256" s="289"/>
      <c r="P256" s="289"/>
      <c r="Q256" s="289"/>
      <c r="S256" s="291"/>
      <c r="U256" s="291"/>
      <c r="V256" s="291"/>
      <c r="W256" s="291"/>
      <c r="X256" s="291"/>
      <c r="Y256" s="291"/>
      <c r="Z256" s="291"/>
      <c r="AA256" s="291"/>
      <c r="AB256" s="291"/>
      <c r="AC256" s="291"/>
      <c r="AD256" s="291"/>
      <c r="AE256" s="286" t="str">
        <f>UPPER(G256)</f>
        <v/>
      </c>
      <c r="AF256" s="293">
        <f>COUNTIF($AE$240:AE257,"X")</f>
        <v>0</v>
      </c>
      <c r="AL256" s="286" t="s">
        <v>113</v>
      </c>
      <c r="AM256" s="286" t="s">
        <v>114</v>
      </c>
      <c r="AQ256" s="430">
        <v>1000</v>
      </c>
      <c r="AR256" s="430">
        <v>1000</v>
      </c>
      <c r="AS256" s="430"/>
      <c r="AT256" s="430"/>
      <c r="AU256" s="430"/>
      <c r="AV256" s="430"/>
      <c r="AW256" s="299" t="str">
        <f t="shared" si="51"/>
        <v>POLR</v>
      </c>
      <c r="AX256" s="299" t="str">
        <f t="shared" si="52"/>
        <v/>
      </c>
      <c r="AY256" s="286">
        <f t="shared" si="43"/>
        <v>256</v>
      </c>
      <c r="AZ256" s="319" t="str">
        <f t="shared" si="42"/>
        <v>AX256;</v>
      </c>
    </row>
    <row r="257" spans="1:52" s="319" customFormat="1" ht="15.75" thickBot="1">
      <c r="A257" s="666"/>
      <c r="B257" s="315" t="s">
        <v>115</v>
      </c>
      <c r="C257" s="316" t="s">
        <v>114</v>
      </c>
      <c r="D257" s="317" t="str">
        <f t="shared" si="54"/>
        <v/>
      </c>
      <c r="E257" s="110" t="str">
        <f t="shared" ref="E257" si="62">IF(E256&lt;&gt;"",E256,"")</f>
        <v/>
      </c>
      <c r="F257" s="317" t="s">
        <v>113</v>
      </c>
      <c r="G257" s="318" t="str">
        <f>IF(G256="X","X","")</f>
        <v/>
      </c>
      <c r="H257" s="317" t="s">
        <v>669</v>
      </c>
      <c r="I257" s="317"/>
      <c r="J257" s="317"/>
      <c r="N257" s="343"/>
      <c r="O257" s="320" t="s">
        <v>670</v>
      </c>
      <c r="P257" s="317" t="s">
        <v>113</v>
      </c>
      <c r="Q257" s="320">
        <f>$Q$11</f>
        <v>0</v>
      </c>
      <c r="R257" s="323"/>
      <c r="S257" s="324"/>
      <c r="T257" s="323"/>
      <c r="U257" s="324"/>
      <c r="V257" s="324"/>
      <c r="W257" s="325"/>
      <c r="X257" s="325"/>
      <c r="Y257" s="324"/>
      <c r="Z257" s="325"/>
      <c r="AA257" s="325"/>
      <c r="AB257" s="325"/>
      <c r="AC257" s="324">
        <v>0</v>
      </c>
      <c r="AD257" s="324">
        <v>0</v>
      </c>
      <c r="AL257" s="319" t="s">
        <v>113</v>
      </c>
      <c r="AM257" s="319" t="s">
        <v>114</v>
      </c>
      <c r="AQ257" s="431">
        <v>1000</v>
      </c>
      <c r="AR257" s="431">
        <v>1000</v>
      </c>
      <c r="AS257" s="431"/>
      <c r="AT257" s="431"/>
      <c r="AU257" s="431"/>
      <c r="AV257" s="480" t="str">
        <f>IF(AND(AR$1&lt;&gt;0,AT$1&lt;&gt;0),IF(AND($AR$1&lt;=AQ257,$AT$1&lt;=AR257,$AR$1&gt;=AS257,$AT$1&gt;=AT257),"OK","NOK"),"")</f>
        <v>NOK</v>
      </c>
      <c r="AW257" s="299" t="str">
        <f t="shared" si="51"/>
        <v>POLR</v>
      </c>
      <c r="AX257" s="299" t="str">
        <f t="shared" si="52"/>
        <v>POLR,</v>
      </c>
      <c r="AY257" s="286">
        <f t="shared" si="43"/>
        <v>257</v>
      </c>
      <c r="AZ257" s="319" t="str">
        <f t="shared" si="42"/>
        <v>AX257;</v>
      </c>
    </row>
    <row r="258" spans="1:52" s="286" customFormat="1" ht="15" customHeight="1" thickBot="1">
      <c r="A258" s="666"/>
      <c r="B258" s="308" t="s">
        <v>521</v>
      </c>
      <c r="C258" s="285" t="s">
        <v>520</v>
      </c>
      <c r="D258" s="289" t="str">
        <f t="shared" si="54"/>
        <v/>
      </c>
      <c r="E258" s="287" t="str">
        <f>IFERROR(IF($G$239&lt;&gt;"",IF(G258="x",IF(F258=$G$239,"V1",IF(AF258=1,"V2",IF(AND(AF258=$AF$239,AF258&lt;&gt;1),"V"&amp;$AG$239+1,"V"&amp;AF258+1))),""),""),"Wprowadź urządzenie bazowe")</f>
        <v/>
      </c>
      <c r="F258" s="289" t="s">
        <v>519</v>
      </c>
      <c r="G258" s="309" t="str">
        <f>IF($G$239=F258,"X","")</f>
        <v/>
      </c>
      <c r="H258" s="289" t="s">
        <v>667</v>
      </c>
      <c r="I258" s="289">
        <v>10</v>
      </c>
      <c r="J258" s="286" t="str">
        <f>IFERROR(IF(VALUE(MID(D239,2,2))&lt;9,"$HLB1-L0"&amp;(RIGHT(D239,1)+1),"$HLB1-L"&amp;(MID(D239,2,2)+1)),"Uzupełnij poziom")</f>
        <v>Uzupełnij poziom</v>
      </c>
      <c r="K258" s="286">
        <v>1000</v>
      </c>
      <c r="L258" s="286" t="s">
        <v>668</v>
      </c>
      <c r="M258" s="287"/>
      <c r="N258" s="310">
        <f>IF(T259&lt;&gt;0,ROUND(((100-T259)/T259)*100,2),IF(J258&lt;&gt;"",T258,""))</f>
        <v>0</v>
      </c>
      <c r="O258" s="289"/>
      <c r="P258" s="289"/>
      <c r="Q258" s="289"/>
      <c r="S258" s="291"/>
      <c r="U258" s="291"/>
      <c r="V258" s="291"/>
      <c r="W258" s="291"/>
      <c r="X258" s="291"/>
      <c r="Y258" s="291"/>
      <c r="Z258" s="291"/>
      <c r="AA258" s="291"/>
      <c r="AB258" s="291"/>
      <c r="AC258" s="291"/>
      <c r="AD258" s="291"/>
      <c r="AE258" s="286" t="str">
        <f>UPPER(G258)</f>
        <v/>
      </c>
      <c r="AF258" s="293">
        <f>COUNTIF($AE$240:AE259,"X")</f>
        <v>0</v>
      </c>
      <c r="AL258" s="286" t="s">
        <v>519</v>
      </c>
      <c r="AM258" s="286" t="s">
        <v>520</v>
      </c>
      <c r="AQ258" s="430">
        <v>2550</v>
      </c>
      <c r="AR258" s="430">
        <v>1100</v>
      </c>
      <c r="AS258" s="430">
        <v>390</v>
      </c>
      <c r="AT258" s="430">
        <v>340</v>
      </c>
      <c r="AU258" s="430"/>
      <c r="AV258" s="430"/>
      <c r="AW258" s="299" t="str">
        <f t="shared" si="51"/>
        <v>SB20</v>
      </c>
      <c r="AX258" s="299" t="str">
        <f t="shared" si="52"/>
        <v/>
      </c>
      <c r="AY258" s="286">
        <f t="shared" si="43"/>
        <v>258</v>
      </c>
      <c r="AZ258" s="319" t="str">
        <f t="shared" si="42"/>
        <v>AX258;</v>
      </c>
    </row>
    <row r="259" spans="1:52" s="319" customFormat="1" ht="15.75" thickBot="1">
      <c r="A259" s="666"/>
      <c r="B259" s="315" t="s">
        <v>521</v>
      </c>
      <c r="C259" s="316" t="s">
        <v>520</v>
      </c>
      <c r="D259" s="317" t="str">
        <f t="shared" si="54"/>
        <v/>
      </c>
      <c r="E259" s="110" t="str">
        <f t="shared" ref="E259" si="63">IF(E258&lt;&gt;"",E258,"")</f>
        <v/>
      </c>
      <c r="F259" s="317" t="s">
        <v>519</v>
      </c>
      <c r="G259" s="318" t="str">
        <f>IF(G258="X","X","")</f>
        <v/>
      </c>
      <c r="H259" s="317" t="s">
        <v>669</v>
      </c>
      <c r="I259" s="317"/>
      <c r="J259" s="317"/>
      <c r="N259" s="343"/>
      <c r="O259" s="320" t="s">
        <v>670</v>
      </c>
      <c r="P259" s="317" t="s">
        <v>519</v>
      </c>
      <c r="Q259" s="320">
        <f>$Q$11</f>
        <v>0</v>
      </c>
      <c r="R259" s="323"/>
      <c r="S259" s="324"/>
      <c r="T259" s="323"/>
      <c r="U259" s="324"/>
      <c r="V259" s="324"/>
      <c r="W259" s="325"/>
      <c r="X259" s="325"/>
      <c r="Y259" s="324"/>
      <c r="Z259" s="325"/>
      <c r="AA259" s="325"/>
      <c r="AB259" s="325"/>
      <c r="AC259" s="324">
        <v>0</v>
      </c>
      <c r="AD259" s="324">
        <v>0</v>
      </c>
      <c r="AL259" s="319" t="s">
        <v>519</v>
      </c>
      <c r="AM259" s="319" t="s">
        <v>520</v>
      </c>
      <c r="AQ259" s="431">
        <v>2550</v>
      </c>
      <c r="AR259" s="431">
        <v>1100</v>
      </c>
      <c r="AS259" s="431">
        <v>390</v>
      </c>
      <c r="AT259" s="431">
        <v>340</v>
      </c>
      <c r="AU259" s="431"/>
      <c r="AV259" s="480" t="str">
        <f>IF(AND(AR$1&lt;&gt;0,AT$1&lt;&gt;0),IF(AND($AR$1&lt;=AQ259,$AT$1&lt;=AR259,$AR$1&gt;=AS259,$AT$1&gt;=AT259),"OK","NOK"),"")</f>
        <v>OK</v>
      </c>
      <c r="AW259" s="299" t="str">
        <f t="shared" si="51"/>
        <v>SB20</v>
      </c>
      <c r="AX259" s="299" t="str">
        <f t="shared" si="52"/>
        <v/>
      </c>
      <c r="AY259" s="286">
        <f t="shared" si="43"/>
        <v>259</v>
      </c>
      <c r="AZ259" s="319" t="str">
        <f t="shared" si="42"/>
        <v>AX259;</v>
      </c>
    </row>
    <row r="260" spans="1:52" s="286" customFormat="1" ht="15" customHeight="1" thickBot="1">
      <c r="A260" s="666"/>
      <c r="B260" s="308" t="s">
        <v>304</v>
      </c>
      <c r="C260" s="285" t="s">
        <v>145</v>
      </c>
      <c r="D260" s="289" t="str">
        <f t="shared" si="54"/>
        <v/>
      </c>
      <c r="E260" s="287" t="str">
        <f>IFERROR(IF($G$239&lt;&gt;"",IF(G260="x",IF(F260=$G$239,"V1",IF(AF260=1,"V2",IF(AND(AF260=$AF$239,AF260&lt;&gt;1),"V"&amp;$AG$239+1,"V"&amp;AF260+1))),""),""),"Wprowadź urządzenie bazowe")</f>
        <v/>
      </c>
      <c r="F260" s="289" t="s">
        <v>144</v>
      </c>
      <c r="G260" s="309"/>
      <c r="H260" s="289" t="s">
        <v>667</v>
      </c>
      <c r="I260" s="289">
        <v>10</v>
      </c>
      <c r="J260" s="286" t="str">
        <f>IFERROR(IF(VALUE(MID(D239,2,2))&lt;9,"$HLB1-L0"&amp;(RIGHT(D239,1)+1),"$HLB1-L"&amp;(MID(D239,2,2)+1)),"Uzupełnij poziom")</f>
        <v>Uzupełnij poziom</v>
      </c>
      <c r="K260" s="286">
        <v>1000</v>
      </c>
      <c r="L260" s="286" t="s">
        <v>668</v>
      </c>
      <c r="M260" s="287"/>
      <c r="N260" s="310">
        <f>IF(T261&lt;&gt;0,ROUND(((100-T261)/T261)*100,2),IF(J260&lt;&gt;"",T260,""))</f>
        <v>0</v>
      </c>
      <c r="O260" s="289"/>
      <c r="P260" s="289"/>
      <c r="Q260" s="289"/>
      <c r="S260" s="291"/>
      <c r="U260" s="291"/>
      <c r="V260" s="291"/>
      <c r="W260" s="291"/>
      <c r="X260" s="291"/>
      <c r="Y260" s="291"/>
      <c r="Z260" s="291"/>
      <c r="AA260" s="291"/>
      <c r="AB260" s="291"/>
      <c r="AC260" s="291"/>
      <c r="AD260" s="291"/>
      <c r="AE260" s="286" t="str">
        <f>UPPER(G260)</f>
        <v/>
      </c>
      <c r="AF260" s="293">
        <f>COUNTIF($AE$240:AE261,"X")</f>
        <v>0</v>
      </c>
      <c r="AL260" s="286" t="s">
        <v>144</v>
      </c>
      <c r="AM260" s="286" t="s">
        <v>145</v>
      </c>
      <c r="AQ260" s="430">
        <v>2350</v>
      </c>
      <c r="AR260" s="430">
        <v>1400</v>
      </c>
      <c r="AS260" s="430">
        <v>550</v>
      </c>
      <c r="AT260" s="430">
        <v>550</v>
      </c>
      <c r="AU260" s="430"/>
      <c r="AV260" s="430"/>
      <c r="AW260" s="299" t="str">
        <f t="shared" si="51"/>
        <v>BK01</v>
      </c>
      <c r="AX260" s="299" t="str">
        <f t="shared" si="52"/>
        <v/>
      </c>
      <c r="AY260" s="286">
        <f t="shared" si="43"/>
        <v>260</v>
      </c>
      <c r="AZ260" s="319" t="str">
        <f t="shared" si="42"/>
        <v>AX260;</v>
      </c>
    </row>
    <row r="261" spans="1:52" s="319" customFormat="1" ht="15.75" thickBot="1">
      <c r="A261" s="666"/>
      <c r="B261" s="315" t="s">
        <v>304</v>
      </c>
      <c r="C261" s="316" t="s">
        <v>145</v>
      </c>
      <c r="D261" s="317" t="str">
        <f t="shared" si="54"/>
        <v/>
      </c>
      <c r="E261" s="110" t="str">
        <f t="shared" ref="E261" si="64">IF(E260&lt;&gt;"",E260,"")</f>
        <v/>
      </c>
      <c r="F261" s="317" t="s">
        <v>144</v>
      </c>
      <c r="G261" s="318" t="str">
        <f>IF(G260="X","X","")</f>
        <v/>
      </c>
      <c r="H261" s="317" t="s">
        <v>669</v>
      </c>
      <c r="I261" s="317"/>
      <c r="J261" s="317"/>
      <c r="N261" s="343"/>
      <c r="O261" s="320" t="s">
        <v>670</v>
      </c>
      <c r="P261" s="317" t="s">
        <v>144</v>
      </c>
      <c r="Q261" s="320">
        <f>$Q$11</f>
        <v>0</v>
      </c>
      <c r="R261" s="323"/>
      <c r="S261" s="324"/>
      <c r="T261" s="323"/>
      <c r="U261" s="324"/>
      <c r="V261" s="324"/>
      <c r="W261" s="325"/>
      <c r="X261" s="325"/>
      <c r="Y261" s="324"/>
      <c r="Z261" s="325"/>
      <c r="AA261" s="325"/>
      <c r="AB261" s="325"/>
      <c r="AC261" s="324">
        <v>0</v>
      </c>
      <c r="AD261" s="324">
        <v>0</v>
      </c>
      <c r="AL261" s="319" t="s">
        <v>144</v>
      </c>
      <c r="AM261" s="319" t="s">
        <v>145</v>
      </c>
      <c r="AQ261" s="431">
        <v>2350</v>
      </c>
      <c r="AR261" s="431">
        <v>1400</v>
      </c>
      <c r="AS261" s="431">
        <v>550</v>
      </c>
      <c r="AT261" s="431">
        <v>550</v>
      </c>
      <c r="AU261" s="431"/>
      <c r="AV261" s="480" t="str">
        <f>IF(AND(AR$1&lt;&gt;0,AT$1&lt;&gt;0),IF(AND($AR$1&lt;=AQ261,$AT$1&lt;=AR261,$AR$1&gt;=AS261,$AT$1&gt;=AT261),"OK","NOK"),"")</f>
        <v>OK</v>
      </c>
      <c r="AW261" s="299" t="str">
        <f t="shared" si="51"/>
        <v>BK01</v>
      </c>
      <c r="AX261" s="299" t="str">
        <f t="shared" si="52"/>
        <v/>
      </c>
      <c r="AY261" s="286">
        <f t="shared" si="43"/>
        <v>261</v>
      </c>
      <c r="AZ261" s="319" t="str">
        <f t="shared" si="42"/>
        <v>AX261;</v>
      </c>
    </row>
    <row r="262" spans="1:52" s="286" customFormat="1" ht="15" customHeight="1" thickBot="1">
      <c r="A262" s="666"/>
      <c r="B262" s="308" t="s">
        <v>359</v>
      </c>
      <c r="C262" s="285" t="s">
        <v>178</v>
      </c>
      <c r="D262" s="289" t="str">
        <f t="shared" si="54"/>
        <v/>
      </c>
      <c r="E262" s="287" t="str">
        <f>IFERROR(IF($G$239&lt;&gt;"",IF(G262="x",IF(F262=$G$239,"V1",IF(AF262=1,"V2",IF(AND(AF262=$AF$239,AF262&lt;&gt;1),"V"&amp;$AG$239+1,"V"&amp;AF262+1))),""),""),"Wprowadź urządzenie bazowe")</f>
        <v/>
      </c>
      <c r="F262" s="289" t="s">
        <v>177</v>
      </c>
      <c r="G262" s="309"/>
      <c r="H262" s="289" t="s">
        <v>667</v>
      </c>
      <c r="I262" s="289">
        <v>10</v>
      </c>
      <c r="J262" s="286" t="str">
        <f>IFERROR(IF(VALUE(MID(D239,2,2))&lt;9,"$HLB1-L0"&amp;(RIGHT(D239,1)+1),"$HLB1-L"&amp;(MID(D239,2,2)+1)),"Uzupełnij poziom")</f>
        <v>Uzupełnij poziom</v>
      </c>
      <c r="K262" s="286">
        <v>1000</v>
      </c>
      <c r="L262" s="286" t="s">
        <v>668</v>
      </c>
      <c r="M262" s="287"/>
      <c r="N262" s="310">
        <f>IF(T263&lt;&gt;0,ROUND(((100-T263)/T263)*100,2),IF(J262&lt;&gt;"",T262,""))</f>
        <v>0</v>
      </c>
      <c r="O262" s="289"/>
      <c r="P262" s="289"/>
      <c r="Q262" s="289"/>
      <c r="S262" s="291"/>
      <c r="U262" s="291"/>
      <c r="V262" s="291"/>
      <c r="W262" s="291"/>
      <c r="X262" s="291"/>
      <c r="Y262" s="291"/>
      <c r="Z262" s="291"/>
      <c r="AA262" s="291"/>
      <c r="AB262" s="291"/>
      <c r="AC262" s="291"/>
      <c r="AD262" s="291"/>
      <c r="AE262" s="286" t="str">
        <f>UPPER(G262)</f>
        <v/>
      </c>
      <c r="AF262" s="293">
        <f>COUNTIF($AE$240:AE263,"X")</f>
        <v>0</v>
      </c>
      <c r="AL262" s="286" t="s">
        <v>177</v>
      </c>
      <c r="AM262" s="286" t="s">
        <v>178</v>
      </c>
      <c r="AQ262" s="430"/>
      <c r="AR262" s="430"/>
      <c r="AS262" s="430"/>
      <c r="AT262" s="430"/>
      <c r="AU262" s="430"/>
      <c r="AV262" s="430"/>
      <c r="AW262" s="299" t="str">
        <f t="shared" si="51"/>
        <v>BK02</v>
      </c>
      <c r="AX262" s="299" t="str">
        <f t="shared" si="52"/>
        <v/>
      </c>
      <c r="AY262" s="286">
        <f t="shared" si="43"/>
        <v>262</v>
      </c>
      <c r="AZ262" s="319" t="str">
        <f t="shared" si="42"/>
        <v>AX262;</v>
      </c>
    </row>
    <row r="263" spans="1:52" s="319" customFormat="1" ht="15.75" thickBot="1">
      <c r="A263" s="666"/>
      <c r="B263" s="315" t="s">
        <v>359</v>
      </c>
      <c r="C263" s="316" t="s">
        <v>178</v>
      </c>
      <c r="D263" s="317" t="str">
        <f t="shared" si="54"/>
        <v/>
      </c>
      <c r="E263" s="110" t="str">
        <f t="shared" ref="E263" si="65">IF(E262&lt;&gt;"",E262,"")</f>
        <v/>
      </c>
      <c r="F263" s="317" t="s">
        <v>177</v>
      </c>
      <c r="G263" s="318" t="str">
        <f>IF(G262="X","X","")</f>
        <v/>
      </c>
      <c r="H263" s="317" t="s">
        <v>669</v>
      </c>
      <c r="I263" s="317"/>
      <c r="J263" s="317"/>
      <c r="N263" s="343"/>
      <c r="O263" s="320" t="s">
        <v>670</v>
      </c>
      <c r="P263" s="317" t="s">
        <v>177</v>
      </c>
      <c r="Q263" s="320">
        <f>$Q$11</f>
        <v>0</v>
      </c>
      <c r="R263" s="323"/>
      <c r="S263" s="324"/>
      <c r="T263" s="323"/>
      <c r="U263" s="324"/>
      <c r="V263" s="324"/>
      <c r="W263" s="325"/>
      <c r="X263" s="325"/>
      <c r="Y263" s="324"/>
      <c r="Z263" s="325"/>
      <c r="AA263" s="325"/>
      <c r="AB263" s="325"/>
      <c r="AC263" s="324">
        <v>0</v>
      </c>
      <c r="AD263" s="324">
        <v>0</v>
      </c>
      <c r="AL263" s="319" t="s">
        <v>177</v>
      </c>
      <c r="AM263" s="319" t="s">
        <v>178</v>
      </c>
      <c r="AQ263" s="431"/>
      <c r="AR263" s="431"/>
      <c r="AS263" s="431"/>
      <c r="AT263" s="431"/>
      <c r="AU263" s="431"/>
      <c r="AV263" s="480" t="str">
        <f>IF(AND(AR$1&lt;&gt;0,AT$1&lt;&gt;0),IF(AND($AR$1&lt;=AQ263,$AT$1&lt;=AR263,$AR$1&gt;=AS263,$AT$1&gt;=AT263),"OK","NOK"),"")</f>
        <v>NOK</v>
      </c>
      <c r="AW263" s="299" t="str">
        <f t="shared" si="51"/>
        <v>BK02</v>
      </c>
      <c r="AX263" s="299" t="str">
        <f t="shared" si="52"/>
        <v>BK02,</v>
      </c>
      <c r="AY263" s="286">
        <f t="shared" si="43"/>
        <v>263</v>
      </c>
      <c r="AZ263" s="319" t="str">
        <f t="shared" si="42"/>
        <v>AX263;</v>
      </c>
    </row>
    <row r="264" spans="1:52" s="286" customFormat="1" ht="15" customHeight="1" thickBot="1">
      <c r="A264" s="666"/>
      <c r="B264" s="308" t="s">
        <v>399</v>
      </c>
      <c r="C264" s="285" t="s">
        <v>398</v>
      </c>
      <c r="D264" s="289" t="str">
        <f t="shared" si="54"/>
        <v/>
      </c>
      <c r="E264" s="287" t="str">
        <f>IFERROR(IF($G$239&lt;&gt;"",IF(G264="x",IF(F264=$G$239,"V1",IF(AF264=1,"V2",IF(AND(AF264=$AF$239,AF264&lt;&gt;1),"V"&amp;$AG$239+1,"V"&amp;AF264+1))),""),""),"Wprowadź urządzenie bazowe")</f>
        <v/>
      </c>
      <c r="F264" s="289" t="s">
        <v>397</v>
      </c>
      <c r="G264" s="309" t="str">
        <f>IF($G$239=F264,"X","")</f>
        <v/>
      </c>
      <c r="H264" s="289" t="s">
        <v>667</v>
      </c>
      <c r="I264" s="289">
        <v>10</v>
      </c>
      <c r="J264" s="286" t="str">
        <f>IFERROR(IF(VALUE(MID(D239,2,2))&lt;9,"$HLB1-L0"&amp;(RIGHT(D239,1)+1),"$HLB1-L"&amp;(MID(D239,2,2)+1)),"Uzupełnij poziom")</f>
        <v>Uzupełnij poziom</v>
      </c>
      <c r="K264" s="286">
        <v>1000</v>
      </c>
      <c r="L264" s="286" t="s">
        <v>668</v>
      </c>
      <c r="M264" s="287"/>
      <c r="N264" s="310">
        <f>IF(T265&lt;&gt;0,ROUND(((100-T265)/T265)*100,2),IF(J264&lt;&gt;"",T264,""))</f>
        <v>0</v>
      </c>
      <c r="O264" s="289"/>
      <c r="P264" s="289"/>
      <c r="Q264" s="289"/>
      <c r="S264" s="291"/>
      <c r="U264" s="291"/>
      <c r="V264" s="291"/>
      <c r="W264" s="291"/>
      <c r="X264" s="291"/>
      <c r="Y264" s="291"/>
      <c r="Z264" s="291"/>
      <c r="AA264" s="291"/>
      <c r="AB264" s="291"/>
      <c r="AC264" s="291"/>
      <c r="AD264" s="291"/>
      <c r="AE264" s="286" t="str">
        <f>UPPER(G264)</f>
        <v/>
      </c>
      <c r="AF264" s="293">
        <f>COUNTIF($AE$240:AE265,"X")</f>
        <v>0</v>
      </c>
      <c r="AL264" s="286" t="s">
        <v>397</v>
      </c>
      <c r="AM264" s="286" t="s">
        <v>398</v>
      </c>
      <c r="AQ264" s="430"/>
      <c r="AR264" s="430"/>
      <c r="AS264" s="430"/>
      <c r="AT264" s="430"/>
      <c r="AU264" s="430"/>
      <c r="AV264" s="430"/>
      <c r="AW264" s="299" t="str">
        <f t="shared" si="51"/>
        <v>BK04</v>
      </c>
      <c r="AX264" s="299" t="str">
        <f t="shared" si="52"/>
        <v/>
      </c>
      <c r="AY264" s="286">
        <f t="shared" si="43"/>
        <v>264</v>
      </c>
      <c r="AZ264" s="319" t="str">
        <f t="shared" si="42"/>
        <v>AX264;</v>
      </c>
    </row>
    <row r="265" spans="1:52" s="299" customFormat="1" ht="15.75" thickBot="1">
      <c r="A265" s="667"/>
      <c r="B265" s="337" t="s">
        <v>399</v>
      </c>
      <c r="C265" s="298" t="s">
        <v>398</v>
      </c>
      <c r="D265" s="301" t="str">
        <f t="shared" si="54"/>
        <v/>
      </c>
      <c r="E265" s="299" t="str">
        <f t="shared" ref="E265" si="66">IF(E264&lt;&gt;"",E264,"")</f>
        <v/>
      </c>
      <c r="F265" s="301" t="s">
        <v>397</v>
      </c>
      <c r="G265" s="338" t="str">
        <f>IF(G264="X","X","")</f>
        <v/>
      </c>
      <c r="H265" s="301" t="s">
        <v>669</v>
      </c>
      <c r="I265" s="301"/>
      <c r="J265" s="301"/>
      <c r="N265" s="339"/>
      <c r="O265" s="303" t="s">
        <v>670</v>
      </c>
      <c r="P265" s="301" t="s">
        <v>397</v>
      </c>
      <c r="Q265" s="303">
        <f>$Q$11</f>
        <v>0</v>
      </c>
      <c r="R265" s="304"/>
      <c r="S265" s="305"/>
      <c r="T265" s="304"/>
      <c r="U265" s="305"/>
      <c r="V265" s="305"/>
      <c r="W265" s="342"/>
      <c r="X265" s="342"/>
      <c r="Y265" s="305"/>
      <c r="Z265" s="342"/>
      <c r="AA265" s="342"/>
      <c r="AB265" s="342"/>
      <c r="AC265" s="305">
        <v>0</v>
      </c>
      <c r="AD265" s="305">
        <v>0</v>
      </c>
      <c r="AL265" s="299" t="s">
        <v>397</v>
      </c>
      <c r="AM265" s="299" t="s">
        <v>398</v>
      </c>
      <c r="AQ265" s="432"/>
      <c r="AR265" s="432"/>
      <c r="AS265" s="432"/>
      <c r="AT265" s="432"/>
      <c r="AU265" s="432"/>
      <c r="AV265" s="480" t="str">
        <f>IF(AND(AR$1&lt;&gt;0,AT$1&lt;&gt;0),IF(AND($AR$1&lt;=AQ265,$AT$1&lt;=AR265,$AR$1&gt;=AS265,$AT$1&gt;=AT265),"OK","NOK"),"")</f>
        <v>NOK</v>
      </c>
      <c r="AW265" s="299" t="str">
        <f t="shared" si="51"/>
        <v>BK04</v>
      </c>
      <c r="AX265" s="299" t="str">
        <f t="shared" si="52"/>
        <v>BK04,</v>
      </c>
      <c r="AY265" s="286">
        <f t="shared" si="43"/>
        <v>265</v>
      </c>
      <c r="AZ265" s="319" t="str">
        <f t="shared" si="42"/>
        <v>AX265;</v>
      </c>
    </row>
    <row r="266" spans="1:52" ht="15.75" thickBot="1">
      <c r="A266" s="283"/>
      <c r="B266" s="284" t="s">
        <v>665</v>
      </c>
      <c r="C266" s="356"/>
      <c r="D266" s="355" t="str">
        <f>IF(C266&lt;&gt;"",CONCATENATE("L",C266),"")</f>
        <v/>
      </c>
      <c r="F266" s="333"/>
      <c r="G266" s="329"/>
      <c r="N266" s="314"/>
      <c r="AF266" s="293">
        <f>MAX(AF267:AF274)</f>
        <v>0</v>
      </c>
      <c r="AG266" s="293">
        <f>_xlfn.IFNA(VLOOKUP($G$266,F267:AF274,27,FALSE),0)</f>
        <v>0</v>
      </c>
      <c r="AN266" s="394" t="str">
        <f>IF(G266&lt;&gt;"",VLOOKUP(G266,$AL$4:$AM$274,2,FALSE),"")</f>
        <v/>
      </c>
      <c r="AO266" s="289"/>
      <c r="AP266" s="395" t="str">
        <f>IF(AN266&lt;&gt;"",AN266&amp;", "&amp;AO266,"")</f>
        <v/>
      </c>
      <c r="AQ266" s="430">
        <v>6050</v>
      </c>
      <c r="AR266" s="430">
        <v>3300</v>
      </c>
      <c r="AW266" s="299">
        <f t="shared" si="51"/>
        <v>0</v>
      </c>
      <c r="AX266" s="299" t="str">
        <f t="shared" si="52"/>
        <v/>
      </c>
      <c r="AY266" s="286">
        <f t="shared" si="43"/>
        <v>266</v>
      </c>
      <c r="AZ266" s="319" t="str">
        <f t="shared" si="42"/>
        <v>AX266;</v>
      </c>
    </row>
    <row r="267" spans="1:52" ht="17.25" thickBot="1">
      <c r="A267" s="662" t="s">
        <v>69</v>
      </c>
      <c r="B267" s="308" t="s">
        <v>143</v>
      </c>
      <c r="C267" s="285" t="s">
        <v>142</v>
      </c>
      <c r="D267" s="289" t="str">
        <f t="shared" ref="D267:D274" si="67">$D$266</f>
        <v/>
      </c>
      <c r="E267" s="287" t="str">
        <f>IFERROR(IF($G$266&lt;&gt;"",IF(G267="x",IF(F267=$G$266,"V1",IF(AF267=1,"V2",IF(AND(AF267=$AF$266,AF267&lt;&gt;1),"V"&amp;$AG$266+1,"V"&amp;AF267+1))),""),""),"Wprowadź urządzenie bazowe")</f>
        <v/>
      </c>
      <c r="F267" s="289" t="s">
        <v>141</v>
      </c>
      <c r="G267" s="309"/>
      <c r="H267" s="289" t="s">
        <v>667</v>
      </c>
      <c r="I267" s="289">
        <v>10</v>
      </c>
      <c r="J267" s="346" t="str">
        <f>IF('DANE CONTROLLINGU'!U8&lt;&gt;"",'DANE CONTROLLINGU'!U8,'DANE CONTROLLINGU'!U7)</f>
        <v>STR60007532</v>
      </c>
      <c r="K267" s="347">
        <f>IF('DANE CONTROLLINGU'!U8&lt;&gt;"",'DANE CONTROLLINGU'!V8,'DANE CONTROLLINGU'!V7)</f>
        <v>137.75700934579439</v>
      </c>
      <c r="L267" s="289" t="s">
        <v>523</v>
      </c>
      <c r="M267" s="382">
        <f>IF('DANE CONTROLLINGU'!X8&lt;&gt;"",'DANE CONTROLLINGU'!X8,'DANE CONTROLLINGU'!X7)</f>
        <v>28.112345748854249</v>
      </c>
      <c r="N267" s="310">
        <f t="shared" ref="N267:N273" si="68">IF(T268&lt;&gt;0,ROUND(((100-T268)/T268)*100,2),IF(J267&lt;&gt;"",T267))</f>
        <v>0</v>
      </c>
      <c r="O267" s="289"/>
      <c r="P267" s="289"/>
      <c r="Q267" s="289"/>
      <c r="R267" s="286"/>
      <c r="S267" s="291"/>
      <c r="T267" s="286"/>
      <c r="AE267" s="293" t="str">
        <f>UPPER(G267)</f>
        <v/>
      </c>
      <c r="AF267" s="293">
        <f>COUNTIF($AE$267:AE268,"X")</f>
        <v>0</v>
      </c>
      <c r="AL267" s="293" t="s">
        <v>141</v>
      </c>
      <c r="AM267" s="293" t="s">
        <v>142</v>
      </c>
      <c r="AQ267" s="430">
        <v>6050</v>
      </c>
      <c r="AR267" s="430">
        <v>3300</v>
      </c>
      <c r="AS267" s="430"/>
      <c r="AT267" s="430"/>
      <c r="AU267" s="430"/>
      <c r="AV267" s="430"/>
      <c r="AW267" s="299" t="str">
        <f t="shared" si="51"/>
        <v>Z010</v>
      </c>
      <c r="AX267" s="299" t="str">
        <f t="shared" si="52"/>
        <v/>
      </c>
      <c r="AY267" s="286">
        <f t="shared" si="43"/>
        <v>267</v>
      </c>
      <c r="AZ267" s="319" t="str">
        <f t="shared" si="42"/>
        <v>AX267;</v>
      </c>
    </row>
    <row r="268" spans="1:52" ht="15.75" thickBot="1">
      <c r="A268" s="663"/>
      <c r="B268" s="315" t="s">
        <v>143</v>
      </c>
      <c r="C268" s="316" t="s">
        <v>142</v>
      </c>
      <c r="D268" s="317" t="str">
        <f t="shared" si="67"/>
        <v/>
      </c>
      <c r="E268" s="110" t="str">
        <f>IF(E267&lt;&gt;"",E267,"")</f>
        <v/>
      </c>
      <c r="F268" s="317" t="s">
        <v>141</v>
      </c>
      <c r="G268" s="318" t="str">
        <f>IF(G267="X","X","")</f>
        <v/>
      </c>
      <c r="H268" s="317" t="s">
        <v>669</v>
      </c>
      <c r="I268" s="317"/>
      <c r="J268" s="317"/>
      <c r="K268" s="352"/>
      <c r="L268" s="319"/>
      <c r="M268" s="319"/>
      <c r="N268" s="343"/>
      <c r="O268" s="320" t="s">
        <v>670</v>
      </c>
      <c r="P268" s="317" t="s">
        <v>141</v>
      </c>
      <c r="Q268" s="320">
        <f>$Q$11</f>
        <v>0</v>
      </c>
      <c r="R268" s="323"/>
      <c r="S268" s="324"/>
      <c r="T268" s="323"/>
      <c r="AL268" s="293" t="s">
        <v>141</v>
      </c>
      <c r="AM268" s="293" t="s">
        <v>142</v>
      </c>
      <c r="AQ268" s="430">
        <v>6050</v>
      </c>
      <c r="AR268" s="430">
        <v>3300</v>
      </c>
      <c r="AS268" s="431"/>
      <c r="AT268" s="431"/>
      <c r="AU268" s="431"/>
      <c r="AV268" s="480" t="str">
        <f>IF(AND(AR$1&lt;&gt;0,AT$1&lt;&gt;0),IF(AND($AR$1&lt;=AQ268,$AT$1&lt;=AR268,$AR$1&gt;=AS268,$AT$1&gt;=AT268),"OK","NOK"),"")</f>
        <v>OK</v>
      </c>
      <c r="AW268" s="299" t="str">
        <f t="shared" si="51"/>
        <v>Z010</v>
      </c>
      <c r="AX268" s="299" t="str">
        <f t="shared" si="52"/>
        <v/>
      </c>
      <c r="AY268" s="286">
        <f t="shared" si="43"/>
        <v>268</v>
      </c>
      <c r="AZ268" s="319" t="str">
        <f t="shared" ref="AZ268:AZ274" si="69">"AX"&amp;AY268&amp;";"</f>
        <v>AX268;</v>
      </c>
    </row>
    <row r="269" spans="1:52" ht="17.25" thickBot="1">
      <c r="A269" s="663"/>
      <c r="B269" s="308" t="s">
        <v>349</v>
      </c>
      <c r="C269" s="285" t="s">
        <v>348</v>
      </c>
      <c r="D269" s="289" t="str">
        <f t="shared" si="67"/>
        <v/>
      </c>
      <c r="E269" s="287" t="str">
        <f>IFERROR(IF($G$266&lt;&gt;"",IF(G269="x",IF(F269=$G$266,"V1",IF(AF269=1,"V2",IF(AND(AF269=$AF$266,AF269&lt;&gt;1),"V"&amp;$AG$266+1,"V"&amp;AF269+1))),""),""),"Wprowadź urządzenie bazowe")</f>
        <v/>
      </c>
      <c r="F269" s="289" t="s">
        <v>400</v>
      </c>
      <c r="G269" s="309"/>
      <c r="H269" s="289" t="s">
        <v>667</v>
      </c>
      <c r="I269" s="289">
        <v>10</v>
      </c>
      <c r="J269" s="346" t="str">
        <f>IF('DANE CONTROLLINGU'!U8&lt;&gt;"",'DANE CONTROLLINGU'!U8,'DANE CONTROLLINGU'!U7)</f>
        <v>STR60007532</v>
      </c>
      <c r="K269" s="347">
        <f>IF('DANE CONTROLLINGU'!U8&lt;&gt;"",'DANE CONTROLLINGU'!V8,'DANE CONTROLLINGU'!V7)</f>
        <v>137.75700934579439</v>
      </c>
      <c r="L269" s="289" t="s">
        <v>523</v>
      </c>
      <c r="M269" s="381">
        <f>IF('DANE CONTROLLINGU'!X8&lt;&gt;"",'DANE CONTROLLINGU'!X8,'DANE CONTROLLINGU'!X7)</f>
        <v>28.112345748854249</v>
      </c>
      <c r="N269" s="310">
        <f t="shared" si="68"/>
        <v>0</v>
      </c>
      <c r="O269" s="289"/>
      <c r="P269" s="289"/>
      <c r="Q269" s="289"/>
      <c r="R269" s="286"/>
      <c r="S269" s="291"/>
      <c r="T269" s="286"/>
      <c r="AE269" s="293" t="str">
        <f>UPPER(G269)</f>
        <v/>
      </c>
      <c r="AF269" s="293">
        <f>COUNTIF($AE$267:AE270,"X")</f>
        <v>0</v>
      </c>
      <c r="AL269" s="293" t="s">
        <v>400</v>
      </c>
      <c r="AM269" s="293" t="s">
        <v>348</v>
      </c>
      <c r="AQ269" s="430">
        <v>6050</v>
      </c>
      <c r="AR269" s="430">
        <v>3300</v>
      </c>
      <c r="AS269" s="430"/>
      <c r="AT269" s="430"/>
      <c r="AU269" s="430"/>
      <c r="AV269" s="430"/>
      <c r="AW269" s="299" t="str">
        <f t="shared" si="51"/>
        <v>Z020</v>
      </c>
      <c r="AX269" s="299" t="str">
        <f t="shared" si="52"/>
        <v/>
      </c>
      <c r="AY269" s="286">
        <f t="shared" ref="AY269:AY274" si="70">AY268+1</f>
        <v>269</v>
      </c>
      <c r="AZ269" s="319" t="str">
        <f t="shared" si="69"/>
        <v>AX269;</v>
      </c>
    </row>
    <row r="270" spans="1:52" ht="15.75" thickBot="1">
      <c r="A270" s="663"/>
      <c r="B270" s="315" t="s">
        <v>349</v>
      </c>
      <c r="C270" s="316" t="s">
        <v>348</v>
      </c>
      <c r="D270" s="317" t="str">
        <f t="shared" si="67"/>
        <v/>
      </c>
      <c r="E270" s="110" t="str">
        <f t="shared" ref="E270" si="71">IF(E269&lt;&gt;"",E269,"")</f>
        <v/>
      </c>
      <c r="F270" s="317" t="s">
        <v>400</v>
      </c>
      <c r="G270" s="318" t="str">
        <f>IF(G269="X","X","")</f>
        <v/>
      </c>
      <c r="H270" s="317" t="s">
        <v>669</v>
      </c>
      <c r="I270" s="317"/>
      <c r="J270" s="317"/>
      <c r="K270" s="352"/>
      <c r="L270" s="319"/>
      <c r="M270" s="319"/>
      <c r="N270" s="343"/>
      <c r="O270" s="320" t="s">
        <v>670</v>
      </c>
      <c r="P270" s="317" t="s">
        <v>400</v>
      </c>
      <c r="Q270" s="320">
        <f>$Q$11</f>
        <v>0</v>
      </c>
      <c r="R270" s="323"/>
      <c r="S270" s="324"/>
      <c r="T270" s="323"/>
      <c r="AL270" s="293" t="s">
        <v>400</v>
      </c>
      <c r="AM270" s="293" t="s">
        <v>348</v>
      </c>
      <c r="AQ270" s="430">
        <v>6050</v>
      </c>
      <c r="AR270" s="430">
        <v>3300</v>
      </c>
      <c r="AS270" s="431"/>
      <c r="AT270" s="431"/>
      <c r="AU270" s="431"/>
      <c r="AV270" s="480" t="str">
        <f>IF(AND(AR$1&lt;&gt;0,AT$1&lt;&gt;0),IF(AND($AR$1&lt;=AQ270,$AT$1&lt;=AR270,$AR$1&gt;=AS270,$AT$1&gt;=AT270),"OK","NOK"),"")</f>
        <v>OK</v>
      </c>
      <c r="AW270" s="299" t="str">
        <f t="shared" si="51"/>
        <v>Z020</v>
      </c>
      <c r="AX270" s="299" t="str">
        <f t="shared" si="52"/>
        <v/>
      </c>
      <c r="AY270" s="286">
        <f t="shared" si="70"/>
        <v>270</v>
      </c>
      <c r="AZ270" s="319" t="str">
        <f t="shared" si="69"/>
        <v>AX270;</v>
      </c>
    </row>
    <row r="271" spans="1:52" ht="17.25" thickBot="1">
      <c r="A271" s="663"/>
      <c r="B271" s="308" t="s">
        <v>564</v>
      </c>
      <c r="C271" s="285" t="s">
        <v>108</v>
      </c>
      <c r="D271" s="289" t="str">
        <f t="shared" si="67"/>
        <v/>
      </c>
      <c r="E271" s="287" t="str">
        <f>IFERROR(IF($G$266&lt;&gt;"",IF(G271="x",IF(F271=$G$266,"V1",IF(AF271=1,"V2",IF(AND(AF271=$AF$266,AF271&lt;&gt;1),"V"&amp;$AG$266+1,"V"&amp;AF271+1))),""),""),"Wprowadź urządzenie bazowe")</f>
        <v/>
      </c>
      <c r="F271" s="289" t="s">
        <v>107</v>
      </c>
      <c r="G271" s="309"/>
      <c r="H271" s="289" t="s">
        <v>667</v>
      </c>
      <c r="I271" s="289">
        <v>10</v>
      </c>
      <c r="J271" s="346" t="str">
        <f>IF('DANE CONTROLLINGU'!U7&lt;&gt;"",'DANE CONTROLLINGU'!U7,'DANE CONTROLLINGU'!U8)</f>
        <v>STR60007532</v>
      </c>
      <c r="K271" s="347">
        <f>IF('DANE CONTROLLINGU'!U7&lt;&gt;"",'DANE CONTROLLINGU'!V7,'DANE CONTROLLINGU'!V8)</f>
        <v>137.75700934579439</v>
      </c>
      <c r="L271" s="289" t="s">
        <v>523</v>
      </c>
      <c r="M271" s="381">
        <f>IF('DANE CONTROLLINGU'!X7&lt;&gt;"",'DANE CONTROLLINGU'!X7,'DANE CONTROLLINGU'!X8)</f>
        <v>28.112345748854249</v>
      </c>
      <c r="N271" s="310">
        <f t="shared" si="68"/>
        <v>0</v>
      </c>
      <c r="O271" s="289"/>
      <c r="P271" s="289"/>
      <c r="Q271" s="289"/>
      <c r="R271" s="286"/>
      <c r="S271" s="291"/>
      <c r="T271" s="286"/>
      <c r="AE271" s="293" t="str">
        <f>UPPER(G271)</f>
        <v/>
      </c>
      <c r="AF271" s="293">
        <f>COUNTIF($AE$267:AE272,"X")</f>
        <v>0</v>
      </c>
      <c r="AL271" s="293" t="s">
        <v>107</v>
      </c>
      <c r="AM271" s="293" t="s">
        <v>108</v>
      </c>
      <c r="AQ271" s="430">
        <v>3000</v>
      </c>
      <c r="AR271" s="430">
        <v>2000</v>
      </c>
      <c r="AS271" s="430"/>
      <c r="AT271" s="430"/>
      <c r="AU271" s="430"/>
      <c r="AV271" s="430"/>
      <c r="AW271" s="299" t="str">
        <f t="shared" si="51"/>
        <v>BYS1</v>
      </c>
      <c r="AX271" s="299" t="str">
        <f t="shared" si="52"/>
        <v/>
      </c>
      <c r="AY271" s="286">
        <f t="shared" si="70"/>
        <v>271</v>
      </c>
      <c r="AZ271" s="319" t="str">
        <f t="shared" si="69"/>
        <v>AX271;</v>
      </c>
    </row>
    <row r="272" spans="1:52" ht="15.75" thickBot="1">
      <c r="A272" s="663"/>
      <c r="B272" s="315" t="s">
        <v>564</v>
      </c>
      <c r="C272" s="316" t="s">
        <v>108</v>
      </c>
      <c r="D272" s="317" t="str">
        <f t="shared" si="67"/>
        <v/>
      </c>
      <c r="E272" s="110" t="str">
        <f t="shared" ref="E272" si="72">IF(E271&lt;&gt;"",E271,"")</f>
        <v/>
      </c>
      <c r="F272" s="317" t="s">
        <v>107</v>
      </c>
      <c r="G272" s="318" t="str">
        <f>IF(G271="X","X","")</f>
        <v/>
      </c>
      <c r="H272" s="317" t="s">
        <v>669</v>
      </c>
      <c r="I272" s="317"/>
      <c r="J272" s="317"/>
      <c r="K272" s="352"/>
      <c r="L272" s="319"/>
      <c r="M272" s="319"/>
      <c r="N272" s="343"/>
      <c r="O272" s="320" t="s">
        <v>670</v>
      </c>
      <c r="P272" s="317" t="s">
        <v>107</v>
      </c>
      <c r="Q272" s="320">
        <f>$Q$11</f>
        <v>0</v>
      </c>
      <c r="R272" s="323"/>
      <c r="S272" s="324"/>
      <c r="T272" s="323"/>
      <c r="AL272" s="293" t="s">
        <v>107</v>
      </c>
      <c r="AM272" s="293" t="s">
        <v>108</v>
      </c>
      <c r="AQ272" s="431">
        <v>3000</v>
      </c>
      <c r="AR272" s="431">
        <v>2000</v>
      </c>
      <c r="AS272" s="431"/>
      <c r="AT272" s="431"/>
      <c r="AU272" s="431"/>
      <c r="AV272" s="480" t="str">
        <f>IF(AND(AR$1&lt;&gt;0,AT$1&lt;&gt;0),IF(AND($AR$1&lt;=AQ272,$AT$1&lt;=AR272,$AR$1&gt;=AS272,$AT$1&gt;=AT272),"OK","NOK"),"")</f>
        <v>OK</v>
      </c>
      <c r="AW272" s="299" t="str">
        <f t="shared" si="51"/>
        <v>BYS1</v>
      </c>
      <c r="AX272" s="299" t="str">
        <f t="shared" si="52"/>
        <v/>
      </c>
      <c r="AY272" s="286">
        <f t="shared" si="70"/>
        <v>272</v>
      </c>
      <c r="AZ272" s="319" t="str">
        <f t="shared" si="69"/>
        <v>AX272;</v>
      </c>
    </row>
    <row r="273" spans="1:69" ht="17.25" thickBot="1">
      <c r="A273" s="663"/>
      <c r="B273" s="311" t="s">
        <v>565</v>
      </c>
      <c r="C273" s="292" t="s">
        <v>110</v>
      </c>
      <c r="D273" s="289" t="str">
        <f t="shared" si="67"/>
        <v/>
      </c>
      <c r="E273" s="287" t="str">
        <f>IFERROR(IF($G$266&lt;&gt;"",IF(G273="x",IF(F273=$G$266,"V1",IF(AF273=1,"V2",IF(AND(AF273=$AF$266,AF273&lt;&gt;1),"V"&amp;$AG$266+1,"V"&amp;AF273+1))),""),""),"Wprowadź urządzenie bazowe")</f>
        <v/>
      </c>
      <c r="F273" s="295" t="s">
        <v>109</v>
      </c>
      <c r="G273" s="309"/>
      <c r="H273" s="295" t="s">
        <v>667</v>
      </c>
      <c r="I273" s="295">
        <v>10</v>
      </c>
      <c r="J273" s="348" t="str">
        <f>IF('DANE CONTROLLINGU'!U7&lt;&gt;"",'DANE CONTROLLINGU'!U7,'DANE CONTROLLINGU'!U8)</f>
        <v>STR60007532</v>
      </c>
      <c r="K273" s="349">
        <f>IF('DANE CONTROLLINGU'!U7&lt;&gt;"",'DANE CONTROLLINGU'!V7,'DANE CONTROLLINGU'!V8)</f>
        <v>137.75700934579439</v>
      </c>
      <c r="L273" s="295" t="s">
        <v>523</v>
      </c>
      <c r="M273" s="381">
        <f>IF('DANE CONTROLLINGU'!X7&lt;&gt;"",'DANE CONTROLLINGU'!X7,'DANE CONTROLLINGU'!X8)</f>
        <v>28.112345748854249</v>
      </c>
      <c r="N273" s="310">
        <f t="shared" si="68"/>
        <v>0</v>
      </c>
      <c r="AE273" s="293" t="str">
        <f>UPPER(G273)</f>
        <v/>
      </c>
      <c r="AF273" s="293">
        <f>COUNTIF($AE$267:AE274,"X")</f>
        <v>0</v>
      </c>
      <c r="AL273" s="293" t="s">
        <v>109</v>
      </c>
      <c r="AM273" s="293" t="s">
        <v>110</v>
      </c>
      <c r="AQ273" s="429">
        <v>3000</v>
      </c>
      <c r="AR273" s="429">
        <v>2000</v>
      </c>
      <c r="AW273" s="299" t="str">
        <f t="shared" si="51"/>
        <v>BYS3</v>
      </c>
      <c r="AX273" s="299" t="str">
        <f t="shared" si="52"/>
        <v/>
      </c>
      <c r="AY273" s="286">
        <f t="shared" si="70"/>
        <v>273</v>
      </c>
      <c r="AZ273" s="319" t="str">
        <f t="shared" si="69"/>
        <v>AX273;</v>
      </c>
    </row>
    <row r="274" spans="1:69" s="299" customFormat="1" ht="15.75" thickBot="1">
      <c r="A274" s="664"/>
      <c r="B274" s="337" t="s">
        <v>565</v>
      </c>
      <c r="C274" s="298" t="s">
        <v>110</v>
      </c>
      <c r="D274" s="301" t="str">
        <f t="shared" si="67"/>
        <v/>
      </c>
      <c r="E274" s="299" t="str">
        <f t="shared" ref="E274" si="73">IF(E273&lt;&gt;"",E273,"")</f>
        <v/>
      </c>
      <c r="F274" s="301" t="s">
        <v>109</v>
      </c>
      <c r="G274" s="338" t="str">
        <f>IF(G273="X","X","")</f>
        <v/>
      </c>
      <c r="H274" s="301" t="s">
        <v>669</v>
      </c>
      <c r="I274" s="301"/>
      <c r="J274" s="301"/>
      <c r="N274" s="339"/>
      <c r="O274" s="303" t="s">
        <v>670</v>
      </c>
      <c r="P274" s="301" t="s">
        <v>109</v>
      </c>
      <c r="Q274" s="303">
        <f>$Q$11</f>
        <v>0</v>
      </c>
      <c r="R274" s="304"/>
      <c r="S274" s="305"/>
      <c r="T274" s="304"/>
      <c r="U274" s="305"/>
      <c r="V274" s="305"/>
      <c r="W274" s="305"/>
      <c r="X274" s="305"/>
      <c r="Y274" s="305"/>
      <c r="Z274" s="305"/>
      <c r="AA274" s="305"/>
      <c r="AB274" s="305"/>
      <c r="AC274" s="305"/>
      <c r="AD274" s="305"/>
      <c r="AL274" s="299" t="s">
        <v>109</v>
      </c>
      <c r="AM274" s="299" t="s">
        <v>110</v>
      </c>
      <c r="AQ274" s="432">
        <v>3000</v>
      </c>
      <c r="AR274" s="432">
        <v>2000</v>
      </c>
      <c r="AS274" s="432"/>
      <c r="AT274" s="432"/>
      <c r="AU274" s="432"/>
      <c r="AV274" s="480" t="str">
        <f>IF(AND(AR$1&lt;&gt;0,AT$1&lt;&gt;0),IF(AND($AR$1&lt;=AQ274,$AT$1&lt;=AR274,$AR$1&gt;=AS274,$AT$1&gt;=AT274),"OK","NOK"),"")</f>
        <v>OK</v>
      </c>
      <c r="AW274" s="299" t="str">
        <f t="shared" si="51"/>
        <v>BYS3</v>
      </c>
      <c r="AX274" s="299" t="str">
        <f t="shared" si="52"/>
        <v/>
      </c>
      <c r="AY274" s="286">
        <f t="shared" si="70"/>
        <v>274</v>
      </c>
      <c r="AZ274" s="319" t="str">
        <f t="shared" si="69"/>
        <v>AX274;</v>
      </c>
    </row>
    <row r="276" spans="1:69">
      <c r="AW276" s="293" t="s">
        <v>797</v>
      </c>
      <c r="AX276" s="656" t="str">
        <f>CONCATENATE(AX7,AX11,AX14,AX17,AX20,AX23,AX26,AX29,AX34,AX38,AX42,AX46,AX50,AX54,AX58,AX63,AX67,AX71,AX75,AX79,AX83,AX87,AX92,AX96,AX100,AX104,AX108,AX112,AX116,AX121,AX125,AX129,AX133,AX137,AX141,AX145,AX150,AX154,AX158,AX162,AX166,AX170,AX174,AX177,AX179,AX181,AX183,AX186,AX188,AX190,AX192,AX195,AX197,AX199,AX201,AX204,AX206,AX208,AX210,AX213,AX215,AX217,AX219,AX222,AX224,AX226,AX231,AX235,AX238,AX241,AX243,AX245,AX247,AX249,AX251,AX253,AX255,AX257,AX259,AX261,AX263,AX265,AX268,AX270,AX272,AX274)</f>
        <v>SVEC,SVEC,SVEC,SVEC,SVEC,JB04,JB04,JB04,LGSM,LGSM,PLAN,POLR,BK02,BK04,</v>
      </c>
      <c r="AY276" s="656"/>
      <c r="AZ276" s="656"/>
      <c r="BA276" s="656"/>
      <c r="BB276" s="656"/>
      <c r="BC276" s="656"/>
      <c r="BD276" s="656"/>
      <c r="BE276" s="656"/>
      <c r="BF276" s="656"/>
      <c r="BG276" s="656"/>
      <c r="BH276" s="656"/>
      <c r="BI276" s="656"/>
      <c r="BJ276" s="656"/>
      <c r="BK276" s="656"/>
      <c r="BL276" s="656"/>
      <c r="BM276" s="656"/>
      <c r="BN276" s="656"/>
      <c r="BO276" s="656"/>
      <c r="BP276" s="656"/>
      <c r="BQ276" s="656"/>
    </row>
    <row r="277" spans="1:69">
      <c r="AO277" s="396" t="s">
        <v>112</v>
      </c>
      <c r="AP277" s="397" t="s">
        <v>681</v>
      </c>
      <c r="AQ277" s="429" t="s">
        <v>682</v>
      </c>
    </row>
    <row r="278" spans="1:69">
      <c r="AO278" s="396" t="s">
        <v>117</v>
      </c>
      <c r="AP278" s="397" t="s">
        <v>683</v>
      </c>
      <c r="AQ278" s="429" t="s">
        <v>684</v>
      </c>
    </row>
    <row r="279" spans="1:69">
      <c r="AO279" s="396" t="s">
        <v>120</v>
      </c>
      <c r="AP279" s="397" t="s">
        <v>685</v>
      </c>
      <c r="AQ279" s="429" t="s">
        <v>684</v>
      </c>
    </row>
    <row r="280" spans="1:69">
      <c r="AO280" s="396" t="s">
        <v>233</v>
      </c>
      <c r="AP280" s="397" t="s">
        <v>686</v>
      </c>
      <c r="AQ280" s="429" t="s">
        <v>687</v>
      </c>
    </row>
    <row r="281" spans="1:69">
      <c r="AO281" s="396" t="s">
        <v>311</v>
      </c>
      <c r="AP281" s="397" t="s">
        <v>688</v>
      </c>
      <c r="AQ281" s="429" t="s">
        <v>684</v>
      </c>
    </row>
    <row r="282" spans="1:69">
      <c r="AO282" s="396" t="s">
        <v>123</v>
      </c>
      <c r="AP282" s="397" t="s">
        <v>689</v>
      </c>
      <c r="AQ282" s="429" t="s">
        <v>690</v>
      </c>
    </row>
    <row r="283" spans="1:69">
      <c r="AO283" s="396" t="s">
        <v>125</v>
      </c>
      <c r="AP283" s="397" t="s">
        <v>691</v>
      </c>
      <c r="AQ283" s="429" t="s">
        <v>690</v>
      </c>
    </row>
    <row r="284" spans="1:69">
      <c r="AO284" s="396" t="s">
        <v>114</v>
      </c>
      <c r="AP284" s="397" t="s">
        <v>692</v>
      </c>
      <c r="AQ284" s="429" t="s">
        <v>682</v>
      </c>
    </row>
    <row r="285" spans="1:69">
      <c r="AO285" s="396" t="s">
        <v>127</v>
      </c>
      <c r="AP285" s="397" t="s">
        <v>693</v>
      </c>
      <c r="AQ285" s="429" t="s">
        <v>687</v>
      </c>
    </row>
    <row r="286" spans="1:69">
      <c r="AO286" s="396" t="s">
        <v>129</v>
      </c>
      <c r="AP286" s="397" t="s">
        <v>694</v>
      </c>
      <c r="AQ286" s="429" t="s">
        <v>684</v>
      </c>
    </row>
    <row r="287" spans="1:69">
      <c r="AO287" s="398" t="s">
        <v>147</v>
      </c>
      <c r="AP287" s="398" t="s">
        <v>695</v>
      </c>
      <c r="AQ287" s="429" t="s">
        <v>696</v>
      </c>
    </row>
    <row r="288" spans="1:69">
      <c r="AO288" s="398" t="s">
        <v>149</v>
      </c>
      <c r="AP288" s="398" t="s">
        <v>697</v>
      </c>
      <c r="AQ288" s="429" t="s">
        <v>696</v>
      </c>
    </row>
    <row r="289" spans="41:43">
      <c r="AO289" s="398" t="s">
        <v>309</v>
      </c>
      <c r="AP289" s="398" t="s">
        <v>698</v>
      </c>
      <c r="AQ289" s="429" t="s">
        <v>699</v>
      </c>
    </row>
    <row r="290" spans="41:43">
      <c r="AO290" s="398" t="s">
        <v>151</v>
      </c>
      <c r="AP290" s="398" t="s">
        <v>700</v>
      </c>
      <c r="AQ290" s="429" t="s">
        <v>696</v>
      </c>
    </row>
    <row r="291" spans="41:43">
      <c r="AO291" s="398" t="s">
        <v>153</v>
      </c>
      <c r="AP291" s="398" t="s">
        <v>701</v>
      </c>
      <c r="AQ291" s="429" t="s">
        <v>702</v>
      </c>
    </row>
    <row r="292" spans="41:43">
      <c r="AO292" s="398" t="s">
        <v>351</v>
      </c>
      <c r="AP292" s="398" t="s">
        <v>735</v>
      </c>
      <c r="AQ292" s="429" t="s">
        <v>763</v>
      </c>
    </row>
    <row r="293" spans="41:43">
      <c r="AO293" s="398" t="s">
        <v>520</v>
      </c>
      <c r="AP293" s="398" t="s">
        <v>736</v>
      </c>
      <c r="AQ293" s="429" t="s">
        <v>763</v>
      </c>
    </row>
    <row r="294" spans="41:43">
      <c r="AO294" s="398" t="s">
        <v>145</v>
      </c>
      <c r="AP294" s="398" t="s">
        <v>737</v>
      </c>
      <c r="AQ294" s="429" t="s">
        <v>763</v>
      </c>
    </row>
    <row r="295" spans="41:43">
      <c r="AO295" s="398" t="s">
        <v>178</v>
      </c>
      <c r="AP295" s="398" t="s">
        <v>738</v>
      </c>
      <c r="AQ295" s="429" t="s">
        <v>763</v>
      </c>
    </row>
    <row r="296" spans="41:43">
      <c r="AO296" s="398" t="s">
        <v>398</v>
      </c>
      <c r="AP296" s="398" t="s">
        <v>739</v>
      </c>
      <c r="AQ296" s="429" t="s">
        <v>763</v>
      </c>
    </row>
    <row r="298" spans="41:43">
      <c r="AP298" s="398" t="str">
        <f>IF(OR(ESG!G59="Paleta międzyoperacyjna",ESG!G59="-"),AP299,AP299&amp;", P71")</f>
        <v>, P71</v>
      </c>
    </row>
    <row r="299" spans="41:43">
      <c r="AP299" s="293" t="str">
        <f>AP266&amp;AP239&amp;AP236&amp;AP227&amp;AP220&amp;AP211&amp;AP202&amp;AP193&amp;AP184&amp;AP175&amp;AP146&amp;AP117&amp;AP88&amp;AP59&amp;AP30&amp;AP8&amp;AP3</f>
        <v/>
      </c>
    </row>
  </sheetData>
  <autoFilter ref="AV1:AV299"/>
  <mergeCells count="19">
    <mergeCell ref="A89:A116"/>
    <mergeCell ref="A1:C1"/>
    <mergeCell ref="A4:A7"/>
    <mergeCell ref="A9:A29"/>
    <mergeCell ref="A31:A58"/>
    <mergeCell ref="A60:A87"/>
    <mergeCell ref="AX276:BQ276"/>
    <mergeCell ref="A237:A238"/>
    <mergeCell ref="A228:A235"/>
    <mergeCell ref="A267:A274"/>
    <mergeCell ref="A118:A145"/>
    <mergeCell ref="A147:A174"/>
    <mergeCell ref="A176:A183"/>
    <mergeCell ref="A185:A192"/>
    <mergeCell ref="A194:A201"/>
    <mergeCell ref="A203:A210"/>
    <mergeCell ref="A212:A219"/>
    <mergeCell ref="A221:A226"/>
    <mergeCell ref="A240:A265"/>
  </mergeCells>
  <conditionalFormatting sqref="E16 E22 E28">
    <cfRule type="expression" dxfId="547" priority="363">
      <formula>AND(G16="X",E16="")</formula>
    </cfRule>
  </conditionalFormatting>
  <conditionalFormatting sqref="E19 E25">
    <cfRule type="expression" dxfId="546" priority="362">
      <formula>AND(G19="X",E19="")</formula>
    </cfRule>
  </conditionalFormatting>
  <conditionalFormatting sqref="E267 E269 E271 E273">
    <cfRule type="expression" dxfId="545" priority="354">
      <formula>AND(G267="X",E267="")</formula>
    </cfRule>
  </conditionalFormatting>
  <conditionalFormatting sqref="T11">
    <cfRule type="expression" dxfId="544" priority="353">
      <formula>AND(G9="X",T11="")</formula>
    </cfRule>
  </conditionalFormatting>
  <conditionalFormatting sqref="R14">
    <cfRule type="expression" dxfId="543" priority="352">
      <formula>AND(G12="X",R14="")</formula>
    </cfRule>
  </conditionalFormatting>
  <conditionalFormatting sqref="T14">
    <cfRule type="expression" dxfId="542" priority="351">
      <formula>AND(G12="X",T14="")</formula>
    </cfRule>
  </conditionalFormatting>
  <conditionalFormatting sqref="R17">
    <cfRule type="expression" dxfId="541" priority="350">
      <formula>AND(G15="X",R17="")</formula>
    </cfRule>
  </conditionalFormatting>
  <conditionalFormatting sqref="T17">
    <cfRule type="expression" dxfId="540" priority="349">
      <formula>AND(G15="X",T17="")</formula>
    </cfRule>
  </conditionalFormatting>
  <conditionalFormatting sqref="R20">
    <cfRule type="expression" dxfId="539" priority="348">
      <formula>AND(G18="X",R20="")</formula>
    </cfRule>
  </conditionalFormatting>
  <conditionalFormatting sqref="T20">
    <cfRule type="expression" dxfId="538" priority="347">
      <formula>AND(G18="X",T20="")</formula>
    </cfRule>
  </conditionalFormatting>
  <conditionalFormatting sqref="R23">
    <cfRule type="expression" dxfId="537" priority="346">
      <formula>AND(G21="X",R23="")</formula>
    </cfRule>
  </conditionalFormatting>
  <conditionalFormatting sqref="T23">
    <cfRule type="expression" dxfId="536" priority="345">
      <formula>AND(G21="X",T23="")</formula>
    </cfRule>
  </conditionalFormatting>
  <conditionalFormatting sqref="T26">
    <cfRule type="expression" dxfId="535" priority="344">
      <formula>AND(G24="X",T26="")</formula>
    </cfRule>
  </conditionalFormatting>
  <conditionalFormatting sqref="R26">
    <cfRule type="expression" dxfId="534" priority="343">
      <formula>AND(G24="X",R26="")</formula>
    </cfRule>
  </conditionalFormatting>
  <conditionalFormatting sqref="R29">
    <cfRule type="expression" dxfId="533" priority="342">
      <formula>AND(G27="X",R29="")</formula>
    </cfRule>
  </conditionalFormatting>
  <conditionalFormatting sqref="T29">
    <cfRule type="expression" dxfId="532" priority="341">
      <formula>AND(G27="X",T29="")</formula>
    </cfRule>
  </conditionalFormatting>
  <conditionalFormatting sqref="R34">
    <cfRule type="expression" dxfId="531" priority="340">
      <formula>AND(G31="X",R34="")</formula>
    </cfRule>
  </conditionalFormatting>
  <conditionalFormatting sqref="T34">
    <cfRule type="expression" dxfId="530" priority="339">
      <formula>AND(G31="X",T34="")</formula>
    </cfRule>
  </conditionalFormatting>
  <conditionalFormatting sqref="R38">
    <cfRule type="expression" dxfId="529" priority="338">
      <formula>AND(G35="X",R38="")</formula>
    </cfRule>
  </conditionalFormatting>
  <conditionalFormatting sqref="T38">
    <cfRule type="expression" dxfId="528" priority="337">
      <formula>AND(G35="X",T38="")</formula>
    </cfRule>
  </conditionalFormatting>
  <conditionalFormatting sqref="T42">
    <cfRule type="expression" dxfId="527" priority="336">
      <formula>AND(G39="X",T42="")</formula>
    </cfRule>
  </conditionalFormatting>
  <conditionalFormatting sqref="T46">
    <cfRule type="expression" dxfId="526" priority="335">
      <formula>AND(G43="X",T46="")</formula>
    </cfRule>
  </conditionalFormatting>
  <conditionalFormatting sqref="T50">
    <cfRule type="expression" dxfId="525" priority="334">
      <formula>AND(G47="X",T50="")</formula>
    </cfRule>
  </conditionalFormatting>
  <conditionalFormatting sqref="T54">
    <cfRule type="expression" dxfId="524" priority="333">
      <formula>AND(G51="X",T54="")</formula>
    </cfRule>
  </conditionalFormatting>
  <conditionalFormatting sqref="T58">
    <cfRule type="expression" dxfId="523" priority="332">
      <formula>AND(G55="X",T58="")</formula>
    </cfRule>
  </conditionalFormatting>
  <conditionalFormatting sqref="R42">
    <cfRule type="expression" dxfId="522" priority="331">
      <formula>AND(G39="X",R42="")</formula>
    </cfRule>
  </conditionalFormatting>
  <conditionalFormatting sqref="R46">
    <cfRule type="expression" dxfId="521" priority="330">
      <formula>AND(G43="X",R46="")</formula>
    </cfRule>
  </conditionalFormatting>
  <conditionalFormatting sqref="R50">
    <cfRule type="expression" dxfId="520" priority="329">
      <formula>AND(G47="X",R50="")</formula>
    </cfRule>
  </conditionalFormatting>
  <conditionalFormatting sqref="R54">
    <cfRule type="expression" dxfId="519" priority="328">
      <formula>AND(G51="X",R54="")</formula>
    </cfRule>
  </conditionalFormatting>
  <conditionalFormatting sqref="R58">
    <cfRule type="expression" dxfId="518" priority="327">
      <formula>AND(G55="X",R58="")</formula>
    </cfRule>
  </conditionalFormatting>
  <conditionalFormatting sqref="R177">
    <cfRule type="expression" dxfId="517" priority="326">
      <formula>AND(G176="X",R177="")</formula>
    </cfRule>
  </conditionalFormatting>
  <conditionalFormatting sqref="T177">
    <cfRule type="expression" dxfId="516" priority="325">
      <formula>AND(G176="X",T177="")</formula>
    </cfRule>
  </conditionalFormatting>
  <conditionalFormatting sqref="T179">
    <cfRule type="expression" dxfId="515" priority="324">
      <formula>AND(G178="X",T179="")</formula>
    </cfRule>
  </conditionalFormatting>
  <conditionalFormatting sqref="T181">
    <cfRule type="expression" dxfId="514" priority="323">
      <formula>AND(G180="X",T181="")</formula>
    </cfRule>
  </conditionalFormatting>
  <conditionalFormatting sqref="R179">
    <cfRule type="expression" dxfId="513" priority="322">
      <formula>AND(G178="X",R179="")</formula>
    </cfRule>
  </conditionalFormatting>
  <conditionalFormatting sqref="R181">
    <cfRule type="expression" dxfId="512" priority="321">
      <formula>AND(G180="X",R181="")</formula>
    </cfRule>
  </conditionalFormatting>
  <conditionalFormatting sqref="R183">
    <cfRule type="expression" dxfId="511" priority="320">
      <formula>AND(G182="X",R183="")</formula>
    </cfRule>
  </conditionalFormatting>
  <conditionalFormatting sqref="T183">
    <cfRule type="expression" dxfId="510" priority="319">
      <formula>AND(G182="X",T183="")</formula>
    </cfRule>
  </conditionalFormatting>
  <conditionalFormatting sqref="R213">
    <cfRule type="expression" dxfId="509" priority="318">
      <formula>AND(G212="X",R213="")</formula>
    </cfRule>
  </conditionalFormatting>
  <conditionalFormatting sqref="R215">
    <cfRule type="expression" dxfId="508" priority="317">
      <formula>AND(G214="X",R215="")</formula>
    </cfRule>
  </conditionalFormatting>
  <conditionalFormatting sqref="R217">
    <cfRule type="expression" dxfId="507" priority="316">
      <formula>AND(G216="X",R217="")</formula>
    </cfRule>
  </conditionalFormatting>
  <conditionalFormatting sqref="T213">
    <cfRule type="expression" dxfId="506" priority="315">
      <formula>AND(G212="X",T213="")</formula>
    </cfRule>
  </conditionalFormatting>
  <conditionalFormatting sqref="T215">
    <cfRule type="expression" dxfId="505" priority="314">
      <formula>AND(G214="X",T215="")</formula>
    </cfRule>
  </conditionalFormatting>
  <conditionalFormatting sqref="T217">
    <cfRule type="expression" dxfId="504" priority="313">
      <formula>AND(G216="X",T217="")</formula>
    </cfRule>
  </conditionalFormatting>
  <conditionalFormatting sqref="T219">
    <cfRule type="expression" dxfId="503" priority="312">
      <formula>AND(G218="X",T219="")</formula>
    </cfRule>
  </conditionalFormatting>
  <conditionalFormatting sqref="R219">
    <cfRule type="expression" dxfId="502" priority="311">
      <formula>AND(G218="X",R219="")</formula>
    </cfRule>
  </conditionalFormatting>
  <conditionalFormatting sqref="R226">
    <cfRule type="expression" dxfId="501" priority="310">
      <formula>AND(G225="X",R226="")</formula>
    </cfRule>
  </conditionalFormatting>
  <conditionalFormatting sqref="T226">
    <cfRule type="expression" dxfId="500" priority="309">
      <formula>AND(G225="X",T226="")</formula>
    </cfRule>
  </conditionalFormatting>
  <conditionalFormatting sqref="R222">
    <cfRule type="expression" dxfId="499" priority="308">
      <formula>AND(G221="X",R222="")</formula>
    </cfRule>
  </conditionalFormatting>
  <conditionalFormatting sqref="R224">
    <cfRule type="expression" dxfId="498" priority="307">
      <formula>AND(G223="X",R224="")</formula>
    </cfRule>
  </conditionalFormatting>
  <conditionalFormatting sqref="T222">
    <cfRule type="expression" dxfId="497" priority="306">
      <formula>AND(G221="X",T222="")</formula>
    </cfRule>
  </conditionalFormatting>
  <conditionalFormatting sqref="T224">
    <cfRule type="expression" dxfId="496" priority="305">
      <formula>AND(G223="X",T224="")</formula>
    </cfRule>
  </conditionalFormatting>
  <conditionalFormatting sqref="R241">
    <cfRule type="expression" dxfId="495" priority="304">
      <formula>AND(G240="X",R241="")</formula>
    </cfRule>
  </conditionalFormatting>
  <conditionalFormatting sqref="R243">
    <cfRule type="expression" dxfId="494" priority="303">
      <formula>AND(G242="X",R243="")</formula>
    </cfRule>
  </conditionalFormatting>
  <conditionalFormatting sqref="R245">
    <cfRule type="expression" dxfId="493" priority="302">
      <formula>AND(G244="X",R245="")</formula>
    </cfRule>
  </conditionalFormatting>
  <conditionalFormatting sqref="R247">
    <cfRule type="expression" dxfId="492" priority="301">
      <formula>AND(G246="X",R247="")</formula>
    </cfRule>
  </conditionalFormatting>
  <conditionalFormatting sqref="R249">
    <cfRule type="expression" dxfId="491" priority="300">
      <formula>AND(G248="X",R249="")</formula>
    </cfRule>
  </conditionalFormatting>
  <conditionalFormatting sqref="R251">
    <cfRule type="expression" dxfId="490" priority="298">
      <formula>AND(G250="X",R251="")</formula>
    </cfRule>
  </conditionalFormatting>
  <conditionalFormatting sqref="R253">
    <cfRule type="expression" dxfId="489" priority="297">
      <formula>AND(G252="X",R253="")</formula>
    </cfRule>
  </conditionalFormatting>
  <conditionalFormatting sqref="R255">
    <cfRule type="expression" dxfId="488" priority="296">
      <formula>AND(G254="X",R255="")</formula>
    </cfRule>
  </conditionalFormatting>
  <conditionalFormatting sqref="R257">
    <cfRule type="expression" dxfId="487" priority="295">
      <formula>AND(G256="X",R257="")</formula>
    </cfRule>
  </conditionalFormatting>
  <conditionalFormatting sqref="R259">
    <cfRule type="expression" dxfId="486" priority="294">
      <formula>AND(G258="X",R259="")</formula>
    </cfRule>
  </conditionalFormatting>
  <conditionalFormatting sqref="R261">
    <cfRule type="expression" dxfId="485" priority="293">
      <formula>AND(G260="X",R261="")</formula>
    </cfRule>
  </conditionalFormatting>
  <conditionalFormatting sqref="R263">
    <cfRule type="expression" dxfId="484" priority="292">
      <formula>AND(G262="X",R263="")</formula>
    </cfRule>
  </conditionalFormatting>
  <conditionalFormatting sqref="R265">
    <cfRule type="expression" dxfId="483" priority="291">
      <formula>AND(G264="X",R265="")</formula>
    </cfRule>
  </conditionalFormatting>
  <conditionalFormatting sqref="T265">
    <cfRule type="expression" dxfId="482" priority="290">
      <formula>AND(G264="X",T265="")</formula>
    </cfRule>
  </conditionalFormatting>
  <conditionalFormatting sqref="T241">
    <cfRule type="expression" dxfId="481" priority="289">
      <formula>AND(G240="X",T241="")</formula>
    </cfRule>
  </conditionalFormatting>
  <conditionalFormatting sqref="T243">
    <cfRule type="expression" dxfId="480" priority="288">
      <formula>AND(G242="X",T243="")</formula>
    </cfRule>
  </conditionalFormatting>
  <conditionalFormatting sqref="T245">
    <cfRule type="expression" dxfId="479" priority="287">
      <formula>AND(G244="X",T245="")</formula>
    </cfRule>
  </conditionalFormatting>
  <conditionalFormatting sqref="T247">
    <cfRule type="expression" dxfId="478" priority="286">
      <formula>AND(G246="X",T247="")</formula>
    </cfRule>
  </conditionalFormatting>
  <conditionalFormatting sqref="T249">
    <cfRule type="expression" dxfId="477" priority="285">
      <formula>AND(G248="X",T249="")</formula>
    </cfRule>
  </conditionalFormatting>
  <conditionalFormatting sqref="T251">
    <cfRule type="expression" dxfId="476" priority="283">
      <formula>AND(G250="X",T251="")</formula>
    </cfRule>
  </conditionalFormatting>
  <conditionalFormatting sqref="T253">
    <cfRule type="expression" dxfId="475" priority="282">
      <formula>AND(G252="X",T253="")</formula>
    </cfRule>
  </conditionalFormatting>
  <conditionalFormatting sqref="T255">
    <cfRule type="expression" dxfId="474" priority="281">
      <formula>AND(G254="X",T255="")</formula>
    </cfRule>
  </conditionalFormatting>
  <conditionalFormatting sqref="T257">
    <cfRule type="expression" dxfId="473" priority="280">
      <formula>AND(G256="X",T257="")</formula>
    </cfRule>
  </conditionalFormatting>
  <conditionalFormatting sqref="T259">
    <cfRule type="expression" dxfId="472" priority="279">
      <formula>AND(G258="X",T259="")</formula>
    </cfRule>
  </conditionalFormatting>
  <conditionalFormatting sqref="T261">
    <cfRule type="expression" dxfId="471" priority="278">
      <formula>AND(G260="X",T261="")</formula>
    </cfRule>
  </conditionalFormatting>
  <conditionalFormatting sqref="T263">
    <cfRule type="expression" dxfId="470" priority="277">
      <formula>AND(G262="X",T263="")</formula>
    </cfRule>
  </conditionalFormatting>
  <conditionalFormatting sqref="R268">
    <cfRule type="expression" dxfId="469" priority="276">
      <formula>AND(G267="X",R268="")</formula>
    </cfRule>
  </conditionalFormatting>
  <conditionalFormatting sqref="R270">
    <cfRule type="expression" dxfId="468" priority="275">
      <formula>AND(G269="X",R270="")</formula>
    </cfRule>
  </conditionalFormatting>
  <conditionalFormatting sqref="R272">
    <cfRule type="expression" dxfId="467" priority="274">
      <formula>AND(G271="X",R272="")</formula>
    </cfRule>
  </conditionalFormatting>
  <conditionalFormatting sqref="R274">
    <cfRule type="expression" dxfId="466" priority="273">
      <formula>AND(G273="X",R274="")</formula>
    </cfRule>
  </conditionalFormatting>
  <conditionalFormatting sqref="T274">
    <cfRule type="expression" dxfId="465" priority="272">
      <formula>AND(G273="X",T274="")</formula>
    </cfRule>
  </conditionalFormatting>
  <conditionalFormatting sqref="T268">
    <cfRule type="expression" dxfId="464" priority="271">
      <formula>AND(G267="X",T268="")</formula>
    </cfRule>
  </conditionalFormatting>
  <conditionalFormatting sqref="T270">
    <cfRule type="expression" dxfId="463" priority="270">
      <formula>AND(G269="X",T270="")</formula>
    </cfRule>
  </conditionalFormatting>
  <conditionalFormatting sqref="T272">
    <cfRule type="expression" dxfId="462" priority="269">
      <formula>AND(G271="X",T272="")</formula>
    </cfRule>
  </conditionalFormatting>
  <conditionalFormatting sqref="R11">
    <cfRule type="expression" dxfId="461" priority="268">
      <formula>AND(G9="X",R11="")</formula>
    </cfRule>
  </conditionalFormatting>
  <conditionalFormatting sqref="Q14 Q63 Q67 Q71 Q75 Q79 Q34 Q38 Q42 Q46 Q50">
    <cfRule type="expression" dxfId="460" priority="267">
      <formula>AND(G12="X",Q14="")</formula>
    </cfRule>
  </conditionalFormatting>
  <conditionalFormatting sqref="Q17">
    <cfRule type="expression" dxfId="459" priority="266">
      <formula>AND(G15="X",Q17="")</formula>
    </cfRule>
  </conditionalFormatting>
  <conditionalFormatting sqref="Q20">
    <cfRule type="expression" dxfId="458" priority="265">
      <formula>AND(G18="X",Q20="")</formula>
    </cfRule>
  </conditionalFormatting>
  <conditionalFormatting sqref="Q23">
    <cfRule type="expression" dxfId="457" priority="264">
      <formula>AND(G21="X",Q23="")</formula>
    </cfRule>
  </conditionalFormatting>
  <conditionalFormatting sqref="Q26">
    <cfRule type="expression" dxfId="456" priority="263">
      <formula>AND(G24="X",Q26="")</formula>
    </cfRule>
  </conditionalFormatting>
  <conditionalFormatting sqref="Q29">
    <cfRule type="expression" dxfId="455" priority="262">
      <formula>AND(G27="X",Q29="")</formula>
    </cfRule>
  </conditionalFormatting>
  <conditionalFormatting sqref="Q58">
    <cfRule type="expression" dxfId="454" priority="261">
      <formula>AND(G56="X",Q58="")</formula>
    </cfRule>
  </conditionalFormatting>
  <conditionalFormatting sqref="Q54">
    <cfRule type="expression" dxfId="453" priority="260">
      <formula>AND(G52="X",Q54="")</formula>
    </cfRule>
  </conditionalFormatting>
  <conditionalFormatting sqref="Q181 Q179 Q177">
    <cfRule type="expression" dxfId="452" priority="259">
      <formula>AND(G176="X",Q177="")</formula>
    </cfRule>
  </conditionalFormatting>
  <conditionalFormatting sqref="Q217 Q215 Q213">
    <cfRule type="expression" dxfId="451" priority="258">
      <formula>AND(G212="X",Q213="")</formula>
    </cfRule>
  </conditionalFormatting>
  <conditionalFormatting sqref="Q222">
    <cfRule type="expression" dxfId="450" priority="257">
      <formula>AND(G221="X",Q222="")</formula>
    </cfRule>
  </conditionalFormatting>
  <conditionalFormatting sqref="Q224">
    <cfRule type="expression" dxfId="449" priority="256">
      <formula>AND(G223="X",Q224="")</formula>
    </cfRule>
  </conditionalFormatting>
  <conditionalFormatting sqref="Q263 Q261 Q259 Q257 Q255 Q253 Q251 Q249 Q247 Q245 Q243 Q241">
    <cfRule type="expression" dxfId="448" priority="255">
      <formula>AND(G240="X",Q241="")</formula>
    </cfRule>
  </conditionalFormatting>
  <conditionalFormatting sqref="Q268">
    <cfRule type="expression" dxfId="447" priority="254">
      <formula>AND(G267="X",Q268="")</formula>
    </cfRule>
  </conditionalFormatting>
  <conditionalFormatting sqref="Q270">
    <cfRule type="expression" dxfId="446" priority="253">
      <formula>AND(G269="X",Q270="")</formula>
    </cfRule>
  </conditionalFormatting>
  <conditionalFormatting sqref="Q272">
    <cfRule type="expression" dxfId="445" priority="252">
      <formula>AND(G271="X",Q272="")</formula>
    </cfRule>
  </conditionalFormatting>
  <conditionalFormatting sqref="Q183">
    <cfRule type="expression" dxfId="444" priority="251">
      <formula>AND(G182="X",Q183="")</formula>
    </cfRule>
  </conditionalFormatting>
  <conditionalFormatting sqref="Q219">
    <cfRule type="expression" dxfId="443" priority="250">
      <formula>AND(G218="X",Q219="")</formula>
    </cfRule>
  </conditionalFormatting>
  <conditionalFormatting sqref="Q226">
    <cfRule type="expression" dxfId="442" priority="249">
      <formula>AND(G225="X",Q226="")</formula>
    </cfRule>
  </conditionalFormatting>
  <conditionalFormatting sqref="Q265">
    <cfRule type="expression" dxfId="441" priority="248">
      <formula>AND(G264="X",Q265="")</formula>
    </cfRule>
  </conditionalFormatting>
  <conditionalFormatting sqref="Q274">
    <cfRule type="expression" dxfId="440" priority="247">
      <formula>AND(G273="X",Q274="")</formula>
    </cfRule>
  </conditionalFormatting>
  <conditionalFormatting sqref="Q7">
    <cfRule type="expression" dxfId="439" priority="246">
      <formula>AND(G6="X",Q7="")</formula>
    </cfRule>
  </conditionalFormatting>
  <conditionalFormatting sqref="T7">
    <cfRule type="expression" dxfId="438" priority="245">
      <formula>AND(G6="X",T7="")</formula>
    </cfRule>
  </conditionalFormatting>
  <conditionalFormatting sqref="R7">
    <cfRule type="expression" dxfId="437" priority="244">
      <formula>AND(G6="X",R7="")</formula>
    </cfRule>
  </conditionalFormatting>
  <conditionalFormatting sqref="E4">
    <cfRule type="expression" dxfId="436" priority="243">
      <formula>AND(G4="X",E4="")</formula>
    </cfRule>
  </conditionalFormatting>
  <conditionalFormatting sqref="E10">
    <cfRule type="expression" dxfId="435" priority="242">
      <formula>AND(G10="X",E10="")</formula>
    </cfRule>
  </conditionalFormatting>
  <conditionalFormatting sqref="E13">
    <cfRule type="expression" dxfId="434" priority="241">
      <formula>AND(G13="X",E13="")</formula>
    </cfRule>
  </conditionalFormatting>
  <conditionalFormatting sqref="R63">
    <cfRule type="expression" dxfId="433" priority="238">
      <formula>AND(G60="X",R63="")</formula>
    </cfRule>
  </conditionalFormatting>
  <conditionalFormatting sqref="T63">
    <cfRule type="expression" dxfId="432" priority="237">
      <formula>AND(G60="X",T63="")</formula>
    </cfRule>
  </conditionalFormatting>
  <conditionalFormatting sqref="R67">
    <cfRule type="expression" dxfId="431" priority="236">
      <formula>AND(G64="X",R67="")</formula>
    </cfRule>
  </conditionalFormatting>
  <conditionalFormatting sqref="T67">
    <cfRule type="expression" dxfId="430" priority="235">
      <formula>AND(G64="X",T67="")</formula>
    </cfRule>
  </conditionalFormatting>
  <conditionalFormatting sqref="T71">
    <cfRule type="expression" dxfId="429" priority="234">
      <formula>AND(G68="X",T71="")</formula>
    </cfRule>
  </conditionalFormatting>
  <conditionalFormatting sqref="T75">
    <cfRule type="expression" dxfId="428" priority="233">
      <formula>AND(G72="X",T75="")</formula>
    </cfRule>
  </conditionalFormatting>
  <conditionalFormatting sqref="T79">
    <cfRule type="expression" dxfId="427" priority="232">
      <formula>AND(G76="X",T79="")</formula>
    </cfRule>
  </conditionalFormatting>
  <conditionalFormatting sqref="T83">
    <cfRule type="expression" dxfId="426" priority="231">
      <formula>AND(G80="X",T83="")</formula>
    </cfRule>
  </conditionalFormatting>
  <conditionalFormatting sqref="T87">
    <cfRule type="expression" dxfId="425" priority="230">
      <formula>AND(G84="X",T87="")</formula>
    </cfRule>
  </conditionalFormatting>
  <conditionalFormatting sqref="R71">
    <cfRule type="expression" dxfId="424" priority="229">
      <formula>AND(G68="X",R71="")</formula>
    </cfRule>
  </conditionalFormatting>
  <conditionalFormatting sqref="R75">
    <cfRule type="expression" dxfId="423" priority="228">
      <formula>AND(G72="X",R75="")</formula>
    </cfRule>
  </conditionalFormatting>
  <conditionalFormatting sqref="R79">
    <cfRule type="expression" dxfId="422" priority="227">
      <formula>AND(G76="X",R79="")</formula>
    </cfRule>
  </conditionalFormatting>
  <conditionalFormatting sqref="R83">
    <cfRule type="expression" dxfId="421" priority="226">
      <formula>AND(G80="X",R83="")</formula>
    </cfRule>
  </conditionalFormatting>
  <conditionalFormatting sqref="R87">
    <cfRule type="expression" dxfId="420" priority="225">
      <formula>AND(G84="X",R87="")</formula>
    </cfRule>
  </conditionalFormatting>
  <conditionalFormatting sqref="Q87">
    <cfRule type="expression" dxfId="419" priority="224">
      <formula>AND(G85="X",Q87="")</formula>
    </cfRule>
  </conditionalFormatting>
  <conditionalFormatting sqref="Q83">
    <cfRule type="expression" dxfId="418" priority="223">
      <formula>AND(G81="X",Q83="")</formula>
    </cfRule>
  </conditionalFormatting>
  <conditionalFormatting sqref="Q92 Q96 Q100 Q104 Q108">
    <cfRule type="expression" dxfId="417" priority="217">
      <formula>AND(G90="X",Q92="")</formula>
    </cfRule>
  </conditionalFormatting>
  <conditionalFormatting sqref="R92">
    <cfRule type="expression" dxfId="416" priority="214">
      <formula>AND(G89="X",R92="")</formula>
    </cfRule>
  </conditionalFormatting>
  <conditionalFormatting sqref="T92">
    <cfRule type="expression" dxfId="415" priority="213">
      <formula>AND(G89="X",T92="")</formula>
    </cfRule>
  </conditionalFormatting>
  <conditionalFormatting sqref="R96">
    <cfRule type="expression" dxfId="414" priority="212">
      <formula>AND(G93="X",R96="")</formula>
    </cfRule>
  </conditionalFormatting>
  <conditionalFormatting sqref="T96">
    <cfRule type="expression" dxfId="413" priority="211">
      <formula>AND(G93="X",T96="")</formula>
    </cfRule>
  </conditionalFormatting>
  <conditionalFormatting sqref="T100">
    <cfRule type="expression" dxfId="412" priority="210">
      <formula>AND(G97="X",T100="")</formula>
    </cfRule>
  </conditionalFormatting>
  <conditionalFormatting sqref="T104">
    <cfRule type="expression" dxfId="411" priority="209">
      <formula>AND(G101="X",T104="")</formula>
    </cfRule>
  </conditionalFormatting>
  <conditionalFormatting sqref="T108">
    <cfRule type="expression" dxfId="410" priority="208">
      <formula>AND(G105="X",T108="")</formula>
    </cfRule>
  </conditionalFormatting>
  <conditionalFormatting sqref="T112">
    <cfRule type="expression" dxfId="409" priority="207">
      <formula>AND(G109="X",T112="")</formula>
    </cfRule>
  </conditionalFormatting>
  <conditionalFormatting sqref="T116">
    <cfRule type="expression" dxfId="408" priority="206">
      <formula>AND(G113="X",T116="")</formula>
    </cfRule>
  </conditionalFormatting>
  <conditionalFormatting sqref="R100">
    <cfRule type="expression" dxfId="407" priority="205">
      <formula>AND(G97="X",R100="")</formula>
    </cfRule>
  </conditionalFormatting>
  <conditionalFormatting sqref="R104">
    <cfRule type="expression" dxfId="406" priority="204">
      <formula>AND(G101="X",R104="")</formula>
    </cfRule>
  </conditionalFormatting>
  <conditionalFormatting sqref="R108">
    <cfRule type="expression" dxfId="405" priority="203">
      <formula>AND(G105="X",R108="")</formula>
    </cfRule>
  </conditionalFormatting>
  <conditionalFormatting sqref="R112">
    <cfRule type="expression" dxfId="404" priority="202">
      <formula>AND(G109="X",R112="")</formula>
    </cfRule>
  </conditionalFormatting>
  <conditionalFormatting sqref="R116">
    <cfRule type="expression" dxfId="403" priority="201">
      <formula>AND(G113="X",R116="")</formula>
    </cfRule>
  </conditionalFormatting>
  <conditionalFormatting sqref="Q116">
    <cfRule type="expression" dxfId="402" priority="200">
      <formula>AND(G114="X",Q116="")</formula>
    </cfRule>
  </conditionalFormatting>
  <conditionalFormatting sqref="Q112">
    <cfRule type="expression" dxfId="401" priority="199">
      <formula>AND(G110="X",Q112="")</formula>
    </cfRule>
  </conditionalFormatting>
  <conditionalFormatting sqref="Q121 Q125 Q129 Q133 Q137">
    <cfRule type="expression" dxfId="400" priority="193">
      <formula>AND(G119="X",Q121="")</formula>
    </cfRule>
  </conditionalFormatting>
  <conditionalFormatting sqref="R121">
    <cfRule type="expression" dxfId="399" priority="190">
      <formula>AND(G118="X",R121="")</formula>
    </cfRule>
  </conditionalFormatting>
  <conditionalFormatting sqref="T121">
    <cfRule type="expression" dxfId="398" priority="189">
      <formula>AND(G118="X",T121="")</formula>
    </cfRule>
  </conditionalFormatting>
  <conditionalFormatting sqref="R125">
    <cfRule type="expression" dxfId="397" priority="188">
      <formula>AND(G122="X",R125="")</formula>
    </cfRule>
  </conditionalFormatting>
  <conditionalFormatting sqref="T125">
    <cfRule type="expression" dxfId="396" priority="187">
      <formula>AND(G122="X",T125="")</formula>
    </cfRule>
  </conditionalFormatting>
  <conditionalFormatting sqref="T129">
    <cfRule type="expression" dxfId="395" priority="186">
      <formula>AND(G126="X",T129="")</formula>
    </cfRule>
  </conditionalFormatting>
  <conditionalFormatting sqref="T133">
    <cfRule type="expression" dxfId="394" priority="185">
      <formula>AND(G130="X",T133="")</formula>
    </cfRule>
  </conditionalFormatting>
  <conditionalFormatting sqref="T137">
    <cfRule type="expression" dxfId="393" priority="184">
      <formula>AND(G134="X",T137="")</formula>
    </cfRule>
  </conditionalFormatting>
  <conditionalFormatting sqref="T141">
    <cfRule type="expression" dxfId="392" priority="183">
      <formula>AND(G138="X",T141="")</formula>
    </cfRule>
  </conditionalFormatting>
  <conditionalFormatting sqref="T145">
    <cfRule type="expression" dxfId="391" priority="182">
      <formula>AND(G142="X",T145="")</formula>
    </cfRule>
  </conditionalFormatting>
  <conditionalFormatting sqref="R129">
    <cfRule type="expression" dxfId="390" priority="181">
      <formula>AND(G126="X",R129="")</formula>
    </cfRule>
  </conditionalFormatting>
  <conditionalFormatting sqref="R133">
    <cfRule type="expression" dxfId="389" priority="180">
      <formula>AND(G130="X",R133="")</formula>
    </cfRule>
  </conditionalFormatting>
  <conditionalFormatting sqref="R137">
    <cfRule type="expression" dxfId="388" priority="179">
      <formula>AND(G134="X",R137="")</formula>
    </cfRule>
  </conditionalFormatting>
  <conditionalFormatting sqref="R141">
    <cfRule type="expression" dxfId="387" priority="178">
      <formula>AND(G138="X",R141="")</formula>
    </cfRule>
  </conditionalFormatting>
  <conditionalFormatting sqref="R145">
    <cfRule type="expression" dxfId="386" priority="177">
      <formula>AND(G142="X",R145="")</formula>
    </cfRule>
  </conditionalFormatting>
  <conditionalFormatting sqref="Q145">
    <cfRule type="expression" dxfId="385" priority="176">
      <formula>AND(G143="X",Q145="")</formula>
    </cfRule>
  </conditionalFormatting>
  <conditionalFormatting sqref="Q141">
    <cfRule type="expression" dxfId="384" priority="175">
      <formula>AND(G139="X",Q141="")</formula>
    </cfRule>
  </conditionalFormatting>
  <conditionalFormatting sqref="Q150 Q154 Q158 Q162 Q166">
    <cfRule type="expression" dxfId="383" priority="169">
      <formula>AND(G148="X",Q150="")</formula>
    </cfRule>
  </conditionalFormatting>
  <conditionalFormatting sqref="R150">
    <cfRule type="expression" dxfId="382" priority="166">
      <formula>AND(G147="X",R150="")</formula>
    </cfRule>
  </conditionalFormatting>
  <conditionalFormatting sqref="T150">
    <cfRule type="expression" dxfId="381" priority="165">
      <formula>AND(G147="X",T150="")</formula>
    </cfRule>
  </conditionalFormatting>
  <conditionalFormatting sqref="R154">
    <cfRule type="expression" dxfId="380" priority="164">
      <formula>AND(G151="X",R154="")</formula>
    </cfRule>
  </conditionalFormatting>
  <conditionalFormatting sqref="T154">
    <cfRule type="expression" dxfId="379" priority="163">
      <formula>AND(G151="X",T154="")</formula>
    </cfRule>
  </conditionalFormatting>
  <conditionalFormatting sqref="T158">
    <cfRule type="expression" dxfId="378" priority="162">
      <formula>AND(G155="X",T158="")</formula>
    </cfRule>
  </conditionalFormatting>
  <conditionalFormatting sqref="T162">
    <cfRule type="expression" dxfId="377" priority="161">
      <formula>AND(G159="X",T162="")</formula>
    </cfRule>
  </conditionalFormatting>
  <conditionalFormatting sqref="T166">
    <cfRule type="expression" dxfId="376" priority="160">
      <formula>AND(G163="X",T166="")</formula>
    </cfRule>
  </conditionalFormatting>
  <conditionalFormatting sqref="T170">
    <cfRule type="expression" dxfId="375" priority="159">
      <formula>AND(G167="X",T170="")</formula>
    </cfRule>
  </conditionalFormatting>
  <conditionalFormatting sqref="T174">
    <cfRule type="expression" dxfId="374" priority="158">
      <formula>AND(G171="X",T174="")</formula>
    </cfRule>
  </conditionalFormatting>
  <conditionalFormatting sqref="R158">
    <cfRule type="expression" dxfId="373" priority="157">
      <formula>AND(G155="X",R158="")</formula>
    </cfRule>
  </conditionalFormatting>
  <conditionalFormatting sqref="R162">
    <cfRule type="expression" dxfId="372" priority="156">
      <formula>AND(G159="X",R162="")</formula>
    </cfRule>
  </conditionalFormatting>
  <conditionalFormatting sqref="R166">
    <cfRule type="expression" dxfId="371" priority="155">
      <formula>AND(G163="X",R166="")</formula>
    </cfRule>
  </conditionalFormatting>
  <conditionalFormatting sqref="R170">
    <cfRule type="expression" dxfId="370" priority="154">
      <formula>AND(G167="X",R170="")</formula>
    </cfRule>
  </conditionalFormatting>
  <conditionalFormatting sqref="R174">
    <cfRule type="expression" dxfId="369" priority="153">
      <formula>AND(G171="X",R174="")</formula>
    </cfRule>
  </conditionalFormatting>
  <conditionalFormatting sqref="Q174">
    <cfRule type="expression" dxfId="368" priority="152">
      <formula>AND(G172="X",Q174="")</formula>
    </cfRule>
  </conditionalFormatting>
  <conditionalFormatting sqref="Q170">
    <cfRule type="expression" dxfId="367" priority="151">
      <formula>AND(G168="X",Q170="")</formula>
    </cfRule>
  </conditionalFormatting>
  <conditionalFormatting sqref="R186">
    <cfRule type="expression" dxfId="366" priority="143">
      <formula>AND(G185="X",R186="")</formula>
    </cfRule>
  </conditionalFormatting>
  <conditionalFormatting sqref="T186">
    <cfRule type="expression" dxfId="365" priority="142">
      <formula>AND(G185="X",T186="")</formula>
    </cfRule>
  </conditionalFormatting>
  <conditionalFormatting sqref="T188">
    <cfRule type="expression" dxfId="364" priority="141">
      <formula>AND(G187="X",T188="")</formula>
    </cfRule>
  </conditionalFormatting>
  <conditionalFormatting sqref="T190">
    <cfRule type="expression" dxfId="363" priority="140">
      <formula>AND(G189="X",T190="")</formula>
    </cfRule>
  </conditionalFormatting>
  <conditionalFormatting sqref="R188">
    <cfRule type="expression" dxfId="362" priority="139">
      <formula>AND(G187="X",R188="")</formula>
    </cfRule>
  </conditionalFormatting>
  <conditionalFormatting sqref="R190">
    <cfRule type="expression" dxfId="361" priority="138">
      <formula>AND(G189="X",R190="")</formula>
    </cfRule>
  </conditionalFormatting>
  <conditionalFormatting sqref="R192">
    <cfRule type="expression" dxfId="360" priority="137">
      <formula>AND(G191="X",R192="")</formula>
    </cfRule>
  </conditionalFormatting>
  <conditionalFormatting sqref="T192">
    <cfRule type="expression" dxfId="359" priority="136">
      <formula>AND(G191="X",T192="")</formula>
    </cfRule>
  </conditionalFormatting>
  <conditionalFormatting sqref="Q190 Q188 Q186">
    <cfRule type="expression" dxfId="358" priority="135">
      <formula>AND(G185="X",Q186="")</formula>
    </cfRule>
  </conditionalFormatting>
  <conditionalFormatting sqref="Q192">
    <cfRule type="expression" dxfId="357" priority="134">
      <formula>AND(G191="X",Q192="")</formula>
    </cfRule>
  </conditionalFormatting>
  <conditionalFormatting sqref="R195">
    <cfRule type="expression" dxfId="356" priority="131">
      <formula>AND(G194="X",R195="")</formula>
    </cfRule>
  </conditionalFormatting>
  <conditionalFormatting sqref="T195">
    <cfRule type="expression" dxfId="355" priority="130">
      <formula>AND(G194="X",T195="")</formula>
    </cfRule>
  </conditionalFormatting>
  <conditionalFormatting sqref="T197">
    <cfRule type="expression" dxfId="354" priority="129">
      <formula>AND(G196="X",T197="")</formula>
    </cfRule>
  </conditionalFormatting>
  <conditionalFormatting sqref="T199">
    <cfRule type="expression" dxfId="353" priority="128">
      <formula>AND(G198="X",T199="")</formula>
    </cfRule>
  </conditionalFormatting>
  <conditionalFormatting sqref="R197">
    <cfRule type="expression" dxfId="352" priority="127">
      <formula>AND(G196="X",R197="")</formula>
    </cfRule>
  </conditionalFormatting>
  <conditionalFormatting sqref="R199">
    <cfRule type="expression" dxfId="351" priority="126">
      <formula>AND(G198="X",R199="")</formula>
    </cfRule>
  </conditionalFormatting>
  <conditionalFormatting sqref="R201">
    <cfRule type="expression" dxfId="350" priority="125">
      <formula>AND(G200="X",R201="")</formula>
    </cfRule>
  </conditionalFormatting>
  <conditionalFormatting sqref="T201">
    <cfRule type="expression" dxfId="349" priority="124">
      <formula>AND(G200="X",T201="")</formula>
    </cfRule>
  </conditionalFormatting>
  <conditionalFormatting sqref="Q199 Q197 Q195">
    <cfRule type="expression" dxfId="348" priority="123">
      <formula>AND(G194="X",Q195="")</formula>
    </cfRule>
  </conditionalFormatting>
  <conditionalFormatting sqref="Q201">
    <cfRule type="expression" dxfId="347" priority="122">
      <formula>AND(G200="X",Q201="")</formula>
    </cfRule>
  </conditionalFormatting>
  <conditionalFormatting sqref="R204">
    <cfRule type="expression" dxfId="346" priority="119">
      <formula>AND(G203="X",R204="")</formula>
    </cfRule>
  </conditionalFormatting>
  <conditionalFormatting sqref="T204">
    <cfRule type="expression" dxfId="345" priority="118">
      <formula>AND(G203="X",T204="")</formula>
    </cfRule>
  </conditionalFormatting>
  <conditionalFormatting sqref="T206">
    <cfRule type="expression" dxfId="344" priority="117">
      <formula>AND(G205="X",T206="")</formula>
    </cfRule>
  </conditionalFormatting>
  <conditionalFormatting sqref="T208">
    <cfRule type="expression" dxfId="343" priority="116">
      <formula>AND(G207="X",T208="")</formula>
    </cfRule>
  </conditionalFormatting>
  <conditionalFormatting sqref="R206">
    <cfRule type="expression" dxfId="342" priority="115">
      <formula>AND(G205="X",R206="")</formula>
    </cfRule>
  </conditionalFormatting>
  <conditionalFormatting sqref="R208">
    <cfRule type="expression" dxfId="341" priority="114">
      <formula>AND(G207="X",R208="")</formula>
    </cfRule>
  </conditionalFormatting>
  <conditionalFormatting sqref="R210">
    <cfRule type="expression" dxfId="340" priority="113">
      <formula>AND(G209="X",R210="")</formula>
    </cfRule>
  </conditionalFormatting>
  <conditionalFormatting sqref="T210">
    <cfRule type="expression" dxfId="339" priority="112">
      <formula>AND(G209="X",T210="")</formula>
    </cfRule>
  </conditionalFormatting>
  <conditionalFormatting sqref="Q208 Q206 Q204">
    <cfRule type="expression" dxfId="338" priority="111">
      <formula>AND(G203="X",Q204="")</formula>
    </cfRule>
  </conditionalFormatting>
  <conditionalFormatting sqref="Q210">
    <cfRule type="expression" dxfId="337" priority="110">
      <formula>AND(G209="X",Q210="")</formula>
    </cfRule>
  </conditionalFormatting>
  <conditionalFormatting sqref="E240">
    <cfRule type="expression" dxfId="336" priority="109">
      <formula>AND(G240="X",E240="")</formula>
    </cfRule>
  </conditionalFormatting>
  <conditionalFormatting sqref="E221">
    <cfRule type="expression" dxfId="335" priority="108">
      <formula>AND(G221="X",E221="")</formula>
    </cfRule>
  </conditionalFormatting>
  <conditionalFormatting sqref="E212">
    <cfRule type="expression" dxfId="334" priority="107">
      <formula>AND(G212="X",E212="")</formula>
    </cfRule>
  </conditionalFormatting>
  <conditionalFormatting sqref="E203">
    <cfRule type="expression" dxfId="333" priority="106">
      <formula>AND(G203="X",E203="")</formula>
    </cfRule>
  </conditionalFormatting>
  <conditionalFormatting sqref="E194">
    <cfRule type="expression" dxfId="332" priority="105">
      <formula>AND(G194="X",E194="")</formula>
    </cfRule>
  </conditionalFormatting>
  <conditionalFormatting sqref="E185">
    <cfRule type="expression" dxfId="331" priority="104">
      <formula>AND(G185="X",E185="")</formula>
    </cfRule>
  </conditionalFormatting>
  <conditionalFormatting sqref="E176">
    <cfRule type="expression" dxfId="330" priority="103">
      <formula>AND(G176="X",E176="")</formula>
    </cfRule>
  </conditionalFormatting>
  <conditionalFormatting sqref="E147">
    <cfRule type="expression" dxfId="329" priority="102">
      <formula>AND(G147="X",E147="")</formula>
    </cfRule>
  </conditionalFormatting>
  <conditionalFormatting sqref="E118">
    <cfRule type="expression" dxfId="328" priority="101">
      <formula>AND(G118="X",E118="")</formula>
    </cfRule>
  </conditionalFormatting>
  <conditionalFormatting sqref="E89">
    <cfRule type="expression" dxfId="327" priority="100">
      <formula>AND(G89="X",E89="")</formula>
    </cfRule>
  </conditionalFormatting>
  <conditionalFormatting sqref="E60">
    <cfRule type="expression" dxfId="326" priority="99">
      <formula>AND(G60="X",E60="")</formula>
    </cfRule>
  </conditionalFormatting>
  <conditionalFormatting sqref="E31">
    <cfRule type="expression" dxfId="325" priority="98">
      <formula>AND(G31="X",E31="")</formula>
    </cfRule>
  </conditionalFormatting>
  <conditionalFormatting sqref="E9">
    <cfRule type="expression" dxfId="324" priority="97">
      <formula>AND(G9="X",E9="")</formula>
    </cfRule>
  </conditionalFormatting>
  <conditionalFormatting sqref="E242">
    <cfRule type="expression" dxfId="323" priority="96">
      <formula>AND(G242="X",E242="")</formula>
    </cfRule>
  </conditionalFormatting>
  <conditionalFormatting sqref="E244">
    <cfRule type="expression" dxfId="322" priority="95">
      <formula>AND(G244="X",E244="")</formula>
    </cfRule>
  </conditionalFormatting>
  <conditionalFormatting sqref="E246">
    <cfRule type="expression" dxfId="321" priority="94">
      <formula>AND(G246="X",E246="")</formula>
    </cfRule>
  </conditionalFormatting>
  <conditionalFormatting sqref="E248">
    <cfRule type="expression" dxfId="320" priority="93">
      <formula>AND(G248="X",E248="")</formula>
    </cfRule>
  </conditionalFormatting>
  <conditionalFormatting sqref="E250">
    <cfRule type="expression" dxfId="319" priority="91">
      <formula>AND(G250="X",E250="")</formula>
    </cfRule>
  </conditionalFormatting>
  <conditionalFormatting sqref="E252">
    <cfRule type="expression" dxfId="318" priority="90">
      <formula>AND(G252="X",E252="")</formula>
    </cfRule>
  </conditionalFormatting>
  <conditionalFormatting sqref="E254">
    <cfRule type="expression" dxfId="317" priority="89">
      <formula>AND(G254="X",E254="")</formula>
    </cfRule>
  </conditionalFormatting>
  <conditionalFormatting sqref="E256">
    <cfRule type="expression" dxfId="316" priority="88">
      <formula>AND(G256="X",E256="")</formula>
    </cfRule>
  </conditionalFormatting>
  <conditionalFormatting sqref="E258">
    <cfRule type="expression" dxfId="315" priority="87">
      <formula>AND(G258="X",E258="")</formula>
    </cfRule>
  </conditionalFormatting>
  <conditionalFormatting sqref="E260">
    <cfRule type="expression" dxfId="314" priority="86">
      <formula>AND(G260="X",E260="")</formula>
    </cfRule>
  </conditionalFormatting>
  <conditionalFormatting sqref="E262">
    <cfRule type="expression" dxfId="313" priority="85">
      <formula>AND(G262="X",E262="")</formula>
    </cfRule>
  </conditionalFormatting>
  <conditionalFormatting sqref="E264">
    <cfRule type="expression" dxfId="312" priority="84">
      <formula>AND(G264="X",E264="")</formula>
    </cfRule>
  </conditionalFormatting>
  <conditionalFormatting sqref="E223">
    <cfRule type="expression" dxfId="311" priority="83">
      <formula>AND(G223="X",E223="")</formula>
    </cfRule>
  </conditionalFormatting>
  <conditionalFormatting sqref="E225">
    <cfRule type="expression" dxfId="310" priority="82">
      <formula>AND(G225="X",E225="")</formula>
    </cfRule>
  </conditionalFormatting>
  <conditionalFormatting sqref="E214">
    <cfRule type="expression" dxfId="309" priority="81">
      <formula>AND(G214="X",E214="")</formula>
    </cfRule>
  </conditionalFormatting>
  <conditionalFormatting sqref="E216">
    <cfRule type="expression" dxfId="308" priority="80">
      <formula>AND(G216="X",E216="")</formula>
    </cfRule>
  </conditionalFormatting>
  <conditionalFormatting sqref="E218">
    <cfRule type="expression" dxfId="307" priority="79">
      <formula>AND(G218="X",E218="")</formula>
    </cfRule>
  </conditionalFormatting>
  <conditionalFormatting sqref="E205">
    <cfRule type="expression" dxfId="306" priority="78">
      <formula>AND(G205="X",E205="")</formula>
    </cfRule>
  </conditionalFormatting>
  <conditionalFormatting sqref="E207">
    <cfRule type="expression" dxfId="305" priority="77">
      <formula>AND(G207="X",E207="")</formula>
    </cfRule>
  </conditionalFormatting>
  <conditionalFormatting sqref="E209">
    <cfRule type="expression" dxfId="304" priority="76">
      <formula>AND(G209="X",E209="")</formula>
    </cfRule>
  </conditionalFormatting>
  <conditionalFormatting sqref="E196">
    <cfRule type="expression" dxfId="303" priority="75">
      <formula>AND(G196="X",E196="")</formula>
    </cfRule>
  </conditionalFormatting>
  <conditionalFormatting sqref="E198">
    <cfRule type="expression" dxfId="302" priority="74">
      <formula>AND(G198="X",E198="")</formula>
    </cfRule>
  </conditionalFormatting>
  <conditionalFormatting sqref="E200">
    <cfRule type="expression" dxfId="301" priority="73">
      <formula>AND(G200="X",E200="")</formula>
    </cfRule>
  </conditionalFormatting>
  <conditionalFormatting sqref="E187">
    <cfRule type="expression" dxfId="300" priority="72">
      <formula>AND(G187="X",E187="")</formula>
    </cfRule>
  </conditionalFormatting>
  <conditionalFormatting sqref="E189">
    <cfRule type="expression" dxfId="299" priority="71">
      <formula>AND(G189="X",E189="")</formula>
    </cfRule>
  </conditionalFormatting>
  <conditionalFormatting sqref="E191">
    <cfRule type="expression" dxfId="298" priority="70">
      <formula>AND(G191="X",E191="")</formula>
    </cfRule>
  </conditionalFormatting>
  <conditionalFormatting sqref="E178">
    <cfRule type="expression" dxfId="297" priority="69">
      <formula>AND(G178="X",E178="")</formula>
    </cfRule>
  </conditionalFormatting>
  <conditionalFormatting sqref="E180">
    <cfRule type="expression" dxfId="296" priority="68">
      <formula>AND(G180="X",E180="")</formula>
    </cfRule>
  </conditionalFormatting>
  <conditionalFormatting sqref="E182">
    <cfRule type="expression" dxfId="295" priority="67">
      <formula>AND(G182="X",E182="")</formula>
    </cfRule>
  </conditionalFormatting>
  <conditionalFormatting sqref="E151">
    <cfRule type="expression" dxfId="294" priority="66">
      <formula>AND(G151="X",E151="")</formula>
    </cfRule>
  </conditionalFormatting>
  <conditionalFormatting sqref="E155">
    <cfRule type="expression" dxfId="293" priority="65">
      <formula>AND(G155="X",E155="")</formula>
    </cfRule>
  </conditionalFormatting>
  <conditionalFormatting sqref="E159">
    <cfRule type="expression" dxfId="292" priority="64">
      <formula>AND(G159="X",E159="")</formula>
    </cfRule>
  </conditionalFormatting>
  <conditionalFormatting sqref="E163">
    <cfRule type="expression" dxfId="291" priority="63">
      <formula>AND(G163="X",E163="")</formula>
    </cfRule>
  </conditionalFormatting>
  <conditionalFormatting sqref="E167">
    <cfRule type="expression" dxfId="290" priority="62">
      <formula>AND(G167="X",E167="")</formula>
    </cfRule>
  </conditionalFormatting>
  <conditionalFormatting sqref="E171">
    <cfRule type="expression" dxfId="289" priority="61">
      <formula>AND(G171="X",E171="")</formula>
    </cfRule>
  </conditionalFormatting>
  <conditionalFormatting sqref="E122">
    <cfRule type="expression" dxfId="288" priority="60">
      <formula>AND(G122="X",E122="")</formula>
    </cfRule>
  </conditionalFormatting>
  <conditionalFormatting sqref="E126">
    <cfRule type="expression" dxfId="287" priority="59">
      <formula>AND(G126="X",E126="")</formula>
    </cfRule>
  </conditionalFormatting>
  <conditionalFormatting sqref="E130">
    <cfRule type="expression" dxfId="286" priority="58">
      <formula>AND(G130="X",E130="")</formula>
    </cfRule>
  </conditionalFormatting>
  <conditionalFormatting sqref="E134">
    <cfRule type="expression" dxfId="285" priority="57">
      <formula>AND(G134="X",E134="")</formula>
    </cfRule>
  </conditionalFormatting>
  <conditionalFormatting sqref="E138">
    <cfRule type="expression" dxfId="284" priority="56">
      <formula>AND(G138="X",E138="")</formula>
    </cfRule>
  </conditionalFormatting>
  <conditionalFormatting sqref="E142">
    <cfRule type="expression" dxfId="283" priority="55">
      <formula>AND(G142="X",E142="")</formula>
    </cfRule>
  </conditionalFormatting>
  <conditionalFormatting sqref="E93">
    <cfRule type="expression" dxfId="282" priority="54">
      <formula>AND(G93="X",E93="")</formula>
    </cfRule>
  </conditionalFormatting>
  <conditionalFormatting sqref="E97">
    <cfRule type="expression" dxfId="281" priority="53">
      <formula>AND(G97="X",E97="")</formula>
    </cfRule>
  </conditionalFormatting>
  <conditionalFormatting sqref="E101">
    <cfRule type="expression" dxfId="280" priority="52">
      <formula>AND(G101="X",E101="")</formula>
    </cfRule>
  </conditionalFormatting>
  <conditionalFormatting sqref="E105">
    <cfRule type="expression" dxfId="279" priority="51">
      <formula>AND(G105="X",E105="")</formula>
    </cfRule>
  </conditionalFormatting>
  <conditionalFormatting sqref="E109">
    <cfRule type="expression" dxfId="278" priority="50">
      <formula>AND(G109="X",E109="")</formula>
    </cfRule>
  </conditionalFormatting>
  <conditionalFormatting sqref="E113">
    <cfRule type="expression" dxfId="277" priority="49">
      <formula>AND(G113="X",E113="")</formula>
    </cfRule>
  </conditionalFormatting>
  <conditionalFormatting sqref="E64">
    <cfRule type="expression" dxfId="276" priority="48">
      <formula>AND(G64="X",E64="")</formula>
    </cfRule>
  </conditionalFormatting>
  <conditionalFormatting sqref="E68">
    <cfRule type="expression" dxfId="275" priority="47">
      <formula>AND(G68="X",E68="")</formula>
    </cfRule>
  </conditionalFormatting>
  <conditionalFormatting sqref="E72">
    <cfRule type="expression" dxfId="274" priority="46">
      <formula>AND(G72="X",E72="")</formula>
    </cfRule>
  </conditionalFormatting>
  <conditionalFormatting sqref="E76">
    <cfRule type="expression" dxfId="273" priority="45">
      <formula>AND(G76="X",E76="")</formula>
    </cfRule>
  </conditionalFormatting>
  <conditionalFormatting sqref="E80">
    <cfRule type="expression" dxfId="272" priority="44">
      <formula>AND(G80="X",E80="")</formula>
    </cfRule>
  </conditionalFormatting>
  <conditionalFormatting sqref="E84">
    <cfRule type="expression" dxfId="271" priority="43">
      <formula>AND(G84="X",E84="")</formula>
    </cfRule>
  </conditionalFormatting>
  <conditionalFormatting sqref="E35">
    <cfRule type="expression" dxfId="270" priority="42">
      <formula>AND(G35="X",E35="")</formula>
    </cfRule>
  </conditionalFormatting>
  <conditionalFormatting sqref="E39">
    <cfRule type="expression" dxfId="269" priority="41">
      <formula>AND(G39="X",E39="")</formula>
    </cfRule>
  </conditionalFormatting>
  <conditionalFormatting sqref="E43">
    <cfRule type="expression" dxfId="268" priority="40">
      <formula>AND(G43="X",E43="")</formula>
    </cfRule>
  </conditionalFormatting>
  <conditionalFormatting sqref="E47">
    <cfRule type="expression" dxfId="267" priority="39">
      <formula>AND(G47="X",E47="")</formula>
    </cfRule>
  </conditionalFormatting>
  <conditionalFormatting sqref="E51">
    <cfRule type="expression" dxfId="266" priority="38">
      <formula>AND(G51="X",E51="")</formula>
    </cfRule>
  </conditionalFormatting>
  <conditionalFormatting sqref="E55">
    <cfRule type="expression" dxfId="265" priority="37">
      <formula>AND(G55="X",E55="")</formula>
    </cfRule>
  </conditionalFormatting>
  <conditionalFormatting sqref="E12">
    <cfRule type="expression" dxfId="264" priority="36">
      <formula>AND(G12="X",E12="")</formula>
    </cfRule>
  </conditionalFormatting>
  <conditionalFormatting sqref="E15">
    <cfRule type="expression" dxfId="263" priority="35">
      <formula>AND(G15="X",E15="")</formula>
    </cfRule>
  </conditionalFormatting>
  <conditionalFormatting sqref="E18">
    <cfRule type="expression" dxfId="262" priority="34">
      <formula>AND(G18="X",E18="")</formula>
    </cfRule>
  </conditionalFormatting>
  <conditionalFormatting sqref="E21">
    <cfRule type="expression" dxfId="261" priority="33">
      <formula>AND(G21="X",E21="")</formula>
    </cfRule>
  </conditionalFormatting>
  <conditionalFormatting sqref="E24">
    <cfRule type="expression" dxfId="260" priority="32">
      <formula>AND(G24="X",E24="")</formula>
    </cfRule>
  </conditionalFormatting>
  <conditionalFormatting sqref="E27">
    <cfRule type="expression" dxfId="259" priority="31">
      <formula>AND(G27="X",E27="")</formula>
    </cfRule>
  </conditionalFormatting>
  <conditionalFormatting sqref="G3">
    <cfRule type="expression" dxfId="258" priority="30">
      <formula>AND(G4="X",G3="")</formula>
    </cfRule>
  </conditionalFormatting>
  <conditionalFormatting sqref="G8">
    <cfRule type="expression" dxfId="257" priority="29">
      <formula>IF(OR(G9="X",G12="X",G15="X",G18="X",G21="X",G24="X",G27="X"),G8="")</formula>
    </cfRule>
  </conditionalFormatting>
  <conditionalFormatting sqref="G30">
    <cfRule type="expression" dxfId="256" priority="28">
      <formula>IF(OR(G31="X",G35="X",G39="X",G43="X",G47="X",G51="X",G55="X"),G30="")</formula>
    </cfRule>
  </conditionalFormatting>
  <conditionalFormatting sqref="G59">
    <cfRule type="expression" dxfId="255" priority="27">
      <formula>IF(OR(G60="X",G64="X",G68="X",G72="X",G76="X",G80="X",G84="X"),G59="")</formula>
    </cfRule>
  </conditionalFormatting>
  <conditionalFormatting sqref="G88">
    <cfRule type="expression" dxfId="254" priority="26">
      <formula>IF(OR(G89="X",G93="X",G97="X",G101="X",G105="X",G109="X",G113="X"),G88="")</formula>
    </cfRule>
  </conditionalFormatting>
  <conditionalFormatting sqref="G117">
    <cfRule type="expression" dxfId="253" priority="25">
      <formula>IF(OR(G118="X",G122="X",G126="X",G130="X",G134="X",G138="X",G142="X"),G117="")</formula>
    </cfRule>
  </conditionalFormatting>
  <conditionalFormatting sqref="G146">
    <cfRule type="expression" dxfId="252" priority="24">
      <formula>IF(OR(G147="X",G151="X",G155="X",G159="X",G163="X",G167="X",G171="X"),G146="")</formula>
    </cfRule>
  </conditionalFormatting>
  <conditionalFormatting sqref="G175">
    <cfRule type="expression" dxfId="251" priority="23">
      <formula>IF(OR(G176="X",G178="X",G180="X",G182="X"),G175="")</formula>
    </cfRule>
  </conditionalFormatting>
  <conditionalFormatting sqref="G184">
    <cfRule type="expression" dxfId="250" priority="22">
      <formula>IF(OR(G185="X",G187="X",G189="X",G191="X"),G184="")</formula>
    </cfRule>
  </conditionalFormatting>
  <conditionalFormatting sqref="G193">
    <cfRule type="expression" dxfId="249" priority="21">
      <formula>IF(OR(G194="X",G196="X",G198="X",G200="X"),G193="")</formula>
    </cfRule>
  </conditionalFormatting>
  <conditionalFormatting sqref="G202">
    <cfRule type="expression" dxfId="248" priority="20">
      <formula>IF(OR(G203="X",G205="X",G207="X",G209="X"),G202="")</formula>
    </cfRule>
  </conditionalFormatting>
  <conditionalFormatting sqref="G211">
    <cfRule type="expression" dxfId="247" priority="19">
      <formula>IF(OR(G212="X",G214="X",G216="X",G218="X"),G211="")</formula>
    </cfRule>
  </conditionalFormatting>
  <conditionalFormatting sqref="G220">
    <cfRule type="expression" dxfId="246" priority="18">
      <formula>IF(OR(G221="X",G223="X",G225="X",G239="X"),G220="")</formula>
    </cfRule>
  </conditionalFormatting>
  <conditionalFormatting sqref="G266">
    <cfRule type="expression" dxfId="245" priority="16">
      <formula>IF(OR(G267="X",G269="X",G271="X",G273="X"),G266="")</formula>
    </cfRule>
  </conditionalFormatting>
  <conditionalFormatting sqref="Q231">
    <cfRule type="expression" dxfId="244" priority="15">
      <formula>AND(G230="X",Q231="")</formula>
    </cfRule>
  </conditionalFormatting>
  <conditionalFormatting sqref="T231">
    <cfRule type="expression" dxfId="243" priority="14">
      <formula>AND(G230="X",T231="")</formula>
    </cfRule>
  </conditionalFormatting>
  <conditionalFormatting sqref="R231">
    <cfRule type="expression" dxfId="242" priority="13">
      <formula>AND(G230="X",R231="")</formula>
    </cfRule>
  </conditionalFormatting>
  <conditionalFormatting sqref="E228">
    <cfRule type="expression" dxfId="241" priority="12">
      <formula>AND(G228="X",E228="")</formula>
    </cfRule>
  </conditionalFormatting>
  <conditionalFormatting sqref="G227">
    <cfRule type="expression" dxfId="240" priority="11">
      <formula>AND(G228="X",G227="")</formula>
    </cfRule>
  </conditionalFormatting>
  <conditionalFormatting sqref="Q235">
    <cfRule type="expression" dxfId="239" priority="10">
      <formula>AND(G234="X",Q235="")</formula>
    </cfRule>
  </conditionalFormatting>
  <conditionalFormatting sqref="T235">
    <cfRule type="expression" dxfId="238" priority="9">
      <formula>AND(G234="X",T235="")</formula>
    </cfRule>
  </conditionalFormatting>
  <conditionalFormatting sqref="R235">
    <cfRule type="expression" dxfId="237" priority="8">
      <formula>AND(G234="X",R235="")</formula>
    </cfRule>
  </conditionalFormatting>
  <conditionalFormatting sqref="E232">
    <cfRule type="expression" dxfId="236" priority="7">
      <formula>AND(G232="X",E232="")</formula>
    </cfRule>
  </conditionalFormatting>
  <conditionalFormatting sqref="R238">
    <cfRule type="expression" dxfId="235" priority="6">
      <formula>AND(G237="X",R238="")</formula>
    </cfRule>
  </conditionalFormatting>
  <conditionalFormatting sqref="T238">
    <cfRule type="expression" dxfId="234" priority="5">
      <formula>AND(G237="X",T238="")</formula>
    </cfRule>
  </conditionalFormatting>
  <conditionalFormatting sqref="Q238">
    <cfRule type="expression" dxfId="233" priority="4">
      <formula>AND(G237="X",Q238="")</formula>
    </cfRule>
  </conditionalFormatting>
  <conditionalFormatting sqref="E237">
    <cfRule type="expression" dxfId="232" priority="3">
      <formula>AND(G237="X",E237="")</formula>
    </cfRule>
  </conditionalFormatting>
  <conditionalFormatting sqref="B11">
    <cfRule type="cellIs" dxfId="231" priority="1" operator="equal">
      <formula>"NOK"</formula>
    </cfRule>
  </conditionalFormatting>
  <conditionalFormatting sqref="G239">
    <cfRule type="expression" dxfId="230" priority="367">
      <formula>IF(OR(G240="X",G242="X",G244="X",G246="X",G248="X",#REF!="X",G250="X",G252="X",G254="X",G256="X",G258="X",G260="X",G262="X",G264="X"),G239="")</formula>
    </cfRule>
  </conditionalFormatting>
  <conditionalFormatting sqref="G236">
    <cfRule type="expression" dxfId="229" priority="368">
      <formula>IF(OR(G237="X",G277="X",G279="X",G290="X"),G236="")</formula>
    </cfRule>
  </conditionalFormatting>
  <pageMargins left="0.7" right="0.7" top="0.75" bottom="0.75" header="0.3" footer="0.3"/>
  <pageSetup paperSize="9"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3"/>
  <dimension ref="A1:AZ80"/>
  <sheetViews>
    <sheetView zoomScale="85" zoomScaleNormal="85" workbookViewId="0">
      <selection activeCell="Y41" sqref="Y41"/>
    </sheetView>
  </sheetViews>
  <sheetFormatPr defaultRowHeight="15"/>
  <cols>
    <col min="1" max="1" width="4.85546875" style="133" customWidth="1"/>
    <col min="2" max="2" width="6" style="10" customWidth="1"/>
    <col min="3" max="3" width="4.85546875" style="10" customWidth="1"/>
    <col min="4" max="4" width="18.28515625" style="134" customWidth="1"/>
    <col min="5" max="5" width="9.140625" style="10" bestFit="1" customWidth="1"/>
    <col min="6" max="6" width="8.85546875" style="10" customWidth="1"/>
    <col min="7" max="7" width="10.42578125" style="10" customWidth="1"/>
    <col min="8" max="8" width="11.85546875" style="10" customWidth="1"/>
    <col min="9" max="9" width="8.42578125" style="10" customWidth="1"/>
    <col min="10" max="10" width="8.7109375" style="10" customWidth="1"/>
    <col min="11" max="11" width="10.7109375" style="10" customWidth="1"/>
    <col min="12" max="13" width="8.7109375" style="10" customWidth="1"/>
    <col min="14" max="14" width="10.42578125" style="10" customWidth="1"/>
    <col min="15" max="15" width="8.85546875" style="10" customWidth="1"/>
    <col min="16" max="16" width="9" style="10" customWidth="1"/>
    <col min="17" max="17" width="11.140625" style="10" customWidth="1"/>
    <col min="18" max="18" width="9.140625" style="10" customWidth="1"/>
    <col min="19" max="19" width="9" style="10" customWidth="1"/>
    <col min="20" max="20" width="10.7109375" style="10" customWidth="1"/>
    <col min="21" max="21" width="8.5703125" style="10" customWidth="1"/>
    <col min="22" max="22" width="9.140625" style="10"/>
    <col min="23" max="23" width="10.5703125" style="10" customWidth="1"/>
    <col min="24" max="24" width="9.140625" style="10"/>
    <col min="25" max="25" width="11.28515625" style="10" customWidth="1"/>
    <col min="26" max="26" width="13.7109375" style="10" customWidth="1"/>
    <col min="27" max="27" width="7.5703125" style="10" hidden="1" customWidth="1"/>
    <col min="28" max="28" width="12" style="10" hidden="1" customWidth="1"/>
    <col min="29" max="30" width="9.140625" style="10" hidden="1" customWidth="1"/>
    <col min="31" max="32" width="9.140625" style="10" customWidth="1"/>
    <col min="33" max="51" width="9.140625" style="10"/>
    <col min="52" max="52" width="9.140625" style="10" customWidth="1"/>
    <col min="53" max="256" width="9.140625" style="10"/>
    <col min="257" max="257" width="4.85546875" style="10" customWidth="1"/>
    <col min="258" max="258" width="6" style="10" customWidth="1"/>
    <col min="259" max="259" width="4.85546875" style="10" customWidth="1"/>
    <col min="260" max="260" width="18.28515625" style="10" customWidth="1"/>
    <col min="261" max="262" width="8.85546875" style="10" customWidth="1"/>
    <col min="263" max="263" width="10.42578125" style="10" customWidth="1"/>
    <col min="264" max="264" width="11.85546875" style="10" customWidth="1"/>
    <col min="265" max="265" width="8.42578125" style="10" customWidth="1"/>
    <col min="266" max="266" width="8.7109375" style="10" customWidth="1"/>
    <col min="267" max="267" width="10.7109375" style="10" customWidth="1"/>
    <col min="268" max="269" width="8.7109375" style="10" customWidth="1"/>
    <col min="270" max="270" width="10.42578125" style="10" customWidth="1"/>
    <col min="271" max="271" width="8.85546875" style="10" customWidth="1"/>
    <col min="272" max="272" width="9" style="10" customWidth="1"/>
    <col min="273" max="273" width="11.140625" style="10" customWidth="1"/>
    <col min="274" max="274" width="9.140625" style="10" customWidth="1"/>
    <col min="275" max="275" width="9" style="10" customWidth="1"/>
    <col min="276" max="276" width="10.7109375" style="10" customWidth="1"/>
    <col min="277" max="277" width="8.5703125" style="10" customWidth="1"/>
    <col min="278" max="278" width="9.140625" style="10"/>
    <col min="279" max="279" width="10.5703125" style="10" customWidth="1"/>
    <col min="280" max="512" width="9.140625" style="10"/>
    <col min="513" max="513" width="4.85546875" style="10" customWidth="1"/>
    <col min="514" max="514" width="6" style="10" customWidth="1"/>
    <col min="515" max="515" width="4.85546875" style="10" customWidth="1"/>
    <col min="516" max="516" width="18.28515625" style="10" customWidth="1"/>
    <col min="517" max="518" width="8.85546875" style="10" customWidth="1"/>
    <col min="519" max="519" width="10.42578125" style="10" customWidth="1"/>
    <col min="520" max="520" width="11.85546875" style="10" customWidth="1"/>
    <col min="521" max="521" width="8.42578125" style="10" customWidth="1"/>
    <col min="522" max="522" width="8.7109375" style="10" customWidth="1"/>
    <col min="523" max="523" width="10.7109375" style="10" customWidth="1"/>
    <col min="524" max="525" width="8.7109375" style="10" customWidth="1"/>
    <col min="526" max="526" width="10.42578125" style="10" customWidth="1"/>
    <col min="527" max="527" width="8.85546875" style="10" customWidth="1"/>
    <col min="528" max="528" width="9" style="10" customWidth="1"/>
    <col min="529" max="529" width="11.140625" style="10" customWidth="1"/>
    <col min="530" max="530" width="9.140625" style="10" customWidth="1"/>
    <col min="531" max="531" width="9" style="10" customWidth="1"/>
    <col min="532" max="532" width="10.7109375" style="10" customWidth="1"/>
    <col min="533" max="533" width="8.5703125" style="10" customWidth="1"/>
    <col min="534" max="534" width="9.140625" style="10"/>
    <col min="535" max="535" width="10.5703125" style="10" customWidth="1"/>
    <col min="536" max="768" width="9.140625" style="10"/>
    <col min="769" max="769" width="4.85546875" style="10" customWidth="1"/>
    <col min="770" max="770" width="6" style="10" customWidth="1"/>
    <col min="771" max="771" width="4.85546875" style="10" customWidth="1"/>
    <col min="772" max="772" width="18.28515625" style="10" customWidth="1"/>
    <col min="773" max="774" width="8.85546875" style="10" customWidth="1"/>
    <col min="775" max="775" width="10.42578125" style="10" customWidth="1"/>
    <col min="776" max="776" width="11.85546875" style="10" customWidth="1"/>
    <col min="777" max="777" width="8.42578125" style="10" customWidth="1"/>
    <col min="778" max="778" width="8.7109375" style="10" customWidth="1"/>
    <col min="779" max="779" width="10.7109375" style="10" customWidth="1"/>
    <col min="780" max="781" width="8.7109375" style="10" customWidth="1"/>
    <col min="782" max="782" width="10.42578125" style="10" customWidth="1"/>
    <col min="783" max="783" width="8.85546875" style="10" customWidth="1"/>
    <col min="784" max="784" width="9" style="10" customWidth="1"/>
    <col min="785" max="785" width="11.140625" style="10" customWidth="1"/>
    <col min="786" max="786" width="9.140625" style="10" customWidth="1"/>
    <col min="787" max="787" width="9" style="10" customWidth="1"/>
    <col min="788" max="788" width="10.7109375" style="10" customWidth="1"/>
    <col min="789" max="789" width="8.5703125" style="10" customWidth="1"/>
    <col min="790" max="790" width="9.140625" style="10"/>
    <col min="791" max="791" width="10.5703125" style="10" customWidth="1"/>
    <col min="792" max="1024" width="9.140625" style="10"/>
    <col min="1025" max="1025" width="4.85546875" style="10" customWidth="1"/>
    <col min="1026" max="1026" width="6" style="10" customWidth="1"/>
    <col min="1027" max="1027" width="4.85546875" style="10" customWidth="1"/>
    <col min="1028" max="1028" width="18.28515625" style="10" customWidth="1"/>
    <col min="1029" max="1030" width="8.85546875" style="10" customWidth="1"/>
    <col min="1031" max="1031" width="10.42578125" style="10" customWidth="1"/>
    <col min="1032" max="1032" width="11.85546875" style="10" customWidth="1"/>
    <col min="1033" max="1033" width="8.42578125" style="10" customWidth="1"/>
    <col min="1034" max="1034" width="8.7109375" style="10" customWidth="1"/>
    <col min="1035" max="1035" width="10.7109375" style="10" customWidth="1"/>
    <col min="1036" max="1037" width="8.7109375" style="10" customWidth="1"/>
    <col min="1038" max="1038" width="10.42578125" style="10" customWidth="1"/>
    <col min="1039" max="1039" width="8.85546875" style="10" customWidth="1"/>
    <col min="1040" max="1040" width="9" style="10" customWidth="1"/>
    <col min="1041" max="1041" width="11.140625" style="10" customWidth="1"/>
    <col min="1042" max="1042" width="9.140625" style="10" customWidth="1"/>
    <col min="1043" max="1043" width="9" style="10" customWidth="1"/>
    <col min="1044" max="1044" width="10.7109375" style="10" customWidth="1"/>
    <col min="1045" max="1045" width="8.5703125" style="10" customWidth="1"/>
    <col min="1046" max="1046" width="9.140625" style="10"/>
    <col min="1047" max="1047" width="10.5703125" style="10" customWidth="1"/>
    <col min="1048" max="1280" width="9.140625" style="10"/>
    <col min="1281" max="1281" width="4.85546875" style="10" customWidth="1"/>
    <col min="1282" max="1282" width="6" style="10" customWidth="1"/>
    <col min="1283" max="1283" width="4.85546875" style="10" customWidth="1"/>
    <col min="1284" max="1284" width="18.28515625" style="10" customWidth="1"/>
    <col min="1285" max="1286" width="8.85546875" style="10" customWidth="1"/>
    <col min="1287" max="1287" width="10.42578125" style="10" customWidth="1"/>
    <col min="1288" max="1288" width="11.85546875" style="10" customWidth="1"/>
    <col min="1289" max="1289" width="8.42578125" style="10" customWidth="1"/>
    <col min="1290" max="1290" width="8.7109375" style="10" customWidth="1"/>
    <col min="1291" max="1291" width="10.7109375" style="10" customWidth="1"/>
    <col min="1292" max="1293" width="8.7109375" style="10" customWidth="1"/>
    <col min="1294" max="1294" width="10.42578125" style="10" customWidth="1"/>
    <col min="1295" max="1295" width="8.85546875" style="10" customWidth="1"/>
    <col min="1296" max="1296" width="9" style="10" customWidth="1"/>
    <col min="1297" max="1297" width="11.140625" style="10" customWidth="1"/>
    <col min="1298" max="1298" width="9.140625" style="10" customWidth="1"/>
    <col min="1299" max="1299" width="9" style="10" customWidth="1"/>
    <col min="1300" max="1300" width="10.7109375" style="10" customWidth="1"/>
    <col min="1301" max="1301" width="8.5703125" style="10" customWidth="1"/>
    <col min="1302" max="1302" width="9.140625" style="10"/>
    <col min="1303" max="1303" width="10.5703125" style="10" customWidth="1"/>
    <col min="1304" max="1536" width="9.140625" style="10"/>
    <col min="1537" max="1537" width="4.85546875" style="10" customWidth="1"/>
    <col min="1538" max="1538" width="6" style="10" customWidth="1"/>
    <col min="1539" max="1539" width="4.85546875" style="10" customWidth="1"/>
    <col min="1540" max="1540" width="18.28515625" style="10" customWidth="1"/>
    <col min="1541" max="1542" width="8.85546875" style="10" customWidth="1"/>
    <col min="1543" max="1543" width="10.42578125" style="10" customWidth="1"/>
    <col min="1544" max="1544" width="11.85546875" style="10" customWidth="1"/>
    <col min="1545" max="1545" width="8.42578125" style="10" customWidth="1"/>
    <col min="1546" max="1546" width="8.7109375" style="10" customWidth="1"/>
    <col min="1547" max="1547" width="10.7109375" style="10" customWidth="1"/>
    <col min="1548" max="1549" width="8.7109375" style="10" customWidth="1"/>
    <col min="1550" max="1550" width="10.42578125" style="10" customWidth="1"/>
    <col min="1551" max="1551" width="8.85546875" style="10" customWidth="1"/>
    <col min="1552" max="1552" width="9" style="10" customWidth="1"/>
    <col min="1553" max="1553" width="11.140625" style="10" customWidth="1"/>
    <col min="1554" max="1554" width="9.140625" style="10" customWidth="1"/>
    <col min="1555" max="1555" width="9" style="10" customWidth="1"/>
    <col min="1556" max="1556" width="10.7109375" style="10" customWidth="1"/>
    <col min="1557" max="1557" width="8.5703125" style="10" customWidth="1"/>
    <col min="1558" max="1558" width="9.140625" style="10"/>
    <col min="1559" max="1559" width="10.5703125" style="10" customWidth="1"/>
    <col min="1560" max="1792" width="9.140625" style="10"/>
    <col min="1793" max="1793" width="4.85546875" style="10" customWidth="1"/>
    <col min="1794" max="1794" width="6" style="10" customWidth="1"/>
    <col min="1795" max="1795" width="4.85546875" style="10" customWidth="1"/>
    <col min="1796" max="1796" width="18.28515625" style="10" customWidth="1"/>
    <col min="1797" max="1798" width="8.85546875" style="10" customWidth="1"/>
    <col min="1799" max="1799" width="10.42578125" style="10" customWidth="1"/>
    <col min="1800" max="1800" width="11.85546875" style="10" customWidth="1"/>
    <col min="1801" max="1801" width="8.42578125" style="10" customWidth="1"/>
    <col min="1802" max="1802" width="8.7109375" style="10" customWidth="1"/>
    <col min="1803" max="1803" width="10.7109375" style="10" customWidth="1"/>
    <col min="1804" max="1805" width="8.7109375" style="10" customWidth="1"/>
    <col min="1806" max="1806" width="10.42578125" style="10" customWidth="1"/>
    <col min="1807" max="1807" width="8.85546875" style="10" customWidth="1"/>
    <col min="1808" max="1808" width="9" style="10" customWidth="1"/>
    <col min="1809" max="1809" width="11.140625" style="10" customWidth="1"/>
    <col min="1810" max="1810" width="9.140625" style="10" customWidth="1"/>
    <col min="1811" max="1811" width="9" style="10" customWidth="1"/>
    <col min="1812" max="1812" width="10.7109375" style="10" customWidth="1"/>
    <col min="1813" max="1813" width="8.5703125" style="10" customWidth="1"/>
    <col min="1814" max="1814" width="9.140625" style="10"/>
    <col min="1815" max="1815" width="10.5703125" style="10" customWidth="1"/>
    <col min="1816" max="2048" width="9.140625" style="10"/>
    <col min="2049" max="2049" width="4.85546875" style="10" customWidth="1"/>
    <col min="2050" max="2050" width="6" style="10" customWidth="1"/>
    <col min="2051" max="2051" width="4.85546875" style="10" customWidth="1"/>
    <col min="2052" max="2052" width="18.28515625" style="10" customWidth="1"/>
    <col min="2053" max="2054" width="8.85546875" style="10" customWidth="1"/>
    <col min="2055" max="2055" width="10.42578125" style="10" customWidth="1"/>
    <col min="2056" max="2056" width="11.85546875" style="10" customWidth="1"/>
    <col min="2057" max="2057" width="8.42578125" style="10" customWidth="1"/>
    <col min="2058" max="2058" width="8.7109375" style="10" customWidth="1"/>
    <col min="2059" max="2059" width="10.7109375" style="10" customWidth="1"/>
    <col min="2060" max="2061" width="8.7109375" style="10" customWidth="1"/>
    <col min="2062" max="2062" width="10.42578125" style="10" customWidth="1"/>
    <col min="2063" max="2063" width="8.85546875" style="10" customWidth="1"/>
    <col min="2064" max="2064" width="9" style="10" customWidth="1"/>
    <col min="2065" max="2065" width="11.140625" style="10" customWidth="1"/>
    <col min="2066" max="2066" width="9.140625" style="10" customWidth="1"/>
    <col min="2067" max="2067" width="9" style="10" customWidth="1"/>
    <col min="2068" max="2068" width="10.7109375" style="10" customWidth="1"/>
    <col min="2069" max="2069" width="8.5703125" style="10" customWidth="1"/>
    <col min="2070" max="2070" width="9.140625" style="10"/>
    <col min="2071" max="2071" width="10.5703125" style="10" customWidth="1"/>
    <col min="2072" max="2304" width="9.140625" style="10"/>
    <col min="2305" max="2305" width="4.85546875" style="10" customWidth="1"/>
    <col min="2306" max="2306" width="6" style="10" customWidth="1"/>
    <col min="2307" max="2307" width="4.85546875" style="10" customWidth="1"/>
    <col min="2308" max="2308" width="18.28515625" style="10" customWidth="1"/>
    <col min="2309" max="2310" width="8.85546875" style="10" customWidth="1"/>
    <col min="2311" max="2311" width="10.42578125" style="10" customWidth="1"/>
    <col min="2312" max="2312" width="11.85546875" style="10" customWidth="1"/>
    <col min="2313" max="2313" width="8.42578125" style="10" customWidth="1"/>
    <col min="2314" max="2314" width="8.7109375" style="10" customWidth="1"/>
    <col min="2315" max="2315" width="10.7109375" style="10" customWidth="1"/>
    <col min="2316" max="2317" width="8.7109375" style="10" customWidth="1"/>
    <col min="2318" max="2318" width="10.42578125" style="10" customWidth="1"/>
    <col min="2319" max="2319" width="8.85546875" style="10" customWidth="1"/>
    <col min="2320" max="2320" width="9" style="10" customWidth="1"/>
    <col min="2321" max="2321" width="11.140625" style="10" customWidth="1"/>
    <col min="2322" max="2322" width="9.140625" style="10" customWidth="1"/>
    <col min="2323" max="2323" width="9" style="10" customWidth="1"/>
    <col min="2324" max="2324" width="10.7109375" style="10" customWidth="1"/>
    <col min="2325" max="2325" width="8.5703125" style="10" customWidth="1"/>
    <col min="2326" max="2326" width="9.140625" style="10"/>
    <col min="2327" max="2327" width="10.5703125" style="10" customWidth="1"/>
    <col min="2328" max="2560" width="9.140625" style="10"/>
    <col min="2561" max="2561" width="4.85546875" style="10" customWidth="1"/>
    <col min="2562" max="2562" width="6" style="10" customWidth="1"/>
    <col min="2563" max="2563" width="4.85546875" style="10" customWidth="1"/>
    <col min="2564" max="2564" width="18.28515625" style="10" customWidth="1"/>
    <col min="2565" max="2566" width="8.85546875" style="10" customWidth="1"/>
    <col min="2567" max="2567" width="10.42578125" style="10" customWidth="1"/>
    <col min="2568" max="2568" width="11.85546875" style="10" customWidth="1"/>
    <col min="2569" max="2569" width="8.42578125" style="10" customWidth="1"/>
    <col min="2570" max="2570" width="8.7109375" style="10" customWidth="1"/>
    <col min="2571" max="2571" width="10.7109375" style="10" customWidth="1"/>
    <col min="2572" max="2573" width="8.7109375" style="10" customWidth="1"/>
    <col min="2574" max="2574" width="10.42578125" style="10" customWidth="1"/>
    <col min="2575" max="2575" width="8.85546875" style="10" customWidth="1"/>
    <col min="2576" max="2576" width="9" style="10" customWidth="1"/>
    <col min="2577" max="2577" width="11.140625" style="10" customWidth="1"/>
    <col min="2578" max="2578" width="9.140625" style="10" customWidth="1"/>
    <col min="2579" max="2579" width="9" style="10" customWidth="1"/>
    <col min="2580" max="2580" width="10.7109375" style="10" customWidth="1"/>
    <col min="2581" max="2581" width="8.5703125" style="10" customWidth="1"/>
    <col min="2582" max="2582" width="9.140625" style="10"/>
    <col min="2583" max="2583" width="10.5703125" style="10" customWidth="1"/>
    <col min="2584" max="2816" width="9.140625" style="10"/>
    <col min="2817" max="2817" width="4.85546875" style="10" customWidth="1"/>
    <col min="2818" max="2818" width="6" style="10" customWidth="1"/>
    <col min="2819" max="2819" width="4.85546875" style="10" customWidth="1"/>
    <col min="2820" max="2820" width="18.28515625" style="10" customWidth="1"/>
    <col min="2821" max="2822" width="8.85546875" style="10" customWidth="1"/>
    <col min="2823" max="2823" width="10.42578125" style="10" customWidth="1"/>
    <col min="2824" max="2824" width="11.85546875" style="10" customWidth="1"/>
    <col min="2825" max="2825" width="8.42578125" style="10" customWidth="1"/>
    <col min="2826" max="2826" width="8.7109375" style="10" customWidth="1"/>
    <col min="2827" max="2827" width="10.7109375" style="10" customWidth="1"/>
    <col min="2828" max="2829" width="8.7109375" style="10" customWidth="1"/>
    <col min="2830" max="2830" width="10.42578125" style="10" customWidth="1"/>
    <col min="2831" max="2831" width="8.85546875" style="10" customWidth="1"/>
    <col min="2832" max="2832" width="9" style="10" customWidth="1"/>
    <col min="2833" max="2833" width="11.140625" style="10" customWidth="1"/>
    <col min="2834" max="2834" width="9.140625" style="10" customWidth="1"/>
    <col min="2835" max="2835" width="9" style="10" customWidth="1"/>
    <col min="2836" max="2836" width="10.7109375" style="10" customWidth="1"/>
    <col min="2837" max="2837" width="8.5703125" style="10" customWidth="1"/>
    <col min="2838" max="2838" width="9.140625" style="10"/>
    <col min="2839" max="2839" width="10.5703125" style="10" customWidth="1"/>
    <col min="2840" max="3072" width="9.140625" style="10"/>
    <col min="3073" max="3073" width="4.85546875" style="10" customWidth="1"/>
    <col min="3074" max="3074" width="6" style="10" customWidth="1"/>
    <col min="3075" max="3075" width="4.85546875" style="10" customWidth="1"/>
    <col min="3076" max="3076" width="18.28515625" style="10" customWidth="1"/>
    <col min="3077" max="3078" width="8.85546875" style="10" customWidth="1"/>
    <col min="3079" max="3079" width="10.42578125" style="10" customWidth="1"/>
    <col min="3080" max="3080" width="11.85546875" style="10" customWidth="1"/>
    <col min="3081" max="3081" width="8.42578125" style="10" customWidth="1"/>
    <col min="3082" max="3082" width="8.7109375" style="10" customWidth="1"/>
    <col min="3083" max="3083" width="10.7109375" style="10" customWidth="1"/>
    <col min="3084" max="3085" width="8.7109375" style="10" customWidth="1"/>
    <col min="3086" max="3086" width="10.42578125" style="10" customWidth="1"/>
    <col min="3087" max="3087" width="8.85546875" style="10" customWidth="1"/>
    <col min="3088" max="3088" width="9" style="10" customWidth="1"/>
    <col min="3089" max="3089" width="11.140625" style="10" customWidth="1"/>
    <col min="3090" max="3090" width="9.140625" style="10" customWidth="1"/>
    <col min="3091" max="3091" width="9" style="10" customWidth="1"/>
    <col min="3092" max="3092" width="10.7109375" style="10" customWidth="1"/>
    <col min="3093" max="3093" width="8.5703125" style="10" customWidth="1"/>
    <col min="3094" max="3094" width="9.140625" style="10"/>
    <col min="3095" max="3095" width="10.5703125" style="10" customWidth="1"/>
    <col min="3096" max="3328" width="9.140625" style="10"/>
    <col min="3329" max="3329" width="4.85546875" style="10" customWidth="1"/>
    <col min="3330" max="3330" width="6" style="10" customWidth="1"/>
    <col min="3331" max="3331" width="4.85546875" style="10" customWidth="1"/>
    <col min="3332" max="3332" width="18.28515625" style="10" customWidth="1"/>
    <col min="3333" max="3334" width="8.85546875" style="10" customWidth="1"/>
    <col min="3335" max="3335" width="10.42578125" style="10" customWidth="1"/>
    <col min="3336" max="3336" width="11.85546875" style="10" customWidth="1"/>
    <col min="3337" max="3337" width="8.42578125" style="10" customWidth="1"/>
    <col min="3338" max="3338" width="8.7109375" style="10" customWidth="1"/>
    <col min="3339" max="3339" width="10.7109375" style="10" customWidth="1"/>
    <col min="3340" max="3341" width="8.7109375" style="10" customWidth="1"/>
    <col min="3342" max="3342" width="10.42578125" style="10" customWidth="1"/>
    <col min="3343" max="3343" width="8.85546875" style="10" customWidth="1"/>
    <col min="3344" max="3344" width="9" style="10" customWidth="1"/>
    <col min="3345" max="3345" width="11.140625" style="10" customWidth="1"/>
    <col min="3346" max="3346" width="9.140625" style="10" customWidth="1"/>
    <col min="3347" max="3347" width="9" style="10" customWidth="1"/>
    <col min="3348" max="3348" width="10.7109375" style="10" customWidth="1"/>
    <col min="3349" max="3349" width="8.5703125" style="10" customWidth="1"/>
    <col min="3350" max="3350" width="9.140625" style="10"/>
    <col min="3351" max="3351" width="10.5703125" style="10" customWidth="1"/>
    <col min="3352" max="3584" width="9.140625" style="10"/>
    <col min="3585" max="3585" width="4.85546875" style="10" customWidth="1"/>
    <col min="3586" max="3586" width="6" style="10" customWidth="1"/>
    <col min="3587" max="3587" width="4.85546875" style="10" customWidth="1"/>
    <col min="3588" max="3588" width="18.28515625" style="10" customWidth="1"/>
    <col min="3589" max="3590" width="8.85546875" style="10" customWidth="1"/>
    <col min="3591" max="3591" width="10.42578125" style="10" customWidth="1"/>
    <col min="3592" max="3592" width="11.85546875" style="10" customWidth="1"/>
    <col min="3593" max="3593" width="8.42578125" style="10" customWidth="1"/>
    <col min="3594" max="3594" width="8.7109375" style="10" customWidth="1"/>
    <col min="3595" max="3595" width="10.7109375" style="10" customWidth="1"/>
    <col min="3596" max="3597" width="8.7109375" style="10" customWidth="1"/>
    <col min="3598" max="3598" width="10.42578125" style="10" customWidth="1"/>
    <col min="3599" max="3599" width="8.85546875" style="10" customWidth="1"/>
    <col min="3600" max="3600" width="9" style="10" customWidth="1"/>
    <col min="3601" max="3601" width="11.140625" style="10" customWidth="1"/>
    <col min="3602" max="3602" width="9.140625" style="10" customWidth="1"/>
    <col min="3603" max="3603" width="9" style="10" customWidth="1"/>
    <col min="3604" max="3604" width="10.7109375" style="10" customWidth="1"/>
    <col min="3605" max="3605" width="8.5703125" style="10" customWidth="1"/>
    <col min="3606" max="3606" width="9.140625" style="10"/>
    <col min="3607" max="3607" width="10.5703125" style="10" customWidth="1"/>
    <col min="3608" max="3840" width="9.140625" style="10"/>
    <col min="3841" max="3841" width="4.85546875" style="10" customWidth="1"/>
    <col min="3842" max="3842" width="6" style="10" customWidth="1"/>
    <col min="3843" max="3843" width="4.85546875" style="10" customWidth="1"/>
    <col min="3844" max="3844" width="18.28515625" style="10" customWidth="1"/>
    <col min="3845" max="3846" width="8.85546875" style="10" customWidth="1"/>
    <col min="3847" max="3847" width="10.42578125" style="10" customWidth="1"/>
    <col min="3848" max="3848" width="11.85546875" style="10" customWidth="1"/>
    <col min="3849" max="3849" width="8.42578125" style="10" customWidth="1"/>
    <col min="3850" max="3850" width="8.7109375" style="10" customWidth="1"/>
    <col min="3851" max="3851" width="10.7109375" style="10" customWidth="1"/>
    <col min="3852" max="3853" width="8.7109375" style="10" customWidth="1"/>
    <col min="3854" max="3854" width="10.42578125" style="10" customWidth="1"/>
    <col min="3855" max="3855" width="8.85546875" style="10" customWidth="1"/>
    <col min="3856" max="3856" width="9" style="10" customWidth="1"/>
    <col min="3857" max="3857" width="11.140625" style="10" customWidth="1"/>
    <col min="3858" max="3858" width="9.140625" style="10" customWidth="1"/>
    <col min="3859" max="3859" width="9" style="10" customWidth="1"/>
    <col min="3860" max="3860" width="10.7109375" style="10" customWidth="1"/>
    <col min="3861" max="3861" width="8.5703125" style="10" customWidth="1"/>
    <col min="3862" max="3862" width="9.140625" style="10"/>
    <col min="3863" max="3863" width="10.5703125" style="10" customWidth="1"/>
    <col min="3864" max="4096" width="9.140625" style="10"/>
    <col min="4097" max="4097" width="4.85546875" style="10" customWidth="1"/>
    <col min="4098" max="4098" width="6" style="10" customWidth="1"/>
    <col min="4099" max="4099" width="4.85546875" style="10" customWidth="1"/>
    <col min="4100" max="4100" width="18.28515625" style="10" customWidth="1"/>
    <col min="4101" max="4102" width="8.85546875" style="10" customWidth="1"/>
    <col min="4103" max="4103" width="10.42578125" style="10" customWidth="1"/>
    <col min="4104" max="4104" width="11.85546875" style="10" customWidth="1"/>
    <col min="4105" max="4105" width="8.42578125" style="10" customWidth="1"/>
    <col min="4106" max="4106" width="8.7109375" style="10" customWidth="1"/>
    <col min="4107" max="4107" width="10.7109375" style="10" customWidth="1"/>
    <col min="4108" max="4109" width="8.7109375" style="10" customWidth="1"/>
    <col min="4110" max="4110" width="10.42578125" style="10" customWidth="1"/>
    <col min="4111" max="4111" width="8.85546875" style="10" customWidth="1"/>
    <col min="4112" max="4112" width="9" style="10" customWidth="1"/>
    <col min="4113" max="4113" width="11.140625" style="10" customWidth="1"/>
    <col min="4114" max="4114" width="9.140625" style="10" customWidth="1"/>
    <col min="4115" max="4115" width="9" style="10" customWidth="1"/>
    <col min="4116" max="4116" width="10.7109375" style="10" customWidth="1"/>
    <col min="4117" max="4117" width="8.5703125" style="10" customWidth="1"/>
    <col min="4118" max="4118" width="9.140625" style="10"/>
    <col min="4119" max="4119" width="10.5703125" style="10" customWidth="1"/>
    <col min="4120" max="4352" width="9.140625" style="10"/>
    <col min="4353" max="4353" width="4.85546875" style="10" customWidth="1"/>
    <col min="4354" max="4354" width="6" style="10" customWidth="1"/>
    <col min="4355" max="4355" width="4.85546875" style="10" customWidth="1"/>
    <col min="4356" max="4356" width="18.28515625" style="10" customWidth="1"/>
    <col min="4357" max="4358" width="8.85546875" style="10" customWidth="1"/>
    <col min="4359" max="4359" width="10.42578125" style="10" customWidth="1"/>
    <col min="4360" max="4360" width="11.85546875" style="10" customWidth="1"/>
    <col min="4361" max="4361" width="8.42578125" style="10" customWidth="1"/>
    <col min="4362" max="4362" width="8.7109375" style="10" customWidth="1"/>
    <col min="4363" max="4363" width="10.7109375" style="10" customWidth="1"/>
    <col min="4364" max="4365" width="8.7109375" style="10" customWidth="1"/>
    <col min="4366" max="4366" width="10.42578125" style="10" customWidth="1"/>
    <col min="4367" max="4367" width="8.85546875" style="10" customWidth="1"/>
    <col min="4368" max="4368" width="9" style="10" customWidth="1"/>
    <col min="4369" max="4369" width="11.140625" style="10" customWidth="1"/>
    <col min="4370" max="4370" width="9.140625" style="10" customWidth="1"/>
    <col min="4371" max="4371" width="9" style="10" customWidth="1"/>
    <col min="4372" max="4372" width="10.7109375" style="10" customWidth="1"/>
    <col min="4373" max="4373" width="8.5703125" style="10" customWidth="1"/>
    <col min="4374" max="4374" width="9.140625" style="10"/>
    <col min="4375" max="4375" width="10.5703125" style="10" customWidth="1"/>
    <col min="4376" max="4608" width="9.140625" style="10"/>
    <col min="4609" max="4609" width="4.85546875" style="10" customWidth="1"/>
    <col min="4610" max="4610" width="6" style="10" customWidth="1"/>
    <col min="4611" max="4611" width="4.85546875" style="10" customWidth="1"/>
    <col min="4612" max="4612" width="18.28515625" style="10" customWidth="1"/>
    <col min="4613" max="4614" width="8.85546875" style="10" customWidth="1"/>
    <col min="4615" max="4615" width="10.42578125" style="10" customWidth="1"/>
    <col min="4616" max="4616" width="11.85546875" style="10" customWidth="1"/>
    <col min="4617" max="4617" width="8.42578125" style="10" customWidth="1"/>
    <col min="4618" max="4618" width="8.7109375" style="10" customWidth="1"/>
    <col min="4619" max="4619" width="10.7109375" style="10" customWidth="1"/>
    <col min="4620" max="4621" width="8.7109375" style="10" customWidth="1"/>
    <col min="4622" max="4622" width="10.42578125" style="10" customWidth="1"/>
    <col min="4623" max="4623" width="8.85546875" style="10" customWidth="1"/>
    <col min="4624" max="4624" width="9" style="10" customWidth="1"/>
    <col min="4625" max="4625" width="11.140625" style="10" customWidth="1"/>
    <col min="4626" max="4626" width="9.140625" style="10" customWidth="1"/>
    <col min="4627" max="4627" width="9" style="10" customWidth="1"/>
    <col min="4628" max="4628" width="10.7109375" style="10" customWidth="1"/>
    <col min="4629" max="4629" width="8.5703125" style="10" customWidth="1"/>
    <col min="4630" max="4630" width="9.140625" style="10"/>
    <col min="4631" max="4631" width="10.5703125" style="10" customWidth="1"/>
    <col min="4632" max="4864" width="9.140625" style="10"/>
    <col min="4865" max="4865" width="4.85546875" style="10" customWidth="1"/>
    <col min="4866" max="4866" width="6" style="10" customWidth="1"/>
    <col min="4867" max="4867" width="4.85546875" style="10" customWidth="1"/>
    <col min="4868" max="4868" width="18.28515625" style="10" customWidth="1"/>
    <col min="4869" max="4870" width="8.85546875" style="10" customWidth="1"/>
    <col min="4871" max="4871" width="10.42578125" style="10" customWidth="1"/>
    <col min="4872" max="4872" width="11.85546875" style="10" customWidth="1"/>
    <col min="4873" max="4873" width="8.42578125" style="10" customWidth="1"/>
    <col min="4874" max="4874" width="8.7109375" style="10" customWidth="1"/>
    <col min="4875" max="4875" width="10.7109375" style="10" customWidth="1"/>
    <col min="4876" max="4877" width="8.7109375" style="10" customWidth="1"/>
    <col min="4878" max="4878" width="10.42578125" style="10" customWidth="1"/>
    <col min="4879" max="4879" width="8.85546875" style="10" customWidth="1"/>
    <col min="4880" max="4880" width="9" style="10" customWidth="1"/>
    <col min="4881" max="4881" width="11.140625" style="10" customWidth="1"/>
    <col min="4882" max="4882" width="9.140625" style="10" customWidth="1"/>
    <col min="4883" max="4883" width="9" style="10" customWidth="1"/>
    <col min="4884" max="4884" width="10.7109375" style="10" customWidth="1"/>
    <col min="4885" max="4885" width="8.5703125" style="10" customWidth="1"/>
    <col min="4886" max="4886" width="9.140625" style="10"/>
    <col min="4887" max="4887" width="10.5703125" style="10" customWidth="1"/>
    <col min="4888" max="5120" width="9.140625" style="10"/>
    <col min="5121" max="5121" width="4.85546875" style="10" customWidth="1"/>
    <col min="5122" max="5122" width="6" style="10" customWidth="1"/>
    <col min="5123" max="5123" width="4.85546875" style="10" customWidth="1"/>
    <col min="5124" max="5124" width="18.28515625" style="10" customWidth="1"/>
    <col min="5125" max="5126" width="8.85546875" style="10" customWidth="1"/>
    <col min="5127" max="5127" width="10.42578125" style="10" customWidth="1"/>
    <col min="5128" max="5128" width="11.85546875" style="10" customWidth="1"/>
    <col min="5129" max="5129" width="8.42578125" style="10" customWidth="1"/>
    <col min="5130" max="5130" width="8.7109375" style="10" customWidth="1"/>
    <col min="5131" max="5131" width="10.7109375" style="10" customWidth="1"/>
    <col min="5132" max="5133" width="8.7109375" style="10" customWidth="1"/>
    <col min="5134" max="5134" width="10.42578125" style="10" customWidth="1"/>
    <col min="5135" max="5135" width="8.85546875" style="10" customWidth="1"/>
    <col min="5136" max="5136" width="9" style="10" customWidth="1"/>
    <col min="5137" max="5137" width="11.140625" style="10" customWidth="1"/>
    <col min="5138" max="5138" width="9.140625" style="10" customWidth="1"/>
    <col min="5139" max="5139" width="9" style="10" customWidth="1"/>
    <col min="5140" max="5140" width="10.7109375" style="10" customWidth="1"/>
    <col min="5141" max="5141" width="8.5703125" style="10" customWidth="1"/>
    <col min="5142" max="5142" width="9.140625" style="10"/>
    <col min="5143" max="5143" width="10.5703125" style="10" customWidth="1"/>
    <col min="5144" max="5376" width="9.140625" style="10"/>
    <col min="5377" max="5377" width="4.85546875" style="10" customWidth="1"/>
    <col min="5378" max="5378" width="6" style="10" customWidth="1"/>
    <col min="5379" max="5379" width="4.85546875" style="10" customWidth="1"/>
    <col min="5380" max="5380" width="18.28515625" style="10" customWidth="1"/>
    <col min="5381" max="5382" width="8.85546875" style="10" customWidth="1"/>
    <col min="5383" max="5383" width="10.42578125" style="10" customWidth="1"/>
    <col min="5384" max="5384" width="11.85546875" style="10" customWidth="1"/>
    <col min="5385" max="5385" width="8.42578125" style="10" customWidth="1"/>
    <col min="5386" max="5386" width="8.7109375" style="10" customWidth="1"/>
    <col min="5387" max="5387" width="10.7109375" style="10" customWidth="1"/>
    <col min="5388" max="5389" width="8.7109375" style="10" customWidth="1"/>
    <col min="5390" max="5390" width="10.42578125" style="10" customWidth="1"/>
    <col min="5391" max="5391" width="8.85546875" style="10" customWidth="1"/>
    <col min="5392" max="5392" width="9" style="10" customWidth="1"/>
    <col min="5393" max="5393" width="11.140625" style="10" customWidth="1"/>
    <col min="5394" max="5394" width="9.140625" style="10" customWidth="1"/>
    <col min="5395" max="5395" width="9" style="10" customWidth="1"/>
    <col min="5396" max="5396" width="10.7109375" style="10" customWidth="1"/>
    <col min="5397" max="5397" width="8.5703125" style="10" customWidth="1"/>
    <col min="5398" max="5398" width="9.140625" style="10"/>
    <col min="5399" max="5399" width="10.5703125" style="10" customWidth="1"/>
    <col min="5400" max="5632" width="9.140625" style="10"/>
    <col min="5633" max="5633" width="4.85546875" style="10" customWidth="1"/>
    <col min="5634" max="5634" width="6" style="10" customWidth="1"/>
    <col min="5635" max="5635" width="4.85546875" style="10" customWidth="1"/>
    <col min="5636" max="5636" width="18.28515625" style="10" customWidth="1"/>
    <col min="5637" max="5638" width="8.85546875" style="10" customWidth="1"/>
    <col min="5639" max="5639" width="10.42578125" style="10" customWidth="1"/>
    <col min="5640" max="5640" width="11.85546875" style="10" customWidth="1"/>
    <col min="5641" max="5641" width="8.42578125" style="10" customWidth="1"/>
    <col min="5642" max="5642" width="8.7109375" style="10" customWidth="1"/>
    <col min="5643" max="5643" width="10.7109375" style="10" customWidth="1"/>
    <col min="5644" max="5645" width="8.7109375" style="10" customWidth="1"/>
    <col min="5646" max="5646" width="10.42578125" style="10" customWidth="1"/>
    <col min="5647" max="5647" width="8.85546875" style="10" customWidth="1"/>
    <col min="5648" max="5648" width="9" style="10" customWidth="1"/>
    <col min="5649" max="5649" width="11.140625" style="10" customWidth="1"/>
    <col min="5650" max="5650" width="9.140625" style="10" customWidth="1"/>
    <col min="5651" max="5651" width="9" style="10" customWidth="1"/>
    <col min="5652" max="5652" width="10.7109375" style="10" customWidth="1"/>
    <col min="5653" max="5653" width="8.5703125" style="10" customWidth="1"/>
    <col min="5654" max="5654" width="9.140625" style="10"/>
    <col min="5655" max="5655" width="10.5703125" style="10" customWidth="1"/>
    <col min="5656" max="5888" width="9.140625" style="10"/>
    <col min="5889" max="5889" width="4.85546875" style="10" customWidth="1"/>
    <col min="5890" max="5890" width="6" style="10" customWidth="1"/>
    <col min="5891" max="5891" width="4.85546875" style="10" customWidth="1"/>
    <col min="5892" max="5892" width="18.28515625" style="10" customWidth="1"/>
    <col min="5893" max="5894" width="8.85546875" style="10" customWidth="1"/>
    <col min="5895" max="5895" width="10.42578125" style="10" customWidth="1"/>
    <col min="5896" max="5896" width="11.85546875" style="10" customWidth="1"/>
    <col min="5897" max="5897" width="8.42578125" style="10" customWidth="1"/>
    <col min="5898" max="5898" width="8.7109375" style="10" customWidth="1"/>
    <col min="5899" max="5899" width="10.7109375" style="10" customWidth="1"/>
    <col min="5900" max="5901" width="8.7109375" style="10" customWidth="1"/>
    <col min="5902" max="5902" width="10.42578125" style="10" customWidth="1"/>
    <col min="5903" max="5903" width="8.85546875" style="10" customWidth="1"/>
    <col min="5904" max="5904" width="9" style="10" customWidth="1"/>
    <col min="5905" max="5905" width="11.140625" style="10" customWidth="1"/>
    <col min="5906" max="5906" width="9.140625" style="10" customWidth="1"/>
    <col min="5907" max="5907" width="9" style="10" customWidth="1"/>
    <col min="5908" max="5908" width="10.7109375" style="10" customWidth="1"/>
    <col min="5909" max="5909" width="8.5703125" style="10" customWidth="1"/>
    <col min="5910" max="5910" width="9.140625" style="10"/>
    <col min="5911" max="5911" width="10.5703125" style="10" customWidth="1"/>
    <col min="5912" max="6144" width="9.140625" style="10"/>
    <col min="6145" max="6145" width="4.85546875" style="10" customWidth="1"/>
    <col min="6146" max="6146" width="6" style="10" customWidth="1"/>
    <col min="6147" max="6147" width="4.85546875" style="10" customWidth="1"/>
    <col min="6148" max="6148" width="18.28515625" style="10" customWidth="1"/>
    <col min="6149" max="6150" width="8.85546875" style="10" customWidth="1"/>
    <col min="6151" max="6151" width="10.42578125" style="10" customWidth="1"/>
    <col min="6152" max="6152" width="11.85546875" style="10" customWidth="1"/>
    <col min="6153" max="6153" width="8.42578125" style="10" customWidth="1"/>
    <col min="6154" max="6154" width="8.7109375" style="10" customWidth="1"/>
    <col min="6155" max="6155" width="10.7109375" style="10" customWidth="1"/>
    <col min="6156" max="6157" width="8.7109375" style="10" customWidth="1"/>
    <col min="6158" max="6158" width="10.42578125" style="10" customWidth="1"/>
    <col min="6159" max="6159" width="8.85546875" style="10" customWidth="1"/>
    <col min="6160" max="6160" width="9" style="10" customWidth="1"/>
    <col min="6161" max="6161" width="11.140625" style="10" customWidth="1"/>
    <col min="6162" max="6162" width="9.140625" style="10" customWidth="1"/>
    <col min="6163" max="6163" width="9" style="10" customWidth="1"/>
    <col min="6164" max="6164" width="10.7109375" style="10" customWidth="1"/>
    <col min="6165" max="6165" width="8.5703125" style="10" customWidth="1"/>
    <col min="6166" max="6166" width="9.140625" style="10"/>
    <col min="6167" max="6167" width="10.5703125" style="10" customWidth="1"/>
    <col min="6168" max="6400" width="9.140625" style="10"/>
    <col min="6401" max="6401" width="4.85546875" style="10" customWidth="1"/>
    <col min="6402" max="6402" width="6" style="10" customWidth="1"/>
    <col min="6403" max="6403" width="4.85546875" style="10" customWidth="1"/>
    <col min="6404" max="6404" width="18.28515625" style="10" customWidth="1"/>
    <col min="6405" max="6406" width="8.85546875" style="10" customWidth="1"/>
    <col min="6407" max="6407" width="10.42578125" style="10" customWidth="1"/>
    <col min="6408" max="6408" width="11.85546875" style="10" customWidth="1"/>
    <col min="6409" max="6409" width="8.42578125" style="10" customWidth="1"/>
    <col min="6410" max="6410" width="8.7109375" style="10" customWidth="1"/>
    <col min="6411" max="6411" width="10.7109375" style="10" customWidth="1"/>
    <col min="6412" max="6413" width="8.7109375" style="10" customWidth="1"/>
    <col min="6414" max="6414" width="10.42578125" style="10" customWidth="1"/>
    <col min="6415" max="6415" width="8.85546875" style="10" customWidth="1"/>
    <col min="6416" max="6416" width="9" style="10" customWidth="1"/>
    <col min="6417" max="6417" width="11.140625" style="10" customWidth="1"/>
    <col min="6418" max="6418" width="9.140625" style="10" customWidth="1"/>
    <col min="6419" max="6419" width="9" style="10" customWidth="1"/>
    <col min="6420" max="6420" width="10.7109375" style="10" customWidth="1"/>
    <col min="6421" max="6421" width="8.5703125" style="10" customWidth="1"/>
    <col min="6422" max="6422" width="9.140625" style="10"/>
    <col min="6423" max="6423" width="10.5703125" style="10" customWidth="1"/>
    <col min="6424" max="6656" width="9.140625" style="10"/>
    <col min="6657" max="6657" width="4.85546875" style="10" customWidth="1"/>
    <col min="6658" max="6658" width="6" style="10" customWidth="1"/>
    <col min="6659" max="6659" width="4.85546875" style="10" customWidth="1"/>
    <col min="6660" max="6660" width="18.28515625" style="10" customWidth="1"/>
    <col min="6661" max="6662" width="8.85546875" style="10" customWidth="1"/>
    <col min="6663" max="6663" width="10.42578125" style="10" customWidth="1"/>
    <col min="6664" max="6664" width="11.85546875" style="10" customWidth="1"/>
    <col min="6665" max="6665" width="8.42578125" style="10" customWidth="1"/>
    <col min="6666" max="6666" width="8.7109375" style="10" customWidth="1"/>
    <col min="6667" max="6667" width="10.7109375" style="10" customWidth="1"/>
    <col min="6668" max="6669" width="8.7109375" style="10" customWidth="1"/>
    <col min="6670" max="6670" width="10.42578125" style="10" customWidth="1"/>
    <col min="6671" max="6671" width="8.85546875" style="10" customWidth="1"/>
    <col min="6672" max="6672" width="9" style="10" customWidth="1"/>
    <col min="6673" max="6673" width="11.140625" style="10" customWidth="1"/>
    <col min="6674" max="6674" width="9.140625" style="10" customWidth="1"/>
    <col min="6675" max="6675" width="9" style="10" customWidth="1"/>
    <col min="6676" max="6676" width="10.7109375" style="10" customWidth="1"/>
    <col min="6677" max="6677" width="8.5703125" style="10" customWidth="1"/>
    <col min="6678" max="6678" width="9.140625" style="10"/>
    <col min="6679" max="6679" width="10.5703125" style="10" customWidth="1"/>
    <col min="6680" max="6912" width="9.140625" style="10"/>
    <col min="6913" max="6913" width="4.85546875" style="10" customWidth="1"/>
    <col min="6914" max="6914" width="6" style="10" customWidth="1"/>
    <col min="6915" max="6915" width="4.85546875" style="10" customWidth="1"/>
    <col min="6916" max="6916" width="18.28515625" style="10" customWidth="1"/>
    <col min="6917" max="6918" width="8.85546875" style="10" customWidth="1"/>
    <col min="6919" max="6919" width="10.42578125" style="10" customWidth="1"/>
    <col min="6920" max="6920" width="11.85546875" style="10" customWidth="1"/>
    <col min="6921" max="6921" width="8.42578125" style="10" customWidth="1"/>
    <col min="6922" max="6922" width="8.7109375" style="10" customWidth="1"/>
    <col min="6923" max="6923" width="10.7109375" style="10" customWidth="1"/>
    <col min="6924" max="6925" width="8.7109375" style="10" customWidth="1"/>
    <col min="6926" max="6926" width="10.42578125" style="10" customWidth="1"/>
    <col min="6927" max="6927" width="8.85546875" style="10" customWidth="1"/>
    <col min="6928" max="6928" width="9" style="10" customWidth="1"/>
    <col min="6929" max="6929" width="11.140625" style="10" customWidth="1"/>
    <col min="6930" max="6930" width="9.140625" style="10" customWidth="1"/>
    <col min="6931" max="6931" width="9" style="10" customWidth="1"/>
    <col min="6932" max="6932" width="10.7109375" style="10" customWidth="1"/>
    <col min="6933" max="6933" width="8.5703125" style="10" customWidth="1"/>
    <col min="6934" max="6934" width="9.140625" style="10"/>
    <col min="6935" max="6935" width="10.5703125" style="10" customWidth="1"/>
    <col min="6936" max="7168" width="9.140625" style="10"/>
    <col min="7169" max="7169" width="4.85546875" style="10" customWidth="1"/>
    <col min="7170" max="7170" width="6" style="10" customWidth="1"/>
    <col min="7171" max="7171" width="4.85546875" style="10" customWidth="1"/>
    <col min="7172" max="7172" width="18.28515625" style="10" customWidth="1"/>
    <col min="7173" max="7174" width="8.85546875" style="10" customWidth="1"/>
    <col min="7175" max="7175" width="10.42578125" style="10" customWidth="1"/>
    <col min="7176" max="7176" width="11.85546875" style="10" customWidth="1"/>
    <col min="7177" max="7177" width="8.42578125" style="10" customWidth="1"/>
    <col min="7178" max="7178" width="8.7109375" style="10" customWidth="1"/>
    <col min="7179" max="7179" width="10.7109375" style="10" customWidth="1"/>
    <col min="7180" max="7181" width="8.7109375" style="10" customWidth="1"/>
    <col min="7182" max="7182" width="10.42578125" style="10" customWidth="1"/>
    <col min="7183" max="7183" width="8.85546875" style="10" customWidth="1"/>
    <col min="7184" max="7184" width="9" style="10" customWidth="1"/>
    <col min="7185" max="7185" width="11.140625" style="10" customWidth="1"/>
    <col min="7186" max="7186" width="9.140625" style="10" customWidth="1"/>
    <col min="7187" max="7187" width="9" style="10" customWidth="1"/>
    <col min="7188" max="7188" width="10.7109375" style="10" customWidth="1"/>
    <col min="7189" max="7189" width="8.5703125" style="10" customWidth="1"/>
    <col min="7190" max="7190" width="9.140625" style="10"/>
    <col min="7191" max="7191" width="10.5703125" style="10" customWidth="1"/>
    <col min="7192" max="7424" width="9.140625" style="10"/>
    <col min="7425" max="7425" width="4.85546875" style="10" customWidth="1"/>
    <col min="7426" max="7426" width="6" style="10" customWidth="1"/>
    <col min="7427" max="7427" width="4.85546875" style="10" customWidth="1"/>
    <col min="7428" max="7428" width="18.28515625" style="10" customWidth="1"/>
    <col min="7429" max="7430" width="8.85546875" style="10" customWidth="1"/>
    <col min="7431" max="7431" width="10.42578125" style="10" customWidth="1"/>
    <col min="7432" max="7432" width="11.85546875" style="10" customWidth="1"/>
    <col min="7433" max="7433" width="8.42578125" style="10" customWidth="1"/>
    <col min="7434" max="7434" width="8.7109375" style="10" customWidth="1"/>
    <col min="7435" max="7435" width="10.7109375" style="10" customWidth="1"/>
    <col min="7436" max="7437" width="8.7109375" style="10" customWidth="1"/>
    <col min="7438" max="7438" width="10.42578125" style="10" customWidth="1"/>
    <col min="7439" max="7439" width="8.85546875" style="10" customWidth="1"/>
    <col min="7440" max="7440" width="9" style="10" customWidth="1"/>
    <col min="7441" max="7441" width="11.140625" style="10" customWidth="1"/>
    <col min="7442" max="7442" width="9.140625" style="10" customWidth="1"/>
    <col min="7443" max="7443" width="9" style="10" customWidth="1"/>
    <col min="7444" max="7444" width="10.7109375" style="10" customWidth="1"/>
    <col min="7445" max="7445" width="8.5703125" style="10" customWidth="1"/>
    <col min="7446" max="7446" width="9.140625" style="10"/>
    <col min="7447" max="7447" width="10.5703125" style="10" customWidth="1"/>
    <col min="7448" max="7680" width="9.140625" style="10"/>
    <col min="7681" max="7681" width="4.85546875" style="10" customWidth="1"/>
    <col min="7682" max="7682" width="6" style="10" customWidth="1"/>
    <col min="7683" max="7683" width="4.85546875" style="10" customWidth="1"/>
    <col min="7684" max="7684" width="18.28515625" style="10" customWidth="1"/>
    <col min="7685" max="7686" width="8.85546875" style="10" customWidth="1"/>
    <col min="7687" max="7687" width="10.42578125" style="10" customWidth="1"/>
    <col min="7688" max="7688" width="11.85546875" style="10" customWidth="1"/>
    <col min="7689" max="7689" width="8.42578125" style="10" customWidth="1"/>
    <col min="7690" max="7690" width="8.7109375" style="10" customWidth="1"/>
    <col min="7691" max="7691" width="10.7109375" style="10" customWidth="1"/>
    <col min="7692" max="7693" width="8.7109375" style="10" customWidth="1"/>
    <col min="7694" max="7694" width="10.42578125" style="10" customWidth="1"/>
    <col min="7695" max="7695" width="8.85546875" style="10" customWidth="1"/>
    <col min="7696" max="7696" width="9" style="10" customWidth="1"/>
    <col min="7697" max="7697" width="11.140625" style="10" customWidth="1"/>
    <col min="7698" max="7698" width="9.140625" style="10" customWidth="1"/>
    <col min="7699" max="7699" width="9" style="10" customWidth="1"/>
    <col min="7700" max="7700" width="10.7109375" style="10" customWidth="1"/>
    <col min="7701" max="7701" width="8.5703125" style="10" customWidth="1"/>
    <col min="7702" max="7702" width="9.140625" style="10"/>
    <col min="7703" max="7703" width="10.5703125" style="10" customWidth="1"/>
    <col min="7704" max="7936" width="9.140625" style="10"/>
    <col min="7937" max="7937" width="4.85546875" style="10" customWidth="1"/>
    <col min="7938" max="7938" width="6" style="10" customWidth="1"/>
    <col min="7939" max="7939" width="4.85546875" style="10" customWidth="1"/>
    <col min="7940" max="7940" width="18.28515625" style="10" customWidth="1"/>
    <col min="7941" max="7942" width="8.85546875" style="10" customWidth="1"/>
    <col min="7943" max="7943" width="10.42578125" style="10" customWidth="1"/>
    <col min="7944" max="7944" width="11.85546875" style="10" customWidth="1"/>
    <col min="7945" max="7945" width="8.42578125" style="10" customWidth="1"/>
    <col min="7946" max="7946" width="8.7109375" style="10" customWidth="1"/>
    <col min="7947" max="7947" width="10.7109375" style="10" customWidth="1"/>
    <col min="7948" max="7949" width="8.7109375" style="10" customWidth="1"/>
    <col min="7950" max="7950" width="10.42578125" style="10" customWidth="1"/>
    <col min="7951" max="7951" width="8.85546875" style="10" customWidth="1"/>
    <col min="7952" max="7952" width="9" style="10" customWidth="1"/>
    <col min="7953" max="7953" width="11.140625" style="10" customWidth="1"/>
    <col min="7954" max="7954" width="9.140625" style="10" customWidth="1"/>
    <col min="7955" max="7955" width="9" style="10" customWidth="1"/>
    <col min="7956" max="7956" width="10.7109375" style="10" customWidth="1"/>
    <col min="7957" max="7957" width="8.5703125" style="10" customWidth="1"/>
    <col min="7958" max="7958" width="9.140625" style="10"/>
    <col min="7959" max="7959" width="10.5703125" style="10" customWidth="1"/>
    <col min="7960" max="8192" width="9.140625" style="10"/>
    <col min="8193" max="8193" width="4.85546875" style="10" customWidth="1"/>
    <col min="8194" max="8194" width="6" style="10" customWidth="1"/>
    <col min="8195" max="8195" width="4.85546875" style="10" customWidth="1"/>
    <col min="8196" max="8196" width="18.28515625" style="10" customWidth="1"/>
    <col min="8197" max="8198" width="8.85546875" style="10" customWidth="1"/>
    <col min="8199" max="8199" width="10.42578125" style="10" customWidth="1"/>
    <col min="8200" max="8200" width="11.85546875" style="10" customWidth="1"/>
    <col min="8201" max="8201" width="8.42578125" style="10" customWidth="1"/>
    <col min="8202" max="8202" width="8.7109375" style="10" customWidth="1"/>
    <col min="8203" max="8203" width="10.7109375" style="10" customWidth="1"/>
    <col min="8204" max="8205" width="8.7109375" style="10" customWidth="1"/>
    <col min="8206" max="8206" width="10.42578125" style="10" customWidth="1"/>
    <col min="8207" max="8207" width="8.85546875" style="10" customWidth="1"/>
    <col min="8208" max="8208" width="9" style="10" customWidth="1"/>
    <col min="8209" max="8209" width="11.140625" style="10" customWidth="1"/>
    <col min="8210" max="8210" width="9.140625" style="10" customWidth="1"/>
    <col min="8211" max="8211" width="9" style="10" customWidth="1"/>
    <col min="8212" max="8212" width="10.7109375" style="10" customWidth="1"/>
    <col min="8213" max="8213" width="8.5703125" style="10" customWidth="1"/>
    <col min="8214" max="8214" width="9.140625" style="10"/>
    <col min="8215" max="8215" width="10.5703125" style="10" customWidth="1"/>
    <col min="8216" max="8448" width="9.140625" style="10"/>
    <col min="8449" max="8449" width="4.85546875" style="10" customWidth="1"/>
    <col min="8450" max="8450" width="6" style="10" customWidth="1"/>
    <col min="8451" max="8451" width="4.85546875" style="10" customWidth="1"/>
    <col min="8452" max="8452" width="18.28515625" style="10" customWidth="1"/>
    <col min="8453" max="8454" width="8.85546875" style="10" customWidth="1"/>
    <col min="8455" max="8455" width="10.42578125" style="10" customWidth="1"/>
    <col min="8456" max="8456" width="11.85546875" style="10" customWidth="1"/>
    <col min="8457" max="8457" width="8.42578125" style="10" customWidth="1"/>
    <col min="8458" max="8458" width="8.7109375" style="10" customWidth="1"/>
    <col min="8459" max="8459" width="10.7109375" style="10" customWidth="1"/>
    <col min="8460" max="8461" width="8.7109375" style="10" customWidth="1"/>
    <col min="8462" max="8462" width="10.42578125" style="10" customWidth="1"/>
    <col min="8463" max="8463" width="8.85546875" style="10" customWidth="1"/>
    <col min="8464" max="8464" width="9" style="10" customWidth="1"/>
    <col min="8465" max="8465" width="11.140625" style="10" customWidth="1"/>
    <col min="8466" max="8466" width="9.140625" style="10" customWidth="1"/>
    <col min="8467" max="8467" width="9" style="10" customWidth="1"/>
    <col min="8468" max="8468" width="10.7109375" style="10" customWidth="1"/>
    <col min="8469" max="8469" width="8.5703125" style="10" customWidth="1"/>
    <col min="8470" max="8470" width="9.140625" style="10"/>
    <col min="8471" max="8471" width="10.5703125" style="10" customWidth="1"/>
    <col min="8472" max="8704" width="9.140625" style="10"/>
    <col min="8705" max="8705" width="4.85546875" style="10" customWidth="1"/>
    <col min="8706" max="8706" width="6" style="10" customWidth="1"/>
    <col min="8707" max="8707" width="4.85546875" style="10" customWidth="1"/>
    <col min="8708" max="8708" width="18.28515625" style="10" customWidth="1"/>
    <col min="8709" max="8710" width="8.85546875" style="10" customWidth="1"/>
    <col min="8711" max="8711" width="10.42578125" style="10" customWidth="1"/>
    <col min="8712" max="8712" width="11.85546875" style="10" customWidth="1"/>
    <col min="8713" max="8713" width="8.42578125" style="10" customWidth="1"/>
    <col min="8714" max="8714" width="8.7109375" style="10" customWidth="1"/>
    <col min="8715" max="8715" width="10.7109375" style="10" customWidth="1"/>
    <col min="8716" max="8717" width="8.7109375" style="10" customWidth="1"/>
    <col min="8718" max="8718" width="10.42578125" style="10" customWidth="1"/>
    <col min="8719" max="8719" width="8.85546875" style="10" customWidth="1"/>
    <col min="8720" max="8720" width="9" style="10" customWidth="1"/>
    <col min="8721" max="8721" width="11.140625" style="10" customWidth="1"/>
    <col min="8722" max="8722" width="9.140625" style="10" customWidth="1"/>
    <col min="8723" max="8723" width="9" style="10" customWidth="1"/>
    <col min="8724" max="8724" width="10.7109375" style="10" customWidth="1"/>
    <col min="8725" max="8725" width="8.5703125" style="10" customWidth="1"/>
    <col min="8726" max="8726" width="9.140625" style="10"/>
    <col min="8727" max="8727" width="10.5703125" style="10" customWidth="1"/>
    <col min="8728" max="8960" width="9.140625" style="10"/>
    <col min="8961" max="8961" width="4.85546875" style="10" customWidth="1"/>
    <col min="8962" max="8962" width="6" style="10" customWidth="1"/>
    <col min="8963" max="8963" width="4.85546875" style="10" customWidth="1"/>
    <col min="8964" max="8964" width="18.28515625" style="10" customWidth="1"/>
    <col min="8965" max="8966" width="8.85546875" style="10" customWidth="1"/>
    <col min="8967" max="8967" width="10.42578125" style="10" customWidth="1"/>
    <col min="8968" max="8968" width="11.85546875" style="10" customWidth="1"/>
    <col min="8969" max="8969" width="8.42578125" style="10" customWidth="1"/>
    <col min="8970" max="8970" width="8.7109375" style="10" customWidth="1"/>
    <col min="8971" max="8971" width="10.7109375" style="10" customWidth="1"/>
    <col min="8972" max="8973" width="8.7109375" style="10" customWidth="1"/>
    <col min="8974" max="8974" width="10.42578125" style="10" customWidth="1"/>
    <col min="8975" max="8975" width="8.85546875" style="10" customWidth="1"/>
    <col min="8976" max="8976" width="9" style="10" customWidth="1"/>
    <col min="8977" max="8977" width="11.140625" style="10" customWidth="1"/>
    <col min="8978" max="8978" width="9.140625" style="10" customWidth="1"/>
    <col min="8979" max="8979" width="9" style="10" customWidth="1"/>
    <col min="8980" max="8980" width="10.7109375" style="10" customWidth="1"/>
    <col min="8981" max="8981" width="8.5703125" style="10" customWidth="1"/>
    <col min="8982" max="8982" width="9.140625" style="10"/>
    <col min="8983" max="8983" width="10.5703125" style="10" customWidth="1"/>
    <col min="8984" max="9216" width="9.140625" style="10"/>
    <col min="9217" max="9217" width="4.85546875" style="10" customWidth="1"/>
    <col min="9218" max="9218" width="6" style="10" customWidth="1"/>
    <col min="9219" max="9219" width="4.85546875" style="10" customWidth="1"/>
    <col min="9220" max="9220" width="18.28515625" style="10" customWidth="1"/>
    <col min="9221" max="9222" width="8.85546875" style="10" customWidth="1"/>
    <col min="9223" max="9223" width="10.42578125" style="10" customWidth="1"/>
    <col min="9224" max="9224" width="11.85546875" style="10" customWidth="1"/>
    <col min="9225" max="9225" width="8.42578125" style="10" customWidth="1"/>
    <col min="9226" max="9226" width="8.7109375" style="10" customWidth="1"/>
    <col min="9227" max="9227" width="10.7109375" style="10" customWidth="1"/>
    <col min="9228" max="9229" width="8.7109375" style="10" customWidth="1"/>
    <col min="9230" max="9230" width="10.42578125" style="10" customWidth="1"/>
    <col min="9231" max="9231" width="8.85546875" style="10" customWidth="1"/>
    <col min="9232" max="9232" width="9" style="10" customWidth="1"/>
    <col min="9233" max="9233" width="11.140625" style="10" customWidth="1"/>
    <col min="9234" max="9234" width="9.140625" style="10" customWidth="1"/>
    <col min="9235" max="9235" width="9" style="10" customWidth="1"/>
    <col min="9236" max="9236" width="10.7109375" style="10" customWidth="1"/>
    <col min="9237" max="9237" width="8.5703125" style="10" customWidth="1"/>
    <col min="9238" max="9238" width="9.140625" style="10"/>
    <col min="9239" max="9239" width="10.5703125" style="10" customWidth="1"/>
    <col min="9240" max="9472" width="9.140625" style="10"/>
    <col min="9473" max="9473" width="4.85546875" style="10" customWidth="1"/>
    <col min="9474" max="9474" width="6" style="10" customWidth="1"/>
    <col min="9475" max="9475" width="4.85546875" style="10" customWidth="1"/>
    <col min="9476" max="9476" width="18.28515625" style="10" customWidth="1"/>
    <col min="9477" max="9478" width="8.85546875" style="10" customWidth="1"/>
    <col min="9479" max="9479" width="10.42578125" style="10" customWidth="1"/>
    <col min="9480" max="9480" width="11.85546875" style="10" customWidth="1"/>
    <col min="9481" max="9481" width="8.42578125" style="10" customWidth="1"/>
    <col min="9482" max="9482" width="8.7109375" style="10" customWidth="1"/>
    <col min="9483" max="9483" width="10.7109375" style="10" customWidth="1"/>
    <col min="9484" max="9485" width="8.7109375" style="10" customWidth="1"/>
    <col min="9486" max="9486" width="10.42578125" style="10" customWidth="1"/>
    <col min="9487" max="9487" width="8.85546875" style="10" customWidth="1"/>
    <col min="9488" max="9488" width="9" style="10" customWidth="1"/>
    <col min="9489" max="9489" width="11.140625" style="10" customWidth="1"/>
    <col min="9490" max="9490" width="9.140625" style="10" customWidth="1"/>
    <col min="9491" max="9491" width="9" style="10" customWidth="1"/>
    <col min="9492" max="9492" width="10.7109375" style="10" customWidth="1"/>
    <col min="9493" max="9493" width="8.5703125" style="10" customWidth="1"/>
    <col min="9494" max="9494" width="9.140625" style="10"/>
    <col min="9495" max="9495" width="10.5703125" style="10" customWidth="1"/>
    <col min="9496" max="9728" width="9.140625" style="10"/>
    <col min="9729" max="9729" width="4.85546875" style="10" customWidth="1"/>
    <col min="9730" max="9730" width="6" style="10" customWidth="1"/>
    <col min="9731" max="9731" width="4.85546875" style="10" customWidth="1"/>
    <col min="9732" max="9732" width="18.28515625" style="10" customWidth="1"/>
    <col min="9733" max="9734" width="8.85546875" style="10" customWidth="1"/>
    <col min="9735" max="9735" width="10.42578125" style="10" customWidth="1"/>
    <col min="9736" max="9736" width="11.85546875" style="10" customWidth="1"/>
    <col min="9737" max="9737" width="8.42578125" style="10" customWidth="1"/>
    <col min="9738" max="9738" width="8.7109375" style="10" customWidth="1"/>
    <col min="9739" max="9739" width="10.7109375" style="10" customWidth="1"/>
    <col min="9740" max="9741" width="8.7109375" style="10" customWidth="1"/>
    <col min="9742" max="9742" width="10.42578125" style="10" customWidth="1"/>
    <col min="9743" max="9743" width="8.85546875" style="10" customWidth="1"/>
    <col min="9744" max="9744" width="9" style="10" customWidth="1"/>
    <col min="9745" max="9745" width="11.140625" style="10" customWidth="1"/>
    <col min="9746" max="9746" width="9.140625" style="10" customWidth="1"/>
    <col min="9747" max="9747" width="9" style="10" customWidth="1"/>
    <col min="9748" max="9748" width="10.7109375" style="10" customWidth="1"/>
    <col min="9749" max="9749" width="8.5703125" style="10" customWidth="1"/>
    <col min="9750" max="9750" width="9.140625" style="10"/>
    <col min="9751" max="9751" width="10.5703125" style="10" customWidth="1"/>
    <col min="9752" max="9984" width="9.140625" style="10"/>
    <col min="9985" max="9985" width="4.85546875" style="10" customWidth="1"/>
    <col min="9986" max="9986" width="6" style="10" customWidth="1"/>
    <col min="9987" max="9987" width="4.85546875" style="10" customWidth="1"/>
    <col min="9988" max="9988" width="18.28515625" style="10" customWidth="1"/>
    <col min="9989" max="9990" width="8.85546875" style="10" customWidth="1"/>
    <col min="9991" max="9991" width="10.42578125" style="10" customWidth="1"/>
    <col min="9992" max="9992" width="11.85546875" style="10" customWidth="1"/>
    <col min="9993" max="9993" width="8.42578125" style="10" customWidth="1"/>
    <col min="9994" max="9994" width="8.7109375" style="10" customWidth="1"/>
    <col min="9995" max="9995" width="10.7109375" style="10" customWidth="1"/>
    <col min="9996" max="9997" width="8.7109375" style="10" customWidth="1"/>
    <col min="9998" max="9998" width="10.42578125" style="10" customWidth="1"/>
    <col min="9999" max="9999" width="8.85546875" style="10" customWidth="1"/>
    <col min="10000" max="10000" width="9" style="10" customWidth="1"/>
    <col min="10001" max="10001" width="11.140625" style="10" customWidth="1"/>
    <col min="10002" max="10002" width="9.140625" style="10" customWidth="1"/>
    <col min="10003" max="10003" width="9" style="10" customWidth="1"/>
    <col min="10004" max="10004" width="10.7109375" style="10" customWidth="1"/>
    <col min="10005" max="10005" width="8.5703125" style="10" customWidth="1"/>
    <col min="10006" max="10006" width="9.140625" style="10"/>
    <col min="10007" max="10007" width="10.5703125" style="10" customWidth="1"/>
    <col min="10008" max="10240" width="9.140625" style="10"/>
    <col min="10241" max="10241" width="4.85546875" style="10" customWidth="1"/>
    <col min="10242" max="10242" width="6" style="10" customWidth="1"/>
    <col min="10243" max="10243" width="4.85546875" style="10" customWidth="1"/>
    <col min="10244" max="10244" width="18.28515625" style="10" customWidth="1"/>
    <col min="10245" max="10246" width="8.85546875" style="10" customWidth="1"/>
    <col min="10247" max="10247" width="10.42578125" style="10" customWidth="1"/>
    <col min="10248" max="10248" width="11.85546875" style="10" customWidth="1"/>
    <col min="10249" max="10249" width="8.42578125" style="10" customWidth="1"/>
    <col min="10250" max="10250" width="8.7109375" style="10" customWidth="1"/>
    <col min="10251" max="10251" width="10.7109375" style="10" customWidth="1"/>
    <col min="10252" max="10253" width="8.7109375" style="10" customWidth="1"/>
    <col min="10254" max="10254" width="10.42578125" style="10" customWidth="1"/>
    <col min="10255" max="10255" width="8.85546875" style="10" customWidth="1"/>
    <col min="10256" max="10256" width="9" style="10" customWidth="1"/>
    <col min="10257" max="10257" width="11.140625" style="10" customWidth="1"/>
    <col min="10258" max="10258" width="9.140625" style="10" customWidth="1"/>
    <col min="10259" max="10259" width="9" style="10" customWidth="1"/>
    <col min="10260" max="10260" width="10.7109375" style="10" customWidth="1"/>
    <col min="10261" max="10261" width="8.5703125" style="10" customWidth="1"/>
    <col min="10262" max="10262" width="9.140625" style="10"/>
    <col min="10263" max="10263" width="10.5703125" style="10" customWidth="1"/>
    <col min="10264" max="10496" width="9.140625" style="10"/>
    <col min="10497" max="10497" width="4.85546875" style="10" customWidth="1"/>
    <col min="10498" max="10498" width="6" style="10" customWidth="1"/>
    <col min="10499" max="10499" width="4.85546875" style="10" customWidth="1"/>
    <col min="10500" max="10500" width="18.28515625" style="10" customWidth="1"/>
    <col min="10501" max="10502" width="8.85546875" style="10" customWidth="1"/>
    <col min="10503" max="10503" width="10.42578125" style="10" customWidth="1"/>
    <col min="10504" max="10504" width="11.85546875" style="10" customWidth="1"/>
    <col min="10505" max="10505" width="8.42578125" style="10" customWidth="1"/>
    <col min="10506" max="10506" width="8.7109375" style="10" customWidth="1"/>
    <col min="10507" max="10507" width="10.7109375" style="10" customWidth="1"/>
    <col min="10508" max="10509" width="8.7109375" style="10" customWidth="1"/>
    <col min="10510" max="10510" width="10.42578125" style="10" customWidth="1"/>
    <col min="10511" max="10511" width="8.85546875" style="10" customWidth="1"/>
    <col min="10512" max="10512" width="9" style="10" customWidth="1"/>
    <col min="10513" max="10513" width="11.140625" style="10" customWidth="1"/>
    <col min="10514" max="10514" width="9.140625" style="10" customWidth="1"/>
    <col min="10515" max="10515" width="9" style="10" customWidth="1"/>
    <col min="10516" max="10516" width="10.7109375" style="10" customWidth="1"/>
    <col min="10517" max="10517" width="8.5703125" style="10" customWidth="1"/>
    <col min="10518" max="10518" width="9.140625" style="10"/>
    <col min="10519" max="10519" width="10.5703125" style="10" customWidth="1"/>
    <col min="10520" max="10752" width="9.140625" style="10"/>
    <col min="10753" max="10753" width="4.85546875" style="10" customWidth="1"/>
    <col min="10754" max="10754" width="6" style="10" customWidth="1"/>
    <col min="10755" max="10755" width="4.85546875" style="10" customWidth="1"/>
    <col min="10756" max="10756" width="18.28515625" style="10" customWidth="1"/>
    <col min="10757" max="10758" width="8.85546875" style="10" customWidth="1"/>
    <col min="10759" max="10759" width="10.42578125" style="10" customWidth="1"/>
    <col min="10760" max="10760" width="11.85546875" style="10" customWidth="1"/>
    <col min="10761" max="10761" width="8.42578125" style="10" customWidth="1"/>
    <col min="10762" max="10762" width="8.7109375" style="10" customWidth="1"/>
    <col min="10763" max="10763" width="10.7109375" style="10" customWidth="1"/>
    <col min="10764" max="10765" width="8.7109375" style="10" customWidth="1"/>
    <col min="10766" max="10766" width="10.42578125" style="10" customWidth="1"/>
    <col min="10767" max="10767" width="8.85546875" style="10" customWidth="1"/>
    <col min="10768" max="10768" width="9" style="10" customWidth="1"/>
    <col min="10769" max="10769" width="11.140625" style="10" customWidth="1"/>
    <col min="10770" max="10770" width="9.140625" style="10" customWidth="1"/>
    <col min="10771" max="10771" width="9" style="10" customWidth="1"/>
    <col min="10772" max="10772" width="10.7109375" style="10" customWidth="1"/>
    <col min="10773" max="10773" width="8.5703125" style="10" customWidth="1"/>
    <col min="10774" max="10774" width="9.140625" style="10"/>
    <col min="10775" max="10775" width="10.5703125" style="10" customWidth="1"/>
    <col min="10776" max="11008" width="9.140625" style="10"/>
    <col min="11009" max="11009" width="4.85546875" style="10" customWidth="1"/>
    <col min="11010" max="11010" width="6" style="10" customWidth="1"/>
    <col min="11011" max="11011" width="4.85546875" style="10" customWidth="1"/>
    <col min="11012" max="11012" width="18.28515625" style="10" customWidth="1"/>
    <col min="11013" max="11014" width="8.85546875" style="10" customWidth="1"/>
    <col min="11015" max="11015" width="10.42578125" style="10" customWidth="1"/>
    <col min="11016" max="11016" width="11.85546875" style="10" customWidth="1"/>
    <col min="11017" max="11017" width="8.42578125" style="10" customWidth="1"/>
    <col min="11018" max="11018" width="8.7109375" style="10" customWidth="1"/>
    <col min="11019" max="11019" width="10.7109375" style="10" customWidth="1"/>
    <col min="11020" max="11021" width="8.7109375" style="10" customWidth="1"/>
    <col min="11022" max="11022" width="10.42578125" style="10" customWidth="1"/>
    <col min="11023" max="11023" width="8.85546875" style="10" customWidth="1"/>
    <col min="11024" max="11024" width="9" style="10" customWidth="1"/>
    <col min="11025" max="11025" width="11.140625" style="10" customWidth="1"/>
    <col min="11026" max="11026" width="9.140625" style="10" customWidth="1"/>
    <col min="11027" max="11027" width="9" style="10" customWidth="1"/>
    <col min="11028" max="11028" width="10.7109375" style="10" customWidth="1"/>
    <col min="11029" max="11029" width="8.5703125" style="10" customWidth="1"/>
    <col min="11030" max="11030" width="9.140625" style="10"/>
    <col min="11031" max="11031" width="10.5703125" style="10" customWidth="1"/>
    <col min="11032" max="11264" width="9.140625" style="10"/>
    <col min="11265" max="11265" width="4.85546875" style="10" customWidth="1"/>
    <col min="11266" max="11266" width="6" style="10" customWidth="1"/>
    <col min="11267" max="11267" width="4.85546875" style="10" customWidth="1"/>
    <col min="11268" max="11268" width="18.28515625" style="10" customWidth="1"/>
    <col min="11269" max="11270" width="8.85546875" style="10" customWidth="1"/>
    <col min="11271" max="11271" width="10.42578125" style="10" customWidth="1"/>
    <col min="11272" max="11272" width="11.85546875" style="10" customWidth="1"/>
    <col min="11273" max="11273" width="8.42578125" style="10" customWidth="1"/>
    <col min="11274" max="11274" width="8.7109375" style="10" customWidth="1"/>
    <col min="11275" max="11275" width="10.7109375" style="10" customWidth="1"/>
    <col min="11276" max="11277" width="8.7109375" style="10" customWidth="1"/>
    <col min="11278" max="11278" width="10.42578125" style="10" customWidth="1"/>
    <col min="11279" max="11279" width="8.85546875" style="10" customWidth="1"/>
    <col min="11280" max="11280" width="9" style="10" customWidth="1"/>
    <col min="11281" max="11281" width="11.140625" style="10" customWidth="1"/>
    <col min="11282" max="11282" width="9.140625" style="10" customWidth="1"/>
    <col min="11283" max="11283" width="9" style="10" customWidth="1"/>
    <col min="11284" max="11284" width="10.7109375" style="10" customWidth="1"/>
    <col min="11285" max="11285" width="8.5703125" style="10" customWidth="1"/>
    <col min="11286" max="11286" width="9.140625" style="10"/>
    <col min="11287" max="11287" width="10.5703125" style="10" customWidth="1"/>
    <col min="11288" max="11520" width="9.140625" style="10"/>
    <col min="11521" max="11521" width="4.85546875" style="10" customWidth="1"/>
    <col min="11522" max="11522" width="6" style="10" customWidth="1"/>
    <col min="11523" max="11523" width="4.85546875" style="10" customWidth="1"/>
    <col min="11524" max="11524" width="18.28515625" style="10" customWidth="1"/>
    <col min="11525" max="11526" width="8.85546875" style="10" customWidth="1"/>
    <col min="11527" max="11527" width="10.42578125" style="10" customWidth="1"/>
    <col min="11528" max="11528" width="11.85546875" style="10" customWidth="1"/>
    <col min="11529" max="11529" width="8.42578125" style="10" customWidth="1"/>
    <col min="11530" max="11530" width="8.7109375" style="10" customWidth="1"/>
    <col min="11531" max="11531" width="10.7109375" style="10" customWidth="1"/>
    <col min="11532" max="11533" width="8.7109375" style="10" customWidth="1"/>
    <col min="11534" max="11534" width="10.42578125" style="10" customWidth="1"/>
    <col min="11535" max="11535" width="8.85546875" style="10" customWidth="1"/>
    <col min="11536" max="11536" width="9" style="10" customWidth="1"/>
    <col min="11537" max="11537" width="11.140625" style="10" customWidth="1"/>
    <col min="11538" max="11538" width="9.140625" style="10" customWidth="1"/>
    <col min="11539" max="11539" width="9" style="10" customWidth="1"/>
    <col min="11540" max="11540" width="10.7109375" style="10" customWidth="1"/>
    <col min="11541" max="11541" width="8.5703125" style="10" customWidth="1"/>
    <col min="11542" max="11542" width="9.140625" style="10"/>
    <col min="11543" max="11543" width="10.5703125" style="10" customWidth="1"/>
    <col min="11544" max="11776" width="9.140625" style="10"/>
    <col min="11777" max="11777" width="4.85546875" style="10" customWidth="1"/>
    <col min="11778" max="11778" width="6" style="10" customWidth="1"/>
    <col min="11779" max="11779" width="4.85546875" style="10" customWidth="1"/>
    <col min="11780" max="11780" width="18.28515625" style="10" customWidth="1"/>
    <col min="11781" max="11782" width="8.85546875" style="10" customWidth="1"/>
    <col min="11783" max="11783" width="10.42578125" style="10" customWidth="1"/>
    <col min="11784" max="11784" width="11.85546875" style="10" customWidth="1"/>
    <col min="11785" max="11785" width="8.42578125" style="10" customWidth="1"/>
    <col min="11786" max="11786" width="8.7109375" style="10" customWidth="1"/>
    <col min="11787" max="11787" width="10.7109375" style="10" customWidth="1"/>
    <col min="11788" max="11789" width="8.7109375" style="10" customWidth="1"/>
    <col min="11790" max="11790" width="10.42578125" style="10" customWidth="1"/>
    <col min="11791" max="11791" width="8.85546875" style="10" customWidth="1"/>
    <col min="11792" max="11792" width="9" style="10" customWidth="1"/>
    <col min="11793" max="11793" width="11.140625" style="10" customWidth="1"/>
    <col min="11794" max="11794" width="9.140625" style="10" customWidth="1"/>
    <col min="11795" max="11795" width="9" style="10" customWidth="1"/>
    <col min="11796" max="11796" width="10.7109375" style="10" customWidth="1"/>
    <col min="11797" max="11797" width="8.5703125" style="10" customWidth="1"/>
    <col min="11798" max="11798" width="9.140625" style="10"/>
    <col min="11799" max="11799" width="10.5703125" style="10" customWidth="1"/>
    <col min="11800" max="12032" width="9.140625" style="10"/>
    <col min="12033" max="12033" width="4.85546875" style="10" customWidth="1"/>
    <col min="12034" max="12034" width="6" style="10" customWidth="1"/>
    <col min="12035" max="12035" width="4.85546875" style="10" customWidth="1"/>
    <col min="12036" max="12036" width="18.28515625" style="10" customWidth="1"/>
    <col min="12037" max="12038" width="8.85546875" style="10" customWidth="1"/>
    <col min="12039" max="12039" width="10.42578125" style="10" customWidth="1"/>
    <col min="12040" max="12040" width="11.85546875" style="10" customWidth="1"/>
    <col min="12041" max="12041" width="8.42578125" style="10" customWidth="1"/>
    <col min="12042" max="12042" width="8.7109375" style="10" customWidth="1"/>
    <col min="12043" max="12043" width="10.7109375" style="10" customWidth="1"/>
    <col min="12044" max="12045" width="8.7109375" style="10" customWidth="1"/>
    <col min="12046" max="12046" width="10.42578125" style="10" customWidth="1"/>
    <col min="12047" max="12047" width="8.85546875" style="10" customWidth="1"/>
    <col min="12048" max="12048" width="9" style="10" customWidth="1"/>
    <col min="12049" max="12049" width="11.140625" style="10" customWidth="1"/>
    <col min="12050" max="12050" width="9.140625" style="10" customWidth="1"/>
    <col min="12051" max="12051" width="9" style="10" customWidth="1"/>
    <col min="12052" max="12052" width="10.7109375" style="10" customWidth="1"/>
    <col min="12053" max="12053" width="8.5703125" style="10" customWidth="1"/>
    <col min="12054" max="12054" width="9.140625" style="10"/>
    <col min="12055" max="12055" width="10.5703125" style="10" customWidth="1"/>
    <col min="12056" max="12288" width="9.140625" style="10"/>
    <col min="12289" max="12289" width="4.85546875" style="10" customWidth="1"/>
    <col min="12290" max="12290" width="6" style="10" customWidth="1"/>
    <col min="12291" max="12291" width="4.85546875" style="10" customWidth="1"/>
    <col min="12292" max="12292" width="18.28515625" style="10" customWidth="1"/>
    <col min="12293" max="12294" width="8.85546875" style="10" customWidth="1"/>
    <col min="12295" max="12295" width="10.42578125" style="10" customWidth="1"/>
    <col min="12296" max="12296" width="11.85546875" style="10" customWidth="1"/>
    <col min="12297" max="12297" width="8.42578125" style="10" customWidth="1"/>
    <col min="12298" max="12298" width="8.7109375" style="10" customWidth="1"/>
    <col min="12299" max="12299" width="10.7109375" style="10" customWidth="1"/>
    <col min="12300" max="12301" width="8.7109375" style="10" customWidth="1"/>
    <col min="12302" max="12302" width="10.42578125" style="10" customWidth="1"/>
    <col min="12303" max="12303" width="8.85546875" style="10" customWidth="1"/>
    <col min="12304" max="12304" width="9" style="10" customWidth="1"/>
    <col min="12305" max="12305" width="11.140625" style="10" customWidth="1"/>
    <col min="12306" max="12306" width="9.140625" style="10" customWidth="1"/>
    <col min="12307" max="12307" width="9" style="10" customWidth="1"/>
    <col min="12308" max="12308" width="10.7109375" style="10" customWidth="1"/>
    <col min="12309" max="12309" width="8.5703125" style="10" customWidth="1"/>
    <col min="12310" max="12310" width="9.140625" style="10"/>
    <col min="12311" max="12311" width="10.5703125" style="10" customWidth="1"/>
    <col min="12312" max="12544" width="9.140625" style="10"/>
    <col min="12545" max="12545" width="4.85546875" style="10" customWidth="1"/>
    <col min="12546" max="12546" width="6" style="10" customWidth="1"/>
    <col min="12547" max="12547" width="4.85546875" style="10" customWidth="1"/>
    <col min="12548" max="12548" width="18.28515625" style="10" customWidth="1"/>
    <col min="12549" max="12550" width="8.85546875" style="10" customWidth="1"/>
    <col min="12551" max="12551" width="10.42578125" style="10" customWidth="1"/>
    <col min="12552" max="12552" width="11.85546875" style="10" customWidth="1"/>
    <col min="12553" max="12553" width="8.42578125" style="10" customWidth="1"/>
    <col min="12554" max="12554" width="8.7109375" style="10" customWidth="1"/>
    <col min="12555" max="12555" width="10.7109375" style="10" customWidth="1"/>
    <col min="12556" max="12557" width="8.7109375" style="10" customWidth="1"/>
    <col min="12558" max="12558" width="10.42578125" style="10" customWidth="1"/>
    <col min="12559" max="12559" width="8.85546875" style="10" customWidth="1"/>
    <col min="12560" max="12560" width="9" style="10" customWidth="1"/>
    <col min="12561" max="12561" width="11.140625" style="10" customWidth="1"/>
    <col min="12562" max="12562" width="9.140625" style="10" customWidth="1"/>
    <col min="12563" max="12563" width="9" style="10" customWidth="1"/>
    <col min="12564" max="12564" width="10.7109375" style="10" customWidth="1"/>
    <col min="12565" max="12565" width="8.5703125" style="10" customWidth="1"/>
    <col min="12566" max="12566" width="9.140625" style="10"/>
    <col min="12567" max="12567" width="10.5703125" style="10" customWidth="1"/>
    <col min="12568" max="12800" width="9.140625" style="10"/>
    <col min="12801" max="12801" width="4.85546875" style="10" customWidth="1"/>
    <col min="12802" max="12802" width="6" style="10" customWidth="1"/>
    <col min="12803" max="12803" width="4.85546875" style="10" customWidth="1"/>
    <col min="12804" max="12804" width="18.28515625" style="10" customWidth="1"/>
    <col min="12805" max="12806" width="8.85546875" style="10" customWidth="1"/>
    <col min="12807" max="12807" width="10.42578125" style="10" customWidth="1"/>
    <col min="12808" max="12808" width="11.85546875" style="10" customWidth="1"/>
    <col min="12809" max="12809" width="8.42578125" style="10" customWidth="1"/>
    <col min="12810" max="12810" width="8.7109375" style="10" customWidth="1"/>
    <col min="12811" max="12811" width="10.7109375" style="10" customWidth="1"/>
    <col min="12812" max="12813" width="8.7109375" style="10" customWidth="1"/>
    <col min="12814" max="12814" width="10.42578125" style="10" customWidth="1"/>
    <col min="12815" max="12815" width="8.85546875" style="10" customWidth="1"/>
    <col min="12816" max="12816" width="9" style="10" customWidth="1"/>
    <col min="12817" max="12817" width="11.140625" style="10" customWidth="1"/>
    <col min="12818" max="12818" width="9.140625" style="10" customWidth="1"/>
    <col min="12819" max="12819" width="9" style="10" customWidth="1"/>
    <col min="12820" max="12820" width="10.7109375" style="10" customWidth="1"/>
    <col min="12821" max="12821" width="8.5703125" style="10" customWidth="1"/>
    <col min="12822" max="12822" width="9.140625" style="10"/>
    <col min="12823" max="12823" width="10.5703125" style="10" customWidth="1"/>
    <col min="12824" max="13056" width="9.140625" style="10"/>
    <col min="13057" max="13057" width="4.85546875" style="10" customWidth="1"/>
    <col min="13058" max="13058" width="6" style="10" customWidth="1"/>
    <col min="13059" max="13059" width="4.85546875" style="10" customWidth="1"/>
    <col min="13060" max="13060" width="18.28515625" style="10" customWidth="1"/>
    <col min="13061" max="13062" width="8.85546875" style="10" customWidth="1"/>
    <col min="13063" max="13063" width="10.42578125" style="10" customWidth="1"/>
    <col min="13064" max="13064" width="11.85546875" style="10" customWidth="1"/>
    <col min="13065" max="13065" width="8.42578125" style="10" customWidth="1"/>
    <col min="13066" max="13066" width="8.7109375" style="10" customWidth="1"/>
    <col min="13067" max="13067" width="10.7109375" style="10" customWidth="1"/>
    <col min="13068" max="13069" width="8.7109375" style="10" customWidth="1"/>
    <col min="13070" max="13070" width="10.42578125" style="10" customWidth="1"/>
    <col min="13071" max="13071" width="8.85546875" style="10" customWidth="1"/>
    <col min="13072" max="13072" width="9" style="10" customWidth="1"/>
    <col min="13073" max="13073" width="11.140625" style="10" customWidth="1"/>
    <col min="13074" max="13074" width="9.140625" style="10" customWidth="1"/>
    <col min="13075" max="13075" width="9" style="10" customWidth="1"/>
    <col min="13076" max="13076" width="10.7109375" style="10" customWidth="1"/>
    <col min="13077" max="13077" width="8.5703125" style="10" customWidth="1"/>
    <col min="13078" max="13078" width="9.140625" style="10"/>
    <col min="13079" max="13079" width="10.5703125" style="10" customWidth="1"/>
    <col min="13080" max="13312" width="9.140625" style="10"/>
    <col min="13313" max="13313" width="4.85546875" style="10" customWidth="1"/>
    <col min="13314" max="13314" width="6" style="10" customWidth="1"/>
    <col min="13315" max="13315" width="4.85546875" style="10" customWidth="1"/>
    <col min="13316" max="13316" width="18.28515625" style="10" customWidth="1"/>
    <col min="13317" max="13318" width="8.85546875" style="10" customWidth="1"/>
    <col min="13319" max="13319" width="10.42578125" style="10" customWidth="1"/>
    <col min="13320" max="13320" width="11.85546875" style="10" customWidth="1"/>
    <col min="13321" max="13321" width="8.42578125" style="10" customWidth="1"/>
    <col min="13322" max="13322" width="8.7109375" style="10" customWidth="1"/>
    <col min="13323" max="13323" width="10.7109375" style="10" customWidth="1"/>
    <col min="13324" max="13325" width="8.7109375" style="10" customWidth="1"/>
    <col min="13326" max="13326" width="10.42578125" style="10" customWidth="1"/>
    <col min="13327" max="13327" width="8.85546875" style="10" customWidth="1"/>
    <col min="13328" max="13328" width="9" style="10" customWidth="1"/>
    <col min="13329" max="13329" width="11.140625" style="10" customWidth="1"/>
    <col min="13330" max="13330" width="9.140625" style="10" customWidth="1"/>
    <col min="13331" max="13331" width="9" style="10" customWidth="1"/>
    <col min="13332" max="13332" width="10.7109375" style="10" customWidth="1"/>
    <col min="13333" max="13333" width="8.5703125" style="10" customWidth="1"/>
    <col min="13334" max="13334" width="9.140625" style="10"/>
    <col min="13335" max="13335" width="10.5703125" style="10" customWidth="1"/>
    <col min="13336" max="13568" width="9.140625" style="10"/>
    <col min="13569" max="13569" width="4.85546875" style="10" customWidth="1"/>
    <col min="13570" max="13570" width="6" style="10" customWidth="1"/>
    <col min="13571" max="13571" width="4.85546875" style="10" customWidth="1"/>
    <col min="13572" max="13572" width="18.28515625" style="10" customWidth="1"/>
    <col min="13573" max="13574" width="8.85546875" style="10" customWidth="1"/>
    <col min="13575" max="13575" width="10.42578125" style="10" customWidth="1"/>
    <col min="13576" max="13576" width="11.85546875" style="10" customWidth="1"/>
    <col min="13577" max="13577" width="8.42578125" style="10" customWidth="1"/>
    <col min="13578" max="13578" width="8.7109375" style="10" customWidth="1"/>
    <col min="13579" max="13579" width="10.7109375" style="10" customWidth="1"/>
    <col min="13580" max="13581" width="8.7109375" style="10" customWidth="1"/>
    <col min="13582" max="13582" width="10.42578125" style="10" customWidth="1"/>
    <col min="13583" max="13583" width="8.85546875" style="10" customWidth="1"/>
    <col min="13584" max="13584" width="9" style="10" customWidth="1"/>
    <col min="13585" max="13585" width="11.140625" style="10" customWidth="1"/>
    <col min="13586" max="13586" width="9.140625" style="10" customWidth="1"/>
    <col min="13587" max="13587" width="9" style="10" customWidth="1"/>
    <col min="13588" max="13588" width="10.7109375" style="10" customWidth="1"/>
    <col min="13589" max="13589" width="8.5703125" style="10" customWidth="1"/>
    <col min="13590" max="13590" width="9.140625" style="10"/>
    <col min="13591" max="13591" width="10.5703125" style="10" customWidth="1"/>
    <col min="13592" max="13824" width="9.140625" style="10"/>
    <col min="13825" max="13825" width="4.85546875" style="10" customWidth="1"/>
    <col min="13826" max="13826" width="6" style="10" customWidth="1"/>
    <col min="13827" max="13827" width="4.85546875" style="10" customWidth="1"/>
    <col min="13828" max="13828" width="18.28515625" style="10" customWidth="1"/>
    <col min="13829" max="13830" width="8.85546875" style="10" customWidth="1"/>
    <col min="13831" max="13831" width="10.42578125" style="10" customWidth="1"/>
    <col min="13832" max="13832" width="11.85546875" style="10" customWidth="1"/>
    <col min="13833" max="13833" width="8.42578125" style="10" customWidth="1"/>
    <col min="13834" max="13834" width="8.7109375" style="10" customWidth="1"/>
    <col min="13835" max="13835" width="10.7109375" style="10" customWidth="1"/>
    <col min="13836" max="13837" width="8.7109375" style="10" customWidth="1"/>
    <col min="13838" max="13838" width="10.42578125" style="10" customWidth="1"/>
    <col min="13839" max="13839" width="8.85546875" style="10" customWidth="1"/>
    <col min="13840" max="13840" width="9" style="10" customWidth="1"/>
    <col min="13841" max="13841" width="11.140625" style="10" customWidth="1"/>
    <col min="13842" max="13842" width="9.140625" style="10" customWidth="1"/>
    <col min="13843" max="13843" width="9" style="10" customWidth="1"/>
    <col min="13844" max="13844" width="10.7109375" style="10" customWidth="1"/>
    <col min="13845" max="13845" width="8.5703125" style="10" customWidth="1"/>
    <col min="13846" max="13846" width="9.140625" style="10"/>
    <col min="13847" max="13847" width="10.5703125" style="10" customWidth="1"/>
    <col min="13848" max="14080" width="9.140625" style="10"/>
    <col min="14081" max="14081" width="4.85546875" style="10" customWidth="1"/>
    <col min="14082" max="14082" width="6" style="10" customWidth="1"/>
    <col min="14083" max="14083" width="4.85546875" style="10" customWidth="1"/>
    <col min="14084" max="14084" width="18.28515625" style="10" customWidth="1"/>
    <col min="14085" max="14086" width="8.85546875" style="10" customWidth="1"/>
    <col min="14087" max="14087" width="10.42578125" style="10" customWidth="1"/>
    <col min="14088" max="14088" width="11.85546875" style="10" customWidth="1"/>
    <col min="14089" max="14089" width="8.42578125" style="10" customWidth="1"/>
    <col min="14090" max="14090" width="8.7109375" style="10" customWidth="1"/>
    <col min="14091" max="14091" width="10.7109375" style="10" customWidth="1"/>
    <col min="14092" max="14093" width="8.7109375" style="10" customWidth="1"/>
    <col min="14094" max="14094" width="10.42578125" style="10" customWidth="1"/>
    <col min="14095" max="14095" width="8.85546875" style="10" customWidth="1"/>
    <col min="14096" max="14096" width="9" style="10" customWidth="1"/>
    <col min="14097" max="14097" width="11.140625" style="10" customWidth="1"/>
    <col min="14098" max="14098" width="9.140625" style="10" customWidth="1"/>
    <col min="14099" max="14099" width="9" style="10" customWidth="1"/>
    <col min="14100" max="14100" width="10.7109375" style="10" customWidth="1"/>
    <col min="14101" max="14101" width="8.5703125" style="10" customWidth="1"/>
    <col min="14102" max="14102" width="9.140625" style="10"/>
    <col min="14103" max="14103" width="10.5703125" style="10" customWidth="1"/>
    <col min="14104" max="14336" width="9.140625" style="10"/>
    <col min="14337" max="14337" width="4.85546875" style="10" customWidth="1"/>
    <col min="14338" max="14338" width="6" style="10" customWidth="1"/>
    <col min="14339" max="14339" width="4.85546875" style="10" customWidth="1"/>
    <col min="14340" max="14340" width="18.28515625" style="10" customWidth="1"/>
    <col min="14341" max="14342" width="8.85546875" style="10" customWidth="1"/>
    <col min="14343" max="14343" width="10.42578125" style="10" customWidth="1"/>
    <col min="14344" max="14344" width="11.85546875" style="10" customWidth="1"/>
    <col min="14345" max="14345" width="8.42578125" style="10" customWidth="1"/>
    <col min="14346" max="14346" width="8.7109375" style="10" customWidth="1"/>
    <col min="14347" max="14347" width="10.7109375" style="10" customWidth="1"/>
    <col min="14348" max="14349" width="8.7109375" style="10" customWidth="1"/>
    <col min="14350" max="14350" width="10.42578125" style="10" customWidth="1"/>
    <col min="14351" max="14351" width="8.85546875" style="10" customWidth="1"/>
    <col min="14352" max="14352" width="9" style="10" customWidth="1"/>
    <col min="14353" max="14353" width="11.140625" style="10" customWidth="1"/>
    <col min="14354" max="14354" width="9.140625" style="10" customWidth="1"/>
    <col min="14355" max="14355" width="9" style="10" customWidth="1"/>
    <col min="14356" max="14356" width="10.7109375" style="10" customWidth="1"/>
    <col min="14357" max="14357" width="8.5703125" style="10" customWidth="1"/>
    <col min="14358" max="14358" width="9.140625" style="10"/>
    <col min="14359" max="14359" width="10.5703125" style="10" customWidth="1"/>
    <col min="14360" max="14592" width="9.140625" style="10"/>
    <col min="14593" max="14593" width="4.85546875" style="10" customWidth="1"/>
    <col min="14594" max="14594" width="6" style="10" customWidth="1"/>
    <col min="14595" max="14595" width="4.85546875" style="10" customWidth="1"/>
    <col min="14596" max="14596" width="18.28515625" style="10" customWidth="1"/>
    <col min="14597" max="14598" width="8.85546875" style="10" customWidth="1"/>
    <col min="14599" max="14599" width="10.42578125" style="10" customWidth="1"/>
    <col min="14600" max="14600" width="11.85546875" style="10" customWidth="1"/>
    <col min="14601" max="14601" width="8.42578125" style="10" customWidth="1"/>
    <col min="14602" max="14602" width="8.7109375" style="10" customWidth="1"/>
    <col min="14603" max="14603" width="10.7109375" style="10" customWidth="1"/>
    <col min="14604" max="14605" width="8.7109375" style="10" customWidth="1"/>
    <col min="14606" max="14606" width="10.42578125" style="10" customWidth="1"/>
    <col min="14607" max="14607" width="8.85546875" style="10" customWidth="1"/>
    <col min="14608" max="14608" width="9" style="10" customWidth="1"/>
    <col min="14609" max="14609" width="11.140625" style="10" customWidth="1"/>
    <col min="14610" max="14610" width="9.140625" style="10" customWidth="1"/>
    <col min="14611" max="14611" width="9" style="10" customWidth="1"/>
    <col min="14612" max="14612" width="10.7109375" style="10" customWidth="1"/>
    <col min="14613" max="14613" width="8.5703125" style="10" customWidth="1"/>
    <col min="14614" max="14614" width="9.140625" style="10"/>
    <col min="14615" max="14615" width="10.5703125" style="10" customWidth="1"/>
    <col min="14616" max="14848" width="9.140625" style="10"/>
    <col min="14849" max="14849" width="4.85546875" style="10" customWidth="1"/>
    <col min="14850" max="14850" width="6" style="10" customWidth="1"/>
    <col min="14851" max="14851" width="4.85546875" style="10" customWidth="1"/>
    <col min="14852" max="14852" width="18.28515625" style="10" customWidth="1"/>
    <col min="14853" max="14854" width="8.85546875" style="10" customWidth="1"/>
    <col min="14855" max="14855" width="10.42578125" style="10" customWidth="1"/>
    <col min="14856" max="14856" width="11.85546875" style="10" customWidth="1"/>
    <col min="14857" max="14857" width="8.42578125" style="10" customWidth="1"/>
    <col min="14858" max="14858" width="8.7109375" style="10" customWidth="1"/>
    <col min="14859" max="14859" width="10.7109375" style="10" customWidth="1"/>
    <col min="14860" max="14861" width="8.7109375" style="10" customWidth="1"/>
    <col min="14862" max="14862" width="10.42578125" style="10" customWidth="1"/>
    <col min="14863" max="14863" width="8.85546875" style="10" customWidth="1"/>
    <col min="14864" max="14864" width="9" style="10" customWidth="1"/>
    <col min="14865" max="14865" width="11.140625" style="10" customWidth="1"/>
    <col min="14866" max="14866" width="9.140625" style="10" customWidth="1"/>
    <col min="14867" max="14867" width="9" style="10" customWidth="1"/>
    <col min="14868" max="14868" width="10.7109375" style="10" customWidth="1"/>
    <col min="14869" max="14869" width="8.5703125" style="10" customWidth="1"/>
    <col min="14870" max="14870" width="9.140625" style="10"/>
    <col min="14871" max="14871" width="10.5703125" style="10" customWidth="1"/>
    <col min="14872" max="15104" width="9.140625" style="10"/>
    <col min="15105" max="15105" width="4.85546875" style="10" customWidth="1"/>
    <col min="15106" max="15106" width="6" style="10" customWidth="1"/>
    <col min="15107" max="15107" width="4.85546875" style="10" customWidth="1"/>
    <col min="15108" max="15108" width="18.28515625" style="10" customWidth="1"/>
    <col min="15109" max="15110" width="8.85546875" style="10" customWidth="1"/>
    <col min="15111" max="15111" width="10.42578125" style="10" customWidth="1"/>
    <col min="15112" max="15112" width="11.85546875" style="10" customWidth="1"/>
    <col min="15113" max="15113" width="8.42578125" style="10" customWidth="1"/>
    <col min="15114" max="15114" width="8.7109375" style="10" customWidth="1"/>
    <col min="15115" max="15115" width="10.7109375" style="10" customWidth="1"/>
    <col min="15116" max="15117" width="8.7109375" style="10" customWidth="1"/>
    <col min="15118" max="15118" width="10.42578125" style="10" customWidth="1"/>
    <col min="15119" max="15119" width="8.85546875" style="10" customWidth="1"/>
    <col min="15120" max="15120" width="9" style="10" customWidth="1"/>
    <col min="15121" max="15121" width="11.140625" style="10" customWidth="1"/>
    <col min="15122" max="15122" width="9.140625" style="10" customWidth="1"/>
    <col min="15123" max="15123" width="9" style="10" customWidth="1"/>
    <col min="15124" max="15124" width="10.7109375" style="10" customWidth="1"/>
    <col min="15125" max="15125" width="8.5703125" style="10" customWidth="1"/>
    <col min="15126" max="15126" width="9.140625" style="10"/>
    <col min="15127" max="15127" width="10.5703125" style="10" customWidth="1"/>
    <col min="15128" max="15360" width="9.140625" style="10"/>
    <col min="15361" max="15361" width="4.85546875" style="10" customWidth="1"/>
    <col min="15362" max="15362" width="6" style="10" customWidth="1"/>
    <col min="15363" max="15363" width="4.85546875" style="10" customWidth="1"/>
    <col min="15364" max="15364" width="18.28515625" style="10" customWidth="1"/>
    <col min="15365" max="15366" width="8.85546875" style="10" customWidth="1"/>
    <col min="15367" max="15367" width="10.42578125" style="10" customWidth="1"/>
    <col min="15368" max="15368" width="11.85546875" style="10" customWidth="1"/>
    <col min="15369" max="15369" width="8.42578125" style="10" customWidth="1"/>
    <col min="15370" max="15370" width="8.7109375" style="10" customWidth="1"/>
    <col min="15371" max="15371" width="10.7109375" style="10" customWidth="1"/>
    <col min="15372" max="15373" width="8.7109375" style="10" customWidth="1"/>
    <col min="15374" max="15374" width="10.42578125" style="10" customWidth="1"/>
    <col min="15375" max="15375" width="8.85546875" style="10" customWidth="1"/>
    <col min="15376" max="15376" width="9" style="10" customWidth="1"/>
    <col min="15377" max="15377" width="11.140625" style="10" customWidth="1"/>
    <col min="15378" max="15378" width="9.140625" style="10" customWidth="1"/>
    <col min="15379" max="15379" width="9" style="10" customWidth="1"/>
    <col min="15380" max="15380" width="10.7109375" style="10" customWidth="1"/>
    <col min="15381" max="15381" width="8.5703125" style="10" customWidth="1"/>
    <col min="15382" max="15382" width="9.140625" style="10"/>
    <col min="15383" max="15383" width="10.5703125" style="10" customWidth="1"/>
    <col min="15384" max="15616" width="9.140625" style="10"/>
    <col min="15617" max="15617" width="4.85546875" style="10" customWidth="1"/>
    <col min="15618" max="15618" width="6" style="10" customWidth="1"/>
    <col min="15619" max="15619" width="4.85546875" style="10" customWidth="1"/>
    <col min="15620" max="15620" width="18.28515625" style="10" customWidth="1"/>
    <col min="15621" max="15622" width="8.85546875" style="10" customWidth="1"/>
    <col min="15623" max="15623" width="10.42578125" style="10" customWidth="1"/>
    <col min="15624" max="15624" width="11.85546875" style="10" customWidth="1"/>
    <col min="15625" max="15625" width="8.42578125" style="10" customWidth="1"/>
    <col min="15626" max="15626" width="8.7109375" style="10" customWidth="1"/>
    <col min="15627" max="15627" width="10.7109375" style="10" customWidth="1"/>
    <col min="15628" max="15629" width="8.7109375" style="10" customWidth="1"/>
    <col min="15630" max="15630" width="10.42578125" style="10" customWidth="1"/>
    <col min="15631" max="15631" width="8.85546875" style="10" customWidth="1"/>
    <col min="15632" max="15632" width="9" style="10" customWidth="1"/>
    <col min="15633" max="15633" width="11.140625" style="10" customWidth="1"/>
    <col min="15634" max="15634" width="9.140625" style="10" customWidth="1"/>
    <col min="15635" max="15635" width="9" style="10" customWidth="1"/>
    <col min="15636" max="15636" width="10.7109375" style="10" customWidth="1"/>
    <col min="15637" max="15637" width="8.5703125" style="10" customWidth="1"/>
    <col min="15638" max="15638" width="9.140625" style="10"/>
    <col min="15639" max="15639" width="10.5703125" style="10" customWidth="1"/>
    <col min="15640" max="15872" width="9.140625" style="10"/>
    <col min="15873" max="15873" width="4.85546875" style="10" customWidth="1"/>
    <col min="15874" max="15874" width="6" style="10" customWidth="1"/>
    <col min="15875" max="15875" width="4.85546875" style="10" customWidth="1"/>
    <col min="15876" max="15876" width="18.28515625" style="10" customWidth="1"/>
    <col min="15877" max="15878" width="8.85546875" style="10" customWidth="1"/>
    <col min="15879" max="15879" width="10.42578125" style="10" customWidth="1"/>
    <col min="15880" max="15880" width="11.85546875" style="10" customWidth="1"/>
    <col min="15881" max="15881" width="8.42578125" style="10" customWidth="1"/>
    <col min="15882" max="15882" width="8.7109375" style="10" customWidth="1"/>
    <col min="15883" max="15883" width="10.7109375" style="10" customWidth="1"/>
    <col min="15884" max="15885" width="8.7109375" style="10" customWidth="1"/>
    <col min="15886" max="15886" width="10.42578125" style="10" customWidth="1"/>
    <col min="15887" max="15887" width="8.85546875" style="10" customWidth="1"/>
    <col min="15888" max="15888" width="9" style="10" customWidth="1"/>
    <col min="15889" max="15889" width="11.140625" style="10" customWidth="1"/>
    <col min="15890" max="15890" width="9.140625" style="10" customWidth="1"/>
    <col min="15891" max="15891" width="9" style="10" customWidth="1"/>
    <col min="15892" max="15892" width="10.7109375" style="10" customWidth="1"/>
    <col min="15893" max="15893" width="8.5703125" style="10" customWidth="1"/>
    <col min="15894" max="15894" width="9.140625" style="10"/>
    <col min="15895" max="15895" width="10.5703125" style="10" customWidth="1"/>
    <col min="15896" max="16128" width="9.140625" style="10"/>
    <col min="16129" max="16129" width="4.85546875" style="10" customWidth="1"/>
    <col min="16130" max="16130" width="6" style="10" customWidth="1"/>
    <col min="16131" max="16131" width="4.85546875" style="10" customWidth="1"/>
    <col min="16132" max="16132" width="18.28515625" style="10" customWidth="1"/>
    <col min="16133" max="16134" width="8.85546875" style="10" customWidth="1"/>
    <col min="16135" max="16135" width="10.42578125" style="10" customWidth="1"/>
    <col min="16136" max="16136" width="11.85546875" style="10" customWidth="1"/>
    <col min="16137" max="16137" width="8.42578125" style="10" customWidth="1"/>
    <col min="16138" max="16138" width="8.7109375" style="10" customWidth="1"/>
    <col min="16139" max="16139" width="10.7109375" style="10" customWidth="1"/>
    <col min="16140" max="16141" width="8.7109375" style="10" customWidth="1"/>
    <col min="16142" max="16142" width="10.42578125" style="10" customWidth="1"/>
    <col min="16143" max="16143" width="8.85546875" style="10" customWidth="1"/>
    <col min="16144" max="16144" width="9" style="10" customWidth="1"/>
    <col min="16145" max="16145" width="11.140625" style="10" customWidth="1"/>
    <col min="16146" max="16146" width="9.140625" style="10" customWidth="1"/>
    <col min="16147" max="16147" width="9" style="10" customWidth="1"/>
    <col min="16148" max="16148" width="10.7109375" style="10" customWidth="1"/>
    <col min="16149" max="16149" width="8.5703125" style="10" customWidth="1"/>
    <col min="16150" max="16150" width="9.140625" style="10"/>
    <col min="16151" max="16151" width="10.5703125" style="10" customWidth="1"/>
    <col min="16152" max="16384" width="9.140625" style="10"/>
  </cols>
  <sheetData>
    <row r="1" spans="1:12" ht="27" customHeight="1" thickBot="1">
      <c r="A1" s="680" t="s">
        <v>62</v>
      </c>
      <c r="B1" s="681"/>
      <c r="C1" s="681"/>
      <c r="D1" s="682"/>
      <c r="E1" s="114" t="s">
        <v>231</v>
      </c>
      <c r="F1" s="115" t="s">
        <v>62</v>
      </c>
      <c r="G1" s="145" t="s">
        <v>64</v>
      </c>
      <c r="H1" s="145" t="s">
        <v>65</v>
      </c>
      <c r="I1" s="145" t="s">
        <v>66</v>
      </c>
      <c r="J1" s="145" t="s">
        <v>65</v>
      </c>
      <c r="K1" s="145" t="s">
        <v>67</v>
      </c>
      <c r="L1" s="146" t="s">
        <v>65</v>
      </c>
    </row>
    <row r="2" spans="1:12">
      <c r="A2" s="683" t="s">
        <v>68</v>
      </c>
      <c r="B2" s="684"/>
      <c r="C2" s="684"/>
      <c r="D2" s="685"/>
      <c r="E2" s="116" t="s">
        <v>69</v>
      </c>
      <c r="F2" s="117"/>
      <c r="G2" s="22"/>
      <c r="H2" s="22"/>
      <c r="I2" s="22"/>
      <c r="J2" s="22"/>
      <c r="K2" s="22"/>
      <c r="L2" s="118"/>
    </row>
    <row r="3" spans="1:12">
      <c r="A3" s="677" t="s">
        <v>70</v>
      </c>
      <c r="B3" s="678"/>
      <c r="C3" s="678"/>
      <c r="D3" s="679"/>
      <c r="E3" s="119" t="s">
        <v>71</v>
      </c>
      <c r="F3" s="120"/>
      <c r="G3" s="11"/>
      <c r="H3" s="11"/>
      <c r="I3" s="11"/>
      <c r="J3" s="11"/>
      <c r="K3" s="11"/>
      <c r="L3" s="121"/>
    </row>
    <row r="4" spans="1:12">
      <c r="A4" s="677" t="s">
        <v>72</v>
      </c>
      <c r="B4" s="678"/>
      <c r="C4" s="678"/>
      <c r="D4" s="679"/>
      <c r="E4" s="119" t="s">
        <v>71</v>
      </c>
      <c r="F4" s="120"/>
      <c r="G4" s="11"/>
      <c r="H4" s="11"/>
      <c r="I4" s="11"/>
      <c r="J4" s="11"/>
      <c r="K4" s="11"/>
      <c r="L4" s="121"/>
    </row>
    <row r="5" spans="1:12">
      <c r="A5" s="677" t="s">
        <v>73</v>
      </c>
      <c r="B5" s="678"/>
      <c r="C5" s="678"/>
      <c r="D5" s="679"/>
      <c r="E5" s="119" t="s">
        <v>71</v>
      </c>
      <c r="F5" s="12"/>
      <c r="G5" s="11"/>
      <c r="H5" s="11"/>
      <c r="I5" s="11"/>
      <c r="J5" s="11"/>
      <c r="K5" s="11"/>
      <c r="L5" s="121"/>
    </row>
    <row r="6" spans="1:12">
      <c r="A6" s="677" t="s">
        <v>74</v>
      </c>
      <c r="B6" s="678"/>
      <c r="C6" s="678"/>
      <c r="D6" s="679"/>
      <c r="E6" s="119" t="s">
        <v>75</v>
      </c>
      <c r="F6" s="120"/>
      <c r="G6" s="11"/>
      <c r="H6" s="11"/>
      <c r="I6" s="11"/>
      <c r="J6" s="11"/>
      <c r="K6" s="11"/>
      <c r="L6" s="121"/>
    </row>
    <row r="7" spans="1:12">
      <c r="A7" s="677" t="s">
        <v>76</v>
      </c>
      <c r="B7" s="678"/>
      <c r="C7" s="678"/>
      <c r="D7" s="679"/>
      <c r="E7" s="119" t="s">
        <v>77</v>
      </c>
      <c r="F7" s="120"/>
      <c r="G7" s="11"/>
      <c r="H7" s="11"/>
      <c r="I7" s="11"/>
      <c r="J7" s="11"/>
      <c r="K7" s="11"/>
      <c r="L7" s="121"/>
    </row>
    <row r="8" spans="1:12">
      <c r="A8" s="677" t="s">
        <v>78</v>
      </c>
      <c r="B8" s="678"/>
      <c r="C8" s="678"/>
      <c r="D8" s="679"/>
      <c r="E8" s="119" t="s">
        <v>79</v>
      </c>
      <c r="F8" s="120"/>
      <c r="G8" s="11"/>
      <c r="H8" s="11"/>
      <c r="I8" s="11"/>
      <c r="J8" s="11"/>
      <c r="K8" s="11"/>
      <c r="L8" s="121"/>
    </row>
    <row r="9" spans="1:12">
      <c r="A9" s="677" t="s">
        <v>80</v>
      </c>
      <c r="B9" s="678"/>
      <c r="C9" s="678"/>
      <c r="D9" s="679"/>
      <c r="E9" s="119" t="s">
        <v>81</v>
      </c>
      <c r="F9" s="12"/>
      <c r="G9" s="11"/>
      <c r="H9" s="11"/>
      <c r="I9" s="11"/>
      <c r="J9" s="11"/>
      <c r="K9" s="11"/>
      <c r="L9" s="121"/>
    </row>
    <row r="10" spans="1:12">
      <c r="A10" s="677" t="s">
        <v>82</v>
      </c>
      <c r="B10" s="678"/>
      <c r="C10" s="678"/>
      <c r="D10" s="679"/>
      <c r="E10" s="119" t="s">
        <v>83</v>
      </c>
      <c r="F10" s="12"/>
      <c r="G10" s="11"/>
      <c r="H10" s="11"/>
      <c r="I10" s="11"/>
      <c r="J10" s="11"/>
      <c r="K10" s="11"/>
      <c r="L10" s="121"/>
    </row>
    <row r="11" spans="1:12">
      <c r="A11" s="677" t="s">
        <v>84</v>
      </c>
      <c r="B11" s="678"/>
      <c r="C11" s="678"/>
      <c r="D11" s="679"/>
      <c r="E11" s="119" t="s">
        <v>85</v>
      </c>
      <c r="F11" s="12"/>
      <c r="G11" s="11"/>
      <c r="H11" s="11"/>
      <c r="I11" s="11"/>
      <c r="J11" s="11"/>
      <c r="K11" s="11"/>
      <c r="L11" s="121"/>
    </row>
    <row r="12" spans="1:12">
      <c r="A12" s="677" t="s">
        <v>86</v>
      </c>
      <c r="B12" s="678"/>
      <c r="C12" s="678"/>
      <c r="D12" s="679"/>
      <c r="E12" s="119" t="s">
        <v>87</v>
      </c>
      <c r="F12" s="12"/>
      <c r="G12" s="11"/>
      <c r="H12" s="11"/>
      <c r="I12" s="11"/>
      <c r="J12" s="11"/>
      <c r="K12" s="11"/>
      <c r="L12" s="121"/>
    </row>
    <row r="13" spans="1:12">
      <c r="A13" s="677" t="s">
        <v>88</v>
      </c>
      <c r="B13" s="678"/>
      <c r="C13" s="678"/>
      <c r="D13" s="679"/>
      <c r="E13" s="119" t="s">
        <v>89</v>
      </c>
      <c r="F13" s="12"/>
      <c r="G13" s="11"/>
      <c r="H13" s="11"/>
      <c r="I13" s="11"/>
      <c r="J13" s="11"/>
      <c r="K13" s="11"/>
      <c r="L13" s="121"/>
    </row>
    <row r="14" spans="1:12">
      <c r="A14" s="677" t="s">
        <v>90</v>
      </c>
      <c r="B14" s="678"/>
      <c r="C14" s="678"/>
      <c r="D14" s="679"/>
      <c r="E14" s="119" t="s">
        <v>91</v>
      </c>
      <c r="F14" s="12"/>
      <c r="G14" s="11"/>
      <c r="H14" s="11"/>
      <c r="I14" s="11"/>
      <c r="J14" s="11"/>
      <c r="K14" s="11"/>
      <c r="L14" s="121"/>
    </row>
    <row r="15" spans="1:12">
      <c r="A15" s="677" t="s">
        <v>92</v>
      </c>
      <c r="B15" s="678"/>
      <c r="C15" s="678"/>
      <c r="D15" s="679"/>
      <c r="E15" s="119" t="s">
        <v>93</v>
      </c>
      <c r="F15" s="12"/>
      <c r="G15" s="11"/>
      <c r="H15" s="11"/>
      <c r="I15" s="11"/>
      <c r="J15" s="11"/>
      <c r="K15" s="11"/>
      <c r="L15" s="121"/>
    </row>
    <row r="16" spans="1:12" ht="15.75" thickBot="1">
      <c r="A16" s="686" t="s">
        <v>94</v>
      </c>
      <c r="B16" s="687"/>
      <c r="C16" s="687"/>
      <c r="D16" s="688"/>
      <c r="E16" s="122" t="s">
        <v>95</v>
      </c>
      <c r="F16" s="20"/>
      <c r="G16" s="16"/>
      <c r="H16" s="16"/>
      <c r="I16" s="16"/>
      <c r="J16" s="16"/>
      <c r="K16" s="16"/>
      <c r="L16" s="123"/>
    </row>
    <row r="17" spans="1:52" ht="15.75" thickBot="1"/>
    <row r="18" spans="1:52" ht="18.75">
      <c r="A18" s="689" t="s">
        <v>63</v>
      </c>
      <c r="B18" s="691" t="s">
        <v>96</v>
      </c>
      <c r="C18" s="693" t="s">
        <v>97</v>
      </c>
      <c r="D18" s="695" t="s">
        <v>98</v>
      </c>
      <c r="E18" s="697" t="s">
        <v>99</v>
      </c>
      <c r="F18" s="698"/>
      <c r="G18" s="698"/>
      <c r="H18" s="699"/>
      <c r="I18" s="700" t="s">
        <v>100</v>
      </c>
      <c r="J18" s="701"/>
      <c r="K18" s="702"/>
      <c r="L18" s="703" t="s">
        <v>101</v>
      </c>
      <c r="M18" s="704"/>
      <c r="N18" s="704"/>
      <c r="O18" s="703" t="s">
        <v>102</v>
      </c>
      <c r="P18" s="704"/>
      <c r="Q18" s="705"/>
      <c r="R18" s="706" t="s">
        <v>103</v>
      </c>
      <c r="S18" s="707"/>
      <c r="T18" s="708"/>
      <c r="U18" s="711" t="s">
        <v>340</v>
      </c>
      <c r="V18" s="707"/>
      <c r="W18" s="708"/>
      <c r="X18" s="204"/>
      <c r="Y18" s="205"/>
      <c r="Z18" s="205"/>
      <c r="AA18" s="205"/>
      <c r="AB18" s="205"/>
      <c r="AC18" s="205"/>
      <c r="AD18" s="205"/>
      <c r="AE18" s="709" t="s">
        <v>546</v>
      </c>
      <c r="AF18" s="710"/>
      <c r="AG18" s="709" t="s">
        <v>547</v>
      </c>
      <c r="AH18" s="710"/>
      <c r="AZ18" s="691" t="s">
        <v>96</v>
      </c>
    </row>
    <row r="19" spans="1:52" ht="15.75" thickBot="1">
      <c r="A19" s="690"/>
      <c r="B19" s="692"/>
      <c r="C19" s="694"/>
      <c r="D19" s="696"/>
      <c r="E19" s="124" t="s">
        <v>104</v>
      </c>
      <c r="F19" s="125" t="s">
        <v>341</v>
      </c>
      <c r="G19" s="126" t="s">
        <v>105</v>
      </c>
      <c r="H19" s="127" t="s">
        <v>106</v>
      </c>
      <c r="I19" s="124" t="s">
        <v>104</v>
      </c>
      <c r="J19" s="125" t="s">
        <v>341</v>
      </c>
      <c r="K19" s="127" t="s">
        <v>105</v>
      </c>
      <c r="L19" s="124" t="s">
        <v>104</v>
      </c>
      <c r="M19" s="125" t="s">
        <v>341</v>
      </c>
      <c r="N19" s="127" t="s">
        <v>105</v>
      </c>
      <c r="O19" s="124" t="s">
        <v>104</v>
      </c>
      <c r="P19" s="125" t="s">
        <v>341</v>
      </c>
      <c r="Q19" s="127" t="s">
        <v>105</v>
      </c>
      <c r="R19" s="124" t="s">
        <v>104</v>
      </c>
      <c r="S19" s="125" t="s">
        <v>341</v>
      </c>
      <c r="T19" s="128" t="s">
        <v>105</v>
      </c>
      <c r="U19" s="124" t="s">
        <v>104</v>
      </c>
      <c r="V19" s="125" t="s">
        <v>341</v>
      </c>
      <c r="W19" s="128" t="s">
        <v>105</v>
      </c>
      <c r="AZ19" s="692"/>
    </row>
    <row r="20" spans="1:52" s="58" customFormat="1">
      <c r="A20" s="159" t="s">
        <v>69</v>
      </c>
      <c r="B20" s="160" t="s">
        <v>107</v>
      </c>
      <c r="C20" s="161" t="s">
        <v>108</v>
      </c>
      <c r="D20" s="24" t="s">
        <v>564</v>
      </c>
      <c r="E20" s="212"/>
      <c r="F20" s="213"/>
      <c r="G20" s="214"/>
      <c r="H20" s="215"/>
      <c r="I20" s="59"/>
      <c r="J20" s="60"/>
      <c r="K20" s="61"/>
      <c r="L20" s="216"/>
      <c r="M20" s="217"/>
      <c r="N20" s="218"/>
      <c r="O20" s="162"/>
      <c r="P20" s="64"/>
      <c r="Q20" s="57"/>
      <c r="R20" s="212"/>
      <c r="S20" s="213"/>
      <c r="T20" s="219"/>
      <c r="U20" s="212"/>
      <c r="V20" s="213"/>
      <c r="W20" s="219"/>
      <c r="Y20" s="57" t="str">
        <f>IF(E20="x","C10, ","")&amp;IF(E20="2x","C10, ","")&amp;IF(E20="xo","C10, ","")&amp;IF(E20="xw","C10, ","")&amp;IF(E20="xwo","C10, ","")&amp;IF(E20="xow","C10, ","")&amp;IF(E20="x2","C10, ","")</f>
        <v/>
      </c>
      <c r="Z20" s="220"/>
      <c r="AA20" s="58" t="str">
        <f>CONCATENATE(Y20,Z20)</f>
        <v/>
      </c>
      <c r="AE20" s="58">
        <v>3000</v>
      </c>
      <c r="AF20" s="58">
        <v>2000</v>
      </c>
      <c r="AZ20" s="160" t="s">
        <v>107</v>
      </c>
    </row>
    <row r="21" spans="1:52" s="58" customFormat="1">
      <c r="A21" s="135" t="s">
        <v>69</v>
      </c>
      <c r="B21" s="57" t="s">
        <v>109</v>
      </c>
      <c r="C21" s="27" t="s">
        <v>110</v>
      </c>
      <c r="D21" s="14" t="s">
        <v>565</v>
      </c>
      <c r="E21" s="59"/>
      <c r="F21" s="60"/>
      <c r="G21" s="61"/>
      <c r="H21" s="62"/>
      <c r="I21" s="63"/>
      <c r="J21" s="64"/>
      <c r="K21" s="57"/>
      <c r="L21" s="162"/>
      <c r="M21" s="64"/>
      <c r="N21" s="57"/>
      <c r="O21" s="63"/>
      <c r="P21" s="64"/>
      <c r="Q21" s="57"/>
      <c r="R21" s="69"/>
      <c r="S21" s="64"/>
      <c r="T21" s="57"/>
      <c r="U21" s="69"/>
      <c r="V21" s="64"/>
      <c r="W21" s="57"/>
      <c r="Y21" s="57" t="str">
        <f>IF(E21="x","C12, ","")&amp;IF(E21="2x","C12, ","")&amp;IF(E21="xo","C12, ","")&amp;IF(E21="xw","C12, ","")&amp;IF(E21="xow","C12, ","")&amp;IF(E21="xwo","C12, ","")</f>
        <v/>
      </c>
      <c r="Z21" s="220"/>
      <c r="AA21" s="58" t="str">
        <f t="shared" ref="AA21:AA78" si="0">CONCATENATE(Y21,Z21)</f>
        <v/>
      </c>
      <c r="AE21" s="58">
        <v>3000</v>
      </c>
      <c r="AF21" s="58">
        <v>2000</v>
      </c>
      <c r="AZ21" s="57" t="s">
        <v>109</v>
      </c>
    </row>
    <row r="22" spans="1:52" s="58" customFormat="1">
      <c r="A22" s="135" t="s">
        <v>71</v>
      </c>
      <c r="B22" s="57" t="s">
        <v>111</v>
      </c>
      <c r="C22" s="27" t="s">
        <v>112</v>
      </c>
      <c r="D22" s="14" t="s">
        <v>566</v>
      </c>
      <c r="E22" s="162"/>
      <c r="F22" s="64"/>
      <c r="G22" s="65"/>
      <c r="H22" s="62"/>
      <c r="I22" s="63"/>
      <c r="J22" s="64"/>
      <c r="K22" s="57"/>
      <c r="L22" s="162"/>
      <c r="M22" s="64"/>
      <c r="N22" s="57"/>
      <c r="O22" s="63"/>
      <c r="P22" s="64"/>
      <c r="Q22" s="57"/>
      <c r="R22" s="63"/>
      <c r="S22" s="64"/>
      <c r="T22" s="57"/>
      <c r="U22" s="63"/>
      <c r="V22" s="64"/>
      <c r="W22" s="57"/>
      <c r="Y22" s="57" t="str">
        <f>IF(E22="x","O22, ","")&amp;IF(E22="2x","O22, ","")&amp;IF(E22="xo","O22, ","")&amp;IF(E22="xw","O22, ","")&amp;IF(E22="xow","O22, ","")&amp;IF(E22="xwo","O22, ","")&amp;IF(E22="x2","O22, ","")</f>
        <v/>
      </c>
      <c r="Z22" s="220" t="str">
        <f>IF(Y22="O22, ","M35, ","")</f>
        <v/>
      </c>
      <c r="AA22" s="58" t="str">
        <f t="shared" si="0"/>
        <v/>
      </c>
      <c r="AE22" s="58">
        <v>2500</v>
      </c>
      <c r="AF22" s="58">
        <v>1750</v>
      </c>
      <c r="AZ22" s="57" t="s">
        <v>111</v>
      </c>
    </row>
    <row r="23" spans="1:52" s="58" customFormat="1">
      <c r="A23" s="135" t="s">
        <v>71</v>
      </c>
      <c r="B23" s="57" t="s">
        <v>116</v>
      </c>
      <c r="C23" s="27" t="s">
        <v>117</v>
      </c>
      <c r="D23" s="14" t="s">
        <v>118</v>
      </c>
      <c r="E23" s="63"/>
      <c r="F23" s="64"/>
      <c r="G23" s="65"/>
      <c r="H23" s="62"/>
      <c r="I23" s="63"/>
      <c r="J23" s="64"/>
      <c r="K23" s="65"/>
      <c r="L23" s="63"/>
      <c r="M23" s="64"/>
      <c r="N23" s="57"/>
      <c r="O23" s="162"/>
      <c r="P23" s="64"/>
      <c r="Q23" s="57"/>
      <c r="R23" s="63"/>
      <c r="S23" s="64"/>
      <c r="T23" s="57"/>
      <c r="U23" s="63"/>
      <c r="V23" s="64"/>
      <c r="W23" s="57"/>
      <c r="Y23" s="57" t="str">
        <f>IF(E23="x","O20, ","")&amp;IF(E23="2x","O20, ","")&amp;IF(E23="xo","O20, ","")&amp;IF(E23="xw","O20, ","")&amp;IF(E23="xow","O20, ","")&amp;IF(E23="xwo","O20, ","")&amp;IF(E23="x2","O20, ","")</f>
        <v/>
      </c>
      <c r="Z23" s="220" t="str">
        <f>IF(Y23="O20, ","M36, ","")</f>
        <v/>
      </c>
      <c r="AA23" s="58" t="str">
        <f t="shared" si="0"/>
        <v/>
      </c>
      <c r="AE23" s="58">
        <v>1030</v>
      </c>
      <c r="AF23" s="58">
        <v>1200</v>
      </c>
      <c r="AZ23" s="57" t="s">
        <v>116</v>
      </c>
    </row>
    <row r="24" spans="1:52" s="58" customFormat="1">
      <c r="A24" s="135" t="s">
        <v>71</v>
      </c>
      <c r="B24" s="57" t="s">
        <v>119</v>
      </c>
      <c r="C24" s="27" t="s">
        <v>120</v>
      </c>
      <c r="D24" s="14" t="s">
        <v>121</v>
      </c>
      <c r="E24" s="63"/>
      <c r="F24" s="64"/>
      <c r="G24" s="65"/>
      <c r="H24" s="62"/>
      <c r="I24" s="63"/>
      <c r="J24" s="64"/>
      <c r="K24" s="57"/>
      <c r="L24" s="63"/>
      <c r="M24" s="64"/>
      <c r="N24" s="65"/>
      <c r="O24" s="63"/>
      <c r="P24" s="64"/>
      <c r="Q24" s="57"/>
      <c r="R24" s="59"/>
      <c r="S24" s="60"/>
      <c r="T24" s="66"/>
      <c r="U24" s="59"/>
      <c r="V24" s="60"/>
      <c r="W24" s="66"/>
      <c r="Y24" s="57" t="str">
        <f>IF(E24="x","O26, ","")&amp;IF(E24="2x","O26, ","")&amp;IF(E24="xo","O26, ","")&amp;IF(E24="xw","O26, ","")&amp;IF(E24="xwo","O26, ","")&amp;IF(E24="xow","O26, ","")&amp;IF(E24="x2","O26, ","")</f>
        <v/>
      </c>
      <c r="Z24" s="220" t="str">
        <f>IF(Y24="O26, ","M36, ","")</f>
        <v/>
      </c>
      <c r="AA24" s="58" t="str">
        <f t="shared" si="0"/>
        <v/>
      </c>
      <c r="AE24" s="58">
        <v>1950</v>
      </c>
      <c r="AF24" s="58">
        <v>1300</v>
      </c>
      <c r="AZ24" s="57" t="s">
        <v>119</v>
      </c>
    </row>
    <row r="25" spans="1:52" s="58" customFormat="1">
      <c r="A25" s="135" t="s">
        <v>71</v>
      </c>
      <c r="B25" s="57" t="s">
        <v>232</v>
      </c>
      <c r="C25" s="68" t="s">
        <v>233</v>
      </c>
      <c r="D25" s="14" t="s">
        <v>234</v>
      </c>
      <c r="E25" s="63"/>
      <c r="F25" s="64"/>
      <c r="G25" s="65"/>
      <c r="H25" s="62"/>
      <c r="I25" s="63"/>
      <c r="J25" s="64"/>
      <c r="K25" s="57"/>
      <c r="L25" s="63"/>
      <c r="M25" s="64"/>
      <c r="N25" s="57"/>
      <c r="O25" s="63"/>
      <c r="P25" s="64"/>
      <c r="Q25" s="57"/>
      <c r="R25" s="59"/>
      <c r="S25" s="60"/>
      <c r="T25" s="66"/>
      <c r="U25" s="59"/>
      <c r="V25" s="60"/>
      <c r="W25" s="66"/>
      <c r="Y25" s="57" t="str">
        <f>IF(E25="x","O34, ","")&amp;IF(E25="2x","O34, ","")&amp;IF(E25="xo","O34, ","")&amp;IF(E25="xw","O34, ","")&amp;IF(E25="xow","O34, ","")&amp;IF(E25="xwo","O34, ","")&amp;IF(E25="x2","O34, ","")</f>
        <v/>
      </c>
      <c r="Z25" s="220" t="str">
        <f>IF(Y25="O34, ","M37, ","")</f>
        <v/>
      </c>
      <c r="AA25" s="58" t="str">
        <f t="shared" si="0"/>
        <v/>
      </c>
      <c r="AE25" s="58">
        <v>2300</v>
      </c>
      <c r="AF25" s="58">
        <v>1300</v>
      </c>
      <c r="AZ25" s="57" t="s">
        <v>232</v>
      </c>
    </row>
    <row r="26" spans="1:52" s="58" customFormat="1">
      <c r="A26" s="135" t="s">
        <v>71</v>
      </c>
      <c r="B26" s="67" t="s">
        <v>342</v>
      </c>
      <c r="C26" s="68" t="s">
        <v>311</v>
      </c>
      <c r="D26" s="14" t="s">
        <v>343</v>
      </c>
      <c r="E26" s="63"/>
      <c r="F26" s="64"/>
      <c r="G26" s="65"/>
      <c r="H26" s="62"/>
      <c r="I26" s="63"/>
      <c r="J26" s="64"/>
      <c r="K26" s="57"/>
      <c r="L26" s="63"/>
      <c r="M26" s="64"/>
      <c r="N26" s="57"/>
      <c r="O26" s="63"/>
      <c r="P26" s="64"/>
      <c r="Q26" s="65"/>
      <c r="R26" s="59"/>
      <c r="S26" s="60"/>
      <c r="T26" s="66"/>
      <c r="U26" s="59"/>
      <c r="V26" s="60"/>
      <c r="W26" s="66"/>
      <c r="Y26" s="57" t="str">
        <f>IF(E26="x","O36, ","")&amp;IF(E26="2x","O36, ","")&amp;IF(E26="xo","O36, ","")&amp;IF(E26="xw","O36, ","")&amp;IF(E26="xwo","O36, ","")&amp;IF(E26="xow","O36, ","")&amp;IF(E26="x2","O36, ","")</f>
        <v/>
      </c>
      <c r="Z26" s="220" t="str">
        <f>IF(Y26="O36, ","M36, ","")</f>
        <v/>
      </c>
      <c r="AA26" s="58" t="str">
        <f t="shared" si="0"/>
        <v/>
      </c>
      <c r="AE26" s="58">
        <v>2300</v>
      </c>
      <c r="AF26" s="58">
        <v>1300</v>
      </c>
      <c r="AZ26" s="67" t="s">
        <v>342</v>
      </c>
    </row>
    <row r="27" spans="1:52" s="58" customFormat="1">
      <c r="A27" s="135" t="s">
        <v>71</v>
      </c>
      <c r="B27" s="57" t="s">
        <v>122</v>
      </c>
      <c r="C27" s="27" t="s">
        <v>123</v>
      </c>
      <c r="D27" s="14" t="s">
        <v>302</v>
      </c>
      <c r="E27" s="59"/>
      <c r="F27" s="60"/>
      <c r="G27" s="61"/>
      <c r="H27" s="136"/>
      <c r="I27" s="63"/>
      <c r="J27" s="64"/>
      <c r="K27" s="57"/>
      <c r="L27" s="63"/>
      <c r="M27" s="64"/>
      <c r="N27" s="57"/>
      <c r="O27" s="63"/>
      <c r="P27" s="64"/>
      <c r="Q27" s="57"/>
      <c r="R27" s="63"/>
      <c r="S27" s="64"/>
      <c r="T27" s="57"/>
      <c r="U27" s="63"/>
      <c r="V27" s="64"/>
      <c r="W27" s="57"/>
      <c r="Y27" s="57" t="str">
        <f>IF(E27="x","O31, ","")&amp;IF(E27="2x","O31, ","")&amp;IF(E27="xo","O31, ","")&amp;IF(E27="xw","O31, ","")&amp;IF(E27="xow","O31, ","")&amp;IF(E27="xwo","O31, ","")&amp;IF(E27="x2","O31, ","")</f>
        <v/>
      </c>
      <c r="Z27" s="220" t="str">
        <f>IF(Y27="O31, ","M38, ","")</f>
        <v/>
      </c>
      <c r="AA27" s="58" t="str">
        <f t="shared" si="0"/>
        <v/>
      </c>
      <c r="AE27" s="58">
        <v>2500</v>
      </c>
      <c r="AF27" s="58">
        <v>1500</v>
      </c>
      <c r="AZ27" s="57" t="s">
        <v>122</v>
      </c>
    </row>
    <row r="28" spans="1:52" s="58" customFormat="1">
      <c r="A28" s="135" t="s">
        <v>71</v>
      </c>
      <c r="B28" s="57" t="s">
        <v>124</v>
      </c>
      <c r="C28" s="27" t="s">
        <v>125</v>
      </c>
      <c r="D28" s="14" t="s">
        <v>303</v>
      </c>
      <c r="E28" s="59"/>
      <c r="F28" s="60"/>
      <c r="G28" s="61"/>
      <c r="H28" s="62"/>
      <c r="I28" s="63"/>
      <c r="J28" s="64"/>
      <c r="K28" s="57"/>
      <c r="L28" s="63"/>
      <c r="M28" s="64"/>
      <c r="N28" s="57"/>
      <c r="O28" s="63"/>
      <c r="P28" s="64"/>
      <c r="Q28" s="57"/>
      <c r="R28" s="162"/>
      <c r="S28" s="64"/>
      <c r="T28" s="57"/>
      <c r="U28" s="162"/>
      <c r="V28" s="64"/>
      <c r="W28" s="57"/>
      <c r="Y28" s="57" t="str">
        <f>IF(E28="x","O30, ","")&amp;IF(E28="2x","O30, ","")&amp;IF(E28="xo","O30, ","")&amp;IF(E28="xw","O30, ","")&amp;IF(E28="xow","O30, ","")&amp;IF(E28="xwo","O30, ","")&amp;IF(E28="x2","O30, ","")</f>
        <v/>
      </c>
      <c r="Z28" s="220" t="str">
        <f>IF(Y28="O30, ","M38, ","")</f>
        <v/>
      </c>
      <c r="AA28" s="58" t="str">
        <f t="shared" si="0"/>
        <v/>
      </c>
      <c r="AE28" s="58">
        <v>3000</v>
      </c>
      <c r="AF28" s="58">
        <v>1500</v>
      </c>
      <c r="AZ28" s="57" t="s">
        <v>124</v>
      </c>
    </row>
    <row r="29" spans="1:52" s="58" customFormat="1">
      <c r="A29" s="135" t="s">
        <v>71</v>
      </c>
      <c r="B29" s="57" t="s">
        <v>113</v>
      </c>
      <c r="C29" s="27" t="s">
        <v>114</v>
      </c>
      <c r="D29" s="14" t="s">
        <v>115</v>
      </c>
      <c r="E29" s="59"/>
      <c r="F29" s="60"/>
      <c r="G29" s="61"/>
      <c r="H29" s="62"/>
      <c r="I29" s="63"/>
      <c r="J29" s="64"/>
      <c r="K29" s="57"/>
      <c r="L29" s="63"/>
      <c r="M29" s="64"/>
      <c r="N29" s="57"/>
      <c r="O29" s="63"/>
      <c r="P29" s="64"/>
      <c r="Q29" s="57"/>
      <c r="R29" s="63"/>
      <c r="S29" s="64"/>
      <c r="T29" s="57"/>
      <c r="U29" s="63"/>
      <c r="V29" s="64"/>
      <c r="W29" s="57"/>
      <c r="Y29" s="57" t="str">
        <f>IF(E29="x","O23, ","")&amp;IF(E29="2x","O23, ","")&amp;IF(E29="xo","O23, ","")&amp;IF(E29="xw","O23, ","")&amp;IF(E29="xow","O23, ","")&amp;IF(E29="xwo","O23, ","")&amp;IF(E29="x2","O23, ","")</f>
        <v/>
      </c>
      <c r="Z29" s="220" t="str">
        <f>IF(Y29="O23, ","M35, ","")</f>
        <v/>
      </c>
      <c r="AA29" s="58" t="str">
        <f t="shared" si="0"/>
        <v/>
      </c>
      <c r="AE29" s="58">
        <v>1000</v>
      </c>
      <c r="AF29" s="58">
        <v>1000</v>
      </c>
      <c r="AZ29" s="57" t="s">
        <v>113</v>
      </c>
    </row>
    <row r="30" spans="1:52" s="58" customFormat="1">
      <c r="A30" s="135" t="s">
        <v>75</v>
      </c>
      <c r="B30" s="57" t="s">
        <v>126</v>
      </c>
      <c r="C30" s="27" t="s">
        <v>127</v>
      </c>
      <c r="D30" s="14" t="s">
        <v>344</v>
      </c>
      <c r="E30" s="59"/>
      <c r="F30" s="60"/>
      <c r="G30" s="61"/>
      <c r="H30" s="62"/>
      <c r="I30" s="63"/>
      <c r="J30" s="64"/>
      <c r="K30" s="57"/>
      <c r="L30" s="63"/>
      <c r="M30" s="64"/>
      <c r="N30" s="57"/>
      <c r="O30" s="63"/>
      <c r="P30" s="64"/>
      <c r="Q30" s="57"/>
      <c r="R30" s="63"/>
      <c r="S30" s="64"/>
      <c r="T30" s="57"/>
      <c r="U30" s="63"/>
      <c r="V30" s="64"/>
      <c r="W30" s="57"/>
      <c r="Y30" s="57" t="str">
        <f>IF(E30="x","W30, ","")&amp;IF(E30="2x","W30, ","")&amp;IF(E30="xo","W30, ","")&amp;IF(E30="xw","W30, ","")</f>
        <v/>
      </c>
      <c r="Z30" s="220" t="str">
        <f>IF(Y30="W30, ","M37, ","")</f>
        <v/>
      </c>
      <c r="AA30" s="58" t="str">
        <f t="shared" si="0"/>
        <v/>
      </c>
      <c r="AE30" s="58">
        <v>1850</v>
      </c>
      <c r="AF30" s="58">
        <v>1000</v>
      </c>
      <c r="AZ30" s="57" t="s">
        <v>126</v>
      </c>
    </row>
    <row r="31" spans="1:52" s="58" customFormat="1">
      <c r="A31" s="135" t="s">
        <v>75</v>
      </c>
      <c r="B31" s="57" t="s">
        <v>128</v>
      </c>
      <c r="C31" s="27" t="s">
        <v>129</v>
      </c>
      <c r="D31" s="14" t="s">
        <v>345</v>
      </c>
      <c r="E31" s="63"/>
      <c r="F31" s="64"/>
      <c r="G31" s="57"/>
      <c r="H31" s="27"/>
      <c r="I31" s="63"/>
      <c r="J31" s="64"/>
      <c r="K31" s="57"/>
      <c r="L31" s="63"/>
      <c r="M31" s="64"/>
      <c r="N31" s="57"/>
      <c r="O31" s="63"/>
      <c r="P31" s="64"/>
      <c r="Q31" s="57"/>
      <c r="R31" s="63"/>
      <c r="S31" s="64"/>
      <c r="T31" s="57"/>
      <c r="U31" s="63"/>
      <c r="V31" s="64"/>
      <c r="W31" s="57"/>
      <c r="Y31" s="57" t="str">
        <f>IF(E31="x","W31, ","")&amp;IF(E31="2x","W31, ","")&amp;IF(E31="xo","W31, ","")&amp;IF(E31="xw","W31, ","")</f>
        <v/>
      </c>
      <c r="Z31" s="220" t="str">
        <f>IF(Y31="W31, ","M36, ","")</f>
        <v/>
      </c>
      <c r="AA31" s="58" t="str">
        <f t="shared" si="0"/>
        <v/>
      </c>
      <c r="AE31" s="58">
        <v>1800</v>
      </c>
      <c r="AF31" s="58">
        <v>1100</v>
      </c>
      <c r="AZ31" s="57" t="s">
        <v>128</v>
      </c>
    </row>
    <row r="32" spans="1:52" s="58" customFormat="1">
      <c r="A32" s="135" t="s">
        <v>77</v>
      </c>
      <c r="B32" s="57" t="s">
        <v>130</v>
      </c>
      <c r="C32" s="27" t="s">
        <v>131</v>
      </c>
      <c r="D32" s="14" t="s">
        <v>346</v>
      </c>
      <c r="E32" s="63"/>
      <c r="F32" s="64"/>
      <c r="G32" s="57"/>
      <c r="H32" s="27"/>
      <c r="I32" s="63"/>
      <c r="J32" s="64"/>
      <c r="K32" s="57"/>
      <c r="L32" s="63"/>
      <c r="M32" s="64"/>
      <c r="N32" s="57"/>
      <c r="O32" s="63"/>
      <c r="P32" s="64"/>
      <c r="Q32" s="57"/>
      <c r="R32" s="63"/>
      <c r="S32" s="64"/>
      <c r="T32" s="57"/>
      <c r="U32" s="63"/>
      <c r="V32" s="64"/>
      <c r="W32" s="57"/>
      <c r="Y32" s="57" t="str">
        <f>IF(E32="x","S40, ","")&amp;IF(E32="2x","S40, ","")&amp;IF(E32="xo","S40, ","")&amp;IF(E32="xw","S40, ","")&amp;IF(E32="x2","S40, ","")&amp;IF(E32="x3","S40, ","")</f>
        <v/>
      </c>
      <c r="Z32" s="220"/>
      <c r="AA32" s="58" t="str">
        <f t="shared" si="0"/>
        <v/>
      </c>
      <c r="AE32" s="58">
        <v>1250</v>
      </c>
      <c r="AF32" s="58">
        <v>750</v>
      </c>
      <c r="AZ32" s="57" t="s">
        <v>130</v>
      </c>
    </row>
    <row r="33" spans="1:52" s="58" customFormat="1">
      <c r="A33" s="135" t="s">
        <v>77</v>
      </c>
      <c r="B33" s="57" t="s">
        <v>132</v>
      </c>
      <c r="C33" s="27" t="s">
        <v>133</v>
      </c>
      <c r="D33" s="14" t="s">
        <v>567</v>
      </c>
      <c r="E33" s="69"/>
      <c r="F33" s="64"/>
      <c r="G33" s="57"/>
      <c r="H33" s="27"/>
      <c r="I33" s="63"/>
      <c r="J33" s="64"/>
      <c r="K33" s="57"/>
      <c r="L33" s="162"/>
      <c r="M33" s="64"/>
      <c r="N33" s="57"/>
      <c r="O33" s="63"/>
      <c r="P33" s="64"/>
      <c r="Q33" s="57"/>
      <c r="R33" s="63"/>
      <c r="S33" s="64"/>
      <c r="T33" s="57"/>
      <c r="U33" s="63"/>
      <c r="V33" s="64"/>
      <c r="W33" s="57"/>
      <c r="Y33" s="57" t="str">
        <f>IF(E33="x","S42, ","")&amp;IF(E33="2x","S42, ","")&amp;IF(E33="xo","S42, ","")&amp;IF(E33="xw","S42, ","")&amp;IF(E33="x2","S42, ","")&amp;IF(E33="x3","S42, ","")</f>
        <v/>
      </c>
      <c r="Z33" s="220"/>
      <c r="AA33" s="58" t="str">
        <f t="shared" si="0"/>
        <v/>
      </c>
      <c r="AE33" s="58">
        <v>2500</v>
      </c>
      <c r="AF33" s="58">
        <v>1540</v>
      </c>
      <c r="AZ33" s="57" t="s">
        <v>132</v>
      </c>
    </row>
    <row r="34" spans="1:52" s="58" customFormat="1">
      <c r="A34" s="135" t="s">
        <v>79</v>
      </c>
      <c r="B34" s="57" t="s">
        <v>134</v>
      </c>
      <c r="C34" s="27" t="s">
        <v>135</v>
      </c>
      <c r="D34" s="14" t="s">
        <v>136</v>
      </c>
      <c r="E34" s="63"/>
      <c r="F34" s="64"/>
      <c r="G34" s="57"/>
      <c r="H34" s="27"/>
      <c r="I34" s="63"/>
      <c r="J34" s="64"/>
      <c r="K34" s="57"/>
      <c r="L34" s="63"/>
      <c r="M34" s="64"/>
      <c r="N34" s="57"/>
      <c r="O34" s="63"/>
      <c r="P34" s="64"/>
      <c r="Q34" s="57"/>
      <c r="R34" s="63"/>
      <c r="S34" s="64"/>
      <c r="T34" s="57"/>
      <c r="U34" s="63"/>
      <c r="V34" s="64"/>
      <c r="W34" s="57"/>
      <c r="Y34" s="57" t="str">
        <f>IF(E34="x","H50","")&amp;IF(E34="2x","H50","")&amp;IF(E34="xo","H50","")&amp;IF(E34="xw","H50","")</f>
        <v/>
      </c>
      <c r="Z34" s="220"/>
      <c r="AA34" s="58" t="str">
        <f t="shared" si="0"/>
        <v/>
      </c>
      <c r="AE34" s="58">
        <v>1200</v>
      </c>
      <c r="AF34" s="58">
        <v>1700</v>
      </c>
      <c r="AG34" s="58">
        <v>204</v>
      </c>
      <c r="AH34" s="58">
        <v>255</v>
      </c>
      <c r="AZ34" s="57" t="s">
        <v>134</v>
      </c>
    </row>
    <row r="35" spans="1:52" s="58" customFormat="1">
      <c r="A35" s="135" t="s">
        <v>79</v>
      </c>
      <c r="B35" s="57" t="s">
        <v>137</v>
      </c>
      <c r="C35" s="27" t="s">
        <v>138</v>
      </c>
      <c r="D35" s="14" t="s">
        <v>568</v>
      </c>
      <c r="E35" s="162"/>
      <c r="F35" s="64"/>
      <c r="G35" s="57"/>
      <c r="H35" s="27"/>
      <c r="I35" s="63"/>
      <c r="J35" s="64"/>
      <c r="K35" s="57"/>
      <c r="L35" s="162"/>
      <c r="M35" s="64"/>
      <c r="N35" s="57"/>
      <c r="O35" s="63"/>
      <c r="P35" s="64"/>
      <c r="Q35" s="57"/>
      <c r="R35" s="63"/>
      <c r="S35" s="64"/>
      <c r="T35" s="57"/>
      <c r="U35" s="63"/>
      <c r="V35" s="64"/>
      <c r="W35" s="57"/>
      <c r="Y35" s="57" t="str">
        <f>IF(E35="x","H51, ","")&amp;IF(E35="2x","H51","")&amp;IF(E35="xo","H51","")&amp;IF(E35="xw","H51","")</f>
        <v/>
      </c>
      <c r="Z35" s="220"/>
      <c r="AA35" s="58" t="str">
        <f t="shared" si="0"/>
        <v/>
      </c>
      <c r="AE35" s="58">
        <v>3400</v>
      </c>
      <c r="AF35" s="58">
        <v>2400</v>
      </c>
      <c r="AG35" s="58">
        <v>170</v>
      </c>
      <c r="AH35" s="58">
        <v>150</v>
      </c>
      <c r="AZ35" s="57" t="s">
        <v>137</v>
      </c>
    </row>
    <row r="36" spans="1:52" s="58" customFormat="1" ht="15.75" thickBot="1">
      <c r="A36" s="163" t="s">
        <v>81</v>
      </c>
      <c r="B36" s="164" t="s">
        <v>139</v>
      </c>
      <c r="C36" s="17" t="s">
        <v>140</v>
      </c>
      <c r="D36" s="18" t="s">
        <v>347</v>
      </c>
      <c r="E36" s="165"/>
      <c r="F36" s="166"/>
      <c r="G36" s="164"/>
      <c r="H36" s="17"/>
      <c r="I36" s="165"/>
      <c r="J36" s="166"/>
      <c r="K36" s="164"/>
      <c r="L36" s="165"/>
      <c r="M36" s="166"/>
      <c r="N36" s="164"/>
      <c r="O36" s="165"/>
      <c r="P36" s="166"/>
      <c r="Q36" s="164"/>
      <c r="R36" s="165"/>
      <c r="S36" s="166"/>
      <c r="T36" s="164"/>
      <c r="U36" s="165"/>
      <c r="V36" s="166"/>
      <c r="W36" s="164"/>
      <c r="Y36" s="57" t="str">
        <f>IF(E36="x","L60, ","")</f>
        <v/>
      </c>
      <c r="Z36" s="220"/>
      <c r="AA36" s="58" t="str">
        <f t="shared" si="0"/>
        <v/>
      </c>
      <c r="AZ36" s="164" t="s">
        <v>139</v>
      </c>
    </row>
    <row r="37" spans="1:52" s="58" customFormat="1">
      <c r="A37" s="159" t="s">
        <v>69</v>
      </c>
      <c r="B37" s="160" t="s">
        <v>141</v>
      </c>
      <c r="C37" s="161" t="s">
        <v>142</v>
      </c>
      <c r="D37" s="24" t="s">
        <v>143</v>
      </c>
      <c r="E37" s="221"/>
      <c r="F37" s="167"/>
      <c r="G37" s="222"/>
      <c r="H37" s="62"/>
      <c r="I37" s="223"/>
      <c r="J37" s="224"/>
      <c r="K37" s="225"/>
      <c r="L37" s="221"/>
      <c r="M37" s="167"/>
      <c r="N37" s="160"/>
      <c r="O37" s="168"/>
      <c r="P37" s="167"/>
      <c r="Q37" s="160"/>
      <c r="R37" s="168"/>
      <c r="S37" s="167"/>
      <c r="T37" s="160"/>
      <c r="U37" s="168"/>
      <c r="V37" s="167"/>
      <c r="W37" s="160"/>
      <c r="Y37" s="57" t="str">
        <f>IF(E37="x","C13, ","")&amp;IF(E37="2x","C13, ","")&amp;IF(E37="xo","C13, ","")&amp;IF(E37="xw","C13, ","")</f>
        <v/>
      </c>
      <c r="Z37" s="220"/>
      <c r="AA37" s="58" t="str">
        <f t="shared" si="0"/>
        <v/>
      </c>
      <c r="AZ37" s="160" t="s">
        <v>141</v>
      </c>
    </row>
    <row r="38" spans="1:52" s="58" customFormat="1">
      <c r="A38" s="135" t="s">
        <v>69</v>
      </c>
      <c r="B38" s="226" t="s">
        <v>400</v>
      </c>
      <c r="C38" s="169" t="s">
        <v>348</v>
      </c>
      <c r="D38" s="14" t="s">
        <v>349</v>
      </c>
      <c r="E38" s="63"/>
      <c r="F38" s="64"/>
      <c r="G38" s="65"/>
      <c r="H38" s="62"/>
      <c r="I38" s="162"/>
      <c r="J38" s="64"/>
      <c r="K38" s="57"/>
      <c r="L38" s="69"/>
      <c r="M38" s="64"/>
      <c r="N38" s="57"/>
      <c r="O38" s="59"/>
      <c r="P38" s="60"/>
      <c r="Q38" s="66"/>
      <c r="R38" s="63"/>
      <c r="S38" s="64"/>
      <c r="T38" s="57"/>
      <c r="U38" s="63"/>
      <c r="V38" s="64"/>
      <c r="W38" s="57"/>
      <c r="Y38" s="57" t="str">
        <f>IF(E38="x","C14, ","")&amp;IF(E38="2x","C14, ","")&amp;IF(E38="xo","C14, ","")&amp;IF(E38="xw","C14, ","")</f>
        <v/>
      </c>
      <c r="Z38" s="220"/>
      <c r="AA38" s="58" t="str">
        <f t="shared" si="0"/>
        <v/>
      </c>
      <c r="AZ38" s="226" t="s">
        <v>400</v>
      </c>
    </row>
    <row r="39" spans="1:52" s="58" customFormat="1">
      <c r="A39" s="135" t="s">
        <v>71</v>
      </c>
      <c r="B39" s="57" t="s">
        <v>519</v>
      </c>
      <c r="C39" s="27" t="s">
        <v>520</v>
      </c>
      <c r="D39" s="14" t="s">
        <v>521</v>
      </c>
      <c r="E39" s="63"/>
      <c r="F39" s="64"/>
      <c r="G39" s="65"/>
      <c r="H39" s="62"/>
      <c r="I39" s="63"/>
      <c r="J39" s="64"/>
      <c r="K39" s="57"/>
      <c r="L39" s="162"/>
      <c r="M39" s="64"/>
      <c r="N39" s="57"/>
      <c r="O39" s="59"/>
      <c r="P39" s="60"/>
      <c r="Q39" s="66"/>
      <c r="R39" s="162"/>
      <c r="S39" s="64"/>
      <c r="T39" s="57"/>
      <c r="U39" s="63"/>
      <c r="V39" s="64"/>
      <c r="W39" s="57"/>
      <c r="Y39" s="57" t="str">
        <f>IF(E39="x","A16, ","")&amp;IF(E39="2x","A16, ","")&amp;IF(E39="xo","A16, ","")&amp;IF(E39="xw","A16, ","")&amp;IF(E39="xow","A16, ","")&amp;IF(E39="xwo","A16, ","")</f>
        <v/>
      </c>
      <c r="Z39" s="220"/>
      <c r="AA39" s="58" t="str">
        <f t="shared" si="0"/>
        <v/>
      </c>
      <c r="AE39" s="58">
        <v>2550</v>
      </c>
      <c r="AF39" s="58">
        <v>1100</v>
      </c>
      <c r="AG39" s="58">
        <v>390</v>
      </c>
      <c r="AH39" s="58">
        <v>340</v>
      </c>
      <c r="AZ39" s="57" t="s">
        <v>519</v>
      </c>
    </row>
    <row r="40" spans="1:52" s="58" customFormat="1">
      <c r="A40" s="135" t="s">
        <v>71</v>
      </c>
      <c r="B40" s="226" t="s">
        <v>144</v>
      </c>
      <c r="C40" s="169" t="s">
        <v>145</v>
      </c>
      <c r="D40" s="14" t="s">
        <v>304</v>
      </c>
      <c r="E40" s="162"/>
      <c r="F40" s="64"/>
      <c r="G40" s="65"/>
      <c r="H40" s="62"/>
      <c r="I40" s="69"/>
      <c r="J40" s="64"/>
      <c r="K40" s="57"/>
      <c r="L40" s="63"/>
      <c r="M40" s="64"/>
      <c r="N40" s="57"/>
      <c r="O40" s="59"/>
      <c r="P40" s="60"/>
      <c r="Q40" s="66"/>
      <c r="R40" s="59"/>
      <c r="S40" s="60"/>
      <c r="T40" s="66"/>
      <c r="U40" s="59"/>
      <c r="V40" s="60"/>
      <c r="W40" s="66"/>
      <c r="Y40" s="57" t="str">
        <f>IF(E40="x","A17, ","")&amp;IF(E40="2x","A17, ","")&amp;IF(E40="xo","A17, ","")&amp;IF(E40="xw","A17, ","")</f>
        <v/>
      </c>
      <c r="Z40" s="220"/>
      <c r="AA40" s="58" t="str">
        <f t="shared" si="0"/>
        <v/>
      </c>
      <c r="AE40" s="58">
        <v>2350</v>
      </c>
      <c r="AF40" s="58">
        <v>1400</v>
      </c>
      <c r="AG40" s="58">
        <v>550</v>
      </c>
      <c r="AH40" s="58">
        <v>550</v>
      </c>
      <c r="AZ40" s="226" t="s">
        <v>144</v>
      </c>
    </row>
    <row r="41" spans="1:52" s="58" customFormat="1">
      <c r="A41" s="135" t="s">
        <v>71</v>
      </c>
      <c r="B41" s="226" t="s">
        <v>397</v>
      </c>
      <c r="C41" s="169" t="s">
        <v>398</v>
      </c>
      <c r="D41" s="14" t="s">
        <v>399</v>
      </c>
      <c r="E41" s="162"/>
      <c r="F41" s="64"/>
      <c r="G41" s="65"/>
      <c r="H41" s="62"/>
      <c r="I41" s="162"/>
      <c r="J41" s="64"/>
      <c r="K41" s="57"/>
      <c r="L41" s="63"/>
      <c r="M41" s="64"/>
      <c r="N41" s="57"/>
      <c r="O41" s="59"/>
      <c r="P41" s="60"/>
      <c r="Q41" s="66"/>
      <c r="R41" s="63"/>
      <c r="S41" s="64"/>
      <c r="T41" s="57"/>
      <c r="U41" s="162"/>
      <c r="V41" s="64"/>
      <c r="W41" s="57"/>
      <c r="Y41" s="57" t="str">
        <f>IF(E41="x","A18, ","")&amp;IF(E41="2x","A18, ","")&amp;IF(E41="xo","A18, ","")&amp;IF(E41="xw","A18, ","")</f>
        <v/>
      </c>
      <c r="Z41" s="220"/>
      <c r="AA41" s="58" t="str">
        <f t="shared" si="0"/>
        <v/>
      </c>
      <c r="AZ41" s="226" t="s">
        <v>397</v>
      </c>
    </row>
    <row r="42" spans="1:52" s="58" customFormat="1">
      <c r="A42" s="135" t="s">
        <v>71</v>
      </c>
      <c r="B42" s="57" t="s">
        <v>146</v>
      </c>
      <c r="C42" s="27" t="s">
        <v>147</v>
      </c>
      <c r="D42" s="14" t="s">
        <v>305</v>
      </c>
      <c r="E42" s="63"/>
      <c r="F42" s="64"/>
      <c r="G42" s="65"/>
      <c r="H42" s="62"/>
      <c r="I42" s="59"/>
      <c r="J42" s="60"/>
      <c r="K42" s="66"/>
      <c r="L42" s="63"/>
      <c r="M42" s="64"/>
      <c r="N42" s="57"/>
      <c r="O42" s="63"/>
      <c r="P42" s="64"/>
      <c r="Q42" s="57"/>
      <c r="R42" s="63"/>
      <c r="S42" s="64"/>
      <c r="T42" s="57"/>
      <c r="U42" s="63"/>
      <c r="V42" s="64"/>
      <c r="W42" s="57"/>
      <c r="Y42" s="57" t="str">
        <f>IF(E42="x","O29, ","")&amp;IF(E42="2x","O29, ","")&amp;IF(E42="xo","O29, ","")&amp;IF(E42="xw","O29, ","")&amp;IF(E42="x2","O29, ","")&amp;IF(E42="xwo","O29, ","")&amp;IF(E42="xow","O29, ","")</f>
        <v/>
      </c>
      <c r="Z42" s="220" t="str">
        <f>IF(Y42="O29, ","M40, ","")</f>
        <v/>
      </c>
      <c r="AA42" s="58" t="str">
        <f t="shared" si="0"/>
        <v/>
      </c>
      <c r="AE42" s="58">
        <v>3000</v>
      </c>
      <c r="AF42" s="58">
        <v>1800</v>
      </c>
      <c r="AZ42" s="57" t="s">
        <v>146</v>
      </c>
    </row>
    <row r="43" spans="1:52" s="58" customFormat="1">
      <c r="A43" s="135" t="s">
        <v>71</v>
      </c>
      <c r="B43" s="57" t="s">
        <v>148</v>
      </c>
      <c r="C43" s="27" t="s">
        <v>149</v>
      </c>
      <c r="D43" s="14" t="s">
        <v>306</v>
      </c>
      <c r="E43" s="63"/>
      <c r="F43" s="64"/>
      <c r="G43" s="65"/>
      <c r="H43" s="62"/>
      <c r="I43" s="59"/>
      <c r="J43" s="60"/>
      <c r="K43" s="66"/>
      <c r="L43" s="63"/>
      <c r="M43" s="64"/>
      <c r="N43" s="57"/>
      <c r="O43" s="69"/>
      <c r="P43" s="64"/>
      <c r="Q43" s="57"/>
      <c r="R43" s="63"/>
      <c r="S43" s="64"/>
      <c r="T43" s="57"/>
      <c r="U43" s="162"/>
      <c r="V43" s="64"/>
      <c r="W43" s="57"/>
      <c r="Y43" s="57" t="str">
        <f>IF(E43="x","O27, ","")&amp;IF(E43="2x","O27, ","")&amp;IF(E43="xo","O27, ","")&amp;IF(E43="xw","O27, ","")&amp;IF(E43="xow","O27, ","")&amp;IF(E43="xwo","O27, ","")&amp;IF(E43="x2","O27, ","")</f>
        <v/>
      </c>
      <c r="Z43" s="220" t="str">
        <f>IF(Y43="O27, ","M40, ","")</f>
        <v/>
      </c>
      <c r="AA43" s="58" t="str">
        <f t="shared" si="0"/>
        <v/>
      </c>
      <c r="AE43" s="58">
        <v>3000</v>
      </c>
      <c r="AF43" s="58">
        <v>1900</v>
      </c>
      <c r="AZ43" s="57" t="s">
        <v>148</v>
      </c>
    </row>
    <row r="44" spans="1:52" s="58" customFormat="1">
      <c r="A44" s="135" t="s">
        <v>71</v>
      </c>
      <c r="B44" s="67" t="s">
        <v>308</v>
      </c>
      <c r="C44" s="68" t="s">
        <v>309</v>
      </c>
      <c r="D44" s="14" t="s">
        <v>310</v>
      </c>
      <c r="E44" s="63"/>
      <c r="F44" s="64"/>
      <c r="G44" s="65"/>
      <c r="H44" s="62"/>
      <c r="I44" s="59"/>
      <c r="J44" s="60"/>
      <c r="K44" s="66"/>
      <c r="L44" s="63"/>
      <c r="M44" s="64"/>
      <c r="N44" s="57"/>
      <c r="O44" s="63"/>
      <c r="P44" s="64"/>
      <c r="Q44" s="57"/>
      <c r="R44" s="63"/>
      <c r="S44" s="64"/>
      <c r="T44" s="57"/>
      <c r="U44" s="63"/>
      <c r="V44" s="64"/>
      <c r="W44" s="57"/>
      <c r="Y44" s="57" t="str">
        <f>IF(E44="x","O35, ","")&amp;IF(E44="2x","O35, ","")&amp;IF(E44="xo","O35, ","")&amp;IF(E44="xw","O35, ","")&amp;IF(E44="xwo","O35, ","")&amp;IF(E44="xow","O35, ","")</f>
        <v/>
      </c>
      <c r="Z44" s="220" t="str">
        <f>IF(Y44="O35, ","M42, ","")</f>
        <v/>
      </c>
      <c r="AA44" s="58" t="str">
        <f t="shared" si="0"/>
        <v/>
      </c>
      <c r="AE44" s="58">
        <v>3600</v>
      </c>
      <c r="AF44" s="58">
        <v>1900</v>
      </c>
      <c r="AZ44" s="67" t="s">
        <v>308</v>
      </c>
    </row>
    <row r="45" spans="1:52" s="58" customFormat="1">
      <c r="A45" s="135" t="s">
        <v>71</v>
      </c>
      <c r="B45" s="57" t="s">
        <v>150</v>
      </c>
      <c r="C45" s="27" t="s">
        <v>151</v>
      </c>
      <c r="D45" s="14" t="s">
        <v>307</v>
      </c>
      <c r="E45" s="63"/>
      <c r="F45" s="64"/>
      <c r="G45" s="65"/>
      <c r="H45" s="62"/>
      <c r="I45" s="59"/>
      <c r="J45" s="60"/>
      <c r="K45" s="66"/>
      <c r="L45" s="59"/>
      <c r="M45" s="60"/>
      <c r="N45" s="66"/>
      <c r="O45" s="63"/>
      <c r="P45" s="64"/>
      <c r="Q45" s="57"/>
      <c r="R45" s="69"/>
      <c r="S45" s="64"/>
      <c r="T45" s="57"/>
      <c r="U45" s="162"/>
      <c r="V45" s="64"/>
      <c r="W45" s="57"/>
      <c r="Y45" s="57" t="str">
        <f>IF(E45="x","O32, ","")&amp;IF(E45="2x","O32, ","")&amp;IF(E45="xo","O32, ","")&amp;IF(E45="xw","O32, ","")&amp;IF(E45="xwo","O32, ","")&amp;IF(E45="xow","O32, ","")&amp;IF(E45="x2","O32, ","")</f>
        <v/>
      </c>
      <c r="Z45" s="220" t="str">
        <f>IF(Y45="O32, ","M40, ","")</f>
        <v/>
      </c>
      <c r="AA45" s="58" t="str">
        <f t="shared" si="0"/>
        <v/>
      </c>
      <c r="AE45" s="58">
        <v>3000</v>
      </c>
      <c r="AF45" s="58">
        <v>1450</v>
      </c>
      <c r="AZ45" s="57" t="s">
        <v>150</v>
      </c>
    </row>
    <row r="46" spans="1:52" s="58" customFormat="1">
      <c r="A46" s="135" t="s">
        <v>71</v>
      </c>
      <c r="B46" s="67" t="s">
        <v>350</v>
      </c>
      <c r="C46" s="68" t="s">
        <v>351</v>
      </c>
      <c r="D46" s="14" t="s">
        <v>352</v>
      </c>
      <c r="E46" s="63"/>
      <c r="F46" s="64"/>
      <c r="G46" s="65"/>
      <c r="H46" s="62"/>
      <c r="I46" s="59"/>
      <c r="J46" s="60"/>
      <c r="K46" s="66"/>
      <c r="L46" s="59"/>
      <c r="M46" s="60"/>
      <c r="N46" s="66"/>
      <c r="O46" s="63"/>
      <c r="P46" s="64"/>
      <c r="Q46" s="57"/>
      <c r="R46" s="69"/>
      <c r="S46" s="64"/>
      <c r="T46" s="57"/>
      <c r="U46" s="162"/>
      <c r="V46" s="64"/>
      <c r="W46" s="57"/>
      <c r="Y46" s="57" t="str">
        <f>IF(E46="x","O37, ","")&amp;IF(E46="2x","O37, ","")&amp;IF(E46="xo","O37, ","")&amp;IF(E46="xw","O37, ","")</f>
        <v/>
      </c>
      <c r="Z46" s="220"/>
      <c r="AA46" s="58" t="str">
        <f t="shared" si="0"/>
        <v/>
      </c>
      <c r="AE46" s="58">
        <v>2250</v>
      </c>
      <c r="AF46" s="58">
        <v>1190</v>
      </c>
      <c r="AZ46" s="67" t="s">
        <v>350</v>
      </c>
    </row>
    <row r="47" spans="1:52" s="58" customFormat="1">
      <c r="A47" s="135" t="s">
        <v>75</v>
      </c>
      <c r="B47" s="57" t="s">
        <v>152</v>
      </c>
      <c r="C47" s="27" t="s">
        <v>153</v>
      </c>
      <c r="D47" s="14" t="s">
        <v>353</v>
      </c>
      <c r="E47" s="63"/>
      <c r="F47" s="64"/>
      <c r="G47" s="65"/>
      <c r="H47" s="62"/>
      <c r="I47" s="59"/>
      <c r="J47" s="60"/>
      <c r="K47" s="66"/>
      <c r="L47" s="63"/>
      <c r="M47" s="64"/>
      <c r="N47" s="57"/>
      <c r="O47" s="63"/>
      <c r="P47" s="64"/>
      <c r="Q47" s="57"/>
      <c r="R47" s="63"/>
      <c r="S47" s="64"/>
      <c r="T47" s="57"/>
      <c r="U47" s="63"/>
      <c r="V47" s="64"/>
      <c r="W47" s="57"/>
      <c r="Y47" s="57" t="str">
        <f>IF(E47="x","W32, ","")&amp;IF(E47="2x","W32, ","")&amp;IF(E47="xo","W32, ","")&amp;IF(E47="xw","W32, ","")</f>
        <v/>
      </c>
      <c r="Z47" s="220" t="str">
        <f>IF(Y47="W32, ","M41, ","")</f>
        <v/>
      </c>
      <c r="AA47" s="58" t="str">
        <f t="shared" si="0"/>
        <v/>
      </c>
      <c r="AE47" s="58">
        <v>2200</v>
      </c>
      <c r="AF47" s="58">
        <v>1460</v>
      </c>
      <c r="AZ47" s="57" t="s">
        <v>152</v>
      </c>
    </row>
    <row r="48" spans="1:52" s="58" customFormat="1">
      <c r="A48" s="135" t="s">
        <v>75</v>
      </c>
      <c r="B48" s="67" t="s">
        <v>354</v>
      </c>
      <c r="C48" s="68" t="s">
        <v>355</v>
      </c>
      <c r="D48" s="14" t="s">
        <v>356</v>
      </c>
      <c r="E48" s="63"/>
      <c r="F48" s="64"/>
      <c r="G48" s="65"/>
      <c r="H48" s="62"/>
      <c r="I48" s="59"/>
      <c r="J48" s="60"/>
      <c r="K48" s="66"/>
      <c r="L48" s="63"/>
      <c r="M48" s="64"/>
      <c r="N48" s="57"/>
      <c r="O48" s="63"/>
      <c r="P48" s="64"/>
      <c r="Q48" s="57"/>
      <c r="R48" s="63"/>
      <c r="S48" s="64"/>
      <c r="T48" s="57"/>
      <c r="U48" s="63"/>
      <c r="V48" s="64"/>
      <c r="W48" s="57"/>
      <c r="Y48" s="57" t="str">
        <f>IF(E48="x","W33, ","")&amp;IF(E48="2x","W33, ","")&amp;IF(E48="xo","W33, ","")&amp;IF(E48="xw","W33, ","")</f>
        <v/>
      </c>
      <c r="Z48" s="220"/>
      <c r="AA48" s="58" t="str">
        <f t="shared" si="0"/>
        <v/>
      </c>
      <c r="AZ48" s="67" t="s">
        <v>354</v>
      </c>
    </row>
    <row r="49" spans="1:52" s="58" customFormat="1">
      <c r="A49" s="135" t="s">
        <v>616</v>
      </c>
      <c r="B49" s="226" t="s">
        <v>617</v>
      </c>
      <c r="C49" s="169" t="s">
        <v>617</v>
      </c>
      <c r="D49" s="14" t="s">
        <v>618</v>
      </c>
      <c r="E49" s="162"/>
      <c r="F49" s="64"/>
      <c r="G49" s="248"/>
      <c r="H49" s="62"/>
      <c r="I49" s="59"/>
      <c r="J49" s="60"/>
      <c r="K49" s="66"/>
      <c r="L49" s="63"/>
      <c r="M49" s="64"/>
      <c r="N49" s="57"/>
      <c r="O49" s="63"/>
      <c r="P49" s="64"/>
      <c r="Q49" s="57"/>
      <c r="R49" s="63"/>
      <c r="S49" s="64"/>
      <c r="T49" s="57"/>
      <c r="U49" s="63"/>
      <c r="V49" s="64"/>
      <c r="W49" s="57"/>
      <c r="Y49" s="57" t="str">
        <f>IF(E49="x","LGSM, ","")</f>
        <v/>
      </c>
      <c r="Z49" s="220"/>
      <c r="AA49" s="58" t="str">
        <f t="shared" si="0"/>
        <v/>
      </c>
      <c r="AZ49" s="67"/>
    </row>
    <row r="50" spans="1:52" s="58" customFormat="1">
      <c r="A50" s="135" t="s">
        <v>77</v>
      </c>
      <c r="B50" s="57" t="s">
        <v>154</v>
      </c>
      <c r="C50" s="27" t="s">
        <v>155</v>
      </c>
      <c r="D50" s="14" t="s">
        <v>556</v>
      </c>
      <c r="E50" s="162"/>
      <c r="F50" s="64"/>
      <c r="G50" s="57"/>
      <c r="H50" s="27"/>
      <c r="I50" s="69"/>
      <c r="J50" s="64"/>
      <c r="K50" s="57"/>
      <c r="L50" s="63"/>
      <c r="M50" s="64"/>
      <c r="N50" s="57"/>
      <c r="O50" s="63"/>
      <c r="P50" s="64"/>
      <c r="Q50" s="57"/>
      <c r="R50" s="63"/>
      <c r="S50" s="64"/>
      <c r="T50" s="57"/>
      <c r="U50" s="63"/>
      <c r="V50" s="64"/>
      <c r="W50" s="57"/>
      <c r="Y50" s="227" t="str">
        <f>IF(E50="x","S43, ","")&amp;IF(E50="2x","S43, ","")&amp;IF(E50="xo","S43, ","")&amp;IF(E50="xw","S43, ","")&amp;IF(E50="x2","S43, ","")&amp;IF(E50="x3","S43, ","")</f>
        <v/>
      </c>
      <c r="Z50" s="228"/>
      <c r="AA50" s="229" t="str">
        <f t="shared" si="0"/>
        <v/>
      </c>
      <c r="AB50" s="229"/>
      <c r="AC50" s="229"/>
      <c r="AD50" s="229"/>
      <c r="AE50" s="58">
        <v>2500</v>
      </c>
      <c r="AF50" s="58">
        <v>1700</v>
      </c>
      <c r="AG50" s="58">
        <v>380</v>
      </c>
      <c r="AH50" s="58">
        <v>380</v>
      </c>
      <c r="AZ50" s="57" t="s">
        <v>154</v>
      </c>
    </row>
    <row r="51" spans="1:52" s="58" customFormat="1">
      <c r="A51" s="135" t="s">
        <v>77</v>
      </c>
      <c r="B51" s="57" t="s">
        <v>156</v>
      </c>
      <c r="C51" s="27" t="s">
        <v>157</v>
      </c>
      <c r="D51" s="14" t="s">
        <v>557</v>
      </c>
      <c r="E51" s="63"/>
      <c r="F51" s="64"/>
      <c r="G51" s="57"/>
      <c r="H51" s="27"/>
      <c r="I51" s="162"/>
      <c r="J51" s="64"/>
      <c r="K51" s="57"/>
      <c r="L51" s="69"/>
      <c r="M51" s="64"/>
      <c r="N51" s="57"/>
      <c r="O51" s="63"/>
      <c r="P51" s="64"/>
      <c r="Q51" s="57"/>
      <c r="R51" s="63"/>
      <c r="S51" s="64"/>
      <c r="T51" s="57"/>
      <c r="U51" s="63"/>
      <c r="V51" s="64"/>
      <c r="W51" s="57"/>
      <c r="Y51" s="227" t="str">
        <f>IF(E51="x","S44, ","")&amp;IF(E51="2x","S44, ","")&amp;IF(E51="xo","S44, ","")&amp;IF(E51="xw","S44, ","")&amp;IF(E51="x2","S44, ","")&amp;IF(E51="x3","S44, ","")</f>
        <v/>
      </c>
      <c r="Z51" s="228"/>
      <c r="AA51" s="229" t="str">
        <f t="shared" si="0"/>
        <v/>
      </c>
      <c r="AB51" s="229"/>
      <c r="AC51" s="229"/>
      <c r="AD51" s="229"/>
      <c r="AE51" s="58">
        <v>2500</v>
      </c>
      <c r="AF51" s="58">
        <v>1700</v>
      </c>
      <c r="AG51" s="58">
        <v>200</v>
      </c>
      <c r="AH51" s="58">
        <v>500</v>
      </c>
      <c r="AZ51" s="57" t="s">
        <v>156</v>
      </c>
    </row>
    <row r="52" spans="1:52" s="58" customFormat="1">
      <c r="A52" s="135" t="s">
        <v>77</v>
      </c>
      <c r="B52" s="226" t="s">
        <v>555</v>
      </c>
      <c r="C52" s="169" t="s">
        <v>619</v>
      </c>
      <c r="D52" s="14" t="s">
        <v>558</v>
      </c>
      <c r="E52" s="63"/>
      <c r="F52" s="64"/>
      <c r="G52" s="57"/>
      <c r="H52" s="27"/>
      <c r="I52" s="63"/>
      <c r="J52" s="64"/>
      <c r="K52" s="57"/>
      <c r="L52" s="69"/>
      <c r="M52" s="64"/>
      <c r="N52" s="57"/>
      <c r="O52" s="162"/>
      <c r="P52" s="64"/>
      <c r="Q52" s="57"/>
      <c r="R52" s="162"/>
      <c r="S52" s="64"/>
      <c r="T52" s="57"/>
      <c r="U52" s="63"/>
      <c r="V52" s="64"/>
      <c r="W52" s="57"/>
      <c r="Y52" s="227" t="str">
        <f>IF(E52="x","S46, ","")&amp;IF(E52="2x","S46, ","")&amp;IF(E52="3x","S46, ","")&amp;IF(E52="4x","S46, ","")&amp;IF(E52="x2","S46, ","")&amp;IF(E52="x3","S46, ","")</f>
        <v/>
      </c>
      <c r="Z52" s="228"/>
      <c r="AA52" s="229" t="str">
        <f t="shared" si="0"/>
        <v/>
      </c>
      <c r="AB52" s="229"/>
      <c r="AC52" s="229"/>
      <c r="AD52" s="229"/>
      <c r="AE52" s="58">
        <v>2700</v>
      </c>
      <c r="AF52" s="58">
        <v>1700</v>
      </c>
      <c r="AG52" s="58">
        <v>380</v>
      </c>
      <c r="AH52" s="58">
        <v>380</v>
      </c>
      <c r="AZ52" s="57"/>
    </row>
    <row r="53" spans="1:52" s="58" customFormat="1">
      <c r="A53" s="135" t="s">
        <v>77</v>
      </c>
      <c r="B53" s="57" t="s">
        <v>158</v>
      </c>
      <c r="C53" s="27" t="s">
        <v>159</v>
      </c>
      <c r="D53" s="14" t="s">
        <v>559</v>
      </c>
      <c r="E53" s="63"/>
      <c r="F53" s="64"/>
      <c r="G53" s="57"/>
      <c r="H53" s="27"/>
      <c r="I53" s="63"/>
      <c r="J53" s="64"/>
      <c r="K53" s="57"/>
      <c r="L53" s="63"/>
      <c r="M53" s="64"/>
      <c r="N53" s="57"/>
      <c r="O53" s="69"/>
      <c r="P53" s="64"/>
      <c r="Q53" s="57"/>
      <c r="R53" s="162"/>
      <c r="S53" s="64"/>
      <c r="T53" s="57"/>
      <c r="U53" s="162"/>
      <c r="V53" s="64"/>
      <c r="W53" s="57"/>
      <c r="Y53" s="227" t="str">
        <f>IF(E53="x","S45, ","")&amp;IF(E53="2x","S45, ","")&amp;IF(E53="xo","S45, ","")&amp;IF(E53="xw","S45, ","")&amp;IF(E53="x2","S45, ","")&amp;IF(E53="x3","S45, ","")</f>
        <v/>
      </c>
      <c r="Z53" s="228"/>
      <c r="AA53" s="229" t="str">
        <f t="shared" si="0"/>
        <v/>
      </c>
      <c r="AB53" s="229"/>
      <c r="AC53" s="229"/>
      <c r="AD53" s="229"/>
      <c r="AE53" s="58">
        <v>2500</v>
      </c>
      <c r="AF53" s="58">
        <v>1600</v>
      </c>
      <c r="AZ53" s="57" t="s">
        <v>158</v>
      </c>
    </row>
    <row r="54" spans="1:52" s="58" customFormat="1">
      <c r="A54" s="135" t="s">
        <v>77</v>
      </c>
      <c r="B54" s="57" t="s">
        <v>299</v>
      </c>
      <c r="C54" s="68" t="s">
        <v>312</v>
      </c>
      <c r="D54" s="14" t="s">
        <v>357</v>
      </c>
      <c r="E54" s="63"/>
      <c r="F54" s="64"/>
      <c r="G54" s="57"/>
      <c r="H54" s="27"/>
      <c r="I54" s="63"/>
      <c r="J54" s="64"/>
      <c r="K54" s="57"/>
      <c r="L54" s="63"/>
      <c r="M54" s="64"/>
      <c r="N54" s="57"/>
      <c r="O54" s="69"/>
      <c r="P54" s="64"/>
      <c r="Q54" s="57"/>
      <c r="R54" s="63"/>
      <c r="S54" s="64"/>
      <c r="T54" s="57"/>
      <c r="U54" s="162"/>
      <c r="V54" s="64"/>
      <c r="W54" s="57"/>
      <c r="Y54" s="227" t="str">
        <f>IF(E54="x","S51, ","")&amp;IF(E54="2x","S51, ","")&amp;IF(E54="xo","S51, ","")&amp;IF(E54="xw","S51, ","")&amp;IF(E54="x2","S51, ","")&amp;IF(E54="x3","S51, ","")</f>
        <v/>
      </c>
      <c r="Z54" s="228"/>
      <c r="AA54" s="229" t="str">
        <f>CONCATENATE(Y54,Z54)</f>
        <v/>
      </c>
      <c r="AB54" s="229"/>
      <c r="AC54" s="229"/>
      <c r="AD54" s="229"/>
      <c r="AE54" s="58">
        <v>1800</v>
      </c>
      <c r="AF54" s="58">
        <v>1200</v>
      </c>
      <c r="AG54" s="58">
        <v>350</v>
      </c>
      <c r="AH54" s="58">
        <v>200</v>
      </c>
      <c r="AZ54" s="57" t="s">
        <v>299</v>
      </c>
    </row>
    <row r="55" spans="1:52" s="58" customFormat="1">
      <c r="A55" s="135" t="s">
        <v>79</v>
      </c>
      <c r="B55" s="57" t="s">
        <v>160</v>
      </c>
      <c r="C55" s="27" t="s">
        <v>161</v>
      </c>
      <c r="D55" s="14" t="s">
        <v>569</v>
      </c>
      <c r="E55" s="162"/>
      <c r="F55" s="64"/>
      <c r="G55" s="57"/>
      <c r="H55" s="27"/>
      <c r="I55" s="63"/>
      <c r="J55" s="64"/>
      <c r="K55" s="57"/>
      <c r="L55" s="63"/>
      <c r="M55" s="64"/>
      <c r="N55" s="57"/>
      <c r="O55" s="63"/>
      <c r="P55" s="64"/>
      <c r="Q55" s="57"/>
      <c r="R55" s="63"/>
      <c r="S55" s="64"/>
      <c r="T55" s="57"/>
      <c r="U55" s="63"/>
      <c r="V55" s="64"/>
      <c r="W55" s="57"/>
      <c r="Y55" s="57" t="str">
        <f>IF(E55="x","H54, ","")&amp;IF(E55="2x","H54, ","")&amp;IF(E55="xo","H54, ","")&amp;IF(E55="xw","H54, ","")</f>
        <v/>
      </c>
      <c r="Z55" s="220"/>
      <c r="AA55" s="58" t="str">
        <f t="shared" si="0"/>
        <v/>
      </c>
      <c r="AE55" s="58">
        <v>1600</v>
      </c>
      <c r="AF55" s="58">
        <v>2400</v>
      </c>
      <c r="AG55" s="58">
        <v>380</v>
      </c>
      <c r="AH55" s="58">
        <v>380</v>
      </c>
      <c r="AZ55" s="57" t="s">
        <v>160</v>
      </c>
    </row>
    <row r="56" spans="1:52" s="58" customFormat="1">
      <c r="A56" s="135" t="s">
        <v>79</v>
      </c>
      <c r="B56" s="57" t="s">
        <v>162</v>
      </c>
      <c r="C56" s="27" t="s">
        <v>163</v>
      </c>
      <c r="D56" s="14" t="s">
        <v>164</v>
      </c>
      <c r="E56" s="162"/>
      <c r="F56" s="207"/>
      <c r="G56" s="57"/>
      <c r="H56" s="27"/>
      <c r="I56" s="63"/>
      <c r="J56" s="64"/>
      <c r="K56" s="57"/>
      <c r="L56" s="69"/>
      <c r="M56" s="64"/>
      <c r="N56" s="57"/>
      <c r="O56" s="69"/>
      <c r="P56" s="64"/>
      <c r="Q56" s="57"/>
      <c r="R56" s="63"/>
      <c r="S56" s="64"/>
      <c r="T56" s="57"/>
      <c r="U56" s="63"/>
      <c r="V56" s="64"/>
      <c r="W56" s="57"/>
      <c r="Y56" s="57" t="str">
        <f>IF(E56="x","H53, ","")&amp;IF(E56="2x","H53, ","")&amp;IF(E56="xo","H53, ","")&amp;IF(E56="xw","H53, ","")</f>
        <v/>
      </c>
      <c r="Z56" s="220"/>
      <c r="AA56" s="58" t="str">
        <f t="shared" si="0"/>
        <v/>
      </c>
      <c r="AE56" s="58">
        <v>2400</v>
      </c>
      <c r="AF56" s="58">
        <v>1500</v>
      </c>
      <c r="AG56" s="58">
        <v>273</v>
      </c>
      <c r="AH56" s="58">
        <v>270</v>
      </c>
      <c r="AZ56" s="57" t="s">
        <v>162</v>
      </c>
    </row>
    <row r="57" spans="1:52" s="58" customFormat="1">
      <c r="A57" s="135" t="s">
        <v>79</v>
      </c>
      <c r="B57" s="57" t="s">
        <v>165</v>
      </c>
      <c r="C57" s="27" t="s">
        <v>166</v>
      </c>
      <c r="D57" s="14" t="s">
        <v>560</v>
      </c>
      <c r="E57" s="63"/>
      <c r="F57" s="64"/>
      <c r="G57" s="57"/>
      <c r="H57" s="27"/>
      <c r="I57" s="162"/>
      <c r="J57" s="64"/>
      <c r="K57" s="57"/>
      <c r="L57" s="63"/>
      <c r="M57" s="64"/>
      <c r="N57" s="57"/>
      <c r="O57" s="63"/>
      <c r="P57" s="64"/>
      <c r="Q57" s="57"/>
      <c r="R57" s="63"/>
      <c r="S57" s="64"/>
      <c r="T57" s="57"/>
      <c r="U57" s="63"/>
      <c r="V57" s="64"/>
      <c r="W57" s="57"/>
      <c r="Y57" s="57" t="str">
        <f>IF(E57="x","H52, ","")&amp;IF(E57="2x","H52, ","")&amp;IF(E57="xo","H52, ","")&amp;IF(E57="xw","H52, ","")</f>
        <v/>
      </c>
      <c r="Z57" s="220"/>
      <c r="AA57" s="58" t="str">
        <f t="shared" si="0"/>
        <v/>
      </c>
      <c r="AE57" s="58">
        <v>3400</v>
      </c>
      <c r="AF57" s="58">
        <v>2400</v>
      </c>
      <c r="AG57" s="58">
        <v>170</v>
      </c>
      <c r="AH57" s="58">
        <v>150</v>
      </c>
      <c r="AZ57" s="57" t="s">
        <v>165</v>
      </c>
    </row>
    <row r="58" spans="1:52" s="58" customFormat="1">
      <c r="A58" s="135" t="s">
        <v>79</v>
      </c>
      <c r="B58" s="57" t="s">
        <v>167</v>
      </c>
      <c r="C58" s="27" t="s">
        <v>168</v>
      </c>
      <c r="D58" s="14" t="s">
        <v>561</v>
      </c>
      <c r="E58" s="63"/>
      <c r="F58" s="64"/>
      <c r="G58" s="57"/>
      <c r="H58" s="27"/>
      <c r="I58" s="63"/>
      <c r="J58" s="64"/>
      <c r="K58" s="57"/>
      <c r="L58" s="69"/>
      <c r="M58" s="64"/>
      <c r="N58" s="57"/>
      <c r="O58" s="69"/>
      <c r="P58" s="64"/>
      <c r="Q58" s="57"/>
      <c r="R58" s="63"/>
      <c r="S58" s="64"/>
      <c r="T58" s="57"/>
      <c r="U58" s="63"/>
      <c r="V58" s="64"/>
      <c r="W58" s="57"/>
      <c r="Y58" s="57" t="str">
        <f>IF(E58="x","H55, ","")&amp;IF(E58="2x","H55, ","")&amp;IF(E58="xo","H55, ","")&amp;IF(E58="xw","H55, ","")</f>
        <v/>
      </c>
      <c r="Z58" s="220"/>
      <c r="AA58" s="58" t="str">
        <f t="shared" si="0"/>
        <v/>
      </c>
      <c r="AE58" s="58">
        <v>1800</v>
      </c>
      <c r="AF58" s="58">
        <v>2400</v>
      </c>
      <c r="AG58" s="58">
        <v>380</v>
      </c>
      <c r="AH58" s="58">
        <v>380</v>
      </c>
      <c r="AZ58" s="57" t="s">
        <v>167</v>
      </c>
    </row>
    <row r="59" spans="1:52" s="58" customFormat="1">
      <c r="A59" s="135" t="s">
        <v>79</v>
      </c>
      <c r="B59" s="230" t="s">
        <v>313</v>
      </c>
      <c r="C59" s="231" t="s">
        <v>314</v>
      </c>
      <c r="D59" s="72" t="s">
        <v>315</v>
      </c>
      <c r="E59" s="232"/>
      <c r="F59" s="233"/>
      <c r="G59" s="234"/>
      <c r="H59" s="235"/>
      <c r="I59" s="236"/>
      <c r="J59" s="233"/>
      <c r="K59" s="234"/>
      <c r="L59" s="237"/>
      <c r="M59" s="233"/>
      <c r="N59" s="234"/>
      <c r="O59" s="237"/>
      <c r="P59" s="233"/>
      <c r="Q59" s="234"/>
      <c r="R59" s="236"/>
      <c r="S59" s="233"/>
      <c r="T59" s="234"/>
      <c r="U59" s="236"/>
      <c r="V59" s="233"/>
      <c r="W59" s="234"/>
      <c r="Y59" s="57" t="str">
        <f>IF(E59="x","H56, ","")&amp;IF(E59="2x","H56, ","")&amp;IF(E59="xo","H56, ","")&amp;IF(E59="xw","H56, ","")</f>
        <v/>
      </c>
      <c r="Z59" s="220"/>
      <c r="AA59" s="58" t="str">
        <f t="shared" si="0"/>
        <v/>
      </c>
      <c r="AE59" s="58">
        <v>2500</v>
      </c>
      <c r="AF59" s="58">
        <v>1700</v>
      </c>
      <c r="AG59" s="58">
        <v>300</v>
      </c>
      <c r="AH59" s="58">
        <v>550</v>
      </c>
      <c r="AZ59" s="230" t="s">
        <v>313</v>
      </c>
    </row>
    <row r="60" spans="1:52" s="58" customFormat="1" ht="15.75" thickBot="1">
      <c r="A60" s="163" t="s">
        <v>95</v>
      </c>
      <c r="B60" s="164" t="s">
        <v>169</v>
      </c>
      <c r="C60" s="17" t="s">
        <v>170</v>
      </c>
      <c r="D60" s="18" t="s">
        <v>358</v>
      </c>
      <c r="E60" s="165"/>
      <c r="F60" s="166"/>
      <c r="G60" s="164"/>
      <c r="H60" s="17"/>
      <c r="I60" s="165"/>
      <c r="J60" s="166"/>
      <c r="K60" s="164"/>
      <c r="L60" s="165"/>
      <c r="M60" s="166"/>
      <c r="N60" s="164"/>
      <c r="O60" s="165"/>
      <c r="P60" s="166"/>
      <c r="Q60" s="164"/>
      <c r="R60" s="165"/>
      <c r="S60" s="166"/>
      <c r="T60" s="164"/>
      <c r="U60" s="165"/>
      <c r="V60" s="166"/>
      <c r="W60" s="164"/>
      <c r="Y60" s="57" t="str">
        <f>IF(E60="x","R21, ","")&amp;IF(E60="2x","R21, ","")&amp;IF(E60="xo","R21, ","")&amp;IF(E60="xw","R21, ","")</f>
        <v/>
      </c>
      <c r="Z60" s="220"/>
      <c r="AA60" s="58" t="str">
        <f t="shared" si="0"/>
        <v/>
      </c>
      <c r="AZ60" s="164" t="s">
        <v>169</v>
      </c>
    </row>
    <row r="61" spans="1:52" s="58" customFormat="1">
      <c r="A61" s="159" t="s">
        <v>91</v>
      </c>
      <c r="B61" s="160" t="s">
        <v>171</v>
      </c>
      <c r="C61" s="161" t="s">
        <v>172</v>
      </c>
      <c r="D61" s="24" t="s">
        <v>173</v>
      </c>
      <c r="E61" s="168"/>
      <c r="F61" s="167"/>
      <c r="G61" s="160"/>
      <c r="H61" s="161"/>
      <c r="I61" s="168"/>
      <c r="J61" s="167"/>
      <c r="K61" s="160"/>
      <c r="L61" s="168"/>
      <c r="M61" s="167"/>
      <c r="N61" s="160"/>
      <c r="O61" s="168"/>
      <c r="P61" s="167"/>
      <c r="Q61" s="160"/>
      <c r="R61" s="168"/>
      <c r="S61" s="167"/>
      <c r="T61" s="160"/>
      <c r="U61" s="168"/>
      <c r="V61" s="167"/>
      <c r="W61" s="160"/>
      <c r="Y61" s="57" t="str">
        <f>IF(E61="x","IS2, ","")&amp;IF(E61="2x","IS2, ","")&amp;IF(E61="xo","IS2, ","")&amp;IF(E61="xw","IS2, ","")</f>
        <v/>
      </c>
      <c r="Z61" s="220"/>
      <c r="AA61" s="58" t="str">
        <f t="shared" si="0"/>
        <v/>
      </c>
      <c r="AZ61" s="160" t="s">
        <v>171</v>
      </c>
    </row>
    <row r="62" spans="1:52" s="58" customFormat="1" ht="15.75" thickBot="1">
      <c r="A62" s="163" t="s">
        <v>91</v>
      </c>
      <c r="B62" s="164" t="s">
        <v>174</v>
      </c>
      <c r="C62" s="17" t="s">
        <v>175</v>
      </c>
      <c r="D62" s="18" t="s">
        <v>176</v>
      </c>
      <c r="E62" s="165"/>
      <c r="F62" s="166"/>
      <c r="G62" s="164"/>
      <c r="H62" s="17"/>
      <c r="I62" s="165"/>
      <c r="J62" s="166"/>
      <c r="K62" s="164"/>
      <c r="L62" s="165"/>
      <c r="M62" s="166"/>
      <c r="N62" s="164"/>
      <c r="O62" s="165"/>
      <c r="P62" s="166"/>
      <c r="Q62" s="164"/>
      <c r="R62" s="165"/>
      <c r="S62" s="166"/>
      <c r="T62" s="164"/>
      <c r="U62" s="165"/>
      <c r="V62" s="166"/>
      <c r="W62" s="164"/>
      <c r="Y62" s="197" t="str">
        <f>IF(E62="x","IS3, ","")&amp;IF(E62="2x","IS3, ","")&amp;IF(E62="xo","IS3, ","")&amp;IF(E62="xw","IS3, ","")</f>
        <v/>
      </c>
      <c r="Z62" s="198"/>
      <c r="AA62" s="58" t="str">
        <f t="shared" si="0"/>
        <v/>
      </c>
      <c r="AB62" s="10"/>
      <c r="AC62" s="10"/>
      <c r="AD62" s="10"/>
      <c r="AZ62" s="164" t="s">
        <v>174</v>
      </c>
    </row>
    <row r="63" spans="1:52">
      <c r="A63" s="139" t="s">
        <v>71</v>
      </c>
      <c r="B63" s="22" t="s">
        <v>177</v>
      </c>
      <c r="C63" s="23" t="s">
        <v>178</v>
      </c>
      <c r="D63" s="24" t="s">
        <v>359</v>
      </c>
      <c r="E63" s="25"/>
      <c r="F63" s="26"/>
      <c r="G63" s="22"/>
      <c r="H63" s="23"/>
      <c r="I63" s="25"/>
      <c r="J63" s="26"/>
      <c r="K63" s="22"/>
      <c r="L63" s="25"/>
      <c r="M63" s="26"/>
      <c r="N63" s="22"/>
      <c r="O63" s="25"/>
      <c r="P63" s="26"/>
      <c r="Q63" s="22"/>
      <c r="R63" s="25"/>
      <c r="S63" s="26"/>
      <c r="T63" s="22"/>
      <c r="U63" s="25"/>
      <c r="V63" s="26"/>
      <c r="W63" s="22"/>
      <c r="Y63" s="197" t="str">
        <f>IF(E63="x","Q19, ","")&amp;IF(E63="2x","Q19, ","")&amp;IF(E63="xo","Q19, ","")&amp;IF(E63="xw","Q19, ","")</f>
        <v/>
      </c>
      <c r="Z63" s="198"/>
      <c r="AA63" s="58" t="str">
        <f t="shared" si="0"/>
        <v/>
      </c>
      <c r="AZ63" s="22" t="s">
        <v>177</v>
      </c>
    </row>
    <row r="64" spans="1:52">
      <c r="A64" s="137" t="s">
        <v>77</v>
      </c>
      <c r="B64" s="11" t="s">
        <v>179</v>
      </c>
      <c r="C64" s="27" t="s">
        <v>180</v>
      </c>
      <c r="D64" s="14" t="s">
        <v>562</v>
      </c>
      <c r="E64" s="15"/>
      <c r="F64" s="12"/>
      <c r="G64" s="11"/>
      <c r="H64" s="13"/>
      <c r="I64" s="15"/>
      <c r="J64" s="12"/>
      <c r="K64" s="11"/>
      <c r="L64" s="15"/>
      <c r="M64" s="12"/>
      <c r="N64" s="11"/>
      <c r="O64" s="15"/>
      <c r="P64" s="12"/>
      <c r="Q64" s="11"/>
      <c r="R64" s="15"/>
      <c r="S64" s="12"/>
      <c r="T64" s="11"/>
      <c r="U64" s="15"/>
      <c r="V64" s="12"/>
      <c r="W64" s="11"/>
      <c r="Y64" s="197" t="str">
        <f>IF(E64="x","Q31, ","")&amp;IF(E64="2x","Q31, ","")&amp;IF(E64="xo","Q31, ","")&amp;IF(E64="xw","Q31, ","")</f>
        <v/>
      </c>
      <c r="Z64" s="198"/>
      <c r="AA64" s="58" t="str">
        <f t="shared" si="0"/>
        <v/>
      </c>
      <c r="AZ64" s="11" t="s">
        <v>179</v>
      </c>
    </row>
    <row r="65" spans="1:52">
      <c r="A65" s="137" t="s">
        <v>77</v>
      </c>
      <c r="B65" s="11" t="s">
        <v>181</v>
      </c>
      <c r="C65" s="169" t="s">
        <v>544</v>
      </c>
      <c r="D65" s="14" t="s">
        <v>563</v>
      </c>
      <c r="E65" s="15"/>
      <c r="F65" s="12"/>
      <c r="G65" s="11"/>
      <c r="H65" s="13"/>
      <c r="I65" s="15"/>
      <c r="J65" s="12"/>
      <c r="K65" s="11"/>
      <c r="L65" s="15"/>
      <c r="M65" s="12"/>
      <c r="N65" s="11"/>
      <c r="O65" s="15"/>
      <c r="P65" s="12"/>
      <c r="Q65" s="11"/>
      <c r="R65" s="15"/>
      <c r="S65" s="12"/>
      <c r="T65" s="11"/>
      <c r="U65" s="15"/>
      <c r="V65" s="12"/>
      <c r="W65" s="11"/>
      <c r="Y65" s="197" t="str">
        <f>IF(E65="x","Q32, ","")&amp;IF(E65="2x","Q32, ","")&amp;IF(E65="xo","Q32, ","")&amp;IF(E65="xw","Q32, ","")</f>
        <v/>
      </c>
      <c r="Z65" s="198"/>
      <c r="AA65" s="58" t="str">
        <f t="shared" si="0"/>
        <v/>
      </c>
      <c r="AZ65" s="11" t="s">
        <v>181</v>
      </c>
    </row>
    <row r="66" spans="1:52">
      <c r="A66" s="137" t="s">
        <v>79</v>
      </c>
      <c r="B66" s="11" t="s">
        <v>182</v>
      </c>
      <c r="C66" s="27" t="s">
        <v>183</v>
      </c>
      <c r="D66" s="14" t="s">
        <v>360</v>
      </c>
      <c r="E66" s="15"/>
      <c r="F66" s="12"/>
      <c r="G66" s="11"/>
      <c r="H66" s="13"/>
      <c r="I66" s="15"/>
      <c r="J66" s="12"/>
      <c r="K66" s="11"/>
      <c r="L66" s="15"/>
      <c r="M66" s="12"/>
      <c r="N66" s="11"/>
      <c r="O66" s="15"/>
      <c r="P66" s="12"/>
      <c r="Q66" s="11"/>
      <c r="R66" s="15"/>
      <c r="S66" s="12"/>
      <c r="T66" s="11"/>
      <c r="U66" s="15"/>
      <c r="V66" s="12"/>
      <c r="W66" s="11"/>
      <c r="Y66" s="197" t="str">
        <f>IF(E66="x","Q41, ","")&amp;IF(E66="2x","Q41, ","")&amp;IF(E66="xo","Q41, ","")&amp;IF(E66="xw","Q41, ","")</f>
        <v/>
      </c>
      <c r="Z66" s="198"/>
      <c r="AA66" s="58" t="str">
        <f t="shared" si="0"/>
        <v/>
      </c>
      <c r="AZ66" s="11" t="s">
        <v>182</v>
      </c>
    </row>
    <row r="67" spans="1:52">
      <c r="A67" s="137" t="s">
        <v>89</v>
      </c>
      <c r="B67" s="11" t="s">
        <v>184</v>
      </c>
      <c r="C67" s="13" t="s">
        <v>185</v>
      </c>
      <c r="D67" s="14" t="s">
        <v>570</v>
      </c>
      <c r="E67" s="15"/>
      <c r="F67" s="12"/>
      <c r="G67" s="11"/>
      <c r="H67" s="13"/>
      <c r="I67" s="15"/>
      <c r="J67" s="12"/>
      <c r="K67" s="11"/>
      <c r="L67" s="15"/>
      <c r="M67" s="12"/>
      <c r="N67" s="11"/>
      <c r="O67" s="15"/>
      <c r="P67" s="12"/>
      <c r="Q67" s="11"/>
      <c r="R67" s="15"/>
      <c r="S67" s="12"/>
      <c r="T67" s="11"/>
      <c r="U67" s="15"/>
      <c r="V67" s="12"/>
      <c r="W67" s="11"/>
      <c r="Y67" s="197" t="str">
        <f>IF(E67="x","Q56, ","")&amp;IF(E67="2x","Q56, ","")&amp;IF(E67="xo","Q56, ","")&amp;IF(E67="xw","Q56, ","")</f>
        <v/>
      </c>
      <c r="Z67" s="198"/>
      <c r="AA67" s="58" t="str">
        <f t="shared" si="0"/>
        <v/>
      </c>
      <c r="AZ67" s="11" t="s">
        <v>184</v>
      </c>
    </row>
    <row r="68" spans="1:52">
      <c r="A68" s="137" t="s">
        <v>83</v>
      </c>
      <c r="B68" s="11" t="s">
        <v>186</v>
      </c>
      <c r="C68" s="13" t="s">
        <v>187</v>
      </c>
      <c r="D68" s="14" t="s">
        <v>571</v>
      </c>
      <c r="E68" s="15"/>
      <c r="F68" s="12"/>
      <c r="G68" s="11"/>
      <c r="H68" s="13"/>
      <c r="I68" s="15"/>
      <c r="J68" s="12"/>
      <c r="K68" s="11"/>
      <c r="L68" s="15"/>
      <c r="M68" s="12"/>
      <c r="N68" s="11"/>
      <c r="O68" s="15"/>
      <c r="P68" s="12"/>
      <c r="Q68" s="11"/>
      <c r="R68" s="15"/>
      <c r="S68" s="12"/>
      <c r="T68" s="11"/>
      <c r="U68" s="15"/>
      <c r="V68" s="12"/>
      <c r="W68" s="11"/>
      <c r="Y68" s="197" t="str">
        <f>IF(E68="x","Q51, ","")&amp;IF(E68="2x","Q51, ","")&amp;IF(E68="xo","Q51, ","")&amp;IF(E68="xw","Q51, ","")</f>
        <v/>
      </c>
      <c r="Z68" s="198"/>
      <c r="AA68" s="58" t="str">
        <f t="shared" si="0"/>
        <v/>
      </c>
      <c r="AZ68" s="11" t="s">
        <v>186</v>
      </c>
    </row>
    <row r="69" spans="1:52">
      <c r="A69" s="137" t="s">
        <v>87</v>
      </c>
      <c r="B69" s="11" t="s">
        <v>188</v>
      </c>
      <c r="C69" s="13" t="s">
        <v>189</v>
      </c>
      <c r="D69" s="14" t="s">
        <v>190</v>
      </c>
      <c r="E69" s="15"/>
      <c r="F69" s="12"/>
      <c r="G69" s="11"/>
      <c r="H69" s="13"/>
      <c r="I69" s="15"/>
      <c r="J69" s="12"/>
      <c r="K69" s="11"/>
      <c r="L69" s="15"/>
      <c r="M69" s="12"/>
      <c r="N69" s="11"/>
      <c r="O69" s="15"/>
      <c r="P69" s="12"/>
      <c r="Q69" s="11"/>
      <c r="R69" s="15"/>
      <c r="S69" s="12"/>
      <c r="T69" s="11"/>
      <c r="U69" s="15"/>
      <c r="V69" s="12"/>
      <c r="W69" s="11"/>
      <c r="Y69" s="197" t="str">
        <f>IF(E69="x","Q60, ","")&amp;IF(E69="2x","Q60, ","")&amp;IF(E69="xo","Q60, ","")&amp;IF(E69="xw","Q60, ","")</f>
        <v/>
      </c>
      <c r="Z69" s="198"/>
      <c r="AA69" s="58" t="str">
        <f t="shared" si="0"/>
        <v/>
      </c>
      <c r="AZ69" s="11" t="s">
        <v>188</v>
      </c>
    </row>
    <row r="70" spans="1:52">
      <c r="A70" s="141" t="s">
        <v>93</v>
      </c>
      <c r="B70" s="70" t="s">
        <v>191</v>
      </c>
      <c r="C70" s="71" t="s">
        <v>192</v>
      </c>
      <c r="D70" s="72" t="s">
        <v>193</v>
      </c>
      <c r="E70" s="73"/>
      <c r="F70" s="74"/>
      <c r="G70" s="70"/>
      <c r="H70" s="71"/>
      <c r="I70" s="73"/>
      <c r="J70" s="74"/>
      <c r="K70" s="70"/>
      <c r="L70" s="73"/>
      <c r="M70" s="74"/>
      <c r="N70" s="70"/>
      <c r="O70" s="73"/>
      <c r="P70" s="74"/>
      <c r="Q70" s="70"/>
      <c r="R70" s="73"/>
      <c r="S70" s="74"/>
      <c r="T70" s="70"/>
      <c r="U70" s="73"/>
      <c r="V70" s="74"/>
      <c r="W70" s="70"/>
      <c r="Y70" s="197" t="str">
        <f>IF(E70="x","Q61, ","")&amp;IF(E70="2x","Q61, ","")&amp;IF(E70="xo","Q61, ","")&amp;IF(E70="xw","Q61, ","")</f>
        <v/>
      </c>
      <c r="Z70" s="198"/>
      <c r="AA70" s="58" t="str">
        <f t="shared" si="0"/>
        <v/>
      </c>
      <c r="AZ70" s="70" t="s">
        <v>191</v>
      </c>
    </row>
    <row r="71" spans="1:52" ht="15.75" thickBot="1">
      <c r="A71" s="138" t="s">
        <v>91</v>
      </c>
      <c r="B71" s="75" t="s">
        <v>235</v>
      </c>
      <c r="C71" s="21"/>
      <c r="D71" s="18" t="s">
        <v>236</v>
      </c>
      <c r="E71" s="19"/>
      <c r="F71" s="20"/>
      <c r="G71" s="16"/>
      <c r="H71" s="21"/>
      <c r="I71" s="19"/>
      <c r="J71" s="20"/>
      <c r="K71" s="16"/>
      <c r="L71" s="19"/>
      <c r="M71" s="20"/>
      <c r="N71" s="16"/>
      <c r="O71" s="19"/>
      <c r="P71" s="20"/>
      <c r="Q71" s="16"/>
      <c r="R71" s="19"/>
      <c r="S71" s="20"/>
      <c r="T71" s="16"/>
      <c r="U71" s="19"/>
      <c r="V71" s="20"/>
      <c r="W71" s="16"/>
      <c r="Y71" s="197"/>
      <c r="Z71" s="198"/>
      <c r="AA71" s="58" t="str">
        <f t="shared" si="0"/>
        <v/>
      </c>
      <c r="AZ71" s="75" t="s">
        <v>235</v>
      </c>
    </row>
    <row r="72" spans="1:52">
      <c r="A72" s="139" t="s">
        <v>89</v>
      </c>
      <c r="B72" s="22" t="s">
        <v>194</v>
      </c>
      <c r="C72" s="27"/>
      <c r="D72" s="14" t="s">
        <v>195</v>
      </c>
      <c r="E72" s="25"/>
      <c r="F72" s="26"/>
      <c r="G72" s="22"/>
      <c r="H72" s="23"/>
      <c r="I72" s="25"/>
      <c r="J72" s="26"/>
      <c r="K72" s="22"/>
      <c r="L72" s="25"/>
      <c r="M72" s="26"/>
      <c r="N72" s="22"/>
      <c r="O72" s="25"/>
      <c r="P72" s="26"/>
      <c r="Q72" s="22"/>
      <c r="R72" s="25"/>
      <c r="S72" s="26"/>
      <c r="T72" s="22"/>
      <c r="U72" s="25"/>
      <c r="V72" s="26"/>
      <c r="W72" s="22"/>
      <c r="Y72" s="197"/>
      <c r="Z72" s="198"/>
      <c r="AA72" s="58" t="str">
        <f t="shared" si="0"/>
        <v/>
      </c>
      <c r="AZ72" s="22" t="s">
        <v>194</v>
      </c>
    </row>
    <row r="73" spans="1:52">
      <c r="A73" s="137" t="s">
        <v>83</v>
      </c>
      <c r="B73" s="11" t="s">
        <v>196</v>
      </c>
      <c r="C73" s="27" t="s">
        <v>197</v>
      </c>
      <c r="D73" s="14" t="s">
        <v>198</v>
      </c>
      <c r="E73" s="15"/>
      <c r="F73" s="12"/>
      <c r="G73" s="11"/>
      <c r="H73" s="13"/>
      <c r="I73" s="15"/>
      <c r="J73" s="12"/>
      <c r="K73" s="11"/>
      <c r="L73" s="15"/>
      <c r="M73" s="12"/>
      <c r="N73" s="11"/>
      <c r="O73" s="15"/>
      <c r="P73" s="12"/>
      <c r="Q73" s="11"/>
      <c r="R73" s="15"/>
      <c r="S73" s="12"/>
      <c r="T73" s="11"/>
      <c r="U73" s="15"/>
      <c r="V73" s="12"/>
      <c r="W73" s="11"/>
      <c r="Y73" s="197"/>
      <c r="Z73" s="198"/>
      <c r="AA73" s="58" t="str">
        <f t="shared" si="0"/>
        <v/>
      </c>
      <c r="AE73" s="10">
        <v>1420</v>
      </c>
      <c r="AF73" s="10">
        <v>1650</v>
      </c>
      <c r="AG73" s="10">
        <v>800</v>
      </c>
      <c r="AH73" s="10">
        <v>200</v>
      </c>
      <c r="AZ73" s="11" t="s">
        <v>196</v>
      </c>
    </row>
    <row r="74" spans="1:52">
      <c r="A74" s="137" t="s">
        <v>83</v>
      </c>
      <c r="B74" s="56" t="s">
        <v>300</v>
      </c>
      <c r="C74" s="140" t="s">
        <v>301</v>
      </c>
      <c r="E74" s="15"/>
      <c r="F74" s="12"/>
      <c r="G74" s="11"/>
      <c r="H74" s="13"/>
      <c r="I74" s="15"/>
      <c r="J74" s="12"/>
      <c r="K74" s="11"/>
      <c r="L74" s="15"/>
      <c r="M74" s="12"/>
      <c r="N74" s="11"/>
      <c r="O74" s="15"/>
      <c r="P74" s="12"/>
      <c r="Q74" s="11"/>
      <c r="R74" s="15"/>
      <c r="S74" s="12"/>
      <c r="T74" s="11"/>
      <c r="U74" s="15"/>
      <c r="V74" s="12"/>
      <c r="W74" s="11"/>
      <c r="Y74" s="197"/>
      <c r="Z74" s="198"/>
      <c r="AA74" s="58" t="str">
        <f t="shared" si="0"/>
        <v/>
      </c>
      <c r="AZ74" s="56" t="s">
        <v>300</v>
      </c>
    </row>
    <row r="75" spans="1:52">
      <c r="A75" s="137" t="s">
        <v>85</v>
      </c>
      <c r="B75" s="11" t="s">
        <v>199</v>
      </c>
      <c r="C75" s="27" t="s">
        <v>200</v>
      </c>
      <c r="D75" s="14" t="s">
        <v>201</v>
      </c>
      <c r="E75" s="15"/>
      <c r="F75" s="12"/>
      <c r="G75" s="11"/>
      <c r="H75" s="13"/>
      <c r="I75" s="15"/>
      <c r="J75" s="12"/>
      <c r="K75" s="11"/>
      <c r="L75" s="15"/>
      <c r="M75" s="12"/>
      <c r="N75" s="11"/>
      <c r="O75" s="15"/>
      <c r="P75" s="12"/>
      <c r="Q75" s="11"/>
      <c r="R75" s="15"/>
      <c r="S75" s="12"/>
      <c r="T75" s="11"/>
      <c r="U75" s="15"/>
      <c r="V75" s="12"/>
      <c r="W75" s="11"/>
      <c r="Y75" s="197"/>
      <c r="Z75" s="198"/>
      <c r="AA75" s="58" t="str">
        <f t="shared" si="0"/>
        <v/>
      </c>
      <c r="AZ75" s="11" t="s">
        <v>199</v>
      </c>
    </row>
    <row r="76" spans="1:52">
      <c r="A76" s="137" t="s">
        <v>87</v>
      </c>
      <c r="B76" s="11" t="s">
        <v>202</v>
      </c>
      <c r="C76" s="27" t="s">
        <v>203</v>
      </c>
      <c r="D76" s="14" t="s">
        <v>204</v>
      </c>
      <c r="E76" s="15"/>
      <c r="F76" s="12"/>
      <c r="G76" s="11"/>
      <c r="H76" s="13"/>
      <c r="I76" s="15"/>
      <c r="J76" s="12"/>
      <c r="K76" s="11"/>
      <c r="L76" s="15"/>
      <c r="M76" s="12"/>
      <c r="N76" s="11"/>
      <c r="O76" s="15"/>
      <c r="P76" s="12"/>
      <c r="Q76" s="11"/>
      <c r="R76" s="15"/>
      <c r="S76" s="12"/>
      <c r="T76" s="11"/>
      <c r="U76" s="15"/>
      <c r="V76" s="12"/>
      <c r="W76" s="11"/>
      <c r="Y76" s="199" t="str">
        <f>IF(E76="x","K68, ","")&amp;IF(E76="2x","K68, ","")&amp;IF(E76="xo","K68, ","")&amp;IF(E76="xw","K68, ","")</f>
        <v/>
      </c>
      <c r="Z76" s="200"/>
      <c r="AA76" s="201" t="str">
        <f t="shared" si="0"/>
        <v/>
      </c>
      <c r="AB76" s="201"/>
      <c r="AC76" s="201"/>
      <c r="AD76" s="201"/>
      <c r="AZ76" s="11" t="s">
        <v>202</v>
      </c>
    </row>
    <row r="77" spans="1:52" ht="15.75" thickBot="1">
      <c r="A77" s="138" t="s">
        <v>87</v>
      </c>
      <c r="B77" s="16" t="s">
        <v>205</v>
      </c>
      <c r="C77" s="17" t="s">
        <v>206</v>
      </c>
      <c r="D77" s="18" t="s">
        <v>207</v>
      </c>
      <c r="E77" s="19"/>
      <c r="F77" s="20"/>
      <c r="G77" s="16"/>
      <c r="H77" s="21"/>
      <c r="I77" s="19"/>
      <c r="J77" s="20"/>
      <c r="K77" s="16"/>
      <c r="L77" s="19"/>
      <c r="M77" s="20"/>
      <c r="N77" s="16"/>
      <c r="O77" s="19"/>
      <c r="P77" s="20"/>
      <c r="Q77" s="16"/>
      <c r="R77" s="19"/>
      <c r="S77" s="20"/>
      <c r="T77" s="16"/>
      <c r="U77" s="19"/>
      <c r="V77" s="20"/>
      <c r="W77" s="16"/>
      <c r="Y77" s="197" t="str">
        <f>IF(E77="x","K75, ","")&amp;IF(E77="2x","K75, ","")&amp;IF(E77="xo","K75, ","")&amp;IF(E77="xw","K75, ","")</f>
        <v/>
      </c>
      <c r="Z77" s="198"/>
      <c r="AA77" s="58" t="str">
        <f t="shared" si="0"/>
        <v/>
      </c>
      <c r="AZ77" s="16" t="s">
        <v>205</v>
      </c>
    </row>
    <row r="78" spans="1:52" ht="15.75" thickBot="1">
      <c r="A78" s="142" t="s">
        <v>91</v>
      </c>
      <c r="B78" s="28" t="s">
        <v>208</v>
      </c>
      <c r="C78" s="29" t="s">
        <v>209</v>
      </c>
      <c r="D78" s="30" t="s">
        <v>210</v>
      </c>
      <c r="E78" s="31"/>
      <c r="F78" s="32"/>
      <c r="G78" s="28"/>
      <c r="H78" s="33"/>
      <c r="I78" s="31"/>
      <c r="J78" s="32"/>
      <c r="K78" s="28"/>
      <c r="L78" s="31"/>
      <c r="M78" s="32"/>
      <c r="N78" s="28"/>
      <c r="O78" s="31"/>
      <c r="P78" s="32"/>
      <c r="Q78" s="28"/>
      <c r="R78" s="31"/>
      <c r="S78" s="32"/>
      <c r="T78" s="28"/>
      <c r="U78" s="31"/>
      <c r="V78" s="32"/>
      <c r="W78" s="28"/>
      <c r="Y78" s="197" t="str">
        <f>IF(E78="x","K81, ","")&amp;IF(E78="2x","K81, ","")&amp;IF(E78="xo","K81, ","")&amp;IF(E78="xw","K81, ","")</f>
        <v/>
      </c>
      <c r="Z78" s="198"/>
      <c r="AA78" s="58" t="str">
        <f t="shared" si="0"/>
        <v/>
      </c>
      <c r="AZ78" s="28" t="s">
        <v>208</v>
      </c>
    </row>
    <row r="79" spans="1:52" ht="15.75" thickBot="1">
      <c r="B79" s="202" t="str">
        <f>RIGHT(ESG!C9,3)</f>
        <v/>
      </c>
      <c r="D79" s="30" t="s">
        <v>542</v>
      </c>
      <c r="E79" s="203" t="s">
        <v>545</v>
      </c>
      <c r="Y79" s="197" t="str">
        <f>IF(OR(B79="zew",B79="wew",B79="1SL",B79="2SL"),"","P71")</f>
        <v>P71</v>
      </c>
    </row>
    <row r="80" spans="1:52">
      <c r="AA80" s="10" t="str">
        <f>CONCATENATE(AA20,AA21,AA37,AA38,AA22,AA23,AA24,AA25,AA26,AA29,AA39,AA40,AA41,AA46,AA27,AA42,AA44,AA28,AA43,AA45,AA30,AA31,AA47,AA48,AA49,AA32,AA33,AA50,AA51,AA52,AA53,AA54,AA34,AA35,AA55,AA56,AA57,AA58,AA59,AA36,AA60,AA61,AA62,AA63,AA64,AA65,AA66,AA67,AA68,AA69,AA70,AA76,AA77,AA78,Y79)</f>
        <v>P71</v>
      </c>
    </row>
  </sheetData>
  <mergeCells count="29">
    <mergeCell ref="AZ18:AZ19"/>
    <mergeCell ref="E18:H18"/>
    <mergeCell ref="I18:K18"/>
    <mergeCell ref="L18:N18"/>
    <mergeCell ref="O18:Q18"/>
    <mergeCell ref="R18:T18"/>
    <mergeCell ref="AE18:AF18"/>
    <mergeCell ref="AG18:AH18"/>
    <mergeCell ref="U18:W18"/>
    <mergeCell ref="A14:D14"/>
    <mergeCell ref="A15:D15"/>
    <mergeCell ref="A16:D16"/>
    <mergeCell ref="A18:A19"/>
    <mergeCell ref="B18:B19"/>
    <mergeCell ref="C18:C19"/>
    <mergeCell ref="D18:D19"/>
    <mergeCell ref="A13:D13"/>
    <mergeCell ref="A12:D12"/>
    <mergeCell ref="A1:D1"/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</mergeCells>
  <conditionalFormatting sqref="E50:E78 I50:I78 L50:L78 O50:O78 R50:R78 E31:E36">
    <cfRule type="containsText" dxfId="228" priority="24" operator="containsText" text="X">
      <formula>NOT(ISERROR(SEARCH("X",E31)))</formula>
    </cfRule>
  </conditionalFormatting>
  <conditionalFormatting sqref="I31:I36">
    <cfRule type="containsText" dxfId="227" priority="23" operator="containsText" text="X">
      <formula>NOT(ISERROR(SEARCH("X",I31)))</formula>
    </cfRule>
  </conditionalFormatting>
  <conditionalFormatting sqref="L31:L36">
    <cfRule type="containsText" dxfId="226" priority="22" operator="containsText" text="X">
      <formula>NOT(ISERROR(SEARCH("X",L31)))</formula>
    </cfRule>
  </conditionalFormatting>
  <conditionalFormatting sqref="O31:O36">
    <cfRule type="containsText" dxfId="225" priority="21" operator="containsText" text="X">
      <formula>NOT(ISERROR(SEARCH("X",O31)))</formula>
    </cfRule>
  </conditionalFormatting>
  <conditionalFormatting sqref="R31:R36">
    <cfRule type="containsText" dxfId="224" priority="20" operator="containsText" text="X">
      <formula>NOT(ISERROR(SEARCH("X",R31)))</formula>
    </cfRule>
  </conditionalFormatting>
  <conditionalFormatting sqref="E20:E24 I21:I22 L20:L23 O21:O25 R20 R22:R30 R47:R48 E26:E30 I24:I30 L25:L30 O27:O30 U44 E37:E48 I37:I48 L37:L48 O37:O48 R37:R45 U37:U42">
    <cfRule type="expression" dxfId="223" priority="19" stopIfTrue="1">
      <formula>NOT(ISERROR(SEARCH("X",E20)))</formula>
    </cfRule>
  </conditionalFormatting>
  <conditionalFormatting sqref="O20">
    <cfRule type="expression" dxfId="222" priority="18" stopIfTrue="1">
      <formula>NOT(ISERROR(SEARCH("X",O20)))</formula>
    </cfRule>
  </conditionalFormatting>
  <conditionalFormatting sqref="R21">
    <cfRule type="expression" dxfId="221" priority="17" stopIfTrue="1">
      <formula>NOT(ISERROR(SEARCH("X",R21)))</formula>
    </cfRule>
  </conditionalFormatting>
  <conditionalFormatting sqref="R46">
    <cfRule type="expression" dxfId="220" priority="16" stopIfTrue="1">
      <formula>NOT(ISERROR(SEARCH("X",R46)))</formula>
    </cfRule>
  </conditionalFormatting>
  <conditionalFormatting sqref="U50:U78">
    <cfRule type="containsText" dxfId="219" priority="15" operator="containsText" text="X">
      <formula>NOT(ISERROR(SEARCH("X",U50)))</formula>
    </cfRule>
  </conditionalFormatting>
  <conditionalFormatting sqref="U31:U36">
    <cfRule type="containsText" dxfId="218" priority="14" operator="containsText" text="X">
      <formula>NOT(ISERROR(SEARCH("X",U31)))</formula>
    </cfRule>
  </conditionalFormatting>
  <conditionalFormatting sqref="U20 U22:U30 U47:U48">
    <cfRule type="expression" dxfId="217" priority="13" stopIfTrue="1">
      <formula>NOT(ISERROR(SEARCH("X",U20)))</formula>
    </cfRule>
  </conditionalFormatting>
  <conditionalFormatting sqref="U21">
    <cfRule type="expression" dxfId="216" priority="12" stopIfTrue="1">
      <formula>NOT(ISERROR(SEARCH("X",U21)))</formula>
    </cfRule>
  </conditionalFormatting>
  <conditionalFormatting sqref="I20">
    <cfRule type="expression" dxfId="215" priority="10" stopIfTrue="1">
      <formula>NOT(ISERROR(SEARCH("X",I20)))</formula>
    </cfRule>
  </conditionalFormatting>
  <conditionalFormatting sqref="E25">
    <cfRule type="expression" dxfId="214" priority="9" stopIfTrue="1">
      <formula>NOT(ISERROR(SEARCH("X",E25)))</formula>
    </cfRule>
  </conditionalFormatting>
  <conditionalFormatting sqref="I23">
    <cfRule type="expression" dxfId="213" priority="8" stopIfTrue="1">
      <formula>NOT(ISERROR(SEARCH("X",I23)))</formula>
    </cfRule>
  </conditionalFormatting>
  <conditionalFormatting sqref="L24">
    <cfRule type="expression" dxfId="212" priority="7" stopIfTrue="1">
      <formula>NOT(ISERROR(SEARCH("X",L24)))</formula>
    </cfRule>
  </conditionalFormatting>
  <conditionalFormatting sqref="O26">
    <cfRule type="expression" dxfId="211" priority="6" stopIfTrue="1">
      <formula>NOT(ISERROR(SEARCH("X",O26)))</formula>
    </cfRule>
  </conditionalFormatting>
  <conditionalFormatting sqref="U43">
    <cfRule type="expression" dxfId="210" priority="5" stopIfTrue="1">
      <formula>NOT(ISERROR(SEARCH("X",U43)))</formula>
    </cfRule>
  </conditionalFormatting>
  <conditionalFormatting sqref="U45">
    <cfRule type="expression" dxfId="209" priority="4" stopIfTrue="1">
      <formula>NOT(ISERROR(SEARCH("X",U45)))</formula>
    </cfRule>
  </conditionalFormatting>
  <conditionalFormatting sqref="U46">
    <cfRule type="expression" dxfId="208" priority="3" stopIfTrue="1">
      <formula>NOT(ISERROR(SEARCH("X",U46)))</formula>
    </cfRule>
  </conditionalFormatting>
  <conditionalFormatting sqref="R49 E49 I49 L49 O49">
    <cfRule type="expression" dxfId="207" priority="2" stopIfTrue="1">
      <formula>NOT(ISERROR(SEARCH("X",E49)))</formula>
    </cfRule>
  </conditionalFormatting>
  <conditionalFormatting sqref="U49">
    <cfRule type="expression" dxfId="206" priority="1" stopIfTrue="1">
      <formula>NOT(ISERROR(SEARCH("X",U49)))</formula>
    </cfRule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B50"/>
  <sheetViews>
    <sheetView zoomScale="90" zoomScaleNormal="90" workbookViewId="0">
      <pane ySplit="1" topLeftCell="A2" activePane="bottomLeft" state="frozen"/>
      <selection activeCell="C1" sqref="C1"/>
      <selection pane="bottomLeft" activeCell="B51" sqref="B51"/>
    </sheetView>
  </sheetViews>
  <sheetFormatPr defaultColWidth="9.140625" defaultRowHeight="15" outlineLevelCol="1"/>
  <cols>
    <col min="1" max="1" width="9.28515625" style="414" customWidth="1"/>
    <col min="2" max="2" width="32.140625" style="414" customWidth="1"/>
    <col min="3" max="4" width="13.85546875" style="414" customWidth="1"/>
    <col min="5" max="5" width="17.140625" style="414" customWidth="1"/>
    <col min="6" max="6" width="9.140625" style="410"/>
    <col min="7" max="7" width="4.5703125" style="424" hidden="1" customWidth="1" outlineLevel="1"/>
    <col min="8" max="8" width="5" style="424" hidden="1" customWidth="1" outlineLevel="1"/>
    <col min="9" max="9" width="5.140625" style="424" hidden="1" customWidth="1" outlineLevel="1"/>
    <col min="10" max="10" width="4.42578125" style="424" hidden="1" customWidth="1" outlineLevel="1"/>
    <col min="11" max="11" width="7.28515625" style="424" hidden="1" customWidth="1" outlineLevel="1"/>
    <col min="12" max="12" width="8.42578125" style="424" hidden="1" customWidth="1" outlineLevel="1"/>
    <col min="13" max="13" width="10.140625" style="424" hidden="1" customWidth="1" outlineLevel="1"/>
    <col min="14" max="14" width="10.85546875" style="414" hidden="1" customWidth="1" outlineLevel="1"/>
    <col min="15" max="16" width="9.140625" style="414" hidden="1" customWidth="1" outlineLevel="1"/>
    <col min="17" max="17" width="9.140625" style="414" collapsed="1"/>
    <col min="18" max="24" width="9.140625" style="414" hidden="1" customWidth="1" outlineLevel="1"/>
    <col min="25" max="25" width="9.140625" style="414" collapsed="1"/>
    <col min="26" max="16384" width="9.140625" style="414"/>
  </cols>
  <sheetData>
    <row r="1" spans="1:28" s="406" customFormat="1" ht="30.75" thickBot="1">
      <c r="A1" s="400" t="s">
        <v>548</v>
      </c>
      <c r="B1" s="401" t="s">
        <v>703</v>
      </c>
      <c r="C1" s="401" t="s">
        <v>704</v>
      </c>
      <c r="D1" s="401" t="s">
        <v>705</v>
      </c>
      <c r="E1" s="402" t="s">
        <v>706</v>
      </c>
      <c r="F1" s="403"/>
      <c r="G1" s="404" t="s">
        <v>707</v>
      </c>
      <c r="H1" s="404"/>
      <c r="I1" s="404"/>
      <c r="J1" s="404"/>
      <c r="K1" s="404" t="s">
        <v>708</v>
      </c>
      <c r="L1" s="404" t="s">
        <v>709</v>
      </c>
      <c r="M1" s="405"/>
    </row>
    <row r="2" spans="1:28" ht="15.75" hidden="1" thickBot="1">
      <c r="A2" s="407" t="s">
        <v>160</v>
      </c>
      <c r="B2" s="408" t="s">
        <v>710</v>
      </c>
      <c r="C2" s="408" t="s">
        <v>711</v>
      </c>
      <c r="D2" s="408"/>
      <c r="E2" s="409">
        <v>180</v>
      </c>
      <c r="F2" s="410">
        <v>183</v>
      </c>
      <c r="G2" s="411" t="s">
        <v>712</v>
      </c>
      <c r="H2" s="411" t="s">
        <v>713</v>
      </c>
      <c r="I2" s="411" t="s">
        <v>714</v>
      </c>
      <c r="J2" s="411" t="s">
        <v>715</v>
      </c>
      <c r="K2" s="411" t="s">
        <v>715</v>
      </c>
      <c r="L2" s="411" t="s">
        <v>715</v>
      </c>
      <c r="M2" s="412">
        <v>10</v>
      </c>
      <c r="N2" s="413" t="str">
        <f>K2&amp;I2</f>
        <v>ARM</v>
      </c>
      <c r="O2" s="414" t="e">
        <f>VLOOKUP(N2,#REF!,5,FALSE)</f>
        <v>#REF!</v>
      </c>
      <c r="P2" s="414" t="e">
        <f>O2=M2</f>
        <v>#REF!</v>
      </c>
      <c r="R2" s="407" t="s">
        <v>160</v>
      </c>
      <c r="S2" s="408" t="s">
        <v>716</v>
      </c>
      <c r="T2" s="409">
        <v>25</v>
      </c>
    </row>
    <row r="3" spans="1:28" ht="15.75" hidden="1" thickBot="1">
      <c r="A3" s="407" t="s">
        <v>160</v>
      </c>
      <c r="B3" s="408" t="s">
        <v>717</v>
      </c>
      <c r="C3" s="408" t="s">
        <v>711</v>
      </c>
      <c r="D3" s="408" t="s">
        <v>718</v>
      </c>
      <c r="E3" s="409">
        <v>180</v>
      </c>
      <c r="F3" s="410">
        <v>183</v>
      </c>
      <c r="G3" s="411" t="s">
        <v>712</v>
      </c>
      <c r="H3" s="411" t="s">
        <v>713</v>
      </c>
      <c r="I3" s="411" t="s">
        <v>719</v>
      </c>
      <c r="J3" s="411" t="s">
        <v>715</v>
      </c>
      <c r="K3" s="411" t="s">
        <v>160</v>
      </c>
      <c r="L3" s="411" t="s">
        <v>715</v>
      </c>
      <c r="M3" s="412">
        <v>25</v>
      </c>
      <c r="N3" s="413" t="str">
        <f t="shared" ref="N3:N50" si="0">K3&amp;I3</f>
        <v>BT01BUS</v>
      </c>
      <c r="O3" s="414" t="e">
        <f>VLOOKUP(N3,#REF!,5,FALSE)</f>
        <v>#REF!</v>
      </c>
      <c r="P3" s="414" t="e">
        <f t="shared" ref="P3:P50" si="1">O3=M3</f>
        <v>#REF!</v>
      </c>
      <c r="R3" s="415" t="s">
        <v>167</v>
      </c>
      <c r="S3" s="416" t="s">
        <v>716</v>
      </c>
      <c r="T3" s="417">
        <v>25</v>
      </c>
      <c r="Z3" s="418"/>
      <c r="AA3" s="414" t="s">
        <v>720</v>
      </c>
    </row>
    <row r="4" spans="1:28" ht="15.75" thickBot="1">
      <c r="A4" s="407" t="s">
        <v>160</v>
      </c>
      <c r="B4" s="408" t="s">
        <v>716</v>
      </c>
      <c r="C4" s="408" t="s">
        <v>719</v>
      </c>
      <c r="D4" s="408"/>
      <c r="E4" s="409">
        <v>25</v>
      </c>
      <c r="F4" s="410">
        <v>40</v>
      </c>
      <c r="G4" s="411" t="s">
        <v>712</v>
      </c>
      <c r="H4" s="411" t="s">
        <v>713</v>
      </c>
      <c r="I4" s="411" t="s">
        <v>719</v>
      </c>
      <c r="J4" s="411" t="s">
        <v>715</v>
      </c>
      <c r="K4" s="411" t="s">
        <v>167</v>
      </c>
      <c r="L4" s="411" t="s">
        <v>715</v>
      </c>
      <c r="M4" s="412">
        <v>25</v>
      </c>
      <c r="N4" s="413" t="str">
        <f t="shared" si="0"/>
        <v>BT02BUS</v>
      </c>
      <c r="O4" s="414" t="e">
        <f>VLOOKUP(N4,#REF!,5,FALSE)</f>
        <v>#REF!</v>
      </c>
      <c r="P4" s="414" t="e">
        <f t="shared" si="1"/>
        <v>#REF!</v>
      </c>
      <c r="R4" s="407" t="s">
        <v>162</v>
      </c>
      <c r="S4" s="408" t="s">
        <v>716</v>
      </c>
      <c r="T4" s="409">
        <v>20</v>
      </c>
      <c r="AA4" s="414" t="s">
        <v>721</v>
      </c>
      <c r="AB4" s="419" t="s">
        <v>722</v>
      </c>
    </row>
    <row r="5" spans="1:28" ht="15.75" hidden="1" thickBot="1">
      <c r="A5" s="407" t="s">
        <v>160</v>
      </c>
      <c r="B5" s="408" t="s">
        <v>723</v>
      </c>
      <c r="C5" s="408" t="s">
        <v>724</v>
      </c>
      <c r="D5" s="408"/>
      <c r="E5" s="409">
        <v>90</v>
      </c>
      <c r="G5" s="411" t="s">
        <v>712</v>
      </c>
      <c r="H5" s="411" t="s">
        <v>713</v>
      </c>
      <c r="I5" s="411" t="s">
        <v>719</v>
      </c>
      <c r="J5" s="411" t="s">
        <v>715</v>
      </c>
      <c r="K5" s="411" t="s">
        <v>162</v>
      </c>
      <c r="L5" s="411" t="s">
        <v>715</v>
      </c>
      <c r="M5" s="412">
        <v>20</v>
      </c>
      <c r="N5" s="413" t="str">
        <f t="shared" si="0"/>
        <v>CRB1BUS</v>
      </c>
      <c r="O5" s="414" t="e">
        <f>VLOOKUP(N5,#REF!,5,FALSE)</f>
        <v>#REF!</v>
      </c>
      <c r="P5" s="414" t="e">
        <f t="shared" si="1"/>
        <v>#REF!</v>
      </c>
      <c r="R5" s="415" t="s">
        <v>134</v>
      </c>
      <c r="S5" s="416" t="s">
        <v>716</v>
      </c>
      <c r="T5" s="417">
        <v>200</v>
      </c>
      <c r="AB5" s="419"/>
    </row>
    <row r="6" spans="1:28" ht="15.75" thickBot="1">
      <c r="A6" s="407" t="s">
        <v>160</v>
      </c>
      <c r="B6" s="408" t="s">
        <v>725</v>
      </c>
      <c r="C6" s="408" t="s">
        <v>726</v>
      </c>
      <c r="D6" s="408"/>
      <c r="E6" s="409">
        <v>20</v>
      </c>
      <c r="F6" s="410">
        <v>6</v>
      </c>
      <c r="G6" s="411" t="s">
        <v>712</v>
      </c>
      <c r="H6" s="411" t="s">
        <v>713</v>
      </c>
      <c r="I6" s="411" t="s">
        <v>719</v>
      </c>
      <c r="J6" s="411" t="s">
        <v>715</v>
      </c>
      <c r="K6" s="411" t="s">
        <v>134</v>
      </c>
      <c r="L6" s="411" t="s">
        <v>715</v>
      </c>
      <c r="M6" s="412">
        <v>200</v>
      </c>
      <c r="N6" s="413" t="str">
        <f t="shared" si="0"/>
        <v>GTO1BUS</v>
      </c>
      <c r="O6" s="414" t="e">
        <f>VLOOKUP(N6,#REF!,5,FALSE)</f>
        <v>#REF!</v>
      </c>
      <c r="P6" s="414" t="e">
        <f t="shared" si="1"/>
        <v>#REF!</v>
      </c>
      <c r="R6" s="407" t="s">
        <v>137</v>
      </c>
      <c r="S6" s="408" t="s">
        <v>716</v>
      </c>
      <c r="T6" s="409">
        <v>25</v>
      </c>
      <c r="AA6" s="414" t="s">
        <v>727</v>
      </c>
      <c r="AB6" s="419" t="s">
        <v>728</v>
      </c>
    </row>
    <row r="7" spans="1:28" ht="15.75" hidden="1" thickBot="1">
      <c r="A7" s="407" t="s">
        <v>160</v>
      </c>
      <c r="B7" s="408" t="s">
        <v>729</v>
      </c>
      <c r="C7" s="408" t="s">
        <v>730</v>
      </c>
      <c r="D7" s="408"/>
      <c r="E7" s="409">
        <v>50</v>
      </c>
      <c r="F7" s="410">
        <v>9</v>
      </c>
      <c r="G7" s="411" t="s">
        <v>712</v>
      </c>
      <c r="H7" s="411" t="s">
        <v>713</v>
      </c>
      <c r="I7" s="411" t="s">
        <v>719</v>
      </c>
      <c r="J7" s="411" t="s">
        <v>715</v>
      </c>
      <c r="K7" s="411" t="s">
        <v>313</v>
      </c>
      <c r="L7" s="411" t="s">
        <v>715</v>
      </c>
      <c r="M7" s="412">
        <v>25</v>
      </c>
      <c r="N7" s="413" t="str">
        <f t="shared" si="0"/>
        <v>LIS1BUS</v>
      </c>
      <c r="O7" s="414" t="e">
        <f>VLOOKUP(N7,#REF!,5,FALSE)</f>
        <v>#REF!</v>
      </c>
      <c r="P7" s="414" t="e">
        <f t="shared" si="1"/>
        <v>#REF!</v>
      </c>
      <c r="R7" s="415" t="s">
        <v>165</v>
      </c>
      <c r="S7" s="416" t="s">
        <v>716</v>
      </c>
      <c r="T7" s="417">
        <v>20</v>
      </c>
    </row>
    <row r="8" spans="1:28" ht="15.75" hidden="1" thickBot="1">
      <c r="A8" s="407" t="s">
        <v>160</v>
      </c>
      <c r="B8" s="408" t="s">
        <v>731</v>
      </c>
      <c r="C8" s="408" t="s">
        <v>732</v>
      </c>
      <c r="D8" s="408"/>
      <c r="E8" s="409">
        <v>50</v>
      </c>
      <c r="G8" s="411" t="s">
        <v>712</v>
      </c>
      <c r="H8" s="411" t="s">
        <v>713</v>
      </c>
      <c r="I8" s="411" t="s">
        <v>719</v>
      </c>
      <c r="J8" s="411" t="s">
        <v>715</v>
      </c>
      <c r="K8" s="411" t="s">
        <v>137</v>
      </c>
      <c r="L8" s="411" t="s">
        <v>715</v>
      </c>
      <c r="M8" s="412">
        <v>25</v>
      </c>
      <c r="N8" s="413" t="str">
        <f t="shared" si="0"/>
        <v>TG01BUS</v>
      </c>
      <c r="O8" s="414" t="e">
        <f>VLOOKUP(N8,#REF!,5,FALSE)</f>
        <v>#REF!</v>
      </c>
      <c r="P8" s="414" t="e">
        <f t="shared" si="1"/>
        <v>#REF!</v>
      </c>
      <c r="R8" s="420" t="s">
        <v>313</v>
      </c>
      <c r="S8" s="421" t="s">
        <v>716</v>
      </c>
      <c r="T8" s="409">
        <v>25</v>
      </c>
    </row>
    <row r="9" spans="1:28" ht="15.75" hidden="1" thickBot="1">
      <c r="A9" s="415" t="s">
        <v>167</v>
      </c>
      <c r="B9" s="416" t="s">
        <v>710</v>
      </c>
      <c r="C9" s="416" t="s">
        <v>711</v>
      </c>
      <c r="D9" s="416"/>
      <c r="E9" s="417">
        <v>140</v>
      </c>
      <c r="F9" s="410">
        <v>145</v>
      </c>
      <c r="G9" s="411" t="s">
        <v>712</v>
      </c>
      <c r="H9" s="411" t="s">
        <v>713</v>
      </c>
      <c r="I9" s="411" t="s">
        <v>724</v>
      </c>
      <c r="J9" s="411" t="s">
        <v>715</v>
      </c>
      <c r="K9" s="411" t="s">
        <v>160</v>
      </c>
      <c r="L9" s="411" t="s">
        <v>715</v>
      </c>
      <c r="M9" s="412">
        <v>100</v>
      </c>
      <c r="N9" s="413" t="str">
        <f t="shared" si="0"/>
        <v>BT01CAB</v>
      </c>
      <c r="O9" s="414" t="e">
        <f>VLOOKUP(N9,#REF!,5,FALSE)</f>
        <v>#REF!</v>
      </c>
      <c r="P9" s="414" t="e">
        <f t="shared" si="1"/>
        <v>#REF!</v>
      </c>
    </row>
    <row r="10" spans="1:28" ht="15.75" hidden="1" thickBot="1">
      <c r="A10" s="415" t="s">
        <v>167</v>
      </c>
      <c r="B10" s="416" t="s">
        <v>717</v>
      </c>
      <c r="C10" s="416" t="s">
        <v>711</v>
      </c>
      <c r="D10" s="416" t="s">
        <v>718</v>
      </c>
      <c r="E10" s="417">
        <v>140</v>
      </c>
      <c r="F10" s="410">
        <v>145</v>
      </c>
      <c r="G10" s="411" t="s">
        <v>712</v>
      </c>
      <c r="H10" s="411" t="s">
        <v>713</v>
      </c>
      <c r="I10" s="411" t="s">
        <v>724</v>
      </c>
      <c r="J10" s="411" t="s">
        <v>715</v>
      </c>
      <c r="K10" s="411" t="s">
        <v>167</v>
      </c>
      <c r="L10" s="411" t="s">
        <v>715</v>
      </c>
      <c r="M10" s="412">
        <v>25</v>
      </c>
      <c r="N10" s="413" t="str">
        <f t="shared" si="0"/>
        <v>BT02CAB</v>
      </c>
      <c r="O10" s="414" t="e">
        <f>VLOOKUP(N10,#REF!,5,FALSE)</f>
        <v>#REF!</v>
      </c>
      <c r="P10" s="414" t="e">
        <f t="shared" si="1"/>
        <v>#REF!</v>
      </c>
      <c r="R10" s="411" t="s">
        <v>712</v>
      </c>
      <c r="S10" s="411" t="s">
        <v>713</v>
      </c>
      <c r="T10" s="411" t="s">
        <v>719</v>
      </c>
      <c r="U10" s="411" t="s">
        <v>715</v>
      </c>
      <c r="V10" s="411" t="s">
        <v>160</v>
      </c>
      <c r="W10" s="411" t="s">
        <v>715</v>
      </c>
      <c r="X10" s="412">
        <v>25</v>
      </c>
    </row>
    <row r="11" spans="1:28" ht="15.75" thickBot="1">
      <c r="A11" s="415" t="s">
        <v>167</v>
      </c>
      <c r="B11" s="416" t="s">
        <v>716</v>
      </c>
      <c r="C11" s="416" t="s">
        <v>719</v>
      </c>
      <c r="D11" s="416"/>
      <c r="E11" s="417">
        <v>25</v>
      </c>
      <c r="F11" s="410">
        <v>28</v>
      </c>
      <c r="G11" s="422" t="s">
        <v>712</v>
      </c>
      <c r="H11" s="422" t="s">
        <v>713</v>
      </c>
      <c r="I11" s="422" t="s">
        <v>724</v>
      </c>
      <c r="J11" s="422" t="s">
        <v>715</v>
      </c>
      <c r="K11" s="422" t="s">
        <v>162</v>
      </c>
      <c r="L11" s="422" t="s">
        <v>715</v>
      </c>
      <c r="M11" s="423">
        <v>50</v>
      </c>
      <c r="N11" s="413" t="str">
        <f t="shared" si="0"/>
        <v>CRB1CAB</v>
      </c>
      <c r="O11" s="414" t="e">
        <f>VLOOKUP(N11,#REF!,5,FALSE)</f>
        <v>#REF!</v>
      </c>
      <c r="P11" s="414" t="e">
        <f t="shared" si="1"/>
        <v>#REF!</v>
      </c>
      <c r="R11" s="411" t="s">
        <v>712</v>
      </c>
      <c r="S11" s="411" t="s">
        <v>713</v>
      </c>
      <c r="T11" s="411" t="s">
        <v>719</v>
      </c>
      <c r="U11" s="411" t="s">
        <v>715</v>
      </c>
      <c r="V11" s="411" t="s">
        <v>167</v>
      </c>
      <c r="W11" s="411" t="s">
        <v>715</v>
      </c>
      <c r="X11" s="412">
        <v>25</v>
      </c>
      <c r="AA11" s="414" t="s">
        <v>733</v>
      </c>
      <c r="AB11" s="419" t="s">
        <v>728</v>
      </c>
    </row>
    <row r="12" spans="1:28" ht="15.75" hidden="1" thickBot="1">
      <c r="A12" s="415" t="s">
        <v>167</v>
      </c>
      <c r="B12" s="416" t="s">
        <v>723</v>
      </c>
      <c r="C12" s="416" t="s">
        <v>724</v>
      </c>
      <c r="D12" s="416"/>
      <c r="E12" s="417">
        <v>25</v>
      </c>
      <c r="F12" s="410">
        <v>5</v>
      </c>
      <c r="G12" s="411" t="s">
        <v>712</v>
      </c>
      <c r="H12" s="411" t="s">
        <v>713</v>
      </c>
      <c r="I12" s="411" t="s">
        <v>724</v>
      </c>
      <c r="J12" s="411" t="s">
        <v>715</v>
      </c>
      <c r="K12" s="411" t="s">
        <v>134</v>
      </c>
      <c r="L12" s="411" t="s">
        <v>715</v>
      </c>
      <c r="M12" s="412">
        <v>400</v>
      </c>
      <c r="N12" s="413" t="str">
        <f t="shared" si="0"/>
        <v>GTO1CAB</v>
      </c>
      <c r="O12" s="414" t="e">
        <f>VLOOKUP(N12,#REF!,5,FALSE)</f>
        <v>#REF!</v>
      </c>
      <c r="P12" s="414" t="e">
        <f t="shared" si="1"/>
        <v>#REF!</v>
      </c>
      <c r="R12" s="411" t="s">
        <v>712</v>
      </c>
      <c r="S12" s="411" t="s">
        <v>713</v>
      </c>
      <c r="T12" s="411" t="s">
        <v>719</v>
      </c>
      <c r="U12" s="411" t="s">
        <v>715</v>
      </c>
      <c r="V12" s="411" t="s">
        <v>162</v>
      </c>
      <c r="W12" s="411" t="s">
        <v>715</v>
      </c>
      <c r="X12" s="412">
        <v>20</v>
      </c>
    </row>
    <row r="13" spans="1:28" ht="15.75" thickBot="1">
      <c r="A13" s="415" t="s">
        <v>167</v>
      </c>
      <c r="B13" s="416" t="s">
        <v>725</v>
      </c>
      <c r="C13" s="416" t="s">
        <v>726</v>
      </c>
      <c r="D13" s="416"/>
      <c r="E13" s="417">
        <v>20</v>
      </c>
      <c r="F13" s="410">
        <v>17</v>
      </c>
      <c r="G13" s="411" t="s">
        <v>712</v>
      </c>
      <c r="H13" s="411" t="s">
        <v>713</v>
      </c>
      <c r="I13" s="411" t="s">
        <v>724</v>
      </c>
      <c r="J13" s="411" t="s">
        <v>715</v>
      </c>
      <c r="K13" s="411" t="s">
        <v>313</v>
      </c>
      <c r="L13" s="411" t="s">
        <v>715</v>
      </c>
      <c r="M13" s="412">
        <v>50</v>
      </c>
      <c r="N13" s="413" t="str">
        <f t="shared" si="0"/>
        <v>LIS1CAB</v>
      </c>
      <c r="O13" s="414" t="e">
        <f>VLOOKUP(N13,#REF!,5,FALSE)</f>
        <v>#REF!</v>
      </c>
      <c r="P13" s="414" t="e">
        <f t="shared" si="1"/>
        <v>#REF!</v>
      </c>
      <c r="R13" s="411" t="s">
        <v>712</v>
      </c>
      <c r="S13" s="411" t="s">
        <v>713</v>
      </c>
      <c r="T13" s="411" t="s">
        <v>719</v>
      </c>
      <c r="U13" s="411" t="s">
        <v>715</v>
      </c>
      <c r="V13" s="411" t="s">
        <v>134</v>
      </c>
      <c r="W13" s="411" t="s">
        <v>715</v>
      </c>
      <c r="X13" s="412">
        <v>200</v>
      </c>
    </row>
    <row r="14" spans="1:28" ht="15.75" hidden="1" thickBot="1">
      <c r="A14" s="415" t="s">
        <v>167</v>
      </c>
      <c r="B14" s="416" t="s">
        <v>729</v>
      </c>
      <c r="C14" s="416" t="s">
        <v>730</v>
      </c>
      <c r="D14" s="416"/>
      <c r="E14" s="417">
        <v>50</v>
      </c>
      <c r="F14" s="410">
        <v>46</v>
      </c>
      <c r="G14" s="411" t="s">
        <v>712</v>
      </c>
      <c r="H14" s="411" t="s">
        <v>713</v>
      </c>
      <c r="I14" s="411" t="s">
        <v>724</v>
      </c>
      <c r="J14" s="411" t="s">
        <v>715</v>
      </c>
      <c r="K14" s="411" t="s">
        <v>137</v>
      </c>
      <c r="L14" s="411" t="s">
        <v>715</v>
      </c>
      <c r="M14" s="412">
        <v>100</v>
      </c>
      <c r="N14" s="413" t="str">
        <f t="shared" si="0"/>
        <v>TG01CAB</v>
      </c>
      <c r="O14" s="414" t="e">
        <f>VLOOKUP(N14,#REF!,5,FALSE)</f>
        <v>#REF!</v>
      </c>
      <c r="P14" s="414" t="e">
        <f t="shared" si="1"/>
        <v>#REF!</v>
      </c>
      <c r="R14" s="411" t="s">
        <v>712</v>
      </c>
      <c r="S14" s="411" t="s">
        <v>713</v>
      </c>
      <c r="T14" s="411" t="s">
        <v>719</v>
      </c>
      <c r="U14" s="411" t="s">
        <v>715</v>
      </c>
      <c r="V14" s="411" t="s">
        <v>313</v>
      </c>
      <c r="W14" s="411" t="s">
        <v>715</v>
      </c>
      <c r="X14" s="412">
        <v>25</v>
      </c>
    </row>
    <row r="15" spans="1:28" ht="15.75" hidden="1" thickBot="1">
      <c r="A15" s="415" t="s">
        <v>167</v>
      </c>
      <c r="B15" s="416" t="s">
        <v>731</v>
      </c>
      <c r="C15" s="416" t="s">
        <v>732</v>
      </c>
      <c r="D15" s="416"/>
      <c r="E15" s="417">
        <v>50</v>
      </c>
      <c r="G15" s="411" t="s">
        <v>712</v>
      </c>
      <c r="H15" s="411" t="s">
        <v>713</v>
      </c>
      <c r="I15" s="411" t="s">
        <v>724</v>
      </c>
      <c r="J15" s="411" t="s">
        <v>715</v>
      </c>
      <c r="K15" s="411" t="s">
        <v>165</v>
      </c>
      <c r="L15" s="411" t="s">
        <v>715</v>
      </c>
      <c r="M15" s="412">
        <v>50</v>
      </c>
      <c r="N15" s="413" t="str">
        <f t="shared" si="0"/>
        <v>TG02CAB</v>
      </c>
      <c r="O15" s="414" t="e">
        <f>VLOOKUP(N15,#REF!,5,FALSE)</f>
        <v>#REF!</v>
      </c>
      <c r="P15" s="414" t="e">
        <f t="shared" si="1"/>
        <v>#REF!</v>
      </c>
      <c r="R15" s="411" t="s">
        <v>712</v>
      </c>
      <c r="S15" s="411" t="s">
        <v>713</v>
      </c>
      <c r="T15" s="411" t="s">
        <v>719</v>
      </c>
      <c r="U15" s="411" t="s">
        <v>715</v>
      </c>
      <c r="V15" s="411" t="s">
        <v>137</v>
      </c>
      <c r="W15" s="411" t="s">
        <v>715</v>
      </c>
      <c r="X15" s="412">
        <v>25</v>
      </c>
    </row>
    <row r="16" spans="1:28" ht="15.75" hidden="1" thickBot="1">
      <c r="A16" s="407" t="s">
        <v>162</v>
      </c>
      <c r="B16" s="408" t="s">
        <v>710</v>
      </c>
      <c r="C16" s="408" t="s">
        <v>711</v>
      </c>
      <c r="D16" s="408"/>
      <c r="E16" s="409">
        <v>85</v>
      </c>
      <c r="F16" s="410">
        <v>84.333333333333329</v>
      </c>
      <c r="G16" s="411" t="s">
        <v>712</v>
      </c>
      <c r="H16" s="411" t="s">
        <v>713</v>
      </c>
      <c r="I16" s="411" t="s">
        <v>734</v>
      </c>
      <c r="J16" s="411" t="s">
        <v>715</v>
      </c>
      <c r="K16" s="411" t="s">
        <v>167</v>
      </c>
      <c r="L16" s="411" t="s">
        <v>715</v>
      </c>
      <c r="M16" s="412">
        <v>0</v>
      </c>
      <c r="N16" s="413" t="str">
        <f t="shared" si="0"/>
        <v>BT02EV</v>
      </c>
      <c r="O16" s="414" t="e">
        <f>VLOOKUP(N16,#REF!,5,FALSE)</f>
        <v>#REF!</v>
      </c>
      <c r="P16" s="414" t="e">
        <f t="shared" si="1"/>
        <v>#REF!</v>
      </c>
    </row>
    <row r="17" spans="1:19" ht="15.75" hidden="1" thickBot="1">
      <c r="A17" s="407" t="s">
        <v>162</v>
      </c>
      <c r="B17" s="408" t="s">
        <v>717</v>
      </c>
      <c r="C17" s="408" t="s">
        <v>711</v>
      </c>
      <c r="D17" s="408" t="s">
        <v>718</v>
      </c>
      <c r="E17" s="409">
        <v>250</v>
      </c>
      <c r="F17" s="410">
        <v>241</v>
      </c>
      <c r="G17" s="411" t="s">
        <v>712</v>
      </c>
      <c r="H17" s="411" t="s">
        <v>713</v>
      </c>
      <c r="I17" s="411" t="s">
        <v>734</v>
      </c>
      <c r="J17" s="411" t="s">
        <v>715</v>
      </c>
      <c r="K17" s="411" t="s">
        <v>162</v>
      </c>
      <c r="L17" s="411" t="s">
        <v>715</v>
      </c>
      <c r="M17" s="412">
        <v>0</v>
      </c>
      <c r="N17" s="413" t="str">
        <f t="shared" si="0"/>
        <v>CRB1EV</v>
      </c>
      <c r="O17" s="414" t="e">
        <f>VLOOKUP(N17,#REF!,5,FALSE)</f>
        <v>#REF!</v>
      </c>
      <c r="P17" s="414" t="e">
        <f t="shared" si="1"/>
        <v>#REF!</v>
      </c>
    </row>
    <row r="18" spans="1:19" ht="15.75" thickBot="1">
      <c r="A18" s="407" t="s">
        <v>162</v>
      </c>
      <c r="B18" s="408" t="s">
        <v>716</v>
      </c>
      <c r="C18" s="408" t="s">
        <v>719</v>
      </c>
      <c r="D18" s="408"/>
      <c r="E18" s="409">
        <v>25</v>
      </c>
      <c r="F18" s="410">
        <v>27.820153953813858</v>
      </c>
      <c r="G18" s="411" t="s">
        <v>712</v>
      </c>
      <c r="H18" s="411" t="s">
        <v>713</v>
      </c>
      <c r="I18" s="411" t="s">
        <v>734</v>
      </c>
      <c r="J18" s="411" t="s">
        <v>715</v>
      </c>
      <c r="K18" s="411" t="s">
        <v>134</v>
      </c>
      <c r="L18" s="411" t="s">
        <v>715</v>
      </c>
      <c r="M18" s="412">
        <v>0</v>
      </c>
      <c r="N18" s="413" t="str">
        <f t="shared" si="0"/>
        <v>GTO1EV</v>
      </c>
      <c r="O18" s="414" t="e">
        <f>VLOOKUP(N18,#REF!,5,FALSE)</f>
        <v>#REF!</v>
      </c>
      <c r="P18" s="414" t="e">
        <f t="shared" si="1"/>
        <v>#REF!</v>
      </c>
    </row>
    <row r="19" spans="1:19" ht="15.75" hidden="1" thickBot="1">
      <c r="A19" s="407" t="s">
        <v>162</v>
      </c>
      <c r="B19" s="408" t="s">
        <v>723</v>
      </c>
      <c r="C19" s="408" t="s">
        <v>724</v>
      </c>
      <c r="D19" s="408"/>
      <c r="E19" s="409">
        <v>90</v>
      </c>
      <c r="F19" s="410">
        <v>88.03580562659846</v>
      </c>
      <c r="G19" s="411" t="s">
        <v>712</v>
      </c>
      <c r="H19" s="411" t="s">
        <v>713</v>
      </c>
      <c r="I19" s="411" t="s">
        <v>734</v>
      </c>
      <c r="J19" s="411" t="s">
        <v>715</v>
      </c>
      <c r="K19" s="411" t="s">
        <v>313</v>
      </c>
      <c r="L19" s="411" t="s">
        <v>715</v>
      </c>
      <c r="M19" s="412">
        <v>0</v>
      </c>
      <c r="N19" s="413" t="str">
        <f t="shared" si="0"/>
        <v>LIS1EV</v>
      </c>
      <c r="O19" s="414" t="e">
        <f>VLOOKUP(N19,#REF!,5,FALSE)</f>
        <v>#REF!</v>
      </c>
      <c r="P19" s="414" t="e">
        <f t="shared" si="1"/>
        <v>#REF!</v>
      </c>
    </row>
    <row r="20" spans="1:19" ht="15.75" thickBot="1">
      <c r="A20" s="407" t="s">
        <v>162</v>
      </c>
      <c r="B20" s="408" t="s">
        <v>725</v>
      </c>
      <c r="C20" s="408" t="s">
        <v>726</v>
      </c>
      <c r="D20" s="408"/>
      <c r="E20" s="409">
        <v>45</v>
      </c>
      <c r="F20" s="410">
        <v>46.581896551724135</v>
      </c>
      <c r="G20" s="411" t="s">
        <v>712</v>
      </c>
      <c r="H20" s="411" t="s">
        <v>713</v>
      </c>
      <c r="I20" s="411" t="s">
        <v>734</v>
      </c>
      <c r="J20" s="411" t="s">
        <v>715</v>
      </c>
      <c r="K20" s="411" t="s">
        <v>137</v>
      </c>
      <c r="L20" s="411" t="s">
        <v>715</v>
      </c>
      <c r="M20" s="412">
        <v>0</v>
      </c>
      <c r="N20" s="413" t="str">
        <f t="shared" si="0"/>
        <v>TG01EV</v>
      </c>
      <c r="O20" s="414" t="e">
        <f>VLOOKUP(N20,#REF!,5,FALSE)</f>
        <v>#REF!</v>
      </c>
      <c r="P20" s="414" t="e">
        <f t="shared" si="1"/>
        <v>#REF!</v>
      </c>
    </row>
    <row r="21" spans="1:19" ht="15.75" hidden="1" thickBot="1">
      <c r="A21" s="407" t="s">
        <v>162</v>
      </c>
      <c r="B21" s="408" t="s">
        <v>729</v>
      </c>
      <c r="C21" s="408" t="s">
        <v>730</v>
      </c>
      <c r="D21" s="408"/>
      <c r="E21" s="409">
        <v>100</v>
      </c>
      <c r="F21" s="410">
        <v>114.91428571428571</v>
      </c>
      <c r="G21" s="411" t="s">
        <v>712</v>
      </c>
      <c r="H21" s="411" t="s">
        <v>713</v>
      </c>
      <c r="I21" s="411" t="s">
        <v>734</v>
      </c>
      <c r="J21" s="411" t="s">
        <v>715</v>
      </c>
      <c r="K21" s="411" t="s">
        <v>165</v>
      </c>
      <c r="L21" s="411" t="s">
        <v>715</v>
      </c>
      <c r="M21" s="412">
        <v>0</v>
      </c>
      <c r="N21" s="413" t="str">
        <f t="shared" si="0"/>
        <v>TG02EV</v>
      </c>
      <c r="O21" s="414" t="e">
        <f>VLOOKUP(N21,#REF!,5,FALSE)</f>
        <v>#REF!</v>
      </c>
      <c r="P21" s="414" t="e">
        <f t="shared" si="1"/>
        <v>#REF!</v>
      </c>
    </row>
    <row r="22" spans="1:19" ht="15.75" hidden="1" thickBot="1">
      <c r="A22" s="407" t="s">
        <v>162</v>
      </c>
      <c r="B22" s="408" t="s">
        <v>731</v>
      </c>
      <c r="C22" s="408" t="s">
        <v>732</v>
      </c>
      <c r="D22" s="408"/>
      <c r="E22" s="409">
        <v>50</v>
      </c>
      <c r="F22" s="410">
        <v>52.230769230769234</v>
      </c>
      <c r="G22" s="411" t="s">
        <v>712</v>
      </c>
      <c r="H22" s="411" t="s">
        <v>713</v>
      </c>
      <c r="I22" s="411" t="s">
        <v>711</v>
      </c>
      <c r="J22" s="411" t="s">
        <v>715</v>
      </c>
      <c r="K22" s="411" t="s">
        <v>160</v>
      </c>
      <c r="L22" s="411" t="s">
        <v>715</v>
      </c>
      <c r="M22" s="412">
        <v>140</v>
      </c>
      <c r="N22" s="413" t="str">
        <f t="shared" si="0"/>
        <v>BT01INF</v>
      </c>
      <c r="O22" s="414" t="e">
        <f>VLOOKUP(N22,#REF!,5,FALSE)</f>
        <v>#REF!</v>
      </c>
      <c r="P22" s="414" t="e">
        <f t="shared" si="1"/>
        <v>#REF!</v>
      </c>
    </row>
    <row r="23" spans="1:19" ht="15.75" hidden="1" thickBot="1">
      <c r="A23" s="415" t="s">
        <v>134</v>
      </c>
      <c r="B23" s="416" t="s">
        <v>710</v>
      </c>
      <c r="C23" s="416" t="s">
        <v>711</v>
      </c>
      <c r="D23" s="416"/>
      <c r="E23" s="417">
        <v>450</v>
      </c>
      <c r="F23" s="410">
        <v>429.00653594771239</v>
      </c>
      <c r="G23" s="411" t="s">
        <v>712</v>
      </c>
      <c r="H23" s="411" t="s">
        <v>713</v>
      </c>
      <c r="I23" s="411" t="s">
        <v>711</v>
      </c>
      <c r="J23" s="411" t="s">
        <v>715</v>
      </c>
      <c r="K23" s="411" t="s">
        <v>162</v>
      </c>
      <c r="L23" s="411" t="s">
        <v>715</v>
      </c>
      <c r="M23" s="412">
        <v>100</v>
      </c>
      <c r="N23" s="413" t="str">
        <f t="shared" si="0"/>
        <v>CRB1INF</v>
      </c>
      <c r="O23" s="414" t="e">
        <f>VLOOKUP(N23,#REF!,5,FALSE)</f>
        <v>#REF!</v>
      </c>
      <c r="P23" s="414" t="e">
        <f t="shared" si="1"/>
        <v>#REF!</v>
      </c>
    </row>
    <row r="24" spans="1:19" ht="15.75" hidden="1" thickBot="1">
      <c r="A24" s="415" t="s">
        <v>134</v>
      </c>
      <c r="B24" s="416" t="s">
        <v>717</v>
      </c>
      <c r="C24" s="416" t="s">
        <v>711</v>
      </c>
      <c r="D24" s="416" t="s">
        <v>718</v>
      </c>
      <c r="E24" s="417">
        <v>1250</v>
      </c>
      <c r="G24" s="411" t="s">
        <v>712</v>
      </c>
      <c r="H24" s="411" t="s">
        <v>713</v>
      </c>
      <c r="I24" s="411" t="s">
        <v>711</v>
      </c>
      <c r="J24" s="411" t="s">
        <v>715</v>
      </c>
      <c r="K24" s="411" t="s">
        <v>134</v>
      </c>
      <c r="L24" s="411" t="s">
        <v>715</v>
      </c>
      <c r="M24" s="412">
        <v>500</v>
      </c>
      <c r="N24" s="413" t="str">
        <f t="shared" si="0"/>
        <v>GTO1INF</v>
      </c>
      <c r="O24" s="414" t="e">
        <f>VLOOKUP(N24,#REF!,5,FALSE)</f>
        <v>#REF!</v>
      </c>
      <c r="P24" s="414" t="e">
        <f t="shared" si="1"/>
        <v>#REF!</v>
      </c>
    </row>
    <row r="25" spans="1:19" ht="15.75" thickBot="1">
      <c r="A25" s="415" t="s">
        <v>134</v>
      </c>
      <c r="B25" s="416" t="s">
        <v>716</v>
      </c>
      <c r="C25" s="416" t="s">
        <v>719</v>
      </c>
      <c r="D25" s="416"/>
      <c r="E25" s="417">
        <v>200</v>
      </c>
      <c r="G25" s="411" t="s">
        <v>712</v>
      </c>
      <c r="H25" s="411" t="s">
        <v>713</v>
      </c>
      <c r="I25" s="411" t="s">
        <v>711</v>
      </c>
      <c r="J25" s="411" t="s">
        <v>715</v>
      </c>
      <c r="K25" s="411" t="s">
        <v>313</v>
      </c>
      <c r="L25" s="411" t="s">
        <v>715</v>
      </c>
      <c r="M25" s="412">
        <v>150</v>
      </c>
      <c r="N25" s="413" t="str">
        <f t="shared" si="0"/>
        <v>LIS1INF</v>
      </c>
      <c r="O25" s="414" t="e">
        <f>VLOOKUP(N25,#REF!,5,FALSE)</f>
        <v>#REF!</v>
      </c>
      <c r="P25" s="414" t="e">
        <f t="shared" si="1"/>
        <v>#REF!</v>
      </c>
    </row>
    <row r="26" spans="1:19" ht="15.75" hidden="1" thickBot="1">
      <c r="A26" s="415" t="s">
        <v>134</v>
      </c>
      <c r="B26" s="416" t="s">
        <v>723</v>
      </c>
      <c r="C26" s="416" t="s">
        <v>724</v>
      </c>
      <c r="D26" s="416"/>
      <c r="E26" s="417">
        <v>550</v>
      </c>
      <c r="F26" s="410">
        <v>597.30379746835445</v>
      </c>
      <c r="G26" s="411" t="s">
        <v>712</v>
      </c>
      <c r="H26" s="411" t="s">
        <v>713</v>
      </c>
      <c r="I26" s="411" t="s">
        <v>711</v>
      </c>
      <c r="J26" s="411" t="s">
        <v>715</v>
      </c>
      <c r="K26" s="411" t="s">
        <v>137</v>
      </c>
      <c r="L26" s="411" t="s">
        <v>715</v>
      </c>
      <c r="M26" s="412">
        <v>300</v>
      </c>
      <c r="N26" s="413" t="str">
        <f t="shared" si="0"/>
        <v>TG01INF</v>
      </c>
      <c r="O26" s="414" t="e">
        <f>VLOOKUP(N26,#REF!,5,FALSE)</f>
        <v>#REF!</v>
      </c>
      <c r="P26" s="414" t="e">
        <f t="shared" si="1"/>
        <v>#REF!</v>
      </c>
    </row>
    <row r="27" spans="1:19" ht="15.75" thickBot="1">
      <c r="A27" s="415" t="s">
        <v>134</v>
      </c>
      <c r="B27" s="416" t="s">
        <v>725</v>
      </c>
      <c r="C27" s="416" t="s">
        <v>726</v>
      </c>
      <c r="D27" s="416"/>
      <c r="E27" s="417">
        <v>50</v>
      </c>
      <c r="F27" s="410">
        <v>39.133333333333333</v>
      </c>
      <c r="G27" s="411" t="s">
        <v>712</v>
      </c>
      <c r="H27" s="411" t="s">
        <v>713</v>
      </c>
      <c r="I27" s="411" t="s">
        <v>711</v>
      </c>
      <c r="J27" s="411" t="s">
        <v>715</v>
      </c>
      <c r="K27" s="411" t="s">
        <v>165</v>
      </c>
      <c r="L27" s="411" t="s">
        <v>715</v>
      </c>
      <c r="M27" s="412">
        <v>150</v>
      </c>
      <c r="N27" s="413" t="str">
        <f t="shared" si="0"/>
        <v>TG02INF</v>
      </c>
      <c r="O27" s="414" t="e">
        <f>VLOOKUP(N27,#REF!,5,FALSE)</f>
        <v>#REF!</v>
      </c>
      <c r="P27" s="414" t="e">
        <f t="shared" si="1"/>
        <v>#REF!</v>
      </c>
      <c r="R27" s="424" t="s">
        <v>160</v>
      </c>
      <c r="S27" s="414">
        <v>140</v>
      </c>
    </row>
    <row r="28" spans="1:19" ht="15.75" hidden="1" thickBot="1">
      <c r="A28" s="415" t="s">
        <v>134</v>
      </c>
      <c r="B28" s="416" t="s">
        <v>729</v>
      </c>
      <c r="C28" s="416" t="s">
        <v>730</v>
      </c>
      <c r="D28" s="416"/>
      <c r="E28" s="417">
        <v>1900</v>
      </c>
      <c r="F28" s="410">
        <v>1853.9271523178809</v>
      </c>
      <c r="G28" s="411" t="s">
        <v>712</v>
      </c>
      <c r="H28" s="411" t="s">
        <v>713</v>
      </c>
      <c r="I28" s="411" t="s">
        <v>711</v>
      </c>
      <c r="J28" s="411" t="s">
        <v>718</v>
      </c>
      <c r="K28" s="411" t="s">
        <v>160</v>
      </c>
      <c r="L28" s="411" t="s">
        <v>715</v>
      </c>
      <c r="M28" s="412">
        <v>140</v>
      </c>
      <c r="N28" s="413" t="str">
        <f t="shared" si="0"/>
        <v>BT01INF</v>
      </c>
      <c r="O28" s="414" t="e">
        <f>VLOOKUP(N28,#REF!,5,FALSE)</f>
        <v>#REF!</v>
      </c>
      <c r="P28" s="414" t="e">
        <f t="shared" si="1"/>
        <v>#REF!</v>
      </c>
      <c r="R28" s="424" t="s">
        <v>167</v>
      </c>
      <c r="S28" s="414">
        <v>130</v>
      </c>
    </row>
    <row r="29" spans="1:19" ht="15.75" hidden="1" thickBot="1">
      <c r="A29" s="415" t="s">
        <v>134</v>
      </c>
      <c r="B29" s="416" t="s">
        <v>731</v>
      </c>
      <c r="C29" s="416" t="s">
        <v>732</v>
      </c>
      <c r="D29" s="416"/>
      <c r="E29" s="417">
        <v>450</v>
      </c>
      <c r="F29" s="410">
        <v>495.85714285714283</v>
      </c>
      <c r="G29" s="411" t="s">
        <v>712</v>
      </c>
      <c r="H29" s="411" t="s">
        <v>713</v>
      </c>
      <c r="I29" s="411" t="s">
        <v>711</v>
      </c>
      <c r="J29" s="411" t="s">
        <v>718</v>
      </c>
      <c r="K29" s="411" t="s">
        <v>167</v>
      </c>
      <c r="L29" s="411" t="s">
        <v>715</v>
      </c>
      <c r="M29" s="412">
        <v>130</v>
      </c>
      <c r="N29" s="413" t="str">
        <f t="shared" si="0"/>
        <v>BT02INF</v>
      </c>
      <c r="O29" s="414" t="e">
        <f>VLOOKUP(N29,#REF!,5,FALSE)</f>
        <v>#REF!</v>
      </c>
      <c r="P29" s="414" t="e">
        <f t="shared" si="1"/>
        <v>#REF!</v>
      </c>
      <c r="R29" s="424" t="s">
        <v>162</v>
      </c>
      <c r="S29" s="414">
        <v>100</v>
      </c>
    </row>
    <row r="30" spans="1:19" ht="15.75" hidden="1" thickBot="1">
      <c r="A30" s="407" t="s">
        <v>137</v>
      </c>
      <c r="B30" s="408" t="s">
        <v>710</v>
      </c>
      <c r="C30" s="408" t="s">
        <v>711</v>
      </c>
      <c r="D30" s="408"/>
      <c r="E30" s="409">
        <v>250</v>
      </c>
      <c r="F30" s="410">
        <v>242.74683544303798</v>
      </c>
      <c r="G30" s="422"/>
      <c r="H30" s="422"/>
      <c r="I30" s="422"/>
      <c r="J30" s="422"/>
      <c r="K30" s="422"/>
      <c r="L30" s="422"/>
      <c r="M30" s="423"/>
      <c r="N30" s="413"/>
      <c r="R30" s="424" t="s">
        <v>137</v>
      </c>
      <c r="S30" s="414">
        <v>300</v>
      </c>
    </row>
    <row r="31" spans="1:19" ht="15.75" hidden="1" thickBot="1">
      <c r="A31" s="407" t="s">
        <v>137</v>
      </c>
      <c r="B31" s="408" t="s">
        <v>717</v>
      </c>
      <c r="C31" s="408" t="s">
        <v>711</v>
      </c>
      <c r="D31" s="408" t="s">
        <v>718</v>
      </c>
      <c r="E31" s="409">
        <v>400</v>
      </c>
      <c r="F31" s="410">
        <v>411.8</v>
      </c>
      <c r="G31" s="422"/>
      <c r="H31" s="422"/>
      <c r="I31" s="422"/>
      <c r="J31" s="422"/>
      <c r="K31" s="422"/>
      <c r="L31" s="422"/>
      <c r="M31" s="423"/>
      <c r="N31" s="413"/>
      <c r="R31" s="424" t="s">
        <v>165</v>
      </c>
      <c r="S31" s="414">
        <v>150</v>
      </c>
    </row>
    <row r="32" spans="1:19" ht="15.75" thickBot="1">
      <c r="A32" s="407" t="s">
        <v>137</v>
      </c>
      <c r="B32" s="408" t="s">
        <v>716</v>
      </c>
      <c r="C32" s="408" t="s">
        <v>719</v>
      </c>
      <c r="D32" s="408"/>
      <c r="E32" s="409">
        <v>35</v>
      </c>
      <c r="F32" s="410">
        <v>37.112145829205467</v>
      </c>
      <c r="G32" s="422"/>
      <c r="H32" s="422"/>
      <c r="I32" s="422"/>
      <c r="J32" s="422"/>
      <c r="K32" s="422"/>
      <c r="L32" s="422"/>
      <c r="M32" s="423"/>
      <c r="N32" s="413"/>
      <c r="R32" s="424" t="s">
        <v>313</v>
      </c>
      <c r="S32" s="414">
        <v>150</v>
      </c>
    </row>
    <row r="33" spans="1:16" ht="15.75" hidden="1" thickBot="1">
      <c r="A33" s="407" t="s">
        <v>137</v>
      </c>
      <c r="B33" s="408" t="s">
        <v>723</v>
      </c>
      <c r="C33" s="408" t="s">
        <v>724</v>
      </c>
      <c r="D33" s="408"/>
      <c r="E33" s="409">
        <v>145</v>
      </c>
      <c r="F33" s="410">
        <v>144.7032967032967</v>
      </c>
      <c r="G33" s="422"/>
      <c r="H33" s="422"/>
      <c r="I33" s="422"/>
      <c r="J33" s="422"/>
      <c r="K33" s="422"/>
      <c r="L33" s="422"/>
      <c r="M33" s="423"/>
      <c r="N33" s="413"/>
    </row>
    <row r="34" spans="1:16" ht="15.75" thickBot="1">
      <c r="A34" s="407" t="s">
        <v>137</v>
      </c>
      <c r="B34" s="408" t="s">
        <v>725</v>
      </c>
      <c r="C34" s="408" t="s">
        <v>726</v>
      </c>
      <c r="D34" s="408"/>
      <c r="E34" s="409">
        <v>35</v>
      </c>
      <c r="F34" s="410">
        <v>34.637770897832816</v>
      </c>
      <c r="G34" s="411"/>
      <c r="H34" s="411"/>
      <c r="I34" s="411"/>
      <c r="J34" s="411"/>
      <c r="K34" s="411"/>
      <c r="L34" s="411"/>
      <c r="M34" s="412"/>
      <c r="N34" s="413"/>
    </row>
    <row r="35" spans="1:16" ht="15.75" hidden="1" thickBot="1">
      <c r="A35" s="407" t="s">
        <v>137</v>
      </c>
      <c r="B35" s="408" t="s">
        <v>729</v>
      </c>
      <c r="C35" s="408" t="s">
        <v>730</v>
      </c>
      <c r="D35" s="408"/>
      <c r="E35" s="409">
        <v>250</v>
      </c>
      <c r="F35" s="410">
        <v>274.92173913043479</v>
      </c>
      <c r="G35" s="411"/>
      <c r="H35" s="411"/>
      <c r="I35" s="411"/>
      <c r="J35" s="411"/>
      <c r="K35" s="411"/>
      <c r="L35" s="411"/>
      <c r="M35" s="412"/>
      <c r="N35" s="413"/>
    </row>
    <row r="36" spans="1:16" ht="15.75" hidden="1" thickBot="1">
      <c r="A36" s="407" t="s">
        <v>137</v>
      </c>
      <c r="B36" s="408" t="s">
        <v>731</v>
      </c>
      <c r="C36" s="408" t="s">
        <v>732</v>
      </c>
      <c r="D36" s="408"/>
      <c r="E36" s="409">
        <v>25</v>
      </c>
      <c r="F36" s="410">
        <v>28</v>
      </c>
      <c r="G36" s="411"/>
      <c r="H36" s="411"/>
      <c r="I36" s="411"/>
      <c r="J36" s="411"/>
      <c r="K36" s="411"/>
      <c r="L36" s="411"/>
      <c r="M36" s="412"/>
      <c r="N36" s="413"/>
    </row>
    <row r="37" spans="1:16" ht="15.75" hidden="1" thickBot="1">
      <c r="A37" s="415" t="s">
        <v>165</v>
      </c>
      <c r="B37" s="416" t="s">
        <v>710</v>
      </c>
      <c r="C37" s="416" t="s">
        <v>711</v>
      </c>
      <c r="D37" s="416"/>
      <c r="E37" s="417">
        <v>100</v>
      </c>
      <c r="F37" s="410">
        <v>439</v>
      </c>
      <c r="G37" s="411" t="s">
        <v>712</v>
      </c>
      <c r="H37" s="411" t="s">
        <v>713</v>
      </c>
      <c r="I37" s="411" t="s">
        <v>732</v>
      </c>
      <c r="J37" s="411" t="s">
        <v>715</v>
      </c>
      <c r="K37" s="411" t="s">
        <v>313</v>
      </c>
      <c r="L37" s="411" t="s">
        <v>715</v>
      </c>
      <c r="M37" s="412">
        <v>100</v>
      </c>
      <c r="N37" s="413" t="str">
        <f t="shared" si="0"/>
        <v>LIS1OTH</v>
      </c>
      <c r="O37" s="414" t="e">
        <f>VLOOKUP(N37,#REF!,5,FALSE)</f>
        <v>#REF!</v>
      </c>
      <c r="P37" s="414" t="e">
        <f t="shared" si="1"/>
        <v>#REF!</v>
      </c>
    </row>
    <row r="38" spans="1:16" ht="15.75" hidden="1" thickBot="1">
      <c r="A38" s="415" t="s">
        <v>165</v>
      </c>
      <c r="B38" s="416" t="s">
        <v>717</v>
      </c>
      <c r="C38" s="416" t="s">
        <v>711</v>
      </c>
      <c r="D38" s="416" t="s">
        <v>718</v>
      </c>
      <c r="E38" s="417">
        <v>200</v>
      </c>
      <c r="G38" s="411" t="s">
        <v>712</v>
      </c>
      <c r="H38" s="411" t="s">
        <v>713</v>
      </c>
      <c r="I38" s="411" t="s">
        <v>732</v>
      </c>
      <c r="J38" s="411" t="s">
        <v>715</v>
      </c>
      <c r="K38" s="411" t="s">
        <v>137</v>
      </c>
      <c r="L38" s="411" t="s">
        <v>715</v>
      </c>
      <c r="M38" s="412">
        <v>125</v>
      </c>
      <c r="N38" s="413" t="str">
        <f t="shared" si="0"/>
        <v>TG01OTH</v>
      </c>
      <c r="O38" s="414" t="e">
        <f>VLOOKUP(N38,#REF!,5,FALSE)</f>
        <v>#REF!</v>
      </c>
      <c r="P38" s="414" t="e">
        <f t="shared" si="1"/>
        <v>#REF!</v>
      </c>
    </row>
    <row r="39" spans="1:16" ht="15.75" thickBot="1">
      <c r="A39" s="415" t="s">
        <v>165</v>
      </c>
      <c r="B39" s="416" t="s">
        <v>716</v>
      </c>
      <c r="C39" s="416" t="s">
        <v>719</v>
      </c>
      <c r="D39" s="416"/>
      <c r="E39" s="417">
        <v>30</v>
      </c>
      <c r="F39" s="410">
        <v>30.966981132075471</v>
      </c>
      <c r="G39" s="411" t="s">
        <v>712</v>
      </c>
      <c r="H39" s="411" t="s">
        <v>713</v>
      </c>
      <c r="I39" s="411" t="s">
        <v>732</v>
      </c>
      <c r="J39" s="411" t="s">
        <v>715</v>
      </c>
      <c r="K39" s="411" t="s">
        <v>165</v>
      </c>
      <c r="L39" s="411" t="s">
        <v>715</v>
      </c>
      <c r="M39" s="412">
        <v>120</v>
      </c>
      <c r="N39" s="413" t="str">
        <f t="shared" si="0"/>
        <v>TG02OTH</v>
      </c>
      <c r="O39" s="414" t="e">
        <f>VLOOKUP(N39,#REF!,5,FALSE)</f>
        <v>#REF!</v>
      </c>
      <c r="P39" s="414" t="e">
        <f t="shared" si="1"/>
        <v>#REF!</v>
      </c>
    </row>
    <row r="40" spans="1:16" ht="15.75" hidden="1" thickBot="1">
      <c r="A40" s="415" t="s">
        <v>165</v>
      </c>
      <c r="B40" s="416" t="s">
        <v>723</v>
      </c>
      <c r="C40" s="416" t="s">
        <v>724</v>
      </c>
      <c r="D40" s="416"/>
      <c r="E40" s="417">
        <v>35</v>
      </c>
      <c r="F40" s="410">
        <v>35.274999999999999</v>
      </c>
      <c r="G40" s="411" t="s">
        <v>712</v>
      </c>
      <c r="H40" s="411" t="s">
        <v>713</v>
      </c>
      <c r="I40" s="411" t="s">
        <v>726</v>
      </c>
      <c r="J40" s="411" t="s">
        <v>715</v>
      </c>
      <c r="K40" s="411" t="s">
        <v>160</v>
      </c>
      <c r="L40" s="411" t="s">
        <v>715</v>
      </c>
      <c r="M40" s="412">
        <v>35</v>
      </c>
      <c r="N40" s="413" t="str">
        <f t="shared" si="0"/>
        <v>BT01RAI</v>
      </c>
      <c r="O40" s="414" t="e">
        <f>VLOOKUP(N40,#REF!,5,FALSE)</f>
        <v>#REF!</v>
      </c>
      <c r="P40" s="414" t="e">
        <f t="shared" si="1"/>
        <v>#REF!</v>
      </c>
    </row>
    <row r="41" spans="1:16" ht="15.75" thickBot="1">
      <c r="A41" s="415" t="s">
        <v>165</v>
      </c>
      <c r="B41" s="416" t="s">
        <v>725</v>
      </c>
      <c r="C41" s="416" t="s">
        <v>726</v>
      </c>
      <c r="D41" s="416"/>
      <c r="E41" s="417">
        <v>40</v>
      </c>
      <c r="F41" s="410">
        <v>38.397026022304836</v>
      </c>
      <c r="G41" s="411" t="s">
        <v>712</v>
      </c>
      <c r="H41" s="411" t="s">
        <v>713</v>
      </c>
      <c r="I41" s="411" t="s">
        <v>726</v>
      </c>
      <c r="J41" s="411" t="s">
        <v>715</v>
      </c>
      <c r="K41" s="411" t="s">
        <v>167</v>
      </c>
      <c r="L41" s="411" t="s">
        <v>715</v>
      </c>
      <c r="M41" s="412">
        <v>25</v>
      </c>
      <c r="N41" s="413" t="str">
        <f t="shared" si="0"/>
        <v>BT02RAI</v>
      </c>
      <c r="O41" s="414" t="e">
        <f>VLOOKUP(N41,#REF!,5,FALSE)</f>
        <v>#REF!</v>
      </c>
      <c r="P41" s="414" t="e">
        <f t="shared" si="1"/>
        <v>#REF!</v>
      </c>
    </row>
    <row r="42" spans="1:16" ht="15.75" hidden="1" thickBot="1">
      <c r="A42" s="415" t="s">
        <v>165</v>
      </c>
      <c r="B42" s="416" t="s">
        <v>729</v>
      </c>
      <c r="C42" s="416" t="s">
        <v>730</v>
      </c>
      <c r="D42" s="416"/>
      <c r="E42" s="417">
        <v>100</v>
      </c>
      <c r="F42" s="410">
        <v>69.333333333333329</v>
      </c>
      <c r="G42" s="411" t="s">
        <v>712</v>
      </c>
      <c r="H42" s="411" t="s">
        <v>713</v>
      </c>
      <c r="I42" s="411" t="s">
        <v>726</v>
      </c>
      <c r="J42" s="411" t="s">
        <v>715</v>
      </c>
      <c r="K42" s="411" t="s">
        <v>162</v>
      </c>
      <c r="L42" s="411" t="s">
        <v>715</v>
      </c>
      <c r="M42" s="412">
        <v>40</v>
      </c>
      <c r="N42" s="413" t="str">
        <f t="shared" si="0"/>
        <v>CRB1RAI</v>
      </c>
      <c r="O42" s="414" t="e">
        <f>VLOOKUP(N42,#REF!,5,FALSE)</f>
        <v>#REF!</v>
      </c>
      <c r="P42" s="414" t="e">
        <f t="shared" si="1"/>
        <v>#REF!</v>
      </c>
    </row>
    <row r="43" spans="1:16" ht="15.75" hidden="1" thickBot="1">
      <c r="A43" s="415" t="s">
        <v>165</v>
      </c>
      <c r="B43" s="416" t="s">
        <v>731</v>
      </c>
      <c r="C43" s="416" t="s">
        <v>732</v>
      </c>
      <c r="D43" s="416"/>
      <c r="E43" s="417">
        <v>25</v>
      </c>
      <c r="F43" s="410">
        <v>21.333333333333332</v>
      </c>
      <c r="G43" s="411" t="s">
        <v>712</v>
      </c>
      <c r="H43" s="411" t="s">
        <v>713</v>
      </c>
      <c r="I43" s="411" t="s">
        <v>726</v>
      </c>
      <c r="J43" s="411" t="s">
        <v>715</v>
      </c>
      <c r="K43" s="411" t="s">
        <v>134</v>
      </c>
      <c r="L43" s="411" t="s">
        <v>715</v>
      </c>
      <c r="M43" s="412">
        <v>50</v>
      </c>
      <c r="N43" s="413" t="str">
        <f t="shared" si="0"/>
        <v>GTO1RAI</v>
      </c>
      <c r="O43" s="414" t="e">
        <f>VLOOKUP(N43,#REF!,5,FALSE)</f>
        <v>#REF!</v>
      </c>
      <c r="P43" s="414" t="e">
        <f t="shared" si="1"/>
        <v>#REF!</v>
      </c>
    </row>
    <row r="44" spans="1:16" ht="15.75" hidden="1" customHeight="1" thickBot="1">
      <c r="A44" s="425" t="s">
        <v>313</v>
      </c>
      <c r="B44" s="421" t="s">
        <v>710</v>
      </c>
      <c r="C44" s="421" t="s">
        <v>711</v>
      </c>
      <c r="D44" s="421"/>
      <c r="E44" s="409">
        <v>130</v>
      </c>
      <c r="F44" s="410">
        <v>131</v>
      </c>
      <c r="G44" s="411" t="s">
        <v>712</v>
      </c>
      <c r="H44" s="411" t="s">
        <v>713</v>
      </c>
      <c r="I44" s="411" t="s">
        <v>726</v>
      </c>
      <c r="J44" s="411" t="s">
        <v>715</v>
      </c>
      <c r="K44" s="411" t="s">
        <v>137</v>
      </c>
      <c r="L44" s="411" t="s">
        <v>715</v>
      </c>
      <c r="M44" s="412">
        <v>35</v>
      </c>
      <c r="N44" s="413" t="str">
        <f t="shared" si="0"/>
        <v>TG01RAI</v>
      </c>
      <c r="O44" s="414" t="e">
        <f>VLOOKUP(N44,#REF!,5,FALSE)</f>
        <v>#REF!</v>
      </c>
      <c r="P44" s="414" t="e">
        <f t="shared" si="1"/>
        <v>#REF!</v>
      </c>
    </row>
    <row r="45" spans="1:16" ht="15.75" hidden="1" thickBot="1">
      <c r="A45" s="420" t="str">
        <f>A44</f>
        <v>LIS1</v>
      </c>
      <c r="B45" s="421" t="s">
        <v>717</v>
      </c>
      <c r="C45" s="421" t="s">
        <v>711</v>
      </c>
      <c r="D45" s="421" t="s">
        <v>718</v>
      </c>
      <c r="E45" s="409">
        <v>200</v>
      </c>
      <c r="F45" s="410">
        <v>995</v>
      </c>
      <c r="G45" s="411" t="s">
        <v>712</v>
      </c>
      <c r="H45" s="411" t="s">
        <v>713</v>
      </c>
      <c r="I45" s="411" t="s">
        <v>726</v>
      </c>
      <c r="J45" s="411" t="s">
        <v>715</v>
      </c>
      <c r="K45" s="411" t="s">
        <v>165</v>
      </c>
      <c r="L45" s="411" t="s">
        <v>715</v>
      </c>
      <c r="M45" s="412">
        <v>25</v>
      </c>
      <c r="N45" s="413" t="str">
        <f t="shared" si="0"/>
        <v>TG02RAI</v>
      </c>
      <c r="O45" s="414" t="e">
        <f>VLOOKUP(N45,#REF!,5,FALSE)</f>
        <v>#REF!</v>
      </c>
      <c r="P45" s="414" t="e">
        <f t="shared" si="1"/>
        <v>#REF!</v>
      </c>
    </row>
    <row r="46" spans="1:16" ht="15.75" thickBot="1">
      <c r="A46" s="420" t="str">
        <f>A45</f>
        <v>LIS1</v>
      </c>
      <c r="B46" s="421" t="s">
        <v>716</v>
      </c>
      <c r="C46" s="421" t="s">
        <v>719</v>
      </c>
      <c r="D46" s="421"/>
      <c r="E46" s="409">
        <v>30</v>
      </c>
      <c r="F46" s="410">
        <v>30.570930968967701</v>
      </c>
      <c r="G46" s="411" t="s">
        <v>712</v>
      </c>
      <c r="H46" s="411" t="s">
        <v>713</v>
      </c>
      <c r="I46" s="411" t="s">
        <v>730</v>
      </c>
      <c r="J46" s="411" t="s">
        <v>715</v>
      </c>
      <c r="K46" s="411" t="s">
        <v>160</v>
      </c>
      <c r="L46" s="411" t="s">
        <v>715</v>
      </c>
      <c r="M46" s="412">
        <v>50</v>
      </c>
      <c r="N46" s="413" t="str">
        <f t="shared" si="0"/>
        <v>BT01TRU</v>
      </c>
      <c r="O46" s="414" t="e">
        <f>VLOOKUP(N46,#REF!,5,FALSE)</f>
        <v>#REF!</v>
      </c>
      <c r="P46" s="414" t="e">
        <f t="shared" si="1"/>
        <v>#REF!</v>
      </c>
    </row>
    <row r="47" spans="1:16" ht="15.75" hidden="1" thickBot="1">
      <c r="A47" s="420" t="str">
        <f>A46</f>
        <v>LIS1</v>
      </c>
      <c r="B47" s="421" t="s">
        <v>723</v>
      </c>
      <c r="C47" s="421" t="s">
        <v>724</v>
      </c>
      <c r="D47" s="421"/>
      <c r="E47" s="409">
        <v>80</v>
      </c>
      <c r="F47" s="410">
        <v>83</v>
      </c>
      <c r="G47" s="411" t="s">
        <v>712</v>
      </c>
      <c r="H47" s="411" t="s">
        <v>713</v>
      </c>
      <c r="I47" s="411" t="s">
        <v>730</v>
      </c>
      <c r="J47" s="411" t="s">
        <v>715</v>
      </c>
      <c r="K47" s="411" t="s">
        <v>167</v>
      </c>
      <c r="L47" s="411" t="s">
        <v>715</v>
      </c>
      <c r="M47" s="412">
        <v>50</v>
      </c>
      <c r="N47" s="413" t="str">
        <f t="shared" si="0"/>
        <v>BT02TRU</v>
      </c>
      <c r="O47" s="414" t="e">
        <f>VLOOKUP(N47,#REF!,5,FALSE)</f>
        <v>#REF!</v>
      </c>
      <c r="P47" s="414" t="e">
        <f t="shared" si="1"/>
        <v>#REF!</v>
      </c>
    </row>
    <row r="48" spans="1:16" ht="15.75" thickBot="1">
      <c r="A48" s="420" t="str">
        <f>A47</f>
        <v>LIS1</v>
      </c>
      <c r="B48" s="421" t="s">
        <v>725</v>
      </c>
      <c r="C48" s="421" t="s">
        <v>726</v>
      </c>
      <c r="D48" s="421"/>
      <c r="E48" s="409">
        <v>25</v>
      </c>
      <c r="F48" s="410">
        <v>25.474576271186439</v>
      </c>
      <c r="G48" s="411" t="s">
        <v>712</v>
      </c>
      <c r="H48" s="411" t="s">
        <v>713</v>
      </c>
      <c r="I48" s="411" t="s">
        <v>730</v>
      </c>
      <c r="J48" s="411" t="s">
        <v>715</v>
      </c>
      <c r="K48" s="411" t="s">
        <v>162</v>
      </c>
      <c r="L48" s="411" t="s">
        <v>715</v>
      </c>
      <c r="M48" s="412">
        <v>70</v>
      </c>
      <c r="N48" s="413" t="str">
        <f t="shared" si="0"/>
        <v>CRB1TRU</v>
      </c>
      <c r="O48" s="414" t="e">
        <f>VLOOKUP(N48,#REF!,5,FALSE)</f>
        <v>#REF!</v>
      </c>
      <c r="P48" s="414" t="e">
        <f t="shared" si="1"/>
        <v>#REF!</v>
      </c>
    </row>
    <row r="49" spans="1:16" ht="15.75" hidden="1" thickBot="1">
      <c r="A49" s="420" t="str">
        <f t="shared" ref="A49:A50" si="2">A48</f>
        <v>LIS1</v>
      </c>
      <c r="B49" s="421" t="s">
        <v>729</v>
      </c>
      <c r="C49" s="421" t="s">
        <v>730</v>
      </c>
      <c r="D49" s="421"/>
      <c r="E49" s="409">
        <v>150</v>
      </c>
      <c r="F49" s="410">
        <v>323.90476190476193</v>
      </c>
      <c r="G49" s="411" t="s">
        <v>712</v>
      </c>
      <c r="H49" s="411" t="s">
        <v>713</v>
      </c>
      <c r="I49" s="411" t="s">
        <v>730</v>
      </c>
      <c r="J49" s="411" t="s">
        <v>715</v>
      </c>
      <c r="K49" s="411" t="s">
        <v>134</v>
      </c>
      <c r="L49" s="411" t="s">
        <v>715</v>
      </c>
      <c r="M49" s="412">
        <v>2100</v>
      </c>
      <c r="N49" s="413" t="str">
        <f t="shared" si="0"/>
        <v>GTO1TRU</v>
      </c>
      <c r="O49" s="414" t="e">
        <f>VLOOKUP(N49,#REF!,5,FALSE)</f>
        <v>#REF!</v>
      </c>
      <c r="P49" s="414" t="e">
        <f t="shared" si="1"/>
        <v>#REF!</v>
      </c>
    </row>
    <row r="50" spans="1:16" ht="15.75" hidden="1" thickBot="1">
      <c r="A50" s="420" t="str">
        <f t="shared" si="2"/>
        <v>LIS1</v>
      </c>
      <c r="B50" s="421" t="s">
        <v>731</v>
      </c>
      <c r="C50" s="421" t="s">
        <v>732</v>
      </c>
      <c r="D50" s="421"/>
      <c r="E50" s="409">
        <v>25</v>
      </c>
      <c r="F50" s="410">
        <v>49.5</v>
      </c>
      <c r="G50" s="411" t="s">
        <v>712</v>
      </c>
      <c r="H50" s="411" t="s">
        <v>713</v>
      </c>
      <c r="I50" s="411" t="s">
        <v>730</v>
      </c>
      <c r="J50" s="411" t="s">
        <v>715</v>
      </c>
      <c r="K50" s="411" t="s">
        <v>313</v>
      </c>
      <c r="L50" s="411" t="s">
        <v>715</v>
      </c>
      <c r="M50" s="412">
        <v>55</v>
      </c>
      <c r="N50" s="413" t="str">
        <f t="shared" si="0"/>
        <v>LIS1TRU</v>
      </c>
      <c r="O50" s="414" t="e">
        <f>VLOOKUP(N50,#REF!,5,FALSE)</f>
        <v>#REF!</v>
      </c>
      <c r="P50" s="414" t="e">
        <f t="shared" si="1"/>
        <v>#REF!</v>
      </c>
    </row>
  </sheetData>
  <autoFilter ref="A1:T50">
    <filterColumn colId="1">
      <filters>
        <filter val="Bus and Coaches"/>
        <filter val="Railways"/>
      </filters>
    </filterColumn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98"/>
  <sheetViews>
    <sheetView workbookViewId="0">
      <selection activeCell="A36" sqref="A36:XFD36"/>
    </sheetView>
  </sheetViews>
  <sheetFormatPr defaultRowHeight="15"/>
  <cols>
    <col min="1" max="1" width="9.28515625" style="89" customWidth="1"/>
    <col min="2" max="2" width="32.140625" style="89" customWidth="1"/>
    <col min="3" max="3" width="13.85546875" style="89" customWidth="1"/>
    <col min="4" max="4" width="13.85546875" style="89" hidden="1" customWidth="1"/>
    <col min="5" max="5" width="10.42578125" style="465" hidden="1" customWidth="1"/>
    <col min="6" max="6" width="12.42578125" style="466" hidden="1" customWidth="1"/>
    <col min="7" max="8" width="13.42578125" style="89" hidden="1" customWidth="1"/>
    <col min="9" max="12" width="12.7109375" style="89" hidden="1" customWidth="1"/>
    <col min="13" max="13" width="15.42578125" style="445" customWidth="1"/>
  </cols>
  <sheetData>
    <row r="1" spans="1:13" ht="30.75" thickBot="1">
      <c r="A1" s="435" t="s">
        <v>548</v>
      </c>
      <c r="B1" s="436" t="s">
        <v>703</v>
      </c>
      <c r="C1" s="436" t="s">
        <v>704</v>
      </c>
      <c r="D1" s="436" t="s">
        <v>705</v>
      </c>
      <c r="E1" s="437" t="s">
        <v>746</v>
      </c>
      <c r="F1" s="436"/>
      <c r="G1" s="436" t="s">
        <v>747</v>
      </c>
      <c r="H1" s="438" t="s">
        <v>748</v>
      </c>
      <c r="I1" s="439" t="s">
        <v>749</v>
      </c>
      <c r="J1" s="439" t="s">
        <v>750</v>
      </c>
      <c r="K1" s="439" t="s">
        <v>751</v>
      </c>
      <c r="L1" s="439" t="s">
        <v>706</v>
      </c>
      <c r="M1" s="438" t="s">
        <v>752</v>
      </c>
    </row>
    <row r="2" spans="1:13" ht="15.75" hidden="1" thickBot="1">
      <c r="A2" s="440" t="s">
        <v>160</v>
      </c>
      <c r="B2" s="441" t="s">
        <v>710</v>
      </c>
      <c r="C2" s="441" t="s">
        <v>711</v>
      </c>
      <c r="D2" s="441"/>
      <c r="E2" s="442"/>
      <c r="F2" s="441" t="str">
        <f>A2&amp;C2&amp;D2</f>
        <v>BT01INF</v>
      </c>
      <c r="G2" s="441">
        <v>110</v>
      </c>
      <c r="H2" s="443">
        <v>140</v>
      </c>
      <c r="I2" s="444">
        <v>140</v>
      </c>
      <c r="J2" s="444">
        <v>140</v>
      </c>
      <c r="K2" s="444">
        <v>140</v>
      </c>
      <c r="L2" s="444">
        <v>180</v>
      </c>
      <c r="M2" s="445">
        <v>180</v>
      </c>
    </row>
    <row r="3" spans="1:13" ht="15.75" hidden="1" thickBot="1">
      <c r="A3" s="440" t="s">
        <v>160</v>
      </c>
      <c r="B3" s="441" t="s">
        <v>717</v>
      </c>
      <c r="C3" s="441" t="s">
        <v>711</v>
      </c>
      <c r="D3" s="441" t="s">
        <v>718</v>
      </c>
      <c r="E3" s="442">
        <v>110</v>
      </c>
      <c r="F3" s="441" t="str">
        <f t="shared" ref="F3:F57" si="0">A3&amp;C3&amp;D3</f>
        <v>BT01INFLUV</v>
      </c>
      <c r="G3" s="441">
        <v>110</v>
      </c>
      <c r="H3" s="443">
        <v>140</v>
      </c>
      <c r="I3" s="444">
        <v>140</v>
      </c>
      <c r="J3" s="444">
        <v>140</v>
      </c>
      <c r="K3" s="444">
        <v>140</v>
      </c>
      <c r="L3" s="444">
        <v>180</v>
      </c>
      <c r="M3" s="445">
        <v>180</v>
      </c>
    </row>
    <row r="4" spans="1:13" ht="15.75" thickBot="1">
      <c r="A4" s="440" t="s">
        <v>160</v>
      </c>
      <c r="B4" s="441" t="s">
        <v>716</v>
      </c>
      <c r="C4" s="441" t="s">
        <v>719</v>
      </c>
      <c r="D4" s="441"/>
      <c r="E4" s="442">
        <v>25</v>
      </c>
      <c r="F4" s="441" t="str">
        <f t="shared" si="0"/>
        <v>BT01BUS</v>
      </c>
      <c r="G4" s="441">
        <v>25</v>
      </c>
      <c r="H4" s="443">
        <v>25</v>
      </c>
      <c r="I4" s="444">
        <v>25</v>
      </c>
      <c r="J4" s="444">
        <v>25</v>
      </c>
      <c r="K4" s="444">
        <v>25</v>
      </c>
      <c r="L4" s="444">
        <v>25</v>
      </c>
      <c r="M4" s="445">
        <v>15</v>
      </c>
    </row>
    <row r="5" spans="1:13" ht="15.75" hidden="1" thickBot="1">
      <c r="A5" s="440" t="s">
        <v>160</v>
      </c>
      <c r="B5" s="441" t="s">
        <v>723</v>
      </c>
      <c r="C5" s="441" t="s">
        <v>724</v>
      </c>
      <c r="D5" s="441"/>
      <c r="E5" s="442">
        <v>50</v>
      </c>
      <c r="F5" s="441" t="str">
        <f t="shared" si="0"/>
        <v>BT01CAB</v>
      </c>
      <c r="G5" s="441">
        <v>50</v>
      </c>
      <c r="H5" s="443">
        <v>170</v>
      </c>
      <c r="I5" s="444">
        <v>100</v>
      </c>
      <c r="J5" s="444">
        <v>100</v>
      </c>
      <c r="K5" s="444">
        <v>100</v>
      </c>
      <c r="L5" s="444">
        <v>90</v>
      </c>
      <c r="M5" s="445">
        <v>90</v>
      </c>
    </row>
    <row r="6" spans="1:13" ht="15.75" thickBot="1">
      <c r="A6" s="440" t="s">
        <v>160</v>
      </c>
      <c r="B6" s="441" t="s">
        <v>725</v>
      </c>
      <c r="C6" s="441" t="s">
        <v>726</v>
      </c>
      <c r="D6" s="441"/>
      <c r="E6" s="442">
        <v>60</v>
      </c>
      <c r="F6" s="441" t="str">
        <f t="shared" si="0"/>
        <v>BT01RAI</v>
      </c>
      <c r="G6" s="441">
        <v>50</v>
      </c>
      <c r="H6" s="443">
        <v>75</v>
      </c>
      <c r="I6" s="444">
        <v>35</v>
      </c>
      <c r="J6" s="444">
        <v>35</v>
      </c>
      <c r="K6" s="444">
        <v>35</v>
      </c>
      <c r="L6" s="444">
        <v>20</v>
      </c>
      <c r="M6" s="445">
        <v>20</v>
      </c>
    </row>
    <row r="7" spans="1:13" ht="15.75" hidden="1" thickBot="1">
      <c r="A7" s="440" t="s">
        <v>160</v>
      </c>
      <c r="B7" s="441" t="s">
        <v>729</v>
      </c>
      <c r="C7" s="441" t="s">
        <v>730</v>
      </c>
      <c r="D7" s="441"/>
      <c r="E7" s="442">
        <v>100</v>
      </c>
      <c r="F7" s="441" t="str">
        <f t="shared" si="0"/>
        <v>BT01TRU</v>
      </c>
      <c r="G7" s="441">
        <v>100</v>
      </c>
      <c r="H7" s="443">
        <v>50</v>
      </c>
      <c r="I7" s="444">
        <v>50</v>
      </c>
      <c r="J7" s="444">
        <v>50</v>
      </c>
      <c r="K7" s="444">
        <v>50</v>
      </c>
      <c r="L7" s="444">
        <v>50</v>
      </c>
      <c r="M7" s="445">
        <v>50</v>
      </c>
    </row>
    <row r="8" spans="1:13" ht="15.75" hidden="1" thickBot="1">
      <c r="A8" s="440" t="s">
        <v>160</v>
      </c>
      <c r="B8" s="441" t="s">
        <v>731</v>
      </c>
      <c r="C8" s="441" t="s">
        <v>732</v>
      </c>
      <c r="D8" s="441"/>
      <c r="E8" s="442"/>
      <c r="F8" s="441" t="str">
        <f t="shared" si="0"/>
        <v>BT01OTH</v>
      </c>
      <c r="G8" s="446"/>
      <c r="H8" s="443">
        <v>100</v>
      </c>
      <c r="I8" s="444">
        <v>100</v>
      </c>
      <c r="J8" s="444">
        <v>100</v>
      </c>
      <c r="K8" s="444">
        <v>100</v>
      </c>
      <c r="L8" s="444">
        <v>50</v>
      </c>
      <c r="M8" s="445">
        <v>50</v>
      </c>
    </row>
    <row r="9" spans="1:13" ht="15.75" hidden="1" thickBot="1">
      <c r="A9" s="440" t="s">
        <v>160</v>
      </c>
      <c r="B9" s="441" t="s">
        <v>753</v>
      </c>
      <c r="C9" s="441" t="s">
        <v>734</v>
      </c>
      <c r="D9" s="441"/>
      <c r="E9" s="442"/>
      <c r="F9" s="441" t="str">
        <f t="shared" si="0"/>
        <v>BT01EV</v>
      </c>
      <c r="G9" s="441">
        <v>3500</v>
      </c>
      <c r="H9" s="447"/>
      <c r="I9" s="447"/>
      <c r="J9" s="447"/>
      <c r="K9" s="447"/>
      <c r="L9" s="447"/>
      <c r="M9" s="447"/>
    </row>
    <row r="10" spans="1:13" ht="15.75" hidden="1" thickBot="1">
      <c r="A10" s="448" t="s">
        <v>167</v>
      </c>
      <c r="B10" s="449" t="s">
        <v>710</v>
      </c>
      <c r="C10" s="449" t="s">
        <v>711</v>
      </c>
      <c r="D10" s="449"/>
      <c r="E10" s="450"/>
      <c r="F10" s="449" t="str">
        <f t="shared" si="0"/>
        <v>BT02INF</v>
      </c>
      <c r="G10" s="449">
        <v>110</v>
      </c>
      <c r="H10" s="451">
        <v>130</v>
      </c>
      <c r="I10" s="452">
        <v>130</v>
      </c>
      <c r="J10" s="452">
        <v>130</v>
      </c>
      <c r="K10" s="452">
        <v>110</v>
      </c>
      <c r="L10" s="452">
        <v>140</v>
      </c>
      <c r="M10" s="445">
        <v>140</v>
      </c>
    </row>
    <row r="11" spans="1:13" ht="15.75" hidden="1" thickBot="1">
      <c r="A11" s="448" t="s">
        <v>167</v>
      </c>
      <c r="B11" s="449" t="s">
        <v>717</v>
      </c>
      <c r="C11" s="449" t="s">
        <v>711</v>
      </c>
      <c r="D11" s="449" t="s">
        <v>718</v>
      </c>
      <c r="E11" s="450">
        <v>110</v>
      </c>
      <c r="F11" s="449" t="str">
        <f t="shared" si="0"/>
        <v>BT02INFLUV</v>
      </c>
      <c r="G11" s="449">
        <v>110</v>
      </c>
      <c r="H11" s="451">
        <v>130</v>
      </c>
      <c r="I11" s="452">
        <v>130</v>
      </c>
      <c r="J11" s="452">
        <v>140</v>
      </c>
      <c r="K11" s="452">
        <v>110</v>
      </c>
      <c r="L11" s="452">
        <v>140</v>
      </c>
      <c r="M11" s="445">
        <v>140</v>
      </c>
    </row>
    <row r="12" spans="1:13" ht="15.75" thickBot="1">
      <c r="A12" s="448" t="s">
        <v>167</v>
      </c>
      <c r="B12" s="449" t="s">
        <v>716</v>
      </c>
      <c r="C12" s="449" t="s">
        <v>719</v>
      </c>
      <c r="D12" s="449"/>
      <c r="E12" s="450">
        <v>40</v>
      </c>
      <c r="F12" s="449" t="str">
        <f t="shared" si="0"/>
        <v>BT02BUS</v>
      </c>
      <c r="G12" s="449">
        <v>25</v>
      </c>
      <c r="H12" s="451">
        <v>30</v>
      </c>
      <c r="I12" s="452">
        <v>25</v>
      </c>
      <c r="J12" s="452">
        <v>25</v>
      </c>
      <c r="K12" s="452">
        <v>25</v>
      </c>
      <c r="L12" s="452">
        <v>25</v>
      </c>
      <c r="M12" s="445">
        <v>25</v>
      </c>
    </row>
    <row r="13" spans="1:13" ht="15.75" hidden="1" thickBot="1">
      <c r="A13" s="448" t="s">
        <v>167</v>
      </c>
      <c r="B13" s="449" t="s">
        <v>723</v>
      </c>
      <c r="C13" s="449" t="s">
        <v>724</v>
      </c>
      <c r="D13" s="449"/>
      <c r="E13" s="450">
        <v>60</v>
      </c>
      <c r="F13" s="449" t="str">
        <f t="shared" si="0"/>
        <v>BT02CAB</v>
      </c>
      <c r="G13" s="449">
        <v>50</v>
      </c>
      <c r="H13" s="451">
        <v>30</v>
      </c>
      <c r="I13" s="452">
        <v>25</v>
      </c>
      <c r="J13" s="452">
        <v>25</v>
      </c>
      <c r="K13" s="452">
        <v>20</v>
      </c>
      <c r="L13" s="452">
        <v>25</v>
      </c>
      <c r="M13" s="445">
        <v>20</v>
      </c>
    </row>
    <row r="14" spans="1:13" ht="15.75" thickBot="1">
      <c r="A14" s="448" t="s">
        <v>167</v>
      </c>
      <c r="B14" s="449" t="s">
        <v>725</v>
      </c>
      <c r="C14" s="449" t="s">
        <v>726</v>
      </c>
      <c r="D14" s="449"/>
      <c r="E14" s="450">
        <v>70</v>
      </c>
      <c r="F14" s="449" t="str">
        <f t="shared" si="0"/>
        <v>BT02RAI</v>
      </c>
      <c r="G14" s="449">
        <v>50</v>
      </c>
      <c r="H14" s="451">
        <v>25</v>
      </c>
      <c r="I14" s="452">
        <v>25</v>
      </c>
      <c r="J14" s="452">
        <v>25</v>
      </c>
      <c r="K14" s="452">
        <v>25</v>
      </c>
      <c r="L14" s="452">
        <v>20</v>
      </c>
      <c r="M14" s="445">
        <v>50</v>
      </c>
    </row>
    <row r="15" spans="1:13" ht="15.75" hidden="1" thickBot="1">
      <c r="A15" s="448" t="s">
        <v>167</v>
      </c>
      <c r="B15" s="449" t="s">
        <v>729</v>
      </c>
      <c r="C15" s="449" t="s">
        <v>730</v>
      </c>
      <c r="D15" s="449"/>
      <c r="E15" s="450">
        <v>100</v>
      </c>
      <c r="F15" s="449" t="str">
        <f t="shared" si="0"/>
        <v>BT02TRU</v>
      </c>
      <c r="G15" s="449">
        <v>100</v>
      </c>
      <c r="H15" s="451">
        <v>50</v>
      </c>
      <c r="I15" s="452">
        <v>50</v>
      </c>
      <c r="J15" s="452">
        <v>50</v>
      </c>
      <c r="K15" s="452">
        <v>90</v>
      </c>
      <c r="L15" s="452">
        <v>50</v>
      </c>
      <c r="M15" s="445">
        <v>50</v>
      </c>
    </row>
    <row r="16" spans="1:13" ht="15.75" hidden="1" thickBot="1">
      <c r="A16" s="448" t="s">
        <v>167</v>
      </c>
      <c r="B16" s="449" t="s">
        <v>731</v>
      </c>
      <c r="C16" s="449" t="s">
        <v>732</v>
      </c>
      <c r="D16" s="449"/>
      <c r="E16" s="450">
        <v>250</v>
      </c>
      <c r="F16" s="449" t="str">
        <f t="shared" si="0"/>
        <v>BT02OTH</v>
      </c>
      <c r="G16" s="449">
        <v>250</v>
      </c>
      <c r="H16" s="451">
        <v>250</v>
      </c>
      <c r="I16" s="452">
        <v>250</v>
      </c>
      <c r="J16" s="452">
        <v>250</v>
      </c>
      <c r="K16" s="452">
        <v>250</v>
      </c>
      <c r="L16" s="452">
        <v>50</v>
      </c>
      <c r="M16" s="445">
        <v>50</v>
      </c>
    </row>
    <row r="17" spans="1:13" ht="15.75" hidden="1" thickBot="1">
      <c r="A17" s="448" t="s">
        <v>167</v>
      </c>
      <c r="B17" s="449" t="s">
        <v>753</v>
      </c>
      <c r="C17" s="449" t="s">
        <v>734</v>
      </c>
      <c r="D17" s="449"/>
      <c r="E17" s="450">
        <v>2000</v>
      </c>
      <c r="F17" s="449" t="str">
        <f t="shared" si="0"/>
        <v>BT02EV</v>
      </c>
      <c r="G17" s="449">
        <v>3500</v>
      </c>
      <c r="H17" s="447"/>
      <c r="I17" s="447"/>
      <c r="J17" s="447"/>
      <c r="K17" s="447"/>
      <c r="L17" s="447"/>
      <c r="M17" s="447"/>
    </row>
    <row r="18" spans="1:13" ht="15.75" hidden="1" thickBot="1">
      <c r="A18" s="440" t="s">
        <v>162</v>
      </c>
      <c r="B18" s="441" t="s">
        <v>710</v>
      </c>
      <c r="C18" s="441" t="s">
        <v>711</v>
      </c>
      <c r="D18" s="441"/>
      <c r="E18" s="442">
        <v>150</v>
      </c>
      <c r="F18" s="441" t="str">
        <f t="shared" si="0"/>
        <v>CRB1INF</v>
      </c>
      <c r="G18" s="441">
        <v>100</v>
      </c>
      <c r="H18" s="443">
        <v>100</v>
      </c>
      <c r="I18" s="444">
        <v>100</v>
      </c>
      <c r="J18" s="444">
        <v>100</v>
      </c>
      <c r="K18" s="444">
        <v>65</v>
      </c>
      <c r="L18" s="444">
        <v>85</v>
      </c>
      <c r="M18" s="445">
        <v>85</v>
      </c>
    </row>
    <row r="19" spans="1:13" ht="15.75" hidden="1" thickBot="1">
      <c r="A19" s="440" t="s">
        <v>162</v>
      </c>
      <c r="B19" s="441" t="s">
        <v>717</v>
      </c>
      <c r="C19" s="441" t="s">
        <v>711</v>
      </c>
      <c r="D19" s="441" t="s">
        <v>718</v>
      </c>
      <c r="E19" s="442">
        <v>110</v>
      </c>
      <c r="F19" s="441" t="str">
        <f t="shared" si="0"/>
        <v>CRB1INFLUV</v>
      </c>
      <c r="G19" s="441">
        <v>110</v>
      </c>
      <c r="H19" s="443">
        <v>100</v>
      </c>
      <c r="I19" s="444">
        <v>100</v>
      </c>
      <c r="J19" s="444">
        <v>100</v>
      </c>
      <c r="K19" s="444">
        <v>65</v>
      </c>
      <c r="L19" s="444">
        <v>250</v>
      </c>
      <c r="M19" s="445">
        <v>220</v>
      </c>
    </row>
    <row r="20" spans="1:13" ht="15.75" thickBot="1">
      <c r="A20" s="440" t="s">
        <v>162</v>
      </c>
      <c r="B20" s="441" t="s">
        <v>716</v>
      </c>
      <c r="C20" s="441" t="s">
        <v>719</v>
      </c>
      <c r="D20" s="441"/>
      <c r="E20" s="442">
        <v>35</v>
      </c>
      <c r="F20" s="441" t="str">
        <f t="shared" si="0"/>
        <v>CRB1BUS</v>
      </c>
      <c r="G20" s="441">
        <v>35</v>
      </c>
      <c r="H20" s="443">
        <v>25</v>
      </c>
      <c r="I20" s="444">
        <v>20</v>
      </c>
      <c r="J20" s="444">
        <v>20</v>
      </c>
      <c r="K20" s="444">
        <v>25</v>
      </c>
      <c r="L20" s="444">
        <v>25</v>
      </c>
      <c r="M20" s="445">
        <v>30</v>
      </c>
    </row>
    <row r="21" spans="1:13" ht="15.75" hidden="1" thickBot="1">
      <c r="A21" s="440" t="s">
        <v>162</v>
      </c>
      <c r="B21" s="441" t="s">
        <v>723</v>
      </c>
      <c r="C21" s="441" t="s">
        <v>724</v>
      </c>
      <c r="D21" s="441"/>
      <c r="E21" s="442">
        <v>100</v>
      </c>
      <c r="F21" s="441" t="str">
        <f t="shared" si="0"/>
        <v>CRB1CAB</v>
      </c>
      <c r="G21" s="441">
        <v>100</v>
      </c>
      <c r="H21" s="443">
        <v>70</v>
      </c>
      <c r="I21" s="444">
        <v>50</v>
      </c>
      <c r="J21" s="444">
        <v>70</v>
      </c>
      <c r="K21" s="444">
        <v>90</v>
      </c>
      <c r="L21" s="444">
        <v>90</v>
      </c>
      <c r="M21" s="445">
        <v>90</v>
      </c>
    </row>
    <row r="22" spans="1:13" ht="15.75" thickBot="1">
      <c r="A22" s="440" t="s">
        <v>162</v>
      </c>
      <c r="B22" s="441" t="s">
        <v>725</v>
      </c>
      <c r="C22" s="441" t="s">
        <v>726</v>
      </c>
      <c r="D22" s="441"/>
      <c r="E22" s="442">
        <v>70</v>
      </c>
      <c r="F22" s="441" t="str">
        <f t="shared" si="0"/>
        <v>CRB1RAI</v>
      </c>
      <c r="G22" s="441">
        <v>50</v>
      </c>
      <c r="H22" s="443">
        <v>40</v>
      </c>
      <c r="I22" s="444">
        <v>40</v>
      </c>
      <c r="J22" s="444">
        <v>40</v>
      </c>
      <c r="K22" s="444">
        <v>40</v>
      </c>
      <c r="L22" s="444">
        <v>45</v>
      </c>
      <c r="M22" s="445">
        <v>40</v>
      </c>
    </row>
    <row r="23" spans="1:13" ht="15.75" hidden="1" thickBot="1">
      <c r="A23" s="440" t="s">
        <v>162</v>
      </c>
      <c r="B23" s="441" t="s">
        <v>729</v>
      </c>
      <c r="C23" s="441" t="s">
        <v>730</v>
      </c>
      <c r="D23" s="441"/>
      <c r="E23" s="442">
        <v>70</v>
      </c>
      <c r="F23" s="441" t="str">
        <f t="shared" si="0"/>
        <v>CRB1TRU</v>
      </c>
      <c r="G23" s="441">
        <v>100</v>
      </c>
      <c r="H23" s="443">
        <v>90</v>
      </c>
      <c r="I23" s="444">
        <v>70</v>
      </c>
      <c r="J23" s="444">
        <v>70</v>
      </c>
      <c r="K23" s="444">
        <v>75</v>
      </c>
      <c r="L23" s="444">
        <v>100</v>
      </c>
      <c r="M23" s="445">
        <v>80</v>
      </c>
    </row>
    <row r="24" spans="1:13" ht="15.75" hidden="1" thickBot="1">
      <c r="A24" s="440" t="s">
        <v>162</v>
      </c>
      <c r="B24" s="441" t="s">
        <v>731</v>
      </c>
      <c r="C24" s="441" t="s">
        <v>732</v>
      </c>
      <c r="D24" s="441"/>
      <c r="E24" s="442">
        <v>500</v>
      </c>
      <c r="F24" s="441" t="str">
        <f t="shared" si="0"/>
        <v>CRB1OTH</v>
      </c>
      <c r="G24" s="441">
        <v>500</v>
      </c>
      <c r="H24" s="443">
        <v>100</v>
      </c>
      <c r="I24" s="444">
        <v>100</v>
      </c>
      <c r="J24" s="444">
        <v>100</v>
      </c>
      <c r="K24" s="444">
        <v>50</v>
      </c>
      <c r="L24" s="444">
        <v>50</v>
      </c>
      <c r="M24" s="445">
        <v>50</v>
      </c>
    </row>
    <row r="25" spans="1:13" ht="15.75" hidden="1" thickBot="1">
      <c r="A25" s="440" t="s">
        <v>162</v>
      </c>
      <c r="B25" s="441" t="s">
        <v>753</v>
      </c>
      <c r="C25" s="441" t="s">
        <v>734</v>
      </c>
      <c r="D25" s="441"/>
      <c r="E25" s="442">
        <v>1300</v>
      </c>
      <c r="F25" s="441" t="str">
        <f t="shared" si="0"/>
        <v>CRB1EV</v>
      </c>
      <c r="G25" s="441">
        <v>1300</v>
      </c>
      <c r="H25" s="447"/>
      <c r="I25" s="447"/>
      <c r="J25" s="447"/>
      <c r="K25" s="447"/>
      <c r="L25" s="447"/>
      <c r="M25" s="447"/>
    </row>
    <row r="26" spans="1:13" ht="15.75" hidden="1" thickBot="1">
      <c r="A26" s="448" t="s">
        <v>134</v>
      </c>
      <c r="B26" s="449" t="s">
        <v>710</v>
      </c>
      <c r="C26" s="449" t="s">
        <v>711</v>
      </c>
      <c r="D26" s="449"/>
      <c r="E26" s="450">
        <v>600</v>
      </c>
      <c r="F26" s="449" t="str">
        <f t="shared" si="0"/>
        <v>GTO1INF</v>
      </c>
      <c r="G26" s="449">
        <v>600</v>
      </c>
      <c r="H26" s="451">
        <v>500</v>
      </c>
      <c r="I26" s="452">
        <v>500</v>
      </c>
      <c r="J26" s="452">
        <v>500</v>
      </c>
      <c r="K26" s="452">
        <v>450</v>
      </c>
      <c r="L26" s="452">
        <v>450</v>
      </c>
      <c r="M26" s="445">
        <v>400</v>
      </c>
    </row>
    <row r="27" spans="1:13" ht="15.75" hidden="1" thickBot="1">
      <c r="A27" s="448" t="s">
        <v>134</v>
      </c>
      <c r="B27" s="449" t="s">
        <v>717</v>
      </c>
      <c r="C27" s="449" t="s">
        <v>711</v>
      </c>
      <c r="D27" s="449" t="s">
        <v>718</v>
      </c>
      <c r="E27" s="450">
        <v>500</v>
      </c>
      <c r="F27" s="449" t="str">
        <f t="shared" si="0"/>
        <v>GTO1INFLUV</v>
      </c>
      <c r="G27" s="449">
        <v>500</v>
      </c>
      <c r="H27" s="451">
        <v>1250</v>
      </c>
      <c r="I27" s="452">
        <v>1250</v>
      </c>
      <c r="J27" s="452">
        <v>1250</v>
      </c>
      <c r="K27" s="452">
        <v>1250</v>
      </c>
      <c r="L27" s="452">
        <v>1250</v>
      </c>
      <c r="M27" s="445">
        <v>400</v>
      </c>
    </row>
    <row r="28" spans="1:13" ht="15.75" thickBot="1">
      <c r="A28" s="448" t="s">
        <v>134</v>
      </c>
      <c r="B28" s="449" t="s">
        <v>716</v>
      </c>
      <c r="C28" s="449" t="s">
        <v>719</v>
      </c>
      <c r="D28" s="449"/>
      <c r="E28" s="450">
        <v>250</v>
      </c>
      <c r="F28" s="449" t="str">
        <f t="shared" si="0"/>
        <v>GTO1BUS</v>
      </c>
      <c r="G28" s="449">
        <v>250</v>
      </c>
      <c r="H28" s="451">
        <v>250</v>
      </c>
      <c r="I28" s="452">
        <v>200</v>
      </c>
      <c r="J28" s="452">
        <v>200</v>
      </c>
      <c r="K28" s="452">
        <v>200</v>
      </c>
      <c r="L28" s="452">
        <v>200</v>
      </c>
      <c r="M28" s="445">
        <v>200</v>
      </c>
    </row>
    <row r="29" spans="1:13" ht="15.75" hidden="1" thickBot="1">
      <c r="A29" s="448" t="s">
        <v>134</v>
      </c>
      <c r="B29" s="449" t="s">
        <v>723</v>
      </c>
      <c r="C29" s="449" t="s">
        <v>724</v>
      </c>
      <c r="D29" s="449"/>
      <c r="E29" s="450">
        <v>500</v>
      </c>
      <c r="F29" s="449" t="str">
        <f t="shared" si="0"/>
        <v>GTO1CAB</v>
      </c>
      <c r="G29" s="449">
        <v>350</v>
      </c>
      <c r="H29" s="451">
        <v>600</v>
      </c>
      <c r="I29" s="452">
        <v>400</v>
      </c>
      <c r="J29" s="452">
        <v>400</v>
      </c>
      <c r="K29" s="452">
        <v>500</v>
      </c>
      <c r="L29" s="452">
        <v>550</v>
      </c>
      <c r="M29" s="445">
        <v>500</v>
      </c>
    </row>
    <row r="30" spans="1:13" ht="15.75" thickBot="1">
      <c r="A30" s="448" t="s">
        <v>134</v>
      </c>
      <c r="B30" s="449" t="s">
        <v>725</v>
      </c>
      <c r="C30" s="449" t="s">
        <v>726</v>
      </c>
      <c r="D30" s="449"/>
      <c r="E30" s="450">
        <v>50</v>
      </c>
      <c r="F30" s="449" t="str">
        <f t="shared" si="0"/>
        <v>GTO1RAI</v>
      </c>
      <c r="G30" s="449">
        <v>50</v>
      </c>
      <c r="H30" s="451">
        <v>50</v>
      </c>
      <c r="I30" s="452">
        <v>50</v>
      </c>
      <c r="J30" s="452">
        <v>50</v>
      </c>
      <c r="K30" s="452">
        <v>50</v>
      </c>
      <c r="L30" s="452">
        <v>50</v>
      </c>
      <c r="M30" s="445">
        <v>50</v>
      </c>
    </row>
    <row r="31" spans="1:13" ht="15.75" hidden="1" thickBot="1">
      <c r="A31" s="448" t="s">
        <v>134</v>
      </c>
      <c r="B31" s="449" t="s">
        <v>729</v>
      </c>
      <c r="C31" s="449" t="s">
        <v>730</v>
      </c>
      <c r="D31" s="449"/>
      <c r="E31" s="450">
        <v>2500</v>
      </c>
      <c r="F31" s="449" t="str">
        <f t="shared" si="0"/>
        <v>GTO1TRU</v>
      </c>
      <c r="G31" s="449">
        <v>2500</v>
      </c>
      <c r="H31" s="451">
        <v>2100</v>
      </c>
      <c r="I31" s="452">
        <v>2100</v>
      </c>
      <c r="J31" s="452">
        <v>2100</v>
      </c>
      <c r="K31" s="452">
        <v>1900</v>
      </c>
      <c r="L31" s="452">
        <v>1900</v>
      </c>
      <c r="M31" s="445">
        <v>1700</v>
      </c>
    </row>
    <row r="32" spans="1:13" ht="15.75" hidden="1" thickBot="1">
      <c r="A32" s="448" t="s">
        <v>134</v>
      </c>
      <c r="B32" s="449" t="s">
        <v>731</v>
      </c>
      <c r="C32" s="449" t="s">
        <v>732</v>
      </c>
      <c r="D32" s="449"/>
      <c r="E32" s="450">
        <v>550</v>
      </c>
      <c r="F32" s="449" t="str">
        <f t="shared" si="0"/>
        <v>GTO1OTH</v>
      </c>
      <c r="G32" s="449">
        <v>550</v>
      </c>
      <c r="H32" s="451">
        <v>400</v>
      </c>
      <c r="I32" s="452">
        <v>400</v>
      </c>
      <c r="J32" s="452">
        <v>400</v>
      </c>
      <c r="K32" s="452">
        <v>450</v>
      </c>
      <c r="L32" s="452">
        <v>450</v>
      </c>
      <c r="M32" s="445">
        <v>550</v>
      </c>
    </row>
    <row r="33" spans="1:13" ht="15.75" hidden="1" thickBot="1">
      <c r="A33" s="448" t="s">
        <v>134</v>
      </c>
      <c r="B33" s="449" t="s">
        <v>753</v>
      </c>
      <c r="C33" s="449" t="s">
        <v>734</v>
      </c>
      <c r="D33" s="449"/>
      <c r="E33" s="450">
        <v>4500</v>
      </c>
      <c r="F33" s="449" t="str">
        <f t="shared" si="0"/>
        <v>GTO1EV</v>
      </c>
      <c r="G33" s="449">
        <v>4500</v>
      </c>
      <c r="H33" s="447"/>
      <c r="I33" s="447"/>
      <c r="J33" s="447"/>
      <c r="K33" s="447"/>
      <c r="L33" s="447"/>
      <c r="M33" s="447"/>
    </row>
    <row r="34" spans="1:13" ht="15.75" hidden="1" thickBot="1">
      <c r="A34" s="440" t="s">
        <v>137</v>
      </c>
      <c r="B34" s="441" t="s">
        <v>710</v>
      </c>
      <c r="C34" s="441" t="s">
        <v>711</v>
      </c>
      <c r="D34" s="441"/>
      <c r="E34" s="442">
        <v>150</v>
      </c>
      <c r="F34" s="441" t="str">
        <f t="shared" si="0"/>
        <v>TG01INF</v>
      </c>
      <c r="G34" s="441">
        <v>200</v>
      </c>
      <c r="H34" s="443">
        <v>400</v>
      </c>
      <c r="I34" s="444">
        <v>300</v>
      </c>
      <c r="J34" s="444">
        <v>300</v>
      </c>
      <c r="K34" s="444">
        <v>280</v>
      </c>
      <c r="L34" s="444">
        <v>250</v>
      </c>
      <c r="M34" s="445">
        <v>240</v>
      </c>
    </row>
    <row r="35" spans="1:13" ht="15.75" hidden="1" thickBot="1">
      <c r="A35" s="440" t="s">
        <v>137</v>
      </c>
      <c r="B35" s="441" t="s">
        <v>717</v>
      </c>
      <c r="C35" s="441" t="s">
        <v>711</v>
      </c>
      <c r="D35" s="441" t="s">
        <v>718</v>
      </c>
      <c r="E35" s="442">
        <v>250</v>
      </c>
      <c r="F35" s="441" t="str">
        <f t="shared" si="0"/>
        <v>TG01INFLUV</v>
      </c>
      <c r="G35" s="441">
        <v>250</v>
      </c>
      <c r="H35" s="443">
        <v>400</v>
      </c>
      <c r="I35" s="444">
        <v>400</v>
      </c>
      <c r="J35" s="444">
        <v>400</v>
      </c>
      <c r="K35" s="444">
        <v>400</v>
      </c>
      <c r="L35" s="444">
        <v>400</v>
      </c>
      <c r="M35" s="445">
        <v>500</v>
      </c>
    </row>
    <row r="36" spans="1:13" ht="15.75" thickBot="1">
      <c r="A36" s="440" t="s">
        <v>137</v>
      </c>
      <c r="B36" s="441" t="s">
        <v>716</v>
      </c>
      <c r="C36" s="441" t="s">
        <v>719</v>
      </c>
      <c r="D36" s="441"/>
      <c r="E36" s="442">
        <v>30</v>
      </c>
      <c r="F36" s="441" t="str">
        <f t="shared" si="0"/>
        <v>TG01BUS</v>
      </c>
      <c r="G36" s="441">
        <v>50</v>
      </c>
      <c r="H36" s="443">
        <v>30</v>
      </c>
      <c r="I36" s="444">
        <v>25</v>
      </c>
      <c r="J36" s="444">
        <v>25</v>
      </c>
      <c r="K36" s="444">
        <v>30</v>
      </c>
      <c r="L36" s="444">
        <v>35</v>
      </c>
      <c r="M36" s="445">
        <v>35</v>
      </c>
    </row>
    <row r="37" spans="1:13" ht="15.75" hidden="1" thickBot="1">
      <c r="A37" s="440" t="s">
        <v>137</v>
      </c>
      <c r="B37" s="441" t="s">
        <v>723</v>
      </c>
      <c r="C37" s="441" t="s">
        <v>724</v>
      </c>
      <c r="D37" s="441"/>
      <c r="E37" s="442">
        <v>150</v>
      </c>
      <c r="F37" s="441" t="str">
        <f t="shared" si="0"/>
        <v>TG01CAB</v>
      </c>
      <c r="G37" s="441">
        <v>120</v>
      </c>
      <c r="H37" s="443">
        <v>120</v>
      </c>
      <c r="I37" s="444">
        <v>100</v>
      </c>
      <c r="J37" s="444">
        <v>100</v>
      </c>
      <c r="K37" s="444">
        <v>100</v>
      </c>
      <c r="L37" s="444">
        <v>145</v>
      </c>
      <c r="M37" s="445">
        <v>145</v>
      </c>
    </row>
    <row r="38" spans="1:13" ht="15.75" thickBot="1">
      <c r="A38" s="440" t="s">
        <v>137</v>
      </c>
      <c r="B38" s="441" t="s">
        <v>725</v>
      </c>
      <c r="C38" s="441" t="s">
        <v>726</v>
      </c>
      <c r="D38" s="441"/>
      <c r="E38" s="442">
        <v>40</v>
      </c>
      <c r="F38" s="441" t="str">
        <f t="shared" si="0"/>
        <v>TG01RAI</v>
      </c>
      <c r="G38" s="441">
        <v>40</v>
      </c>
      <c r="H38" s="443">
        <v>30</v>
      </c>
      <c r="I38" s="444">
        <v>35</v>
      </c>
      <c r="J38" s="444">
        <v>35</v>
      </c>
      <c r="K38" s="444">
        <v>40</v>
      </c>
      <c r="L38" s="444">
        <v>35</v>
      </c>
      <c r="M38" s="445">
        <v>40</v>
      </c>
    </row>
    <row r="39" spans="1:13" ht="15.75" hidden="1" thickBot="1">
      <c r="A39" s="440" t="s">
        <v>137</v>
      </c>
      <c r="B39" s="441" t="s">
        <v>729</v>
      </c>
      <c r="C39" s="441" t="s">
        <v>730</v>
      </c>
      <c r="D39" s="441"/>
      <c r="E39" s="442">
        <v>200</v>
      </c>
      <c r="F39" s="441" t="str">
        <f t="shared" si="0"/>
        <v>TG01TRU</v>
      </c>
      <c r="G39" s="441">
        <v>150</v>
      </c>
      <c r="H39" s="443">
        <v>200</v>
      </c>
      <c r="I39" s="444">
        <v>150</v>
      </c>
      <c r="J39" s="444">
        <v>150</v>
      </c>
      <c r="K39" s="444">
        <v>250</v>
      </c>
      <c r="L39" s="444">
        <v>250</v>
      </c>
      <c r="M39" s="445">
        <v>240</v>
      </c>
    </row>
    <row r="40" spans="1:13" ht="15.75" hidden="1" thickBot="1">
      <c r="A40" s="440" t="s">
        <v>137</v>
      </c>
      <c r="B40" s="441" t="s">
        <v>731</v>
      </c>
      <c r="C40" s="441" t="s">
        <v>732</v>
      </c>
      <c r="D40" s="441"/>
      <c r="E40" s="442">
        <v>250</v>
      </c>
      <c r="F40" s="441" t="str">
        <f t="shared" si="0"/>
        <v>TG01OTH</v>
      </c>
      <c r="G40" s="441">
        <v>250</v>
      </c>
      <c r="H40" s="443">
        <v>125</v>
      </c>
      <c r="I40" s="444">
        <v>125</v>
      </c>
      <c r="J40" s="444">
        <v>125</v>
      </c>
      <c r="K40" s="444">
        <v>50</v>
      </c>
      <c r="L40" s="444">
        <v>25</v>
      </c>
      <c r="M40" s="445">
        <v>30</v>
      </c>
    </row>
    <row r="41" spans="1:13" ht="15.75" hidden="1" thickBot="1">
      <c r="A41" s="440" t="s">
        <v>137</v>
      </c>
      <c r="B41" s="441" t="s">
        <v>753</v>
      </c>
      <c r="C41" s="441" t="s">
        <v>734</v>
      </c>
      <c r="D41" s="441"/>
      <c r="E41" s="442">
        <v>3500</v>
      </c>
      <c r="F41" s="441" t="str">
        <f t="shared" si="0"/>
        <v>TG01EV</v>
      </c>
      <c r="G41" s="441">
        <v>3500</v>
      </c>
      <c r="H41" s="447"/>
      <c r="I41" s="447"/>
      <c r="J41" s="447"/>
      <c r="K41" s="447"/>
      <c r="L41" s="447"/>
      <c r="M41" s="447"/>
    </row>
    <row r="42" spans="1:13" ht="15.75" hidden="1" thickBot="1">
      <c r="A42" s="448" t="s">
        <v>165</v>
      </c>
      <c r="B42" s="449" t="s">
        <v>710</v>
      </c>
      <c r="C42" s="449" t="s">
        <v>711</v>
      </c>
      <c r="D42" s="449"/>
      <c r="E42" s="450">
        <v>150</v>
      </c>
      <c r="F42" s="449" t="str">
        <f t="shared" si="0"/>
        <v>TG02INF</v>
      </c>
      <c r="G42" s="449">
        <v>150</v>
      </c>
      <c r="H42" s="451">
        <v>360</v>
      </c>
      <c r="I42" s="452">
        <v>150</v>
      </c>
      <c r="J42" s="452">
        <v>150</v>
      </c>
      <c r="K42" s="452">
        <v>75</v>
      </c>
      <c r="L42" s="452">
        <v>100</v>
      </c>
      <c r="M42" s="445">
        <v>100</v>
      </c>
    </row>
    <row r="43" spans="1:13" ht="15.75" hidden="1" thickBot="1">
      <c r="A43" s="448" t="s">
        <v>165</v>
      </c>
      <c r="B43" s="449" t="s">
        <v>717</v>
      </c>
      <c r="C43" s="449" t="s">
        <v>711</v>
      </c>
      <c r="D43" s="449" t="s">
        <v>718</v>
      </c>
      <c r="E43" s="450">
        <v>110</v>
      </c>
      <c r="F43" s="449" t="str">
        <f t="shared" si="0"/>
        <v>TG02INFLUV</v>
      </c>
      <c r="G43" s="449">
        <v>220</v>
      </c>
      <c r="H43" s="451">
        <v>360</v>
      </c>
      <c r="I43" s="452">
        <v>220</v>
      </c>
      <c r="J43" s="452">
        <v>220</v>
      </c>
      <c r="K43" s="452">
        <v>200</v>
      </c>
      <c r="L43" s="452">
        <v>200</v>
      </c>
      <c r="M43" s="445">
        <v>250</v>
      </c>
    </row>
    <row r="44" spans="1:13" ht="15.75" thickBot="1">
      <c r="A44" s="448" t="s">
        <v>165</v>
      </c>
      <c r="B44" s="449" t="s">
        <v>716</v>
      </c>
      <c r="C44" s="449" t="s">
        <v>719</v>
      </c>
      <c r="D44" s="449"/>
      <c r="E44" s="450">
        <v>30</v>
      </c>
      <c r="F44" s="449" t="str">
        <f t="shared" si="0"/>
        <v>TG02BUS</v>
      </c>
      <c r="G44" s="449">
        <v>30</v>
      </c>
      <c r="H44" s="451">
        <v>25</v>
      </c>
      <c r="I44" s="452">
        <v>20</v>
      </c>
      <c r="J44" s="452">
        <v>20</v>
      </c>
      <c r="K44" s="452">
        <v>30</v>
      </c>
      <c r="L44" s="452">
        <v>30</v>
      </c>
      <c r="M44" s="445">
        <v>35</v>
      </c>
    </row>
    <row r="45" spans="1:13" ht="15.75" hidden="1" thickBot="1">
      <c r="A45" s="448" t="s">
        <v>165</v>
      </c>
      <c r="B45" s="449" t="s">
        <v>723</v>
      </c>
      <c r="C45" s="449" t="s">
        <v>724</v>
      </c>
      <c r="D45" s="449"/>
      <c r="E45" s="450">
        <v>100</v>
      </c>
      <c r="F45" s="449" t="str">
        <f t="shared" si="0"/>
        <v>TG02CAB</v>
      </c>
      <c r="G45" s="449">
        <v>100</v>
      </c>
      <c r="H45" s="451">
        <v>70</v>
      </c>
      <c r="I45" s="452">
        <v>50</v>
      </c>
      <c r="J45" s="452">
        <v>50</v>
      </c>
      <c r="K45" s="452">
        <v>60</v>
      </c>
      <c r="L45" s="452">
        <v>35</v>
      </c>
      <c r="M45" s="445">
        <v>32</v>
      </c>
    </row>
    <row r="46" spans="1:13" ht="15.75" thickBot="1">
      <c r="A46" s="448" t="s">
        <v>165</v>
      </c>
      <c r="B46" s="449" t="s">
        <v>725</v>
      </c>
      <c r="C46" s="449" t="s">
        <v>726</v>
      </c>
      <c r="D46" s="449"/>
      <c r="E46" s="450">
        <v>30</v>
      </c>
      <c r="F46" s="449" t="str">
        <f t="shared" si="0"/>
        <v>TG02RAI</v>
      </c>
      <c r="G46" s="449">
        <v>30</v>
      </c>
      <c r="H46" s="451">
        <v>30</v>
      </c>
      <c r="I46" s="452">
        <v>25</v>
      </c>
      <c r="J46" s="452">
        <v>25</v>
      </c>
      <c r="K46" s="452">
        <v>40</v>
      </c>
      <c r="L46" s="452">
        <v>40</v>
      </c>
      <c r="M46" s="445">
        <v>35</v>
      </c>
    </row>
    <row r="47" spans="1:13" ht="15.75" hidden="1" thickBot="1">
      <c r="A47" s="448" t="s">
        <v>165</v>
      </c>
      <c r="B47" s="449" t="s">
        <v>729</v>
      </c>
      <c r="C47" s="449" t="s">
        <v>730</v>
      </c>
      <c r="D47" s="449"/>
      <c r="E47" s="450">
        <v>100</v>
      </c>
      <c r="F47" s="449" t="str">
        <f t="shared" si="0"/>
        <v>TG02TRU</v>
      </c>
      <c r="G47" s="449">
        <v>100</v>
      </c>
      <c r="H47" s="451">
        <v>60</v>
      </c>
      <c r="I47" s="452">
        <v>60</v>
      </c>
      <c r="J47" s="452">
        <v>60</v>
      </c>
      <c r="K47" s="452">
        <v>130</v>
      </c>
      <c r="L47" s="452">
        <v>100</v>
      </c>
      <c r="M47" s="445">
        <v>65</v>
      </c>
    </row>
    <row r="48" spans="1:13" ht="15.75" hidden="1" thickBot="1">
      <c r="A48" s="448" t="s">
        <v>165</v>
      </c>
      <c r="B48" s="449" t="s">
        <v>731</v>
      </c>
      <c r="C48" s="449" t="s">
        <v>732</v>
      </c>
      <c r="D48" s="449"/>
      <c r="E48" s="450">
        <v>250</v>
      </c>
      <c r="F48" s="449" t="str">
        <f t="shared" si="0"/>
        <v>TG02OTH</v>
      </c>
      <c r="G48" s="449">
        <v>250</v>
      </c>
      <c r="H48" s="451">
        <v>120</v>
      </c>
      <c r="I48" s="452">
        <v>120</v>
      </c>
      <c r="J48" s="452">
        <v>120</v>
      </c>
      <c r="K48" s="452">
        <v>50</v>
      </c>
      <c r="L48" s="452">
        <v>25</v>
      </c>
      <c r="M48" s="445">
        <v>30</v>
      </c>
    </row>
    <row r="49" spans="1:13" ht="15.75" hidden="1" thickBot="1">
      <c r="A49" s="448" t="s">
        <v>165</v>
      </c>
      <c r="B49" s="449" t="s">
        <v>753</v>
      </c>
      <c r="C49" s="449" t="s">
        <v>734</v>
      </c>
      <c r="D49" s="449"/>
      <c r="E49" s="450">
        <v>3500</v>
      </c>
      <c r="F49" s="449" t="str">
        <f t="shared" si="0"/>
        <v>TG02EV</v>
      </c>
      <c r="G49" s="449">
        <v>3500</v>
      </c>
      <c r="H49" s="447"/>
      <c r="I49" s="447"/>
      <c r="J49" s="447"/>
      <c r="K49" s="447"/>
      <c r="L49" s="447"/>
      <c r="M49" s="447"/>
    </row>
    <row r="50" spans="1:13" ht="15.75" hidden="1" thickBot="1">
      <c r="A50" s="453" t="s">
        <v>313</v>
      </c>
      <c r="B50" s="454" t="s">
        <v>710</v>
      </c>
      <c r="C50" s="454" t="s">
        <v>711</v>
      </c>
      <c r="D50" s="454"/>
      <c r="E50" s="455">
        <v>150</v>
      </c>
      <c r="F50" s="454" t="str">
        <f t="shared" si="0"/>
        <v>LIS1INF</v>
      </c>
      <c r="G50" s="721" t="s">
        <v>754</v>
      </c>
      <c r="H50" s="456">
        <v>360</v>
      </c>
      <c r="I50" s="444">
        <v>150</v>
      </c>
      <c r="J50" s="444">
        <v>150</v>
      </c>
      <c r="K50" s="444">
        <v>150</v>
      </c>
      <c r="L50" s="444">
        <v>130</v>
      </c>
      <c r="M50" s="445">
        <v>130</v>
      </c>
    </row>
    <row r="51" spans="1:13" ht="15.75" hidden="1" thickBot="1">
      <c r="A51" s="457" t="str">
        <f>A50</f>
        <v>LIS1</v>
      </c>
      <c r="B51" s="454" t="s">
        <v>717</v>
      </c>
      <c r="C51" s="454" t="s">
        <v>711</v>
      </c>
      <c r="D51" s="454" t="s">
        <v>718</v>
      </c>
      <c r="E51" s="455">
        <v>110</v>
      </c>
      <c r="F51" s="454" t="str">
        <f t="shared" si="0"/>
        <v>LIS1INFLUV</v>
      </c>
      <c r="G51" s="722"/>
      <c r="H51" s="456">
        <v>360</v>
      </c>
      <c r="I51" s="444">
        <v>220</v>
      </c>
      <c r="J51" s="444">
        <v>220</v>
      </c>
      <c r="K51" s="444">
        <v>200</v>
      </c>
      <c r="L51" s="444">
        <v>200</v>
      </c>
      <c r="M51" s="445">
        <v>200</v>
      </c>
    </row>
    <row r="52" spans="1:13" ht="15.75" thickBot="1">
      <c r="A52" s="457" t="str">
        <f t="shared" ref="A52:A57" si="1">A51</f>
        <v>LIS1</v>
      </c>
      <c r="B52" s="454" t="s">
        <v>716</v>
      </c>
      <c r="C52" s="454" t="s">
        <v>719</v>
      </c>
      <c r="D52" s="454"/>
      <c r="E52" s="455">
        <v>30</v>
      </c>
      <c r="F52" s="454" t="str">
        <f t="shared" si="0"/>
        <v>LIS1BUS</v>
      </c>
      <c r="G52" s="722"/>
      <c r="H52" s="456">
        <v>25</v>
      </c>
      <c r="I52" s="444">
        <v>25</v>
      </c>
      <c r="J52" s="444">
        <v>25</v>
      </c>
      <c r="K52" s="444">
        <v>30</v>
      </c>
      <c r="L52" s="444">
        <v>30</v>
      </c>
      <c r="M52" s="445">
        <v>25</v>
      </c>
    </row>
    <row r="53" spans="1:13" ht="15.75" hidden="1" thickBot="1">
      <c r="A53" s="457" t="str">
        <f t="shared" si="1"/>
        <v>LIS1</v>
      </c>
      <c r="B53" s="454" t="s">
        <v>723</v>
      </c>
      <c r="C53" s="454" t="s">
        <v>724</v>
      </c>
      <c r="D53" s="454"/>
      <c r="E53" s="455">
        <v>100</v>
      </c>
      <c r="F53" s="454" t="str">
        <f t="shared" si="0"/>
        <v>LIS1CAB</v>
      </c>
      <c r="G53" s="722"/>
      <c r="H53" s="456">
        <v>130</v>
      </c>
      <c r="I53" s="444">
        <v>50</v>
      </c>
      <c r="J53" s="444">
        <v>50</v>
      </c>
      <c r="K53" s="444">
        <v>80</v>
      </c>
      <c r="L53" s="444">
        <v>80</v>
      </c>
      <c r="M53" s="445">
        <v>50</v>
      </c>
    </row>
    <row r="54" spans="1:13" ht="15.75" thickBot="1">
      <c r="A54" s="457" t="str">
        <f t="shared" si="1"/>
        <v>LIS1</v>
      </c>
      <c r="B54" s="454" t="s">
        <v>725</v>
      </c>
      <c r="C54" s="454" t="s">
        <v>726</v>
      </c>
      <c r="D54" s="454"/>
      <c r="E54" s="455">
        <v>30</v>
      </c>
      <c r="F54" s="454" t="str">
        <f t="shared" si="0"/>
        <v>LIS1RAI</v>
      </c>
      <c r="G54" s="722"/>
      <c r="H54" s="456">
        <v>25</v>
      </c>
      <c r="I54" s="444">
        <v>25</v>
      </c>
      <c r="J54" s="444">
        <v>25</v>
      </c>
      <c r="K54" s="444">
        <v>35</v>
      </c>
      <c r="L54" s="444">
        <v>25</v>
      </c>
      <c r="M54" s="445">
        <v>40</v>
      </c>
    </row>
    <row r="55" spans="1:13" ht="15.75" hidden="1" thickBot="1">
      <c r="A55" s="457" t="str">
        <f t="shared" si="1"/>
        <v>LIS1</v>
      </c>
      <c r="B55" s="454" t="s">
        <v>729</v>
      </c>
      <c r="C55" s="454" t="s">
        <v>730</v>
      </c>
      <c r="D55" s="454"/>
      <c r="E55" s="455">
        <v>100</v>
      </c>
      <c r="F55" s="454" t="str">
        <f t="shared" si="0"/>
        <v>LIS1TRU</v>
      </c>
      <c r="G55" s="722"/>
      <c r="H55" s="456">
        <v>70</v>
      </c>
      <c r="I55" s="444">
        <v>55</v>
      </c>
      <c r="J55" s="444">
        <v>55</v>
      </c>
      <c r="K55" s="444">
        <v>150</v>
      </c>
      <c r="L55" s="444">
        <v>150</v>
      </c>
      <c r="M55" s="445">
        <v>120</v>
      </c>
    </row>
    <row r="56" spans="1:13" ht="15.75" hidden="1" thickBot="1">
      <c r="A56" s="457" t="str">
        <f t="shared" si="1"/>
        <v>LIS1</v>
      </c>
      <c r="B56" s="454" t="s">
        <v>731</v>
      </c>
      <c r="C56" s="454" t="s">
        <v>732</v>
      </c>
      <c r="D56" s="454"/>
      <c r="E56" s="455">
        <v>250</v>
      </c>
      <c r="F56" s="454" t="str">
        <f t="shared" si="0"/>
        <v>LIS1OTH</v>
      </c>
      <c r="G56" s="722"/>
      <c r="H56" s="456">
        <v>100</v>
      </c>
      <c r="I56" s="444">
        <v>100</v>
      </c>
      <c r="J56" s="444">
        <v>100</v>
      </c>
      <c r="K56" s="444">
        <v>20</v>
      </c>
      <c r="L56" s="444">
        <v>25</v>
      </c>
      <c r="M56" s="445">
        <v>25</v>
      </c>
    </row>
    <row r="57" spans="1:13" ht="15.75" hidden="1" thickBot="1">
      <c r="A57" s="457" t="str">
        <f t="shared" si="1"/>
        <v>LIS1</v>
      </c>
      <c r="B57" s="454" t="s">
        <v>753</v>
      </c>
      <c r="C57" s="454" t="s">
        <v>734</v>
      </c>
      <c r="D57" s="454"/>
      <c r="E57" s="455">
        <v>3500</v>
      </c>
      <c r="F57" s="454" t="str">
        <f t="shared" si="0"/>
        <v>LIS1EV</v>
      </c>
      <c r="G57" s="723"/>
      <c r="H57" s="447"/>
      <c r="I57" s="447"/>
      <c r="J57" s="447"/>
      <c r="K57" s="447"/>
      <c r="L57" s="447"/>
      <c r="M57" s="447"/>
    </row>
    <row r="58" spans="1:13" ht="15.75" hidden="1" thickBot="1">
      <c r="A58" s="458"/>
      <c r="B58" s="459" t="s">
        <v>755</v>
      </c>
      <c r="C58" s="459" t="s">
        <v>714</v>
      </c>
      <c r="D58" s="459"/>
      <c r="E58" s="460">
        <v>50</v>
      </c>
      <c r="F58" s="459" t="str">
        <f>A58&amp;C58&amp;D58</f>
        <v>ARM</v>
      </c>
      <c r="G58" s="459">
        <v>10</v>
      </c>
      <c r="H58" s="461">
        <v>10</v>
      </c>
      <c r="I58" s="462">
        <v>10</v>
      </c>
      <c r="J58" s="462">
        <v>10</v>
      </c>
      <c r="K58" s="462">
        <v>10</v>
      </c>
      <c r="L58" s="462"/>
    </row>
    <row r="59" spans="1:13" ht="15.75" hidden="1" thickBot="1">
      <c r="A59" s="463" t="s">
        <v>171</v>
      </c>
      <c r="B59" s="464" t="s">
        <v>710</v>
      </c>
      <c r="C59" s="464" t="s">
        <v>711</v>
      </c>
      <c r="D59" s="464"/>
      <c r="H59" s="712"/>
      <c r="I59" s="713"/>
      <c r="J59" s="714"/>
      <c r="K59" s="452">
        <v>40</v>
      </c>
      <c r="L59" s="452">
        <v>100</v>
      </c>
      <c r="M59" s="445">
        <v>100</v>
      </c>
    </row>
    <row r="60" spans="1:13" ht="15.75" hidden="1" thickBot="1">
      <c r="A60" s="463" t="s">
        <v>171</v>
      </c>
      <c r="B60" s="441" t="s">
        <v>717</v>
      </c>
      <c r="C60" s="441" t="s">
        <v>711</v>
      </c>
      <c r="D60" s="441" t="s">
        <v>718</v>
      </c>
      <c r="H60" s="715"/>
      <c r="I60" s="716"/>
      <c r="J60" s="717"/>
      <c r="K60" s="452">
        <v>40</v>
      </c>
      <c r="L60" s="452">
        <v>100</v>
      </c>
      <c r="M60" s="445">
        <v>100</v>
      </c>
    </row>
    <row r="61" spans="1:13" ht="15.75" hidden="1" thickBot="1">
      <c r="A61" s="463" t="s">
        <v>171</v>
      </c>
      <c r="B61" s="441" t="s">
        <v>716</v>
      </c>
      <c r="C61" s="441" t="s">
        <v>719</v>
      </c>
      <c r="D61" s="441"/>
      <c r="H61" s="715"/>
      <c r="I61" s="716"/>
      <c r="J61" s="717"/>
      <c r="K61" s="452">
        <v>20</v>
      </c>
      <c r="L61" s="452">
        <v>20</v>
      </c>
      <c r="M61" s="445">
        <v>20</v>
      </c>
    </row>
    <row r="62" spans="1:13" ht="15.75" hidden="1" thickBot="1">
      <c r="A62" s="463" t="s">
        <v>171</v>
      </c>
      <c r="B62" s="441" t="s">
        <v>723</v>
      </c>
      <c r="C62" s="441" t="s">
        <v>724</v>
      </c>
      <c r="D62" s="441"/>
      <c r="H62" s="715"/>
      <c r="I62" s="716"/>
      <c r="J62" s="717"/>
      <c r="K62" s="452">
        <v>90</v>
      </c>
      <c r="L62" s="452">
        <v>50</v>
      </c>
      <c r="M62" s="445">
        <v>50</v>
      </c>
    </row>
    <row r="63" spans="1:13" ht="15.75" hidden="1" thickBot="1">
      <c r="A63" s="463" t="s">
        <v>171</v>
      </c>
      <c r="B63" s="441" t="s">
        <v>725</v>
      </c>
      <c r="C63" s="441" t="s">
        <v>726</v>
      </c>
      <c r="D63" s="441"/>
      <c r="H63" s="715"/>
      <c r="I63" s="716"/>
      <c r="J63" s="717"/>
      <c r="K63" s="452">
        <v>20</v>
      </c>
      <c r="L63" s="452">
        <v>30</v>
      </c>
      <c r="M63" s="445">
        <v>30</v>
      </c>
    </row>
    <row r="64" spans="1:13" ht="15.75" hidden="1" thickBot="1">
      <c r="A64" s="463" t="s">
        <v>171</v>
      </c>
      <c r="B64" s="441" t="s">
        <v>729</v>
      </c>
      <c r="C64" s="441" t="s">
        <v>730</v>
      </c>
      <c r="D64" s="441"/>
      <c r="H64" s="715"/>
      <c r="I64" s="716"/>
      <c r="J64" s="717"/>
      <c r="K64" s="452">
        <v>50</v>
      </c>
      <c r="L64" s="452">
        <v>90</v>
      </c>
      <c r="M64" s="445">
        <v>100</v>
      </c>
    </row>
    <row r="65" spans="1:13" ht="15.75" hidden="1" thickBot="1">
      <c r="A65" s="463" t="s">
        <v>171</v>
      </c>
      <c r="B65" s="441" t="s">
        <v>731</v>
      </c>
      <c r="C65" s="441" t="s">
        <v>732</v>
      </c>
      <c r="D65" s="441"/>
      <c r="H65" s="718"/>
      <c r="I65" s="719"/>
      <c r="J65" s="720"/>
      <c r="K65" s="452" t="s">
        <v>756</v>
      </c>
      <c r="L65" s="452" t="s">
        <v>756</v>
      </c>
      <c r="M65" s="452" t="s">
        <v>756</v>
      </c>
    </row>
    <row r="66" spans="1:13" ht="15.75" hidden="1" thickBot="1">
      <c r="A66" s="463" t="s">
        <v>171</v>
      </c>
      <c r="B66" s="441" t="s">
        <v>753</v>
      </c>
      <c r="C66" s="441" t="s">
        <v>734</v>
      </c>
      <c r="D66" s="441"/>
      <c r="H66" s="447"/>
      <c r="I66" s="447"/>
      <c r="J66" s="447"/>
      <c r="K66" s="447"/>
      <c r="L66" s="447"/>
      <c r="M66" s="447"/>
    </row>
    <row r="67" spans="1:13" ht="15.75" hidden="1" thickBot="1">
      <c r="A67" s="463" t="s">
        <v>196</v>
      </c>
      <c r="B67" s="449" t="s">
        <v>710</v>
      </c>
      <c r="C67" s="449" t="s">
        <v>711</v>
      </c>
      <c r="D67" s="449"/>
      <c r="H67" s="712"/>
      <c r="I67" s="713"/>
      <c r="J67" s="714"/>
      <c r="K67" s="452">
        <v>60</v>
      </c>
      <c r="L67" s="452">
        <v>300</v>
      </c>
      <c r="M67" s="445">
        <v>220</v>
      </c>
    </row>
    <row r="68" spans="1:13" ht="15.75" hidden="1" thickBot="1">
      <c r="A68" s="463" t="s">
        <v>196</v>
      </c>
      <c r="B68" s="449" t="s">
        <v>717</v>
      </c>
      <c r="C68" s="449" t="s">
        <v>711</v>
      </c>
      <c r="D68" s="449" t="s">
        <v>718</v>
      </c>
      <c r="H68" s="715"/>
      <c r="I68" s="716"/>
      <c r="J68" s="717"/>
      <c r="K68" s="452">
        <v>60</v>
      </c>
      <c r="L68" s="452">
        <v>300</v>
      </c>
      <c r="M68" s="445">
        <v>220</v>
      </c>
    </row>
    <row r="69" spans="1:13" ht="15.75" hidden="1" thickBot="1">
      <c r="A69" s="463" t="s">
        <v>196</v>
      </c>
      <c r="B69" s="449" t="s">
        <v>716</v>
      </c>
      <c r="C69" s="449" t="s">
        <v>719</v>
      </c>
      <c r="D69" s="449"/>
      <c r="H69" s="715"/>
      <c r="I69" s="716"/>
      <c r="J69" s="717"/>
      <c r="K69" s="452">
        <v>23</v>
      </c>
      <c r="L69" s="452">
        <v>30</v>
      </c>
      <c r="M69" s="445">
        <v>30</v>
      </c>
    </row>
    <row r="70" spans="1:13" ht="15.75" hidden="1" thickBot="1">
      <c r="A70" s="463" t="s">
        <v>196</v>
      </c>
      <c r="B70" s="449" t="s">
        <v>723</v>
      </c>
      <c r="C70" s="449" t="s">
        <v>724</v>
      </c>
      <c r="D70" s="449"/>
      <c r="H70" s="715"/>
      <c r="I70" s="716"/>
      <c r="J70" s="717"/>
      <c r="K70" s="452">
        <v>40</v>
      </c>
      <c r="L70" s="452">
        <v>90</v>
      </c>
      <c r="M70" s="445">
        <v>65</v>
      </c>
    </row>
    <row r="71" spans="1:13" ht="15.75" hidden="1" thickBot="1">
      <c r="A71" s="463" t="s">
        <v>196</v>
      </c>
      <c r="B71" s="449" t="s">
        <v>725</v>
      </c>
      <c r="C71" s="449" t="s">
        <v>726</v>
      </c>
      <c r="D71" s="449"/>
      <c r="H71" s="715"/>
      <c r="I71" s="716"/>
      <c r="J71" s="717"/>
      <c r="K71" s="452">
        <v>30</v>
      </c>
      <c r="L71" s="452">
        <v>40</v>
      </c>
      <c r="M71" s="445">
        <v>40</v>
      </c>
    </row>
    <row r="72" spans="1:13" ht="15.75" hidden="1" thickBot="1">
      <c r="A72" s="463" t="s">
        <v>196</v>
      </c>
      <c r="B72" s="449" t="s">
        <v>729</v>
      </c>
      <c r="C72" s="449" t="s">
        <v>730</v>
      </c>
      <c r="D72" s="449"/>
      <c r="H72" s="715"/>
      <c r="I72" s="716"/>
      <c r="J72" s="717"/>
      <c r="K72" s="452">
        <v>25</v>
      </c>
      <c r="L72" s="452">
        <v>25</v>
      </c>
      <c r="M72" s="445">
        <v>25</v>
      </c>
    </row>
    <row r="73" spans="1:13" ht="15.75" hidden="1" thickBot="1">
      <c r="A73" s="463" t="s">
        <v>196</v>
      </c>
      <c r="B73" s="449" t="s">
        <v>731</v>
      </c>
      <c r="C73" s="449" t="s">
        <v>732</v>
      </c>
      <c r="D73" s="449"/>
      <c r="H73" s="718"/>
      <c r="I73" s="719"/>
      <c r="J73" s="720"/>
      <c r="K73" s="452">
        <v>30</v>
      </c>
      <c r="L73" s="452">
        <v>10</v>
      </c>
      <c r="M73" s="445">
        <v>15</v>
      </c>
    </row>
    <row r="74" spans="1:13" ht="15.75" hidden="1" thickBot="1">
      <c r="A74" s="463" t="s">
        <v>196</v>
      </c>
      <c r="B74" s="449" t="s">
        <v>753</v>
      </c>
      <c r="C74" s="449" t="s">
        <v>734</v>
      </c>
      <c r="D74" s="449"/>
      <c r="H74" s="447"/>
      <c r="I74" s="447"/>
      <c r="J74" s="447"/>
      <c r="K74" s="447"/>
      <c r="L74" s="447"/>
      <c r="M74" s="447"/>
    </row>
    <row r="75" spans="1:13" ht="15.75" hidden="1" thickBot="1">
      <c r="A75" s="463" t="s">
        <v>194</v>
      </c>
      <c r="B75" s="441" t="s">
        <v>710</v>
      </c>
      <c r="C75" s="441" t="s">
        <v>711</v>
      </c>
      <c r="D75" s="441"/>
      <c r="H75" s="712"/>
      <c r="I75" s="713"/>
      <c r="J75" s="714"/>
      <c r="K75" s="452">
        <v>60</v>
      </c>
      <c r="L75" s="452">
        <v>300</v>
      </c>
      <c r="M75" s="445">
        <v>220</v>
      </c>
    </row>
    <row r="76" spans="1:13" ht="15.75" hidden="1" thickBot="1">
      <c r="A76" s="463" t="s">
        <v>194</v>
      </c>
      <c r="B76" s="441" t="s">
        <v>717</v>
      </c>
      <c r="C76" s="441" t="s">
        <v>711</v>
      </c>
      <c r="D76" s="441" t="s">
        <v>718</v>
      </c>
      <c r="H76" s="715"/>
      <c r="I76" s="716"/>
      <c r="J76" s="717"/>
      <c r="K76" s="452">
        <v>60</v>
      </c>
      <c r="L76" s="452">
        <v>300</v>
      </c>
      <c r="M76" s="445">
        <v>220</v>
      </c>
    </row>
    <row r="77" spans="1:13" ht="15.75" hidden="1" thickBot="1">
      <c r="A77" s="463" t="s">
        <v>194</v>
      </c>
      <c r="B77" s="441" t="s">
        <v>716</v>
      </c>
      <c r="C77" s="441" t="s">
        <v>719</v>
      </c>
      <c r="D77" s="441"/>
      <c r="H77" s="715"/>
      <c r="I77" s="716"/>
      <c r="J77" s="717"/>
      <c r="K77" s="452">
        <v>23</v>
      </c>
      <c r="L77" s="452">
        <v>30</v>
      </c>
      <c r="M77" s="445">
        <v>30</v>
      </c>
    </row>
    <row r="78" spans="1:13" ht="15.75" hidden="1" thickBot="1">
      <c r="A78" s="463" t="s">
        <v>194</v>
      </c>
      <c r="B78" s="441" t="s">
        <v>723</v>
      </c>
      <c r="C78" s="441" t="s">
        <v>724</v>
      </c>
      <c r="D78" s="441"/>
      <c r="H78" s="715"/>
      <c r="I78" s="716"/>
      <c r="J78" s="717"/>
      <c r="K78" s="452">
        <v>40</v>
      </c>
      <c r="L78" s="452">
        <v>90</v>
      </c>
      <c r="M78" s="445">
        <v>65</v>
      </c>
    </row>
    <row r="79" spans="1:13" ht="15.75" hidden="1" thickBot="1">
      <c r="A79" s="463" t="s">
        <v>194</v>
      </c>
      <c r="B79" s="441" t="s">
        <v>725</v>
      </c>
      <c r="C79" s="441" t="s">
        <v>726</v>
      </c>
      <c r="D79" s="441"/>
      <c r="H79" s="715"/>
      <c r="I79" s="716"/>
      <c r="J79" s="717"/>
      <c r="K79" s="452">
        <v>30</v>
      </c>
      <c r="L79" s="452">
        <v>40</v>
      </c>
      <c r="M79" s="445">
        <v>40</v>
      </c>
    </row>
    <row r="80" spans="1:13" ht="15.75" hidden="1" thickBot="1">
      <c r="A80" s="463" t="s">
        <v>194</v>
      </c>
      <c r="B80" s="441" t="s">
        <v>729</v>
      </c>
      <c r="C80" s="441" t="s">
        <v>730</v>
      </c>
      <c r="D80" s="441"/>
      <c r="H80" s="715"/>
      <c r="I80" s="716"/>
      <c r="J80" s="717"/>
      <c r="K80" s="452">
        <v>25</v>
      </c>
      <c r="L80" s="452">
        <v>25</v>
      </c>
      <c r="M80" s="445">
        <v>25</v>
      </c>
    </row>
    <row r="81" spans="1:13" ht="15.75" hidden="1" thickBot="1">
      <c r="A81" s="463" t="s">
        <v>194</v>
      </c>
      <c r="B81" s="441" t="s">
        <v>731</v>
      </c>
      <c r="C81" s="441" t="s">
        <v>732</v>
      </c>
      <c r="D81" s="441"/>
      <c r="H81" s="718"/>
      <c r="I81" s="719"/>
      <c r="J81" s="720"/>
      <c r="K81" s="452">
        <v>30</v>
      </c>
      <c r="L81" s="452">
        <v>10</v>
      </c>
      <c r="M81" s="445">
        <v>15</v>
      </c>
    </row>
    <row r="82" spans="1:13" ht="15.75" hidden="1" thickBot="1">
      <c r="A82" s="463" t="s">
        <v>194</v>
      </c>
      <c r="B82" s="441" t="s">
        <v>753</v>
      </c>
      <c r="C82" s="441" t="s">
        <v>734</v>
      </c>
      <c r="D82" s="441"/>
      <c r="H82" s="447"/>
      <c r="I82" s="447"/>
      <c r="J82" s="447"/>
      <c r="K82" s="447"/>
      <c r="L82" s="447"/>
      <c r="M82" s="447"/>
    </row>
    <row r="83" spans="1:13" ht="15.75" hidden="1" thickBot="1">
      <c r="A83" s="463" t="s">
        <v>757</v>
      </c>
      <c r="B83" s="449" t="s">
        <v>710</v>
      </c>
      <c r="C83" s="449" t="s">
        <v>711</v>
      </c>
      <c r="D83" s="449"/>
      <c r="H83" s="712"/>
      <c r="I83" s="713"/>
      <c r="J83" s="714"/>
      <c r="K83" s="452">
        <v>300</v>
      </c>
      <c r="L83" s="452">
        <v>300</v>
      </c>
      <c r="M83" s="445">
        <v>300</v>
      </c>
    </row>
    <row r="84" spans="1:13" ht="15.75" hidden="1" thickBot="1">
      <c r="A84" s="463" t="s">
        <v>757</v>
      </c>
      <c r="B84" s="449" t="s">
        <v>717</v>
      </c>
      <c r="C84" s="449" t="s">
        <v>711</v>
      </c>
      <c r="D84" s="449" t="s">
        <v>718</v>
      </c>
      <c r="H84" s="715"/>
      <c r="I84" s="716"/>
      <c r="J84" s="717"/>
      <c r="K84" s="452">
        <v>300</v>
      </c>
      <c r="L84" s="452">
        <v>300</v>
      </c>
      <c r="M84" s="445">
        <v>300</v>
      </c>
    </row>
    <row r="85" spans="1:13" ht="15.75" hidden="1" thickBot="1">
      <c r="A85" s="463" t="s">
        <v>757</v>
      </c>
      <c r="B85" s="449" t="s">
        <v>716</v>
      </c>
      <c r="C85" s="449" t="s">
        <v>719</v>
      </c>
      <c r="D85" s="449"/>
      <c r="H85" s="715"/>
      <c r="I85" s="716"/>
      <c r="J85" s="717"/>
      <c r="K85" s="452">
        <v>25</v>
      </c>
      <c r="L85" s="452">
        <v>25</v>
      </c>
      <c r="M85" s="445">
        <v>25</v>
      </c>
    </row>
    <row r="86" spans="1:13" ht="15.75" hidden="1" thickBot="1">
      <c r="A86" s="463" t="s">
        <v>757</v>
      </c>
      <c r="B86" s="449" t="s">
        <v>723</v>
      </c>
      <c r="C86" s="449" t="s">
        <v>724</v>
      </c>
      <c r="D86" s="449"/>
      <c r="H86" s="715"/>
      <c r="I86" s="716"/>
      <c r="J86" s="717"/>
      <c r="K86" s="452"/>
      <c r="L86" s="452"/>
      <c r="M86" s="445">
        <v>25</v>
      </c>
    </row>
    <row r="87" spans="1:13" ht="15.75" hidden="1" thickBot="1">
      <c r="A87" s="463" t="s">
        <v>757</v>
      </c>
      <c r="B87" s="449" t="s">
        <v>725</v>
      </c>
      <c r="C87" s="449" t="s">
        <v>726</v>
      </c>
      <c r="D87" s="449"/>
      <c r="H87" s="715"/>
      <c r="I87" s="716"/>
      <c r="J87" s="717"/>
      <c r="K87" s="452"/>
      <c r="L87" s="452"/>
    </row>
    <row r="88" spans="1:13" ht="15.75" hidden="1" thickBot="1">
      <c r="A88" s="463" t="s">
        <v>757</v>
      </c>
      <c r="B88" s="449" t="s">
        <v>729</v>
      </c>
      <c r="C88" s="449" t="s">
        <v>730</v>
      </c>
      <c r="D88" s="449"/>
      <c r="H88" s="715"/>
      <c r="I88" s="716"/>
      <c r="J88" s="717"/>
      <c r="K88" s="452">
        <v>200</v>
      </c>
      <c r="L88" s="452">
        <v>250</v>
      </c>
      <c r="M88" s="445">
        <v>250</v>
      </c>
    </row>
    <row r="89" spans="1:13" ht="15.75" hidden="1" thickBot="1">
      <c r="A89" s="463" t="s">
        <v>757</v>
      </c>
      <c r="B89" s="449" t="s">
        <v>731</v>
      </c>
      <c r="C89" s="449" t="s">
        <v>732</v>
      </c>
      <c r="D89" s="449"/>
      <c r="H89" s="718"/>
      <c r="I89" s="719"/>
      <c r="J89" s="720"/>
      <c r="K89" s="452"/>
      <c r="L89" s="452"/>
    </row>
    <row r="90" spans="1:13" ht="15.75" hidden="1" thickBot="1">
      <c r="A90" s="463" t="s">
        <v>757</v>
      </c>
      <c r="B90" s="449" t="s">
        <v>753</v>
      </c>
      <c r="C90" s="449" t="s">
        <v>734</v>
      </c>
      <c r="D90" s="449"/>
      <c r="H90" s="447"/>
      <c r="I90" s="447"/>
      <c r="J90" s="447"/>
      <c r="K90" s="447"/>
      <c r="L90" s="447"/>
      <c r="M90" s="447"/>
    </row>
    <row r="91" spans="1:13" ht="15.75" hidden="1" thickBot="1">
      <c r="A91" s="467" t="s">
        <v>139</v>
      </c>
      <c r="B91" s="441" t="s">
        <v>710</v>
      </c>
      <c r="C91" s="441" t="s">
        <v>711</v>
      </c>
      <c r="D91" s="441"/>
      <c r="H91" s="712"/>
      <c r="I91" s="713"/>
      <c r="J91" s="714"/>
      <c r="K91" s="452">
        <v>200</v>
      </c>
      <c r="L91" s="452">
        <v>155</v>
      </c>
      <c r="M91" s="445">
        <v>150</v>
      </c>
    </row>
    <row r="92" spans="1:13" ht="15.75" hidden="1" thickBot="1">
      <c r="A92" s="467" t="s">
        <v>139</v>
      </c>
      <c r="B92" s="441" t="s">
        <v>717</v>
      </c>
      <c r="C92" s="441" t="s">
        <v>711</v>
      </c>
      <c r="D92" s="441" t="s">
        <v>718</v>
      </c>
      <c r="H92" s="715"/>
      <c r="I92" s="716"/>
      <c r="J92" s="717"/>
      <c r="K92" s="452">
        <v>200</v>
      </c>
      <c r="L92" s="452">
        <v>155</v>
      </c>
      <c r="M92" s="445">
        <v>150</v>
      </c>
    </row>
    <row r="93" spans="1:13" ht="15.75" hidden="1" thickBot="1">
      <c r="A93" s="467" t="s">
        <v>139</v>
      </c>
      <c r="B93" s="441" t="s">
        <v>716</v>
      </c>
      <c r="C93" s="441" t="s">
        <v>719</v>
      </c>
      <c r="D93" s="441"/>
      <c r="H93" s="715"/>
      <c r="I93" s="716"/>
      <c r="J93" s="717"/>
      <c r="K93" s="452">
        <v>20</v>
      </c>
      <c r="L93" s="452">
        <v>30</v>
      </c>
      <c r="M93" s="445">
        <v>35</v>
      </c>
    </row>
    <row r="94" spans="1:13" ht="15.75" hidden="1" thickBot="1">
      <c r="A94" s="467" t="s">
        <v>139</v>
      </c>
      <c r="B94" s="441" t="s">
        <v>723</v>
      </c>
      <c r="C94" s="441" t="s">
        <v>724</v>
      </c>
      <c r="D94" s="441"/>
      <c r="H94" s="715"/>
      <c r="I94" s="716"/>
      <c r="J94" s="717"/>
      <c r="K94" s="452">
        <v>100</v>
      </c>
      <c r="L94" s="452">
        <v>75</v>
      </c>
      <c r="M94" s="445">
        <v>90</v>
      </c>
    </row>
    <row r="95" spans="1:13" ht="15.75" hidden="1" thickBot="1">
      <c r="A95" s="467" t="s">
        <v>139</v>
      </c>
      <c r="B95" s="441" t="s">
        <v>725</v>
      </c>
      <c r="C95" s="441" t="s">
        <v>726</v>
      </c>
      <c r="D95" s="441"/>
      <c r="H95" s="715"/>
      <c r="I95" s="716"/>
      <c r="J95" s="717"/>
      <c r="K95" s="452">
        <v>30</v>
      </c>
      <c r="L95" s="452">
        <v>30</v>
      </c>
      <c r="M95" s="445">
        <v>25</v>
      </c>
    </row>
    <row r="96" spans="1:13" ht="15.75" hidden="1" thickBot="1">
      <c r="A96" s="467" t="s">
        <v>139</v>
      </c>
      <c r="B96" s="441" t="s">
        <v>729</v>
      </c>
      <c r="C96" s="441" t="s">
        <v>730</v>
      </c>
      <c r="D96" s="441"/>
      <c r="H96" s="715"/>
      <c r="I96" s="716"/>
      <c r="J96" s="717"/>
      <c r="K96" s="452"/>
      <c r="L96" s="452">
        <v>100</v>
      </c>
      <c r="M96" s="445">
        <v>100</v>
      </c>
    </row>
    <row r="97" spans="1:13" ht="15.75" hidden="1" thickBot="1">
      <c r="A97" s="467" t="s">
        <v>139</v>
      </c>
      <c r="B97" s="441" t="s">
        <v>731</v>
      </c>
      <c r="C97" s="441" t="s">
        <v>732</v>
      </c>
      <c r="D97" s="441"/>
      <c r="H97" s="718"/>
      <c r="I97" s="719"/>
      <c r="J97" s="720"/>
      <c r="K97" s="452"/>
      <c r="L97" s="452">
        <v>10</v>
      </c>
      <c r="M97" s="445">
        <v>10</v>
      </c>
    </row>
    <row r="98" spans="1:13" ht="15.75" hidden="1" thickBot="1">
      <c r="A98" s="467" t="s">
        <v>139</v>
      </c>
      <c r="B98" s="441" t="s">
        <v>753</v>
      </c>
      <c r="C98" s="441" t="s">
        <v>734</v>
      </c>
      <c r="D98" s="441"/>
      <c r="H98" s="447"/>
      <c r="I98" s="447"/>
      <c r="J98" s="447"/>
      <c r="K98" s="447"/>
      <c r="L98" s="447"/>
      <c r="M98" s="447"/>
    </row>
  </sheetData>
  <autoFilter ref="A1:M98">
    <filterColumn colId="0">
      <filters>
        <filter val="BT01"/>
        <filter val="BT02"/>
        <filter val="CRB1"/>
        <filter val="GTO1"/>
        <filter val="LIS1"/>
        <filter val="TG01"/>
        <filter val="TG02"/>
      </filters>
    </filterColumn>
    <filterColumn colId="2">
      <filters>
        <filter val="BUS"/>
        <filter val="RAI"/>
      </filters>
    </filterColumn>
  </autoFilter>
  <mergeCells count="6">
    <mergeCell ref="H91:J97"/>
    <mergeCell ref="G50:G57"/>
    <mergeCell ref="H59:J65"/>
    <mergeCell ref="H67:J73"/>
    <mergeCell ref="H75:J81"/>
    <mergeCell ref="H83:J89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4"/>
  <dimension ref="A2:Q53"/>
  <sheetViews>
    <sheetView topLeftCell="A28" zoomScale="55" zoomScaleNormal="55" workbookViewId="0">
      <selection activeCell="P53" sqref="A51:P53"/>
    </sheetView>
  </sheetViews>
  <sheetFormatPr defaultColWidth="9.140625" defaultRowHeight="30"/>
  <cols>
    <col min="1" max="14" width="9.140625" style="130"/>
    <col min="15" max="15" width="81.7109375" style="130" customWidth="1"/>
    <col min="16" max="16" width="45.28515625" style="130" customWidth="1"/>
    <col min="17" max="16384" width="9.140625" style="130"/>
  </cols>
  <sheetData>
    <row r="2" spans="2:2">
      <c r="B2" s="129" t="s">
        <v>316</v>
      </c>
    </row>
    <row r="4" spans="2:2">
      <c r="B4" s="129" t="s">
        <v>317</v>
      </c>
    </row>
    <row r="5" spans="2:2">
      <c r="B5" s="131" t="s">
        <v>318</v>
      </c>
    </row>
    <row r="6" spans="2:2">
      <c r="B6" s="130" t="s">
        <v>319</v>
      </c>
    </row>
    <row r="7" spans="2:2">
      <c r="B7" s="131" t="s">
        <v>320</v>
      </c>
    </row>
    <row r="8" spans="2:2">
      <c r="B8" s="130" t="s">
        <v>321</v>
      </c>
    </row>
    <row r="10" spans="2:2">
      <c r="B10" s="129" t="s">
        <v>322</v>
      </c>
    </row>
    <row r="11" spans="2:2">
      <c r="B11" s="130" t="s">
        <v>323</v>
      </c>
    </row>
    <row r="12" spans="2:2">
      <c r="B12" s="130" t="s">
        <v>324</v>
      </c>
    </row>
    <row r="13" spans="2:2">
      <c r="B13" s="130" t="s">
        <v>325</v>
      </c>
    </row>
    <row r="15" spans="2:2">
      <c r="B15" s="132" t="s">
        <v>326</v>
      </c>
    </row>
    <row r="16" spans="2:2">
      <c r="B16" s="131" t="s">
        <v>327</v>
      </c>
    </row>
    <row r="17" spans="2:2">
      <c r="B17" s="130" t="s">
        <v>328</v>
      </c>
    </row>
    <row r="19" spans="2:2">
      <c r="B19" s="132" t="s">
        <v>329</v>
      </c>
    </row>
    <row r="20" spans="2:2">
      <c r="B20" s="131" t="s">
        <v>330</v>
      </c>
    </row>
    <row r="23" spans="2:2">
      <c r="B23" s="129" t="s">
        <v>331</v>
      </c>
    </row>
    <row r="24" spans="2:2">
      <c r="B24" s="130" t="s">
        <v>332</v>
      </c>
    </row>
    <row r="25" spans="2:2">
      <c r="B25" s="130" t="s">
        <v>333</v>
      </c>
    </row>
    <row r="26" spans="2:2">
      <c r="B26" s="130" t="s">
        <v>334</v>
      </c>
    </row>
    <row r="27" spans="2:2">
      <c r="B27" s="130" t="s">
        <v>339</v>
      </c>
    </row>
    <row r="29" spans="2:2">
      <c r="B29" s="129" t="s">
        <v>335</v>
      </c>
    </row>
    <row r="30" spans="2:2">
      <c r="B30" s="130" t="s">
        <v>336</v>
      </c>
    </row>
    <row r="31" spans="2:2">
      <c r="B31" s="131" t="s">
        <v>337</v>
      </c>
    </row>
    <row r="32" spans="2:2">
      <c r="B32" s="130" t="s">
        <v>338</v>
      </c>
    </row>
    <row r="33" spans="1:17" ht="30.75" thickBot="1"/>
    <row r="34" spans="1:17" ht="30" customHeight="1">
      <c r="B34" s="620" t="s">
        <v>761</v>
      </c>
      <c r="C34" s="620"/>
      <c r="D34" s="620"/>
      <c r="E34" s="620"/>
      <c r="F34" s="620"/>
      <c r="G34" s="620"/>
      <c r="H34" s="620"/>
      <c r="I34" s="620"/>
      <c r="J34" s="620"/>
      <c r="K34" s="620"/>
      <c r="L34" s="620"/>
      <c r="M34" s="620"/>
      <c r="N34" s="620"/>
      <c r="O34" s="621"/>
    </row>
    <row r="35" spans="1:17" ht="30.75" customHeight="1" thickBot="1">
      <c r="B35" s="623"/>
      <c r="C35" s="623"/>
      <c r="D35" s="623"/>
      <c r="E35" s="623"/>
      <c r="F35" s="623"/>
      <c r="G35" s="623"/>
      <c r="H35" s="623"/>
      <c r="I35" s="623"/>
      <c r="J35" s="623"/>
      <c r="K35" s="623"/>
      <c r="L35" s="623"/>
      <c r="M35" s="623"/>
      <c r="N35" s="623"/>
      <c r="O35" s="624"/>
    </row>
    <row r="36" spans="1:17" ht="51" thickBot="1">
      <c r="B36" s="468"/>
      <c r="C36" s="468"/>
      <c r="D36" s="468"/>
      <c r="E36" s="468"/>
      <c r="F36" s="468"/>
      <c r="G36" s="468"/>
      <c r="H36" s="468"/>
      <c r="I36" s="468"/>
      <c r="J36" s="468"/>
      <c r="K36" s="468"/>
      <c r="L36" s="468"/>
      <c r="M36" s="468"/>
      <c r="N36" s="468"/>
      <c r="O36" s="469"/>
    </row>
    <row r="37" spans="1:17" ht="30" customHeight="1">
      <c r="B37" s="620" t="s">
        <v>758</v>
      </c>
      <c r="C37" s="620"/>
      <c r="D37" s="620"/>
      <c r="E37" s="620"/>
      <c r="F37" s="620"/>
      <c r="G37" s="620"/>
      <c r="H37" s="620"/>
      <c r="I37" s="620"/>
      <c r="J37" s="620"/>
      <c r="K37" s="620"/>
      <c r="L37" s="620"/>
      <c r="M37" s="620"/>
      <c r="N37" s="620"/>
      <c r="O37" s="621"/>
    </row>
    <row r="38" spans="1:17" ht="30.75" customHeight="1" thickBot="1">
      <c r="B38" s="623"/>
      <c r="C38" s="623"/>
      <c r="D38" s="623"/>
      <c r="E38" s="623"/>
      <c r="F38" s="623"/>
      <c r="G38" s="623"/>
      <c r="H38" s="623"/>
      <c r="I38" s="623"/>
      <c r="J38" s="623"/>
      <c r="K38" s="623"/>
      <c r="L38" s="623"/>
      <c r="M38" s="623"/>
      <c r="N38" s="623"/>
      <c r="O38" s="624"/>
    </row>
    <row r="39" spans="1:17" ht="51" thickBot="1">
      <c r="B39" s="468"/>
      <c r="C39" s="468"/>
      <c r="D39" s="468"/>
      <c r="E39" s="468"/>
      <c r="F39" s="468"/>
      <c r="G39" s="468"/>
      <c r="H39" s="468"/>
      <c r="I39" s="468"/>
      <c r="J39" s="468"/>
      <c r="K39" s="468"/>
      <c r="L39" s="468"/>
      <c r="M39" s="468"/>
      <c r="N39" s="468"/>
      <c r="O39" s="469"/>
    </row>
    <row r="40" spans="1:17" ht="30" customHeight="1">
      <c r="B40" s="620" t="s">
        <v>762</v>
      </c>
      <c r="C40" s="620"/>
      <c r="D40" s="620"/>
      <c r="E40" s="620"/>
      <c r="F40" s="620"/>
      <c r="G40" s="620"/>
      <c r="H40" s="620"/>
      <c r="I40" s="620"/>
      <c r="J40" s="620"/>
      <c r="K40" s="620"/>
      <c r="L40" s="620"/>
      <c r="M40" s="620"/>
      <c r="N40" s="620"/>
      <c r="O40" s="621"/>
    </row>
    <row r="41" spans="1:17" ht="30.75" customHeight="1" thickBot="1">
      <c r="B41" s="623"/>
      <c r="C41" s="623"/>
      <c r="D41" s="623"/>
      <c r="E41" s="623"/>
      <c r="F41" s="623"/>
      <c r="G41" s="623"/>
      <c r="H41" s="623"/>
      <c r="I41" s="623"/>
      <c r="J41" s="623"/>
      <c r="K41" s="623"/>
      <c r="L41" s="623"/>
      <c r="M41" s="623"/>
      <c r="N41" s="623"/>
      <c r="O41" s="624"/>
    </row>
    <row r="44" spans="1:17" ht="36">
      <c r="A44" s="473"/>
      <c r="B44" s="727" t="s">
        <v>771</v>
      </c>
      <c r="C44" s="727"/>
      <c r="D44" s="727"/>
      <c r="E44" s="727"/>
      <c r="F44" s="727"/>
      <c r="G44" s="727" t="s">
        <v>772</v>
      </c>
      <c r="H44" s="727"/>
      <c r="I44" s="727"/>
      <c r="J44" s="727"/>
      <c r="K44" s="727"/>
      <c r="L44" s="727"/>
      <c r="M44" s="727"/>
      <c r="N44" s="727"/>
      <c r="O44" s="727"/>
      <c r="P44" s="475" t="s">
        <v>773</v>
      </c>
    </row>
    <row r="45" spans="1:17" ht="36">
      <c r="A45" s="474">
        <v>1</v>
      </c>
      <c r="B45" s="724" t="s">
        <v>774</v>
      </c>
      <c r="C45" s="725"/>
      <c r="D45" s="725"/>
      <c r="E45" s="725"/>
      <c r="F45" s="726"/>
      <c r="G45" s="727" t="s">
        <v>783</v>
      </c>
      <c r="H45" s="727"/>
      <c r="I45" s="727"/>
      <c r="J45" s="727"/>
      <c r="K45" s="727"/>
      <c r="L45" s="727"/>
      <c r="M45" s="727"/>
      <c r="N45" s="727"/>
      <c r="O45" s="727"/>
      <c r="P45" s="475" t="s">
        <v>165</v>
      </c>
    </row>
    <row r="46" spans="1:17" ht="36">
      <c r="A46" s="474">
        <v>2</v>
      </c>
      <c r="B46" s="724" t="s">
        <v>775</v>
      </c>
      <c r="C46" s="725"/>
      <c r="D46" s="725"/>
      <c r="E46" s="725"/>
      <c r="F46" s="726"/>
      <c r="G46" s="727" t="s">
        <v>783</v>
      </c>
      <c r="H46" s="727"/>
      <c r="I46" s="727"/>
      <c r="J46" s="727"/>
      <c r="K46" s="727"/>
      <c r="L46" s="727"/>
      <c r="M46" s="727"/>
      <c r="N46" s="727"/>
      <c r="O46" s="727"/>
      <c r="P46" s="475" t="s">
        <v>776</v>
      </c>
      <c r="Q46" s="130" t="s">
        <v>794</v>
      </c>
    </row>
    <row r="47" spans="1:17" ht="36">
      <c r="A47" s="474">
        <v>3</v>
      </c>
      <c r="B47" s="724" t="s">
        <v>777</v>
      </c>
      <c r="C47" s="725"/>
      <c r="D47" s="725"/>
      <c r="E47" s="725"/>
      <c r="F47" s="726"/>
      <c r="G47" s="727" t="s">
        <v>784</v>
      </c>
      <c r="H47" s="727"/>
      <c r="I47" s="727"/>
      <c r="J47" s="727"/>
      <c r="K47" s="727"/>
      <c r="L47" s="727"/>
      <c r="M47" s="727"/>
      <c r="N47" s="727"/>
      <c r="O47" s="727"/>
      <c r="P47" s="475" t="s">
        <v>776</v>
      </c>
      <c r="Q47" s="130" t="s">
        <v>794</v>
      </c>
    </row>
    <row r="48" spans="1:17" ht="36">
      <c r="A48" s="474">
        <v>4</v>
      </c>
      <c r="B48" s="724" t="s">
        <v>778</v>
      </c>
      <c r="C48" s="725"/>
      <c r="D48" s="725"/>
      <c r="E48" s="725"/>
      <c r="F48" s="726"/>
      <c r="G48" s="727" t="s">
        <v>779</v>
      </c>
      <c r="H48" s="727"/>
      <c r="I48" s="727"/>
      <c r="J48" s="727"/>
      <c r="K48" s="727"/>
      <c r="L48" s="727"/>
      <c r="M48" s="727"/>
      <c r="N48" s="727"/>
      <c r="O48" s="727"/>
      <c r="P48" s="475" t="s">
        <v>776</v>
      </c>
      <c r="Q48" s="130" t="s">
        <v>794</v>
      </c>
    </row>
    <row r="49" spans="1:17" ht="36">
      <c r="A49" s="474">
        <v>5</v>
      </c>
      <c r="B49" s="724" t="s">
        <v>780</v>
      </c>
      <c r="C49" s="725"/>
      <c r="D49" s="725"/>
      <c r="E49" s="725"/>
      <c r="F49" s="726"/>
      <c r="G49" s="727" t="s">
        <v>781</v>
      </c>
      <c r="H49" s="727"/>
      <c r="I49" s="727"/>
      <c r="J49" s="727"/>
      <c r="K49" s="727"/>
      <c r="L49" s="727"/>
      <c r="M49" s="727"/>
      <c r="N49" s="727"/>
      <c r="O49" s="727"/>
      <c r="P49" s="475" t="s">
        <v>776</v>
      </c>
      <c r="Q49" s="130" t="s">
        <v>794</v>
      </c>
    </row>
    <row r="50" spans="1:17" ht="36">
      <c r="A50" s="474">
        <v>6</v>
      </c>
      <c r="B50" s="724" t="s">
        <v>782</v>
      </c>
      <c r="C50" s="725"/>
      <c r="D50" s="725"/>
      <c r="E50" s="725"/>
      <c r="F50" s="726"/>
      <c r="G50" s="727" t="s">
        <v>781</v>
      </c>
      <c r="H50" s="727"/>
      <c r="I50" s="727"/>
      <c r="J50" s="727"/>
      <c r="K50" s="727"/>
      <c r="L50" s="727"/>
      <c r="M50" s="727"/>
      <c r="N50" s="727"/>
      <c r="O50" s="727"/>
      <c r="P50" s="475" t="s">
        <v>776</v>
      </c>
      <c r="Q50" s="130" t="s">
        <v>794</v>
      </c>
    </row>
    <row r="51" spans="1:17" ht="36">
      <c r="A51" s="476">
        <v>7</v>
      </c>
      <c r="B51" s="724" t="s">
        <v>787</v>
      </c>
      <c r="C51" s="725"/>
      <c r="D51" s="725"/>
      <c r="E51" s="725"/>
      <c r="F51" s="726"/>
      <c r="G51" s="727" t="s">
        <v>789</v>
      </c>
      <c r="H51" s="727"/>
      <c r="I51" s="727"/>
      <c r="J51" s="727"/>
      <c r="K51" s="727"/>
      <c r="L51" s="727"/>
      <c r="M51" s="727"/>
      <c r="N51" s="727"/>
      <c r="O51" s="727"/>
      <c r="P51" s="475" t="s">
        <v>788</v>
      </c>
    </row>
    <row r="52" spans="1:17" ht="36">
      <c r="A52" s="476">
        <v>8</v>
      </c>
      <c r="B52" s="724" t="s">
        <v>790</v>
      </c>
      <c r="C52" s="725"/>
      <c r="D52" s="725"/>
      <c r="E52" s="725"/>
      <c r="F52" s="726"/>
      <c r="G52" s="727" t="s">
        <v>789</v>
      </c>
      <c r="H52" s="727"/>
      <c r="I52" s="727"/>
      <c r="J52" s="727"/>
      <c r="K52" s="727"/>
      <c r="L52" s="727"/>
      <c r="M52" s="727"/>
      <c r="N52" s="727"/>
      <c r="O52" s="727"/>
      <c r="P52" s="475" t="s">
        <v>791</v>
      </c>
    </row>
    <row r="53" spans="1:17" ht="36">
      <c r="A53" s="476">
        <v>7</v>
      </c>
      <c r="B53" s="724" t="s">
        <v>793</v>
      </c>
      <c r="C53" s="725"/>
      <c r="D53" s="725"/>
      <c r="E53" s="725"/>
      <c r="F53" s="726"/>
      <c r="G53" s="727" t="s">
        <v>789</v>
      </c>
      <c r="H53" s="727"/>
      <c r="I53" s="727"/>
      <c r="J53" s="727"/>
      <c r="K53" s="727"/>
      <c r="L53" s="727"/>
      <c r="M53" s="727"/>
      <c r="N53" s="727"/>
      <c r="O53" s="727"/>
      <c r="P53" s="475" t="s">
        <v>792</v>
      </c>
    </row>
  </sheetData>
  <mergeCells count="23">
    <mergeCell ref="G50:O50"/>
    <mergeCell ref="B45:F45"/>
    <mergeCell ref="B46:F46"/>
    <mergeCell ref="B47:F47"/>
    <mergeCell ref="B48:F48"/>
    <mergeCell ref="B49:F49"/>
    <mergeCell ref="B50:F50"/>
    <mergeCell ref="G45:O45"/>
    <mergeCell ref="G46:O46"/>
    <mergeCell ref="G47:O47"/>
    <mergeCell ref="G48:O48"/>
    <mergeCell ref="G49:O49"/>
    <mergeCell ref="B34:O35"/>
    <mergeCell ref="B37:O38"/>
    <mergeCell ref="B40:O41"/>
    <mergeCell ref="B44:F44"/>
    <mergeCell ref="G44:O44"/>
    <mergeCell ref="B51:F51"/>
    <mergeCell ref="G51:O51"/>
    <mergeCell ref="B52:F52"/>
    <mergeCell ref="G52:O52"/>
    <mergeCell ref="B53:F53"/>
    <mergeCell ref="G53:O5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5"/>
  <dimension ref="A2:N62"/>
  <sheetViews>
    <sheetView topLeftCell="A43" workbookViewId="0">
      <selection activeCell="C62" sqref="C62"/>
    </sheetView>
  </sheetViews>
  <sheetFormatPr defaultRowHeight="15"/>
  <cols>
    <col min="1" max="1" width="56.42578125" bestFit="1" customWidth="1"/>
    <col min="2" max="3" width="39.85546875" customWidth="1"/>
    <col min="5" max="5" width="10.28515625" customWidth="1"/>
    <col min="6" max="6" width="8.42578125" customWidth="1"/>
    <col min="7" max="7" width="8.85546875" customWidth="1"/>
    <col min="8" max="9" width="9.140625" customWidth="1"/>
    <col min="10" max="10" width="9.7109375" customWidth="1"/>
    <col min="11" max="11" width="17" bestFit="1" customWidth="1"/>
    <col min="12" max="12" width="11.140625" customWidth="1"/>
    <col min="13" max="13" width="17" bestFit="1" customWidth="1"/>
    <col min="14" max="14" width="13" customWidth="1"/>
  </cols>
  <sheetData>
    <row r="2" spans="1:12" ht="15.75">
      <c r="A2" s="76" t="s">
        <v>241</v>
      </c>
      <c r="B2" s="77" t="s">
        <v>242</v>
      </c>
      <c r="C2" s="77" t="s">
        <v>243</v>
      </c>
    </row>
    <row r="3" spans="1:12">
      <c r="A3" s="76" t="s">
        <v>244</v>
      </c>
      <c r="B3" s="76">
        <v>2028863</v>
      </c>
      <c r="C3" s="76">
        <v>2029125</v>
      </c>
    </row>
    <row r="4" spans="1:12">
      <c r="A4" s="76" t="s">
        <v>245</v>
      </c>
      <c r="B4" s="76">
        <v>1200627</v>
      </c>
      <c r="C4" s="76"/>
    </row>
    <row r="5" spans="1:12">
      <c r="A5" s="76" t="s">
        <v>246</v>
      </c>
      <c r="B5" s="78">
        <f>ESG!C24</f>
        <v>559</v>
      </c>
      <c r="C5" s="78">
        <v>1412</v>
      </c>
    </row>
    <row r="6" spans="1:12">
      <c r="A6" s="76" t="s">
        <v>247</v>
      </c>
      <c r="B6" s="78">
        <f>ESG!C25</f>
        <v>1433</v>
      </c>
      <c r="C6" s="78">
        <v>411</v>
      </c>
    </row>
    <row r="7" spans="1:12">
      <c r="A7" s="76" t="s">
        <v>248</v>
      </c>
      <c r="B7" s="79">
        <f>B5*B6/1000000</f>
        <v>0.80104699999999995</v>
      </c>
      <c r="C7" s="79">
        <f>0.5799</f>
        <v>0.57989999999999997</v>
      </c>
    </row>
    <row r="8" spans="1:12">
      <c r="A8" s="76" t="s">
        <v>249</v>
      </c>
      <c r="B8" s="79">
        <f>B7</f>
        <v>0.80104699999999995</v>
      </c>
      <c r="C8" s="79">
        <f>C7</f>
        <v>0.57989999999999997</v>
      </c>
    </row>
    <row r="9" spans="1:12">
      <c r="A9" s="80" t="s">
        <v>250</v>
      </c>
      <c r="B9" s="81">
        <v>30</v>
      </c>
      <c r="C9" s="81">
        <v>30</v>
      </c>
    </row>
    <row r="10" spans="1:12">
      <c r="A10" s="76" t="s">
        <v>251</v>
      </c>
      <c r="B10" s="82" t="s">
        <v>252</v>
      </c>
      <c r="C10" s="82" t="s">
        <v>252</v>
      </c>
    </row>
    <row r="11" spans="1:12">
      <c r="A11" s="76"/>
      <c r="B11" s="76"/>
      <c r="C11" s="76"/>
    </row>
    <row r="12" spans="1:12">
      <c r="A12" s="76" t="s">
        <v>253</v>
      </c>
      <c r="B12" s="83">
        <v>44</v>
      </c>
      <c r="C12" s="83">
        <v>77</v>
      </c>
    </row>
    <row r="13" spans="1:12">
      <c r="A13" s="76" t="s">
        <v>254</v>
      </c>
      <c r="B13" s="84">
        <v>0.02</v>
      </c>
      <c r="C13" s="84">
        <v>1.01E-2</v>
      </c>
    </row>
    <row r="14" spans="1:12">
      <c r="A14" s="85" t="s">
        <v>255</v>
      </c>
      <c r="B14" s="86">
        <v>2600</v>
      </c>
      <c r="C14" s="86">
        <v>2600</v>
      </c>
      <c r="G14">
        <v>100</v>
      </c>
      <c r="H14">
        <v>50</v>
      </c>
      <c r="I14">
        <v>200</v>
      </c>
      <c r="J14">
        <v>150</v>
      </c>
    </row>
    <row r="15" spans="1:12">
      <c r="A15" s="87" t="s">
        <v>256</v>
      </c>
      <c r="B15" s="88">
        <f>B8*B9*10^-6*B14*1000</f>
        <v>62.48166599999999</v>
      </c>
      <c r="C15" s="88">
        <f>C8*C9*10^-6*C14*1000</f>
        <v>45.232199999999992</v>
      </c>
    </row>
    <row r="16" spans="1:12">
      <c r="E16" s="89" t="s">
        <v>257</v>
      </c>
      <c r="F16" s="89" t="s">
        <v>258</v>
      </c>
      <c r="G16" s="89" t="s">
        <v>259</v>
      </c>
      <c r="H16" s="89" t="s">
        <v>260</v>
      </c>
      <c r="I16" s="89" t="s">
        <v>261</v>
      </c>
      <c r="J16" s="89" t="s">
        <v>262</v>
      </c>
      <c r="K16" s="89" t="s">
        <v>263</v>
      </c>
      <c r="L16" s="89" t="s">
        <v>264</v>
      </c>
    </row>
    <row r="17" spans="1:14">
      <c r="A17" s="90" t="s">
        <v>265</v>
      </c>
      <c r="B17" s="83">
        <v>6488</v>
      </c>
      <c r="C17" s="83">
        <v>5531.5</v>
      </c>
      <c r="E17" s="91">
        <v>1500</v>
      </c>
      <c r="F17" s="91">
        <v>1000</v>
      </c>
      <c r="G17" s="91">
        <v>200</v>
      </c>
      <c r="H17" s="91">
        <v>150</v>
      </c>
      <c r="I17" s="91">
        <v>100</v>
      </c>
      <c r="J17" s="91">
        <v>50</v>
      </c>
      <c r="K17" s="79">
        <f>(E17*F17-(E17-G17-H17)*(F17-I17-J17))/1000000</f>
        <v>0.52249999999999996</v>
      </c>
      <c r="L17" s="92">
        <f>K17*$B$9*$B$14*10^-3</f>
        <v>40.755000000000003</v>
      </c>
    </row>
    <row r="18" spans="1:14">
      <c r="A18" s="90" t="s">
        <v>266</v>
      </c>
      <c r="B18" s="83">
        <v>6538</v>
      </c>
      <c r="C18" s="83">
        <v>5576.5</v>
      </c>
      <c r="E18" s="91">
        <v>1500</v>
      </c>
      <c r="F18" s="91">
        <v>1000</v>
      </c>
      <c r="G18" s="91">
        <v>100</v>
      </c>
      <c r="H18" s="91">
        <v>50</v>
      </c>
      <c r="I18" s="91">
        <v>200</v>
      </c>
      <c r="J18" s="91">
        <v>150</v>
      </c>
      <c r="K18" s="79">
        <f>(E18*F18-(E18-G18-H18)*(F18-I18-J18))/1000000</f>
        <v>0.62250000000000005</v>
      </c>
      <c r="L18" s="92">
        <f>K18*$B$9*$B$14*10^-3</f>
        <v>48.555</v>
      </c>
    </row>
    <row r="19" spans="1:14">
      <c r="A19" s="93" t="s">
        <v>267</v>
      </c>
      <c r="B19" s="94">
        <f>B18-B17</f>
        <v>50</v>
      </c>
      <c r="C19" s="94">
        <f>C18-C17</f>
        <v>45</v>
      </c>
      <c r="E19" s="91">
        <v>1500</v>
      </c>
      <c r="F19" s="91">
        <v>1000</v>
      </c>
      <c r="G19" s="91">
        <v>125</v>
      </c>
      <c r="H19" s="91">
        <v>125</v>
      </c>
      <c r="I19" s="91">
        <v>125</v>
      </c>
      <c r="J19" s="91">
        <v>125</v>
      </c>
      <c r="K19" s="79">
        <f>(E19*F19-(E19-G19-H19)*(F19-I19-J19))/1000000</f>
        <v>0.5625</v>
      </c>
      <c r="L19" s="92">
        <f>K19*$B$9*$B$14*10^-3</f>
        <v>43.875</v>
      </c>
    </row>
    <row r="20" spans="1:14">
      <c r="A20" s="90" t="s">
        <v>267</v>
      </c>
      <c r="B20" s="83">
        <v>50.5</v>
      </c>
      <c r="C20" s="83"/>
      <c r="E20" s="91">
        <v>1500</v>
      </c>
      <c r="F20" s="91">
        <v>1000</v>
      </c>
      <c r="G20" s="91">
        <v>200</v>
      </c>
      <c r="H20" s="91">
        <v>150</v>
      </c>
      <c r="I20" s="91">
        <v>100</v>
      </c>
      <c r="J20" s="91">
        <v>50</v>
      </c>
      <c r="K20" s="79"/>
      <c r="L20" s="95">
        <v>44.6875</v>
      </c>
      <c r="M20" s="96" t="s">
        <v>268</v>
      </c>
      <c r="N20" s="96"/>
    </row>
    <row r="21" spans="1:14">
      <c r="A21" s="90" t="s">
        <v>267</v>
      </c>
      <c r="B21" s="83"/>
      <c r="C21" s="83"/>
    </row>
    <row r="22" spans="1:14">
      <c r="A22" s="90" t="s">
        <v>267</v>
      </c>
      <c r="B22" s="83"/>
      <c r="C22" s="83"/>
    </row>
    <row r="23" spans="1:14">
      <c r="A23" s="90" t="s">
        <v>267</v>
      </c>
      <c r="B23" s="83"/>
      <c r="C23" s="83"/>
    </row>
    <row r="26" spans="1:14">
      <c r="A26" s="90" t="s">
        <v>269</v>
      </c>
      <c r="B26" s="97">
        <v>11.128</v>
      </c>
      <c r="C26" s="97"/>
    </row>
    <row r="27" spans="1:14">
      <c r="A27" s="90" t="s">
        <v>270</v>
      </c>
      <c r="B27" s="97">
        <v>8.0035000000000007</v>
      </c>
      <c r="C27" s="97"/>
    </row>
    <row r="28" spans="1:14">
      <c r="A28" s="90" t="s">
        <v>271</v>
      </c>
      <c r="B28" s="97">
        <f>B26-B27</f>
        <v>3.1244999999999994</v>
      </c>
      <c r="C28" s="97"/>
      <c r="E28">
        <v>1744</v>
      </c>
      <c r="F28">
        <v>390</v>
      </c>
      <c r="G28">
        <v>195</v>
      </c>
      <c r="H28">
        <v>195</v>
      </c>
      <c r="I28">
        <v>195</v>
      </c>
      <c r="J28">
        <v>195</v>
      </c>
      <c r="K28" s="79">
        <f>(E28*F28-(E28-G28-H28)*(F28-I28-J28))/1000000</f>
        <v>0.68015999999999999</v>
      </c>
      <c r="L28" s="92">
        <f>K28*$B$9*$B$14*10^-3</f>
        <v>53.052479999999996</v>
      </c>
    </row>
    <row r="29" spans="1:14">
      <c r="A29" s="90" t="s">
        <v>272</v>
      </c>
      <c r="B29" s="76">
        <f>57+1</f>
        <v>58</v>
      </c>
      <c r="C29" s="76"/>
      <c r="E29">
        <v>1500</v>
      </c>
      <c r="F29">
        <v>1000</v>
      </c>
      <c r="G29">
        <v>100</v>
      </c>
      <c r="H29">
        <v>50</v>
      </c>
      <c r="I29">
        <v>200</v>
      </c>
      <c r="J29">
        <v>150</v>
      </c>
      <c r="K29" s="79">
        <f>(E29*F29-(E29-G29-H29)*(F29-I29-J29))/1000000</f>
        <v>0.62250000000000005</v>
      </c>
      <c r="L29" s="92">
        <f>K29*$B$9*$B$14*10^-3</f>
        <v>48.555</v>
      </c>
    </row>
    <row r="30" spans="1:14">
      <c r="A30" s="90" t="s">
        <v>273</v>
      </c>
      <c r="B30" s="83">
        <f>B28/B29*1000</f>
        <v>53.870689655172399</v>
      </c>
      <c r="C30" s="83"/>
    </row>
    <row r="32" spans="1:14">
      <c r="A32" s="98" t="s">
        <v>274</v>
      </c>
      <c r="B32" s="99">
        <f>B28*1000-B29*B20</f>
        <v>195.49999999999955</v>
      </c>
      <c r="C32" s="99">
        <f>C28*1000-C29*C19</f>
        <v>0</v>
      </c>
    </row>
    <row r="33" spans="1:7">
      <c r="A33" s="98" t="s">
        <v>275</v>
      </c>
      <c r="B33" s="99">
        <f>B32/B7</f>
        <v>244.05559224365058</v>
      </c>
      <c r="C33" s="99">
        <f>C32/C7</f>
        <v>0</v>
      </c>
    </row>
    <row r="34" spans="1:7">
      <c r="B34" s="83"/>
      <c r="C34" s="83"/>
    </row>
    <row r="35" spans="1:7">
      <c r="B35" s="83"/>
      <c r="C35" s="83"/>
    </row>
    <row r="36" spans="1:7">
      <c r="A36" s="98" t="s">
        <v>276</v>
      </c>
      <c r="B36" s="99">
        <f>B19/B7</f>
        <v>62.41831003673942</v>
      </c>
      <c r="C36" s="99">
        <f>C19/C7</f>
        <v>77.599586135540619</v>
      </c>
    </row>
    <row r="38" spans="1:7">
      <c r="A38" t="s">
        <v>629</v>
      </c>
    </row>
    <row r="39" spans="1:7">
      <c r="A39" s="100" t="s">
        <v>277</v>
      </c>
      <c r="B39" s="101">
        <f>'DANE CONTROLLINGU'!K4</f>
        <v>0</v>
      </c>
      <c r="C39" s="101">
        <v>0</v>
      </c>
    </row>
    <row r="40" spans="1:7">
      <c r="A40" s="100" t="s">
        <v>278</v>
      </c>
      <c r="B40" s="101">
        <f>'DANE CONTROLLINGU'!K5</f>
        <v>0</v>
      </c>
      <c r="C40" s="101">
        <v>0</v>
      </c>
      <c r="G40" t="s">
        <v>280</v>
      </c>
    </row>
    <row r="41" spans="1:7">
      <c r="A41" s="100" t="s">
        <v>280</v>
      </c>
      <c r="B41" s="101">
        <f>'DANE CONTROLLINGU'!K6</f>
        <v>0</v>
      </c>
      <c r="C41" s="101">
        <v>205</v>
      </c>
      <c r="G41" t="s">
        <v>279</v>
      </c>
    </row>
    <row r="42" spans="1:7">
      <c r="A42" s="100" t="s">
        <v>279</v>
      </c>
      <c r="B42" s="101">
        <f>'DANE CONTROLLINGU'!K7</f>
        <v>0</v>
      </c>
      <c r="C42" s="101">
        <v>205</v>
      </c>
    </row>
    <row r="43" spans="1:7">
      <c r="A43" s="102" t="s">
        <v>281</v>
      </c>
      <c r="B43" s="103">
        <f>SUM(B39:B42)/4</f>
        <v>0</v>
      </c>
      <c r="C43" s="103">
        <f>SUM(C39:C42)/4</f>
        <v>102.5</v>
      </c>
    </row>
    <row r="44" spans="1:7">
      <c r="A44" s="104" t="s">
        <v>282</v>
      </c>
      <c r="B44" s="105">
        <f>MIN(B5:B6)/2</f>
        <v>279.5</v>
      </c>
      <c r="C44" s="105">
        <f>MIN(C5:C6)/2</f>
        <v>205.5</v>
      </c>
    </row>
    <row r="45" spans="1:7">
      <c r="A45" s="106" t="s">
        <v>283</v>
      </c>
      <c r="B45" s="107">
        <f>'DANE CONTROLLINGU'!K12</f>
        <v>0</v>
      </c>
      <c r="C45" s="107">
        <v>1</v>
      </c>
    </row>
    <row r="46" spans="1:7">
      <c r="A46" s="102" t="s">
        <v>284</v>
      </c>
      <c r="B46" s="79">
        <f>(B5*B6-(B5-B39-B40)*(B6-B41-B42))/1000000</f>
        <v>0</v>
      </c>
      <c r="C46" s="79">
        <f>(C5*C6-(C5-C39-C40)*(C6-C41-C42))/1000000</f>
        <v>0.57891999999999999</v>
      </c>
    </row>
    <row r="47" spans="1:7">
      <c r="A47" s="100" t="s">
        <v>285</v>
      </c>
      <c r="B47" s="92">
        <f>B46*B9*B14/1000</f>
        <v>0</v>
      </c>
      <c r="C47" s="92">
        <f>C46*C9*C14/1000</f>
        <v>45.155760000000001</v>
      </c>
    </row>
    <row r="48" spans="1:7">
      <c r="A48" s="104" t="s">
        <v>286</v>
      </c>
      <c r="B48" s="108">
        <f>(B5*B6-(B5-2*B44)*(B6-2*B44))*B9*B14*10^-9</f>
        <v>62.481666000000004</v>
      </c>
      <c r="C48" s="108">
        <f>(C5*C6-(C5-2*C44)*(C6-2*C44))*C9*C14*10^-9</f>
        <v>45.265896000000005</v>
      </c>
    </row>
    <row r="49" spans="1:3">
      <c r="A49" s="106" t="s">
        <v>287</v>
      </c>
      <c r="B49" s="109">
        <f>B7*B45*B9*B14/1000</f>
        <v>0</v>
      </c>
      <c r="C49" s="109">
        <f>C7*C45*C9*C14/1000</f>
        <v>45.232199999999999</v>
      </c>
    </row>
    <row r="51" spans="1:3">
      <c r="A51" t="s">
        <v>630</v>
      </c>
    </row>
    <row r="52" spans="1:3">
      <c r="A52" s="100" t="s">
        <v>277</v>
      </c>
      <c r="B52" s="101">
        <f>'DANE CONTROLLINGU'!K17</f>
        <v>0</v>
      </c>
    </row>
    <row r="53" spans="1:3">
      <c r="A53" s="100" t="s">
        <v>278</v>
      </c>
      <c r="B53" s="101">
        <f>'DANE CONTROLLINGU'!K18</f>
        <v>0</v>
      </c>
    </row>
    <row r="54" spans="1:3">
      <c r="A54" s="100" t="s">
        <v>280</v>
      </c>
      <c r="B54" s="101">
        <f>'DANE CONTROLLINGU'!K19</f>
        <v>0</v>
      </c>
    </row>
    <row r="55" spans="1:3">
      <c r="A55" s="100" t="s">
        <v>279</v>
      </c>
      <c r="B55" s="101">
        <f>'DANE CONTROLLINGU'!K20</f>
        <v>0</v>
      </c>
    </row>
    <row r="56" spans="1:3">
      <c r="A56" s="102" t="s">
        <v>281</v>
      </c>
      <c r="B56" s="103">
        <f>SUM(B52:B55)/4</f>
        <v>0</v>
      </c>
    </row>
    <row r="57" spans="1:3">
      <c r="A57" s="104" t="s">
        <v>282</v>
      </c>
      <c r="B57" s="105">
        <f>MIN(B5:B6)/2</f>
        <v>279.5</v>
      </c>
    </row>
    <row r="58" spans="1:3">
      <c r="A58" s="106" t="s">
        <v>283</v>
      </c>
      <c r="B58" s="107">
        <f>'DANE CONTROLLINGU'!K24</f>
        <v>0</v>
      </c>
    </row>
    <row r="59" spans="1:3">
      <c r="A59" s="102" t="s">
        <v>284</v>
      </c>
      <c r="B59" s="79">
        <f>(B5*B6-(B5-B52-B53)*(B6-B54-B55))/1000000</f>
        <v>0</v>
      </c>
    </row>
    <row r="60" spans="1:3">
      <c r="A60" s="100" t="s">
        <v>285</v>
      </c>
      <c r="B60" s="92">
        <f>B59*B9*B14/1000</f>
        <v>0</v>
      </c>
    </row>
    <row r="61" spans="1:3">
      <c r="A61" s="104" t="s">
        <v>286</v>
      </c>
      <c r="B61" s="108">
        <f>(B5*B6-(B5-2*B57)*(B6-2*B57))*B9*B14*10^-9</f>
        <v>62.481666000000004</v>
      </c>
    </row>
    <row r="62" spans="1:3">
      <c r="A62" s="106" t="s">
        <v>287</v>
      </c>
      <c r="B62" s="109">
        <f>B7*B58*B9*B14/1000</f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6"/>
  <dimension ref="B2:D22"/>
  <sheetViews>
    <sheetView workbookViewId="0">
      <selection activeCell="G33" sqref="G33"/>
    </sheetView>
  </sheetViews>
  <sheetFormatPr defaultRowHeight="15"/>
  <cols>
    <col min="3" max="3" width="21.5703125" bestFit="1" customWidth="1"/>
    <col min="4" max="4" width="28.28515625" bestFit="1" customWidth="1"/>
  </cols>
  <sheetData>
    <row r="2" spans="2:4">
      <c r="B2" s="728" t="s">
        <v>384</v>
      </c>
      <c r="C2" s="730" t="s">
        <v>363</v>
      </c>
      <c r="D2" s="143" t="s">
        <v>364</v>
      </c>
    </row>
    <row r="3" spans="2:4">
      <c r="B3" s="728"/>
      <c r="C3" s="730"/>
      <c r="D3" s="143" t="s">
        <v>365</v>
      </c>
    </row>
    <row r="4" spans="2:4">
      <c r="B4" s="728" t="s">
        <v>385</v>
      </c>
      <c r="C4" s="730" t="s">
        <v>366</v>
      </c>
      <c r="D4" s="143">
        <v>1</v>
      </c>
    </row>
    <row r="5" spans="2:4">
      <c r="B5" s="728"/>
      <c r="C5" s="730"/>
      <c r="D5" s="143">
        <v>2</v>
      </c>
    </row>
    <row r="6" spans="2:4">
      <c r="B6" s="728"/>
      <c r="C6" s="730"/>
      <c r="D6" s="143">
        <v>3</v>
      </c>
    </row>
    <row r="7" spans="2:4">
      <c r="B7" s="728" t="s">
        <v>386</v>
      </c>
      <c r="C7" s="730" t="s">
        <v>367</v>
      </c>
      <c r="D7" s="143" t="s">
        <v>368</v>
      </c>
    </row>
    <row r="8" spans="2:4">
      <c r="B8" s="728"/>
      <c r="C8" s="730"/>
      <c r="D8" s="143" t="s">
        <v>369</v>
      </c>
    </row>
    <row r="9" spans="2:4">
      <c r="B9" s="728" t="s">
        <v>387</v>
      </c>
      <c r="C9" s="730" t="s">
        <v>370</v>
      </c>
      <c r="D9" s="143" t="s">
        <v>371</v>
      </c>
    </row>
    <row r="10" spans="2:4">
      <c r="B10" s="728"/>
      <c r="C10" s="730"/>
      <c r="D10" s="143" t="s">
        <v>372</v>
      </c>
    </row>
    <row r="11" spans="2:4">
      <c r="B11" s="728"/>
      <c r="C11" s="730"/>
      <c r="D11" s="143" t="s">
        <v>373</v>
      </c>
    </row>
    <row r="12" spans="2:4">
      <c r="B12" s="728" t="s">
        <v>388</v>
      </c>
      <c r="C12" s="729" t="s">
        <v>395</v>
      </c>
      <c r="D12" s="143" t="s">
        <v>374</v>
      </c>
    </row>
    <row r="13" spans="2:4">
      <c r="B13" s="728"/>
      <c r="C13" s="729"/>
      <c r="D13" s="143" t="s">
        <v>375</v>
      </c>
    </row>
    <row r="14" spans="2:4">
      <c r="B14" s="728" t="s">
        <v>389</v>
      </c>
      <c r="C14" s="729" t="s">
        <v>394</v>
      </c>
      <c r="D14" s="143" t="s">
        <v>376</v>
      </c>
    </row>
    <row r="15" spans="2:4">
      <c r="B15" s="728"/>
      <c r="C15" s="729"/>
      <c r="D15" s="143" t="s">
        <v>377</v>
      </c>
    </row>
    <row r="16" spans="2:4">
      <c r="B16" s="728" t="s">
        <v>390</v>
      </c>
      <c r="C16" s="729" t="s">
        <v>396</v>
      </c>
      <c r="D16" s="143" t="s">
        <v>378</v>
      </c>
    </row>
    <row r="17" spans="2:4">
      <c r="B17" s="728"/>
      <c r="C17" s="729"/>
      <c r="D17" s="143" t="s">
        <v>379</v>
      </c>
    </row>
    <row r="18" spans="2:4">
      <c r="B18" s="728" t="s">
        <v>391</v>
      </c>
      <c r="C18" s="730" t="s">
        <v>393</v>
      </c>
      <c r="D18" s="143" t="s">
        <v>380</v>
      </c>
    </row>
    <row r="19" spans="2:4">
      <c r="B19" s="728"/>
      <c r="C19" s="730"/>
      <c r="D19" s="143" t="s">
        <v>381</v>
      </c>
    </row>
    <row r="20" spans="2:4">
      <c r="B20" s="728"/>
      <c r="C20" s="730"/>
      <c r="D20" s="143" t="s">
        <v>382</v>
      </c>
    </row>
    <row r="21" spans="2:4">
      <c r="B21" s="728" t="s">
        <v>392</v>
      </c>
      <c r="C21" s="729" t="s">
        <v>383</v>
      </c>
      <c r="D21" s="143">
        <v>1</v>
      </c>
    </row>
    <row r="22" spans="2:4">
      <c r="B22" s="728"/>
      <c r="C22" s="729"/>
      <c r="D22" s="143">
        <v>2</v>
      </c>
    </row>
  </sheetData>
  <mergeCells count="18">
    <mergeCell ref="B14:B15"/>
    <mergeCell ref="B16:B17"/>
    <mergeCell ref="C2:C3"/>
    <mergeCell ref="C4:C6"/>
    <mergeCell ref="C7:C8"/>
    <mergeCell ref="C9:C11"/>
    <mergeCell ref="C12:C13"/>
    <mergeCell ref="C14:C15"/>
    <mergeCell ref="B2:B3"/>
    <mergeCell ref="B4:B6"/>
    <mergeCell ref="B7:B8"/>
    <mergeCell ref="B9:B11"/>
    <mergeCell ref="B12:B13"/>
    <mergeCell ref="B18:B20"/>
    <mergeCell ref="B21:B22"/>
    <mergeCell ref="C16:C17"/>
    <mergeCell ref="C18:C20"/>
    <mergeCell ref="C21:C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12</vt:i4>
      </vt:variant>
      <vt:variant>
        <vt:lpstr>Zakresy nazwane</vt:lpstr>
      </vt:variant>
      <vt:variant>
        <vt:i4>18</vt:i4>
      </vt:variant>
    </vt:vector>
  </HeadingPairs>
  <TitlesOfParts>
    <vt:vector size="30" baseType="lpstr">
      <vt:lpstr>ESG</vt:lpstr>
      <vt:lpstr>DANE CONTROLLINGU</vt:lpstr>
      <vt:lpstr>MARSZRUTA_WER 6</vt:lpstr>
      <vt:lpstr>MARSZRUTA_WER 5</vt:lpstr>
      <vt:lpstr>Batch_size</vt:lpstr>
      <vt:lpstr>Batch size 2021</vt:lpstr>
      <vt:lpstr>Uwagi</vt:lpstr>
      <vt:lpstr>Ilość farby</vt:lpstr>
      <vt:lpstr>charakterystyki</vt:lpstr>
      <vt:lpstr>ETYKIETOWANIE</vt:lpstr>
      <vt:lpstr>szkła</vt:lpstr>
      <vt:lpstr>SCRAP</vt:lpstr>
      <vt:lpstr>ETYKIETOWANIE</vt:lpstr>
      <vt:lpstr>'MARSZRUTA_WER 5'!farby</vt:lpstr>
      <vt:lpstr>farby</vt:lpstr>
      <vt:lpstr>grubosc</vt:lpstr>
      <vt:lpstr>iso_1</vt:lpstr>
      <vt:lpstr>iso_2</vt:lpstr>
      <vt:lpstr>iso_3</vt:lpstr>
      <vt:lpstr>kolory</vt:lpstr>
      <vt:lpstr>lam</vt:lpstr>
      <vt:lpstr>mal</vt:lpstr>
      <vt:lpstr>ESG!Obszar_wydruku</vt:lpstr>
      <vt:lpstr>okl</vt:lpstr>
      <vt:lpstr>otwory</vt:lpstr>
      <vt:lpstr>pro</vt:lpstr>
      <vt:lpstr>scrap</vt:lpstr>
      <vt:lpstr>scrap_2</vt:lpstr>
      <vt:lpstr>STR_SZKLA</vt:lpstr>
      <vt:lpstr>wycięcia</vt:lpstr>
    </vt:vector>
  </TitlesOfParts>
  <Company>SAINT-GOBAIN 1.4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Dziwusz, Katarzyna</dc:creator>
  <cp:lastModifiedBy>Sroka, Urszula</cp:lastModifiedBy>
  <cp:lastPrinted>2019-04-03T09:05:31Z</cp:lastPrinted>
  <dcterms:created xsi:type="dcterms:W3CDTF">2012-09-11T11:30:26Z</dcterms:created>
  <dcterms:modified xsi:type="dcterms:W3CDTF">2021-10-27T10:47:27Z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ed06422-c515-4a4e-a1f2-e6a0c0200eae_Enabled">
    <vt:lpwstr>true</vt:lpwstr>
  </property>
  <property fmtid="{D5CDD505-2E9C-101B-9397-08002B2CF9AE}" pid="3" name="MSIP_Label_ced06422-c515-4a4e-a1f2-e6a0c0200eae_SetDate">
    <vt:lpwstr>2020-12-18T09:06:50Z</vt:lpwstr>
  </property>
  <property fmtid="{D5CDD505-2E9C-101B-9397-08002B2CF9AE}" pid="4" name="MSIP_Label_ced06422-c515-4a4e-a1f2-e6a0c0200eae_Method">
    <vt:lpwstr>Standard</vt:lpwstr>
  </property>
  <property fmtid="{D5CDD505-2E9C-101B-9397-08002B2CF9AE}" pid="5" name="MSIP_Label_ced06422-c515-4a4e-a1f2-e6a0c0200eae_Name">
    <vt:lpwstr>Unclassifed</vt:lpwstr>
  </property>
  <property fmtid="{D5CDD505-2E9C-101B-9397-08002B2CF9AE}" pid="6" name="MSIP_Label_ced06422-c515-4a4e-a1f2-e6a0c0200eae_SiteId">
    <vt:lpwstr>e339bd4b-2e3b-4035-a452-2112d502f2ff</vt:lpwstr>
  </property>
  <property fmtid="{D5CDD505-2E9C-101B-9397-08002B2CF9AE}" pid="7" name="MSIP_Label_ced06422-c515-4a4e-a1f2-e6a0c0200eae_ActionId">
    <vt:lpwstr>2d403930-c4b6-4398-bd2f-d2cde145a3f0</vt:lpwstr>
  </property>
  <property fmtid="{D5CDD505-2E9C-101B-9397-08002B2CF9AE}" pid="8" name="MSIP_Label_ced06422-c515-4a4e-a1f2-e6a0c0200eae_ContentBits">
    <vt:lpwstr>0</vt:lpwstr>
  </property>
</Properties>
</file>