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townsend\Documents\GitHub\ebSiena-DemoSystemData\Prospects\HomeSend\XML Deal Generator\BASE\"/>
    </mc:Choice>
  </mc:AlternateContent>
  <xr:revisionPtr revIDLastSave="0" documentId="13_ncr:1_{FCBDF586-D69C-45B9-A165-C18BC57F6C5F}" xr6:coauthVersionLast="41" xr6:coauthVersionMax="41" xr10:uidLastSave="{00000000-0000-0000-0000-000000000000}"/>
  <bookViews>
    <workbookView xWindow="4590" yWindow="3180" windowWidth="20460" windowHeight="11040" firstSheet="3" activeTab="3" xr2:uid="{123A3C3A-CA81-4564-8BED-B192D3F76CA1}"/>
  </bookViews>
  <sheets>
    <sheet name="Case 1" sheetId="4" r:id="rId1"/>
    <sheet name="Instructions" sheetId="2" r:id="rId2"/>
    <sheet name="Balance representation" sheetId="3" r:id="rId3"/>
    <sheet name="ImportData" sheetId="5" r:id="rId4"/>
  </sheets>
  <externalReferences>
    <externalReference r:id="rId5"/>
  </externalReferences>
  <definedNames>
    <definedName name="_xlnm._FilterDatabase" localSheetId="2" hidden="1">'Balance representation'!$A$1:$G$120</definedName>
    <definedName name="_xlnm._FilterDatabase" localSheetId="3" hidden="1">ImportData!$A$1:$AZ$102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4" i="5" l="1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6" i="5"/>
  <c r="R27" i="5"/>
  <c r="R28" i="5"/>
  <c r="R29" i="5"/>
  <c r="R30" i="5"/>
  <c r="R31" i="5"/>
  <c r="R32" i="5"/>
  <c r="R33" i="5"/>
  <c r="R34" i="5"/>
  <c r="R35" i="5"/>
  <c r="R36" i="5"/>
  <c r="R37" i="5"/>
  <c r="R38" i="5"/>
  <c r="R39" i="5"/>
  <c r="R40" i="5"/>
  <c r="R41" i="5"/>
  <c r="R42" i="5"/>
  <c r="R43" i="5"/>
  <c r="R44" i="5"/>
  <c r="R45" i="5"/>
  <c r="R46" i="5"/>
  <c r="R47" i="5"/>
  <c r="R48" i="5"/>
  <c r="R49" i="5"/>
  <c r="R50" i="5"/>
  <c r="R51" i="5"/>
  <c r="R52" i="5"/>
  <c r="R53" i="5"/>
  <c r="R54" i="5"/>
  <c r="R55" i="5"/>
  <c r="R56" i="5"/>
  <c r="R57" i="5"/>
  <c r="R58" i="5"/>
  <c r="R59" i="5"/>
  <c r="R60" i="5"/>
  <c r="R61" i="5"/>
  <c r="R62" i="5"/>
  <c r="R63" i="5"/>
  <c r="R64" i="5"/>
  <c r="R65" i="5"/>
  <c r="R66" i="5"/>
  <c r="R67" i="5"/>
  <c r="R68" i="5"/>
  <c r="R69" i="5"/>
  <c r="R70" i="5"/>
  <c r="R71" i="5"/>
  <c r="R72" i="5"/>
  <c r="R73" i="5"/>
  <c r="R74" i="5"/>
  <c r="R75" i="5"/>
  <c r="R76" i="5"/>
  <c r="R77" i="5"/>
  <c r="R78" i="5"/>
  <c r="R79" i="5"/>
  <c r="R80" i="5"/>
  <c r="R81" i="5"/>
  <c r="R82" i="5"/>
  <c r="R83" i="5"/>
  <c r="R84" i="5"/>
  <c r="R85" i="5"/>
  <c r="R86" i="5"/>
  <c r="R87" i="5"/>
  <c r="R88" i="5"/>
  <c r="R89" i="5"/>
  <c r="R90" i="5"/>
  <c r="R91" i="5"/>
  <c r="R92" i="5"/>
  <c r="R93" i="5"/>
  <c r="R94" i="5"/>
  <c r="R95" i="5"/>
  <c r="R96" i="5"/>
  <c r="R97" i="5"/>
  <c r="R98" i="5"/>
  <c r="R99" i="5"/>
  <c r="R100" i="5"/>
  <c r="R101" i="5"/>
  <c r="R102" i="5"/>
  <c r="R3" i="5"/>
  <c r="AT51" i="5" l="1"/>
  <c r="AT24" i="5"/>
  <c r="V24" i="5"/>
  <c r="V51" i="5"/>
  <c r="J50" i="5"/>
  <c r="J49" i="5"/>
  <c r="J48" i="5"/>
  <c r="J47" i="5"/>
  <c r="J46" i="5"/>
  <c r="J45" i="5"/>
  <c r="J44" i="5"/>
  <c r="J43" i="5"/>
  <c r="J42" i="5"/>
  <c r="J41" i="5"/>
  <c r="J40" i="5"/>
  <c r="J39" i="5"/>
  <c r="J38" i="5"/>
  <c r="J37" i="5"/>
  <c r="J36" i="5"/>
  <c r="J35" i="5"/>
  <c r="J34" i="5"/>
  <c r="J33" i="5"/>
  <c r="J32" i="5"/>
  <c r="J31" i="5"/>
  <c r="J30" i="5"/>
  <c r="J29" i="5"/>
  <c r="J28" i="5"/>
  <c r="J27" i="5"/>
  <c r="J26" i="5"/>
  <c r="J25" i="5"/>
  <c r="J23" i="5"/>
  <c r="J22" i="5"/>
  <c r="J21" i="5"/>
  <c r="J20" i="5"/>
  <c r="J19" i="5"/>
  <c r="J18" i="5"/>
  <c r="J17" i="5"/>
  <c r="J16" i="5"/>
  <c r="J15" i="5"/>
  <c r="J14" i="5"/>
  <c r="J13" i="5"/>
  <c r="U13" i="5" s="1"/>
  <c r="J12" i="5"/>
  <c r="U12" i="5" s="1"/>
  <c r="J11" i="5"/>
  <c r="J10" i="5"/>
  <c r="U10" i="5" s="1"/>
  <c r="J9" i="5"/>
  <c r="J8" i="5"/>
  <c r="J7" i="5"/>
  <c r="J6" i="5"/>
  <c r="U6" i="5" s="1"/>
  <c r="J5" i="5"/>
  <c r="U5" i="5" s="1"/>
  <c r="J4" i="5"/>
  <c r="U4" i="5" s="1"/>
  <c r="J3" i="5"/>
  <c r="U3" i="5" s="1"/>
  <c r="J2" i="5"/>
  <c r="U2" i="5" s="1"/>
  <c r="F3" i="5"/>
  <c r="X3" i="5" s="1"/>
  <c r="F4" i="5"/>
  <c r="X4" i="5" s="1"/>
  <c r="F5" i="5"/>
  <c r="X5" i="5" s="1"/>
  <c r="F6" i="5"/>
  <c r="X6" i="5" s="1"/>
  <c r="F7" i="5"/>
  <c r="X7" i="5" s="1"/>
  <c r="F8" i="5"/>
  <c r="X8" i="5" s="1"/>
  <c r="F9" i="5"/>
  <c r="X9" i="5" s="1"/>
  <c r="F10" i="5"/>
  <c r="X10" i="5" s="1"/>
  <c r="F11" i="5"/>
  <c r="X11" i="5" s="1"/>
  <c r="F12" i="5"/>
  <c r="X12" i="5" s="1"/>
  <c r="F13" i="5"/>
  <c r="X13" i="5" s="1"/>
  <c r="F14" i="5"/>
  <c r="X14" i="5" s="1"/>
  <c r="F15" i="5"/>
  <c r="X15" i="5" s="1"/>
  <c r="F16" i="5"/>
  <c r="X16" i="5" s="1"/>
  <c r="F17" i="5"/>
  <c r="X17" i="5" s="1"/>
  <c r="F18" i="5"/>
  <c r="X18" i="5" s="1"/>
  <c r="F19" i="5"/>
  <c r="X19" i="5" s="1"/>
  <c r="F20" i="5"/>
  <c r="X20" i="5" s="1"/>
  <c r="F21" i="5"/>
  <c r="X21" i="5" s="1"/>
  <c r="F22" i="5"/>
  <c r="X22" i="5" s="1"/>
  <c r="F23" i="5"/>
  <c r="X23" i="5" s="1"/>
  <c r="F24" i="5"/>
  <c r="X24" i="5" s="1"/>
  <c r="F25" i="5"/>
  <c r="X25" i="5" s="1"/>
  <c r="F26" i="5"/>
  <c r="X26" i="5" s="1"/>
  <c r="F27" i="5"/>
  <c r="X27" i="5" s="1"/>
  <c r="F28" i="5"/>
  <c r="X28" i="5" s="1"/>
  <c r="F29" i="5"/>
  <c r="X29" i="5" s="1"/>
  <c r="F30" i="5"/>
  <c r="X30" i="5" s="1"/>
  <c r="F31" i="5"/>
  <c r="X31" i="5" s="1"/>
  <c r="F32" i="5"/>
  <c r="X32" i="5" s="1"/>
  <c r="F33" i="5"/>
  <c r="X33" i="5" s="1"/>
  <c r="F34" i="5"/>
  <c r="X34" i="5" s="1"/>
  <c r="F35" i="5"/>
  <c r="X35" i="5" s="1"/>
  <c r="F36" i="5"/>
  <c r="X36" i="5" s="1"/>
  <c r="F37" i="5"/>
  <c r="X37" i="5" s="1"/>
  <c r="F38" i="5"/>
  <c r="X38" i="5" s="1"/>
  <c r="F39" i="5"/>
  <c r="X39" i="5" s="1"/>
  <c r="F40" i="5"/>
  <c r="X40" i="5" s="1"/>
  <c r="F41" i="5"/>
  <c r="X41" i="5" s="1"/>
  <c r="F42" i="5"/>
  <c r="X42" i="5" s="1"/>
  <c r="F43" i="5"/>
  <c r="X43" i="5" s="1"/>
  <c r="F44" i="5"/>
  <c r="X44" i="5" s="1"/>
  <c r="F45" i="5"/>
  <c r="X45" i="5" s="1"/>
  <c r="F46" i="5"/>
  <c r="X46" i="5" s="1"/>
  <c r="F47" i="5"/>
  <c r="X47" i="5" s="1"/>
  <c r="F48" i="5"/>
  <c r="X48" i="5" s="1"/>
  <c r="F49" i="5"/>
  <c r="X49" i="5" s="1"/>
  <c r="F50" i="5"/>
  <c r="X50" i="5" s="1"/>
  <c r="F51" i="5"/>
  <c r="X51" i="5" s="1"/>
  <c r="F52" i="5"/>
  <c r="X52" i="5" s="1"/>
  <c r="F2" i="5"/>
  <c r="X2" i="5" s="1"/>
  <c r="AD4" i="5"/>
  <c r="AD5" i="5"/>
  <c r="AD6" i="5"/>
  <c r="AD7" i="5"/>
  <c r="AD8" i="5"/>
  <c r="AD9" i="5"/>
  <c r="AD10" i="5"/>
  <c r="AD11" i="5"/>
  <c r="AD12" i="5"/>
  <c r="AD13" i="5"/>
  <c r="AD14" i="5"/>
  <c r="AD15" i="5"/>
  <c r="AD16" i="5"/>
  <c r="AD17" i="5"/>
  <c r="AD18" i="5"/>
  <c r="AD19" i="5"/>
  <c r="AD20" i="5"/>
  <c r="AD21" i="5"/>
  <c r="AD22" i="5"/>
  <c r="AD23" i="5"/>
  <c r="AD24" i="5"/>
  <c r="AD25" i="5"/>
  <c r="AD26" i="5"/>
  <c r="AD27" i="5"/>
  <c r="AD28" i="5"/>
  <c r="AD29" i="5"/>
  <c r="AD30" i="5"/>
  <c r="AD31" i="5"/>
  <c r="AD32" i="5"/>
  <c r="AD33" i="5"/>
  <c r="AD34" i="5"/>
  <c r="AD35" i="5"/>
  <c r="AD36" i="5"/>
  <c r="AD37" i="5"/>
  <c r="AD38" i="5"/>
  <c r="AD39" i="5"/>
  <c r="AD40" i="5"/>
  <c r="AD41" i="5"/>
  <c r="AD42" i="5"/>
  <c r="AD43" i="5"/>
  <c r="AD44" i="5"/>
  <c r="AD45" i="5"/>
  <c r="AD46" i="5"/>
  <c r="AD47" i="5"/>
  <c r="AD48" i="5"/>
  <c r="AD49" i="5"/>
  <c r="AD50" i="5"/>
  <c r="AD51" i="5"/>
  <c r="AD52" i="5"/>
  <c r="AD53" i="5"/>
  <c r="AD54" i="5"/>
  <c r="AD55" i="5"/>
  <c r="AD56" i="5"/>
  <c r="AD57" i="5"/>
  <c r="AD58" i="5"/>
  <c r="AD59" i="5"/>
  <c r="AD60" i="5"/>
  <c r="AD61" i="5"/>
  <c r="AD62" i="5"/>
  <c r="AD63" i="5"/>
  <c r="AD64" i="5"/>
  <c r="AD65" i="5"/>
  <c r="AD66" i="5"/>
  <c r="AD67" i="5"/>
  <c r="AD68" i="5"/>
  <c r="AD69" i="5"/>
  <c r="AD70" i="5"/>
  <c r="AD71" i="5"/>
  <c r="AD72" i="5"/>
  <c r="AD73" i="5"/>
  <c r="AD74" i="5"/>
  <c r="AD75" i="5"/>
  <c r="AD76" i="5"/>
  <c r="AD77" i="5"/>
  <c r="AD78" i="5"/>
  <c r="AD79" i="5"/>
  <c r="AD80" i="5"/>
  <c r="AD81" i="5"/>
  <c r="AD82" i="5"/>
  <c r="AD83" i="5"/>
  <c r="AD84" i="5"/>
  <c r="AD85" i="5"/>
  <c r="AD86" i="5"/>
  <c r="AD87" i="5"/>
  <c r="AD88" i="5"/>
  <c r="AD89" i="5"/>
  <c r="AD90" i="5"/>
  <c r="AD91" i="5"/>
  <c r="AD92" i="5"/>
  <c r="AD93" i="5"/>
  <c r="AD94" i="5"/>
  <c r="AD95" i="5"/>
  <c r="AD96" i="5"/>
  <c r="AD97" i="5"/>
  <c r="AD98" i="5"/>
  <c r="AD99" i="5"/>
  <c r="AD100" i="5"/>
  <c r="AD101" i="5"/>
  <c r="AD102" i="5"/>
  <c r="AD3" i="5"/>
  <c r="T3" i="5"/>
  <c r="T4" i="5"/>
  <c r="T5" i="5"/>
  <c r="T6" i="5"/>
  <c r="T7" i="5"/>
  <c r="T8" i="5"/>
  <c r="T9" i="5"/>
  <c r="T10" i="5"/>
  <c r="T11" i="5"/>
  <c r="T12" i="5"/>
  <c r="T13" i="5"/>
  <c r="T14" i="5"/>
  <c r="T15" i="5"/>
  <c r="T16" i="5"/>
  <c r="T17" i="5"/>
  <c r="T18" i="5"/>
  <c r="T19" i="5"/>
  <c r="T20" i="5"/>
  <c r="T21" i="5"/>
  <c r="T22" i="5"/>
  <c r="T23" i="5"/>
  <c r="T24" i="5"/>
  <c r="T25" i="5"/>
  <c r="T26" i="5"/>
  <c r="T27" i="5"/>
  <c r="T28" i="5"/>
  <c r="T29" i="5"/>
  <c r="T30" i="5"/>
  <c r="T31" i="5"/>
  <c r="T32" i="5"/>
  <c r="T33" i="5"/>
  <c r="T34" i="5"/>
  <c r="T35" i="5"/>
  <c r="T36" i="5"/>
  <c r="T37" i="5"/>
  <c r="T38" i="5"/>
  <c r="T39" i="5"/>
  <c r="T40" i="5"/>
  <c r="T41" i="5"/>
  <c r="T42" i="5"/>
  <c r="T43" i="5"/>
  <c r="T44" i="5"/>
  <c r="T45" i="5"/>
  <c r="T46" i="5"/>
  <c r="T47" i="5"/>
  <c r="T48" i="5"/>
  <c r="T49" i="5"/>
  <c r="T50" i="5"/>
  <c r="T51" i="5"/>
  <c r="T52" i="5"/>
  <c r="T58" i="5"/>
  <c r="T59" i="5"/>
  <c r="T60" i="5"/>
  <c r="T62" i="5"/>
  <c r="T65" i="5"/>
  <c r="T66" i="5"/>
  <c r="T67" i="5"/>
  <c r="T68" i="5"/>
  <c r="T69" i="5"/>
  <c r="T70" i="5"/>
  <c r="T71" i="5"/>
  <c r="T72" i="5"/>
  <c r="T73" i="5"/>
  <c r="T74" i="5"/>
  <c r="T102" i="5"/>
  <c r="H54" i="5" l="1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AR76" i="5" s="1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53" i="5"/>
  <c r="N76" i="5"/>
  <c r="S76" i="5"/>
  <c r="AM76" i="5" s="1"/>
  <c r="Y76" i="5"/>
  <c r="C76" i="5"/>
  <c r="W76" i="5" s="1"/>
  <c r="D76" i="5"/>
  <c r="AT76" i="5" s="1"/>
  <c r="E76" i="5"/>
  <c r="J76" i="5"/>
  <c r="D75" i="5"/>
  <c r="AT75" i="5" s="1"/>
  <c r="E75" i="5"/>
  <c r="V75" i="5" s="1"/>
  <c r="A76" i="5"/>
  <c r="B76" i="5"/>
  <c r="P76" i="5" s="1"/>
  <c r="S25" i="5"/>
  <c r="W25" i="5"/>
  <c r="Y25" i="5"/>
  <c r="AE25" i="5" s="1"/>
  <c r="AS76" i="5" l="1"/>
  <c r="AV76" i="5"/>
  <c r="AE76" i="5"/>
  <c r="V76" i="5"/>
  <c r="F76" i="5"/>
  <c r="X76" i="5" s="1"/>
  <c r="F75" i="5"/>
  <c r="X75" i="5" s="1"/>
  <c r="T76" i="5"/>
  <c r="AN76" i="5" s="1"/>
  <c r="AA76" i="5"/>
  <c r="AX76" i="5" s="1"/>
  <c r="AQ76" i="5"/>
  <c r="AU76" i="5" s="1"/>
  <c r="AI76" i="5"/>
  <c r="Q76" i="5"/>
  <c r="AK76" i="5" s="1"/>
  <c r="AQ102" i="5" l="1"/>
  <c r="Y102" i="5"/>
  <c r="AN102" i="5"/>
  <c r="S102" i="5"/>
  <c r="AM102" i="5" s="1"/>
  <c r="N102" i="5"/>
  <c r="E102" i="5"/>
  <c r="V102" i="5" s="1"/>
  <c r="D102" i="5"/>
  <c r="AT102" i="5" s="1"/>
  <c r="C102" i="5"/>
  <c r="W102" i="5" s="1"/>
  <c r="B102" i="5"/>
  <c r="P102" i="5" s="1"/>
  <c r="AA102" i="5" s="1"/>
  <c r="AX102" i="5" s="1"/>
  <c r="AR101" i="5"/>
  <c r="AQ101" i="5"/>
  <c r="Y101" i="5"/>
  <c r="S101" i="5"/>
  <c r="AM101" i="5" s="1"/>
  <c r="N101" i="5"/>
  <c r="AI101" i="5" s="1"/>
  <c r="J101" i="5"/>
  <c r="E101" i="5"/>
  <c r="D101" i="5"/>
  <c r="AT101" i="5" s="1"/>
  <c r="C101" i="5"/>
  <c r="W101" i="5" s="1"/>
  <c r="B101" i="5"/>
  <c r="P101" i="5" s="1"/>
  <c r="A101" i="5"/>
  <c r="AR100" i="5"/>
  <c r="AQ100" i="5"/>
  <c r="Y100" i="5"/>
  <c r="AE100" i="5" s="1"/>
  <c r="S100" i="5"/>
  <c r="AM100" i="5" s="1"/>
  <c r="N100" i="5"/>
  <c r="J100" i="5"/>
  <c r="E100" i="5"/>
  <c r="D100" i="5"/>
  <c r="C100" i="5"/>
  <c r="W100" i="5" s="1"/>
  <c r="B100" i="5"/>
  <c r="P100" i="5" s="1"/>
  <c r="A100" i="5"/>
  <c r="AR99" i="5"/>
  <c r="AQ99" i="5"/>
  <c r="Y99" i="5"/>
  <c r="S99" i="5"/>
  <c r="AM99" i="5" s="1"/>
  <c r="N99" i="5"/>
  <c r="AI99" i="5" s="1"/>
  <c r="J99" i="5"/>
  <c r="E99" i="5"/>
  <c r="D99" i="5"/>
  <c r="AT99" i="5" s="1"/>
  <c r="C99" i="5"/>
  <c r="W99" i="5" s="1"/>
  <c r="B99" i="5"/>
  <c r="P99" i="5" s="1"/>
  <c r="A99" i="5"/>
  <c r="AR98" i="5"/>
  <c r="AQ98" i="5"/>
  <c r="Y98" i="5"/>
  <c r="S98" i="5"/>
  <c r="AM98" i="5" s="1"/>
  <c r="N98" i="5"/>
  <c r="J98" i="5"/>
  <c r="U98" i="5" s="1"/>
  <c r="AO98" i="5" s="1"/>
  <c r="E98" i="5"/>
  <c r="D98" i="5"/>
  <c r="AT98" i="5" s="1"/>
  <c r="C98" i="5"/>
  <c r="W98" i="5" s="1"/>
  <c r="B98" i="5"/>
  <c r="P98" i="5" s="1"/>
  <c r="A98" i="5"/>
  <c r="AR97" i="5"/>
  <c r="AQ97" i="5"/>
  <c r="Y97" i="5"/>
  <c r="S97" i="5"/>
  <c r="AM97" i="5" s="1"/>
  <c r="N97" i="5"/>
  <c r="AI97" i="5" s="1"/>
  <c r="J97" i="5"/>
  <c r="E97" i="5"/>
  <c r="D97" i="5"/>
  <c r="AT97" i="5" s="1"/>
  <c r="C97" i="5"/>
  <c r="W97" i="5" s="1"/>
  <c r="B97" i="5"/>
  <c r="P97" i="5" s="1"/>
  <c r="A97" i="5"/>
  <c r="AR96" i="5"/>
  <c r="AQ96" i="5"/>
  <c r="Y96" i="5"/>
  <c r="S96" i="5"/>
  <c r="AM96" i="5" s="1"/>
  <c r="N96" i="5"/>
  <c r="AI96" i="5" s="1"/>
  <c r="J96" i="5"/>
  <c r="E96" i="5"/>
  <c r="D96" i="5"/>
  <c r="C96" i="5"/>
  <c r="W96" i="5" s="1"/>
  <c r="B96" i="5"/>
  <c r="P96" i="5" s="1"/>
  <c r="A96" i="5"/>
  <c r="AR95" i="5"/>
  <c r="AQ95" i="5"/>
  <c r="Y95" i="5"/>
  <c r="S95" i="5"/>
  <c r="AM95" i="5" s="1"/>
  <c r="N95" i="5"/>
  <c r="AI95" i="5" s="1"/>
  <c r="J95" i="5"/>
  <c r="E95" i="5"/>
  <c r="D95" i="5"/>
  <c r="AT95" i="5" s="1"/>
  <c r="C95" i="5"/>
  <c r="W95" i="5" s="1"/>
  <c r="B95" i="5"/>
  <c r="P95" i="5" s="1"/>
  <c r="A95" i="5"/>
  <c r="AR94" i="5"/>
  <c r="AQ94" i="5"/>
  <c r="Y94" i="5"/>
  <c r="S94" i="5"/>
  <c r="AM94" i="5" s="1"/>
  <c r="N94" i="5"/>
  <c r="J94" i="5"/>
  <c r="U94" i="5" s="1"/>
  <c r="AO94" i="5" s="1"/>
  <c r="E94" i="5"/>
  <c r="D94" i="5"/>
  <c r="AT94" i="5" s="1"/>
  <c r="C94" i="5"/>
  <c r="W94" i="5" s="1"/>
  <c r="B94" i="5"/>
  <c r="P94" i="5" s="1"/>
  <c r="A94" i="5"/>
  <c r="AR93" i="5"/>
  <c r="AQ93" i="5"/>
  <c r="Y93" i="5"/>
  <c r="S93" i="5"/>
  <c r="AM93" i="5" s="1"/>
  <c r="N93" i="5"/>
  <c r="AI93" i="5" s="1"/>
  <c r="J93" i="5"/>
  <c r="E93" i="5"/>
  <c r="D93" i="5"/>
  <c r="AT93" i="5" s="1"/>
  <c r="C93" i="5"/>
  <c r="W93" i="5" s="1"/>
  <c r="B93" i="5"/>
  <c r="P93" i="5" s="1"/>
  <c r="A93" i="5"/>
  <c r="AR92" i="5"/>
  <c r="AQ92" i="5"/>
  <c r="Y92" i="5"/>
  <c r="S92" i="5"/>
  <c r="AM92" i="5" s="1"/>
  <c r="N92" i="5"/>
  <c r="AI92" i="5" s="1"/>
  <c r="J92" i="5"/>
  <c r="E92" i="5"/>
  <c r="D92" i="5"/>
  <c r="C92" i="5"/>
  <c r="W92" i="5" s="1"/>
  <c r="B92" i="5"/>
  <c r="P92" i="5" s="1"/>
  <c r="A92" i="5"/>
  <c r="AR91" i="5"/>
  <c r="AQ91" i="5"/>
  <c r="Y91" i="5"/>
  <c r="S91" i="5"/>
  <c r="AM91" i="5" s="1"/>
  <c r="N91" i="5"/>
  <c r="AI91" i="5" s="1"/>
  <c r="J91" i="5"/>
  <c r="E91" i="5"/>
  <c r="D91" i="5"/>
  <c r="AT91" i="5" s="1"/>
  <c r="C91" i="5"/>
  <c r="W91" i="5" s="1"/>
  <c r="B91" i="5"/>
  <c r="P91" i="5" s="1"/>
  <c r="A91" i="5"/>
  <c r="AR90" i="5"/>
  <c r="AQ90" i="5"/>
  <c r="Y90" i="5"/>
  <c r="S90" i="5"/>
  <c r="AM90" i="5" s="1"/>
  <c r="N90" i="5"/>
  <c r="J90" i="5"/>
  <c r="U90" i="5" s="1"/>
  <c r="AO90" i="5" s="1"/>
  <c r="E90" i="5"/>
  <c r="D90" i="5"/>
  <c r="AT90" i="5" s="1"/>
  <c r="C90" i="5"/>
  <c r="W90" i="5" s="1"/>
  <c r="B90" i="5"/>
  <c r="P90" i="5" s="1"/>
  <c r="A90" i="5"/>
  <c r="AR89" i="5"/>
  <c r="AQ89" i="5"/>
  <c r="Y89" i="5"/>
  <c r="S89" i="5"/>
  <c r="AM89" i="5" s="1"/>
  <c r="N89" i="5"/>
  <c r="J89" i="5"/>
  <c r="E89" i="5"/>
  <c r="D89" i="5"/>
  <c r="AT89" i="5" s="1"/>
  <c r="C89" i="5"/>
  <c r="W89" i="5" s="1"/>
  <c r="B89" i="5"/>
  <c r="P89" i="5" s="1"/>
  <c r="A89" i="5"/>
  <c r="AR88" i="5"/>
  <c r="AQ88" i="5"/>
  <c r="Y88" i="5"/>
  <c r="S88" i="5"/>
  <c r="AM88" i="5" s="1"/>
  <c r="N88" i="5"/>
  <c r="AI88" i="5" s="1"/>
  <c r="J88" i="5"/>
  <c r="E88" i="5"/>
  <c r="D88" i="5"/>
  <c r="C88" i="5"/>
  <c r="W88" i="5" s="1"/>
  <c r="B88" i="5"/>
  <c r="P88" i="5" s="1"/>
  <c r="A88" i="5"/>
  <c r="AR87" i="5"/>
  <c r="AQ87" i="5"/>
  <c r="Y87" i="5"/>
  <c r="S87" i="5"/>
  <c r="AM87" i="5" s="1"/>
  <c r="N87" i="5"/>
  <c r="AI87" i="5" s="1"/>
  <c r="J87" i="5"/>
  <c r="E87" i="5"/>
  <c r="D87" i="5"/>
  <c r="AT87" i="5" s="1"/>
  <c r="C87" i="5"/>
  <c r="W87" i="5" s="1"/>
  <c r="B87" i="5"/>
  <c r="P87" i="5" s="1"/>
  <c r="A87" i="5"/>
  <c r="AR86" i="5"/>
  <c r="AQ86" i="5"/>
  <c r="Y86" i="5"/>
  <c r="S86" i="5"/>
  <c r="AM86" i="5" s="1"/>
  <c r="N86" i="5"/>
  <c r="J86" i="5"/>
  <c r="U86" i="5" s="1"/>
  <c r="AO86" i="5" s="1"/>
  <c r="E86" i="5"/>
  <c r="D86" i="5"/>
  <c r="AT86" i="5" s="1"/>
  <c r="C86" i="5"/>
  <c r="W86" i="5" s="1"/>
  <c r="B86" i="5"/>
  <c r="P86" i="5" s="1"/>
  <c r="A86" i="5"/>
  <c r="T86" i="5" s="1"/>
  <c r="AR85" i="5"/>
  <c r="AQ85" i="5"/>
  <c r="Y85" i="5"/>
  <c r="S85" i="5"/>
  <c r="AM85" i="5" s="1"/>
  <c r="N85" i="5"/>
  <c r="J85" i="5"/>
  <c r="E85" i="5"/>
  <c r="D85" i="5"/>
  <c r="AT85" i="5" s="1"/>
  <c r="C85" i="5"/>
  <c r="W85" i="5" s="1"/>
  <c r="B85" i="5"/>
  <c r="P85" i="5" s="1"/>
  <c r="A85" i="5"/>
  <c r="AR84" i="5"/>
  <c r="AQ84" i="5"/>
  <c r="Y84" i="5"/>
  <c r="S84" i="5"/>
  <c r="AM84" i="5" s="1"/>
  <c r="N84" i="5"/>
  <c r="J84" i="5"/>
  <c r="E84" i="5"/>
  <c r="D84" i="5"/>
  <c r="AT84" i="5" s="1"/>
  <c r="C84" i="5"/>
  <c r="W84" i="5" s="1"/>
  <c r="B84" i="5"/>
  <c r="P84" i="5" s="1"/>
  <c r="A84" i="5"/>
  <c r="AR83" i="5"/>
  <c r="AQ83" i="5"/>
  <c r="Y83" i="5"/>
  <c r="S83" i="5"/>
  <c r="AM83" i="5" s="1"/>
  <c r="N83" i="5"/>
  <c r="AI83" i="5" s="1"/>
  <c r="J83" i="5"/>
  <c r="E83" i="5"/>
  <c r="D83" i="5"/>
  <c r="C83" i="5"/>
  <c r="W83" i="5" s="1"/>
  <c r="B83" i="5"/>
  <c r="P83" i="5" s="1"/>
  <c r="A83" i="5"/>
  <c r="AR82" i="5"/>
  <c r="AQ82" i="5"/>
  <c r="Y82" i="5"/>
  <c r="S82" i="5"/>
  <c r="AM82" i="5" s="1"/>
  <c r="N82" i="5"/>
  <c r="J82" i="5"/>
  <c r="U82" i="5" s="1"/>
  <c r="AO82" i="5" s="1"/>
  <c r="E82" i="5"/>
  <c r="D82" i="5"/>
  <c r="AT82" i="5" s="1"/>
  <c r="C82" i="5"/>
  <c r="W82" i="5" s="1"/>
  <c r="B82" i="5"/>
  <c r="P82" i="5" s="1"/>
  <c r="A82" i="5"/>
  <c r="T82" i="5" s="1"/>
  <c r="AR81" i="5"/>
  <c r="AQ81" i="5"/>
  <c r="Y81" i="5"/>
  <c r="S81" i="5"/>
  <c r="AM81" i="5" s="1"/>
  <c r="N81" i="5"/>
  <c r="J81" i="5"/>
  <c r="E81" i="5"/>
  <c r="D81" i="5"/>
  <c r="AT81" i="5" s="1"/>
  <c r="C81" i="5"/>
  <c r="W81" i="5" s="1"/>
  <c r="B81" i="5"/>
  <c r="P81" i="5" s="1"/>
  <c r="A81" i="5"/>
  <c r="AR80" i="5"/>
  <c r="AQ80" i="5"/>
  <c r="Y80" i="5"/>
  <c r="S80" i="5"/>
  <c r="AM80" i="5" s="1"/>
  <c r="N80" i="5"/>
  <c r="AI80" i="5" s="1"/>
  <c r="J80" i="5"/>
  <c r="E80" i="5"/>
  <c r="D80" i="5"/>
  <c r="AT80" i="5" s="1"/>
  <c r="C80" i="5"/>
  <c r="W80" i="5" s="1"/>
  <c r="B80" i="5"/>
  <c r="P80" i="5" s="1"/>
  <c r="A80" i="5"/>
  <c r="AR79" i="5"/>
  <c r="AQ79" i="5"/>
  <c r="Y79" i="5"/>
  <c r="S79" i="5"/>
  <c r="AM79" i="5" s="1"/>
  <c r="N79" i="5"/>
  <c r="AI79" i="5" s="1"/>
  <c r="J79" i="5"/>
  <c r="E79" i="5"/>
  <c r="D79" i="5"/>
  <c r="C79" i="5"/>
  <c r="W79" i="5" s="1"/>
  <c r="B79" i="5"/>
  <c r="P79" i="5" s="1"/>
  <c r="A79" i="5"/>
  <c r="AR78" i="5"/>
  <c r="AQ78" i="5"/>
  <c r="Y78" i="5"/>
  <c r="S78" i="5"/>
  <c r="AM78" i="5" s="1"/>
  <c r="N78" i="5"/>
  <c r="J78" i="5"/>
  <c r="U78" i="5" s="1"/>
  <c r="AO78" i="5" s="1"/>
  <c r="E78" i="5"/>
  <c r="D78" i="5"/>
  <c r="AT78" i="5" s="1"/>
  <c r="C78" i="5"/>
  <c r="W78" i="5" s="1"/>
  <c r="B78" i="5"/>
  <c r="P78" i="5" s="1"/>
  <c r="A78" i="5"/>
  <c r="AR77" i="5"/>
  <c r="AQ77" i="5"/>
  <c r="Y77" i="5"/>
  <c r="S77" i="5"/>
  <c r="AM77" i="5" s="1"/>
  <c r="N77" i="5"/>
  <c r="J77" i="5"/>
  <c r="E77" i="5"/>
  <c r="D77" i="5"/>
  <c r="AT77" i="5" s="1"/>
  <c r="C77" i="5"/>
  <c r="W77" i="5" s="1"/>
  <c r="B77" i="5"/>
  <c r="P77" i="5" s="1"/>
  <c r="A77" i="5"/>
  <c r="AQ75" i="5"/>
  <c r="Y75" i="5"/>
  <c r="S75" i="5"/>
  <c r="AM75" i="5" s="1"/>
  <c r="N75" i="5"/>
  <c r="Q75" i="5" s="1"/>
  <c r="AK75" i="5" s="1"/>
  <c r="C75" i="5"/>
  <c r="W75" i="5" s="1"/>
  <c r="B75" i="5"/>
  <c r="P75" i="5" s="1"/>
  <c r="A75" i="5"/>
  <c r="AR74" i="5"/>
  <c r="AQ74" i="5"/>
  <c r="Y74" i="5"/>
  <c r="AN74" i="5"/>
  <c r="S74" i="5"/>
  <c r="AM74" i="5" s="1"/>
  <c r="N74" i="5"/>
  <c r="AI74" i="5" s="1"/>
  <c r="J74" i="5"/>
  <c r="E74" i="5"/>
  <c r="D74" i="5"/>
  <c r="C74" i="5"/>
  <c r="W74" i="5" s="1"/>
  <c r="B74" i="5"/>
  <c r="P74" i="5" s="1"/>
  <c r="AA74" i="5" s="1"/>
  <c r="AX74" i="5" s="1"/>
  <c r="AR73" i="5"/>
  <c r="AQ73" i="5"/>
  <c r="Y73" i="5"/>
  <c r="AN73" i="5"/>
  <c r="S73" i="5"/>
  <c r="AM73" i="5" s="1"/>
  <c r="N73" i="5"/>
  <c r="J73" i="5"/>
  <c r="E73" i="5"/>
  <c r="D73" i="5"/>
  <c r="AT73" i="5" s="1"/>
  <c r="C73" i="5"/>
  <c r="W73" i="5" s="1"/>
  <c r="B73" i="5"/>
  <c r="P73" i="5" s="1"/>
  <c r="AA73" i="5" s="1"/>
  <c r="AX73" i="5" s="1"/>
  <c r="AR72" i="5"/>
  <c r="AQ72" i="5"/>
  <c r="Y72" i="5"/>
  <c r="AN72" i="5"/>
  <c r="S72" i="5"/>
  <c r="AM72" i="5" s="1"/>
  <c r="N72" i="5"/>
  <c r="J72" i="5"/>
  <c r="E72" i="5"/>
  <c r="D72" i="5"/>
  <c r="AT72" i="5" s="1"/>
  <c r="C72" i="5"/>
  <c r="W72" i="5" s="1"/>
  <c r="B72" i="5"/>
  <c r="P72" i="5" s="1"/>
  <c r="AA72" i="5" s="1"/>
  <c r="AX72" i="5" s="1"/>
  <c r="AR71" i="5"/>
  <c r="AQ71" i="5"/>
  <c r="Y71" i="5"/>
  <c r="AN71" i="5"/>
  <c r="S71" i="5"/>
  <c r="AM71" i="5" s="1"/>
  <c r="N71" i="5"/>
  <c r="J71" i="5"/>
  <c r="E71" i="5"/>
  <c r="D71" i="5"/>
  <c r="C71" i="5"/>
  <c r="W71" i="5" s="1"/>
  <c r="B71" i="5"/>
  <c r="P71" i="5" s="1"/>
  <c r="AA71" i="5" s="1"/>
  <c r="AX71" i="5" s="1"/>
  <c r="AR70" i="5"/>
  <c r="AQ70" i="5"/>
  <c r="Y70" i="5"/>
  <c r="AN70" i="5"/>
  <c r="S70" i="5"/>
  <c r="AM70" i="5" s="1"/>
  <c r="N70" i="5"/>
  <c r="AI70" i="5" s="1"/>
  <c r="J70" i="5"/>
  <c r="E70" i="5"/>
  <c r="D70" i="5"/>
  <c r="C70" i="5"/>
  <c r="W70" i="5" s="1"/>
  <c r="B70" i="5"/>
  <c r="P70" i="5" s="1"/>
  <c r="AA70" i="5" s="1"/>
  <c r="AX70" i="5" s="1"/>
  <c r="AR69" i="5"/>
  <c r="AQ69" i="5"/>
  <c r="Y69" i="5"/>
  <c r="AN69" i="5"/>
  <c r="S69" i="5"/>
  <c r="AM69" i="5" s="1"/>
  <c r="N69" i="5"/>
  <c r="J69" i="5"/>
  <c r="E69" i="5"/>
  <c r="D69" i="5"/>
  <c r="C69" i="5"/>
  <c r="W69" i="5" s="1"/>
  <c r="B69" i="5"/>
  <c r="P69" i="5" s="1"/>
  <c r="AA69" i="5" s="1"/>
  <c r="AX69" i="5" s="1"/>
  <c r="AR68" i="5"/>
  <c r="AQ68" i="5"/>
  <c r="Y68" i="5"/>
  <c r="AN68" i="5"/>
  <c r="S68" i="5"/>
  <c r="AM68" i="5" s="1"/>
  <c r="N68" i="5"/>
  <c r="AI68" i="5" s="1"/>
  <c r="J68" i="5"/>
  <c r="U68" i="5" s="1"/>
  <c r="AO68" i="5" s="1"/>
  <c r="E68" i="5"/>
  <c r="D68" i="5"/>
  <c r="AT68" i="5" s="1"/>
  <c r="C68" i="5"/>
  <c r="W68" i="5" s="1"/>
  <c r="B68" i="5"/>
  <c r="P68" i="5" s="1"/>
  <c r="AA68" i="5" s="1"/>
  <c r="AX68" i="5" s="1"/>
  <c r="AR67" i="5"/>
  <c r="AQ67" i="5"/>
  <c r="Y67" i="5"/>
  <c r="AN67" i="5"/>
  <c r="S67" i="5"/>
  <c r="AM67" i="5" s="1"/>
  <c r="N67" i="5"/>
  <c r="J67" i="5"/>
  <c r="U67" i="5" s="1"/>
  <c r="AO67" i="5" s="1"/>
  <c r="E67" i="5"/>
  <c r="D67" i="5"/>
  <c r="C67" i="5"/>
  <c r="W67" i="5" s="1"/>
  <c r="B67" i="5"/>
  <c r="P67" i="5" s="1"/>
  <c r="AA67" i="5" s="1"/>
  <c r="AX67" i="5" s="1"/>
  <c r="AR66" i="5"/>
  <c r="AQ66" i="5"/>
  <c r="Y66" i="5"/>
  <c r="AN66" i="5"/>
  <c r="S66" i="5"/>
  <c r="AM66" i="5" s="1"/>
  <c r="N66" i="5"/>
  <c r="AI66" i="5" s="1"/>
  <c r="J66" i="5"/>
  <c r="E66" i="5"/>
  <c r="D66" i="5"/>
  <c r="C66" i="5"/>
  <c r="W66" i="5" s="1"/>
  <c r="B66" i="5"/>
  <c r="P66" i="5" s="1"/>
  <c r="AA66" i="5" s="1"/>
  <c r="AX66" i="5" s="1"/>
  <c r="AR65" i="5"/>
  <c r="AQ65" i="5"/>
  <c r="Y65" i="5"/>
  <c r="AN65" i="5"/>
  <c r="S65" i="5"/>
  <c r="AM65" i="5" s="1"/>
  <c r="N65" i="5"/>
  <c r="J65" i="5"/>
  <c r="E65" i="5"/>
  <c r="D65" i="5"/>
  <c r="C65" i="5"/>
  <c r="W65" i="5" s="1"/>
  <c r="B65" i="5"/>
  <c r="P65" i="5" s="1"/>
  <c r="AA65" i="5" s="1"/>
  <c r="AX65" i="5" s="1"/>
  <c r="AR64" i="5"/>
  <c r="AQ64" i="5"/>
  <c r="Y64" i="5"/>
  <c r="S64" i="5"/>
  <c r="AM64" i="5" s="1"/>
  <c r="N64" i="5"/>
  <c r="AI64" i="5" s="1"/>
  <c r="J64" i="5"/>
  <c r="E64" i="5"/>
  <c r="D64" i="5"/>
  <c r="C64" i="5"/>
  <c r="W64" i="5" s="1"/>
  <c r="B64" i="5"/>
  <c r="P64" i="5" s="1"/>
  <c r="A64" i="5"/>
  <c r="AR63" i="5"/>
  <c r="AQ63" i="5"/>
  <c r="Y63" i="5"/>
  <c r="S63" i="5"/>
  <c r="AM63" i="5" s="1"/>
  <c r="N63" i="5"/>
  <c r="J63" i="5"/>
  <c r="E63" i="5"/>
  <c r="D63" i="5"/>
  <c r="C63" i="5"/>
  <c r="W63" i="5" s="1"/>
  <c r="B63" i="5"/>
  <c r="P63" i="5" s="1"/>
  <c r="A63" i="5"/>
  <c r="AR62" i="5"/>
  <c r="AQ62" i="5"/>
  <c r="Y62" i="5"/>
  <c r="AN62" i="5"/>
  <c r="S62" i="5"/>
  <c r="AM62" i="5" s="1"/>
  <c r="N62" i="5"/>
  <c r="J62" i="5"/>
  <c r="E62" i="5"/>
  <c r="D62" i="5"/>
  <c r="C62" i="5"/>
  <c r="W62" i="5" s="1"/>
  <c r="B62" i="5"/>
  <c r="P62" i="5" s="1"/>
  <c r="AA62" i="5" s="1"/>
  <c r="AX62" i="5" s="1"/>
  <c r="AR61" i="5"/>
  <c r="AQ61" i="5"/>
  <c r="Y61" i="5"/>
  <c r="S61" i="5"/>
  <c r="AM61" i="5" s="1"/>
  <c r="N61" i="5"/>
  <c r="AI61" i="5" s="1"/>
  <c r="J61" i="5"/>
  <c r="U61" i="5" s="1"/>
  <c r="E61" i="5"/>
  <c r="D61" i="5"/>
  <c r="C61" i="5"/>
  <c r="W61" i="5" s="1"/>
  <c r="B61" i="5"/>
  <c r="P61" i="5" s="1"/>
  <c r="A61" i="5"/>
  <c r="T61" i="5" s="1"/>
  <c r="AN61" i="5" s="1"/>
  <c r="AR60" i="5"/>
  <c r="AQ60" i="5"/>
  <c r="Y60" i="5"/>
  <c r="AN60" i="5"/>
  <c r="S60" i="5"/>
  <c r="AM60" i="5" s="1"/>
  <c r="N60" i="5"/>
  <c r="J60" i="5"/>
  <c r="U60" i="5" s="1"/>
  <c r="AO60" i="5" s="1"/>
  <c r="E60" i="5"/>
  <c r="D60" i="5"/>
  <c r="C60" i="5"/>
  <c r="W60" i="5" s="1"/>
  <c r="B60" i="5"/>
  <c r="P60" i="5" s="1"/>
  <c r="AA60" i="5" s="1"/>
  <c r="AX60" i="5" s="1"/>
  <c r="AR59" i="5"/>
  <c r="AQ59" i="5"/>
  <c r="Y59" i="5"/>
  <c r="AN59" i="5"/>
  <c r="S59" i="5"/>
  <c r="AM59" i="5" s="1"/>
  <c r="N59" i="5"/>
  <c r="J59" i="5"/>
  <c r="U59" i="5" s="1"/>
  <c r="AO59" i="5" s="1"/>
  <c r="E59" i="5"/>
  <c r="D59" i="5"/>
  <c r="C59" i="5"/>
  <c r="W59" i="5" s="1"/>
  <c r="B59" i="5"/>
  <c r="P59" i="5" s="1"/>
  <c r="AA59" i="5" s="1"/>
  <c r="AX59" i="5" s="1"/>
  <c r="AR58" i="5"/>
  <c r="AQ58" i="5"/>
  <c r="Y58" i="5"/>
  <c r="AN58" i="5"/>
  <c r="S58" i="5"/>
  <c r="AM58" i="5" s="1"/>
  <c r="N58" i="5"/>
  <c r="AI58" i="5" s="1"/>
  <c r="J58" i="5"/>
  <c r="E58" i="5"/>
  <c r="D58" i="5"/>
  <c r="C58" i="5"/>
  <c r="W58" i="5" s="1"/>
  <c r="B58" i="5"/>
  <c r="P58" i="5" s="1"/>
  <c r="AA58" i="5" s="1"/>
  <c r="AX58" i="5" s="1"/>
  <c r="AR57" i="5"/>
  <c r="AQ57" i="5"/>
  <c r="Y57" i="5"/>
  <c r="S57" i="5"/>
  <c r="AM57" i="5" s="1"/>
  <c r="N57" i="5"/>
  <c r="AI57" i="5" s="1"/>
  <c r="J57" i="5"/>
  <c r="E57" i="5"/>
  <c r="D57" i="5"/>
  <c r="AT57" i="5" s="1"/>
  <c r="C57" i="5"/>
  <c r="W57" i="5" s="1"/>
  <c r="B57" i="5"/>
  <c r="P57" i="5" s="1"/>
  <c r="A57" i="5"/>
  <c r="AR56" i="5"/>
  <c r="AQ56" i="5"/>
  <c r="Y56" i="5"/>
  <c r="S56" i="5"/>
  <c r="AM56" i="5" s="1"/>
  <c r="N56" i="5"/>
  <c r="AI56" i="5" s="1"/>
  <c r="J56" i="5"/>
  <c r="E56" i="5"/>
  <c r="D56" i="5"/>
  <c r="AT56" i="5" s="1"/>
  <c r="C56" i="5"/>
  <c r="W56" i="5" s="1"/>
  <c r="B56" i="5"/>
  <c r="P56" i="5" s="1"/>
  <c r="A56" i="5"/>
  <c r="AR55" i="5"/>
  <c r="AQ55" i="5"/>
  <c r="Y55" i="5"/>
  <c r="S55" i="5"/>
  <c r="AM55" i="5" s="1"/>
  <c r="N55" i="5"/>
  <c r="AI55" i="5" s="1"/>
  <c r="J55" i="5"/>
  <c r="E55" i="5"/>
  <c r="D55" i="5"/>
  <c r="C55" i="5"/>
  <c r="W55" i="5" s="1"/>
  <c r="B55" i="5"/>
  <c r="P55" i="5" s="1"/>
  <c r="A55" i="5"/>
  <c r="AR54" i="5"/>
  <c r="AQ54" i="5"/>
  <c r="Y54" i="5"/>
  <c r="S54" i="5"/>
  <c r="AM54" i="5" s="1"/>
  <c r="N54" i="5"/>
  <c r="J54" i="5"/>
  <c r="E54" i="5"/>
  <c r="D54" i="5"/>
  <c r="C54" i="5"/>
  <c r="W54" i="5" s="1"/>
  <c r="B54" i="5"/>
  <c r="P54" i="5" s="1"/>
  <c r="A54" i="5"/>
  <c r="T54" i="5" s="1"/>
  <c r="AN54" i="5" s="1"/>
  <c r="AR53" i="5"/>
  <c r="AQ53" i="5"/>
  <c r="Y53" i="5"/>
  <c r="S53" i="5"/>
  <c r="AM53" i="5" s="1"/>
  <c r="N53" i="5"/>
  <c r="AI53" i="5" s="1"/>
  <c r="J53" i="5"/>
  <c r="E53" i="5"/>
  <c r="D53" i="5"/>
  <c r="C53" i="5"/>
  <c r="W53" i="5" s="1"/>
  <c r="B53" i="5"/>
  <c r="P53" i="5" s="1"/>
  <c r="AT52" i="5"/>
  <c r="AR52" i="5"/>
  <c r="AQ52" i="5"/>
  <c r="Y52" i="5"/>
  <c r="W52" i="5"/>
  <c r="AS52" i="5" s="1"/>
  <c r="V52" i="5"/>
  <c r="AN52" i="5"/>
  <c r="S52" i="5"/>
  <c r="AM52" i="5" s="1"/>
  <c r="P52" i="5"/>
  <c r="AA52" i="5" s="1"/>
  <c r="AX52" i="5" s="1"/>
  <c r="N52" i="5"/>
  <c r="AI52" i="5" s="1"/>
  <c r="J52" i="5"/>
  <c r="U52" i="5" s="1"/>
  <c r="AO52" i="5" s="1"/>
  <c r="AQ51" i="5"/>
  <c r="AL51" i="5"/>
  <c r="AL52" i="5" s="1"/>
  <c r="AL53" i="5" s="1"/>
  <c r="AL54" i="5" s="1"/>
  <c r="AL55" i="5" s="1"/>
  <c r="AL56" i="5" s="1"/>
  <c r="AL57" i="5" s="1"/>
  <c r="AL58" i="5" s="1"/>
  <c r="AL59" i="5" s="1"/>
  <c r="AL60" i="5" s="1"/>
  <c r="AL61" i="5" s="1"/>
  <c r="AL62" i="5" s="1"/>
  <c r="AL63" i="5" s="1"/>
  <c r="AL64" i="5" s="1"/>
  <c r="AL65" i="5" s="1"/>
  <c r="AL66" i="5" s="1"/>
  <c r="AL67" i="5" s="1"/>
  <c r="AL68" i="5" s="1"/>
  <c r="AL69" i="5" s="1"/>
  <c r="AL70" i="5" s="1"/>
  <c r="AL71" i="5" s="1"/>
  <c r="AL72" i="5" s="1"/>
  <c r="AL73" i="5" s="1"/>
  <c r="AL74" i="5" s="1"/>
  <c r="AL75" i="5" s="1"/>
  <c r="Y51" i="5"/>
  <c r="W51" i="5"/>
  <c r="AN51" i="5"/>
  <c r="S51" i="5"/>
  <c r="AM51" i="5" s="1"/>
  <c r="P51" i="5"/>
  <c r="AA51" i="5" s="1"/>
  <c r="AX51" i="5" s="1"/>
  <c r="N51" i="5"/>
  <c r="AI51" i="5" s="1"/>
  <c r="U102" i="5"/>
  <c r="AO102" i="5" s="1"/>
  <c r="AT50" i="5"/>
  <c r="AR50" i="5"/>
  <c r="AQ50" i="5"/>
  <c r="Y50" i="5"/>
  <c r="W50" i="5"/>
  <c r="V50" i="5"/>
  <c r="AN50" i="5"/>
  <c r="S50" i="5"/>
  <c r="AM50" i="5" s="1"/>
  <c r="AL50" i="5"/>
  <c r="P50" i="5"/>
  <c r="AA50" i="5" s="1"/>
  <c r="AX50" i="5" s="1"/>
  <c r="N50" i="5"/>
  <c r="AT49" i="5"/>
  <c r="AR49" i="5"/>
  <c r="AQ49" i="5"/>
  <c r="Y49" i="5"/>
  <c r="W49" i="5"/>
  <c r="V49" i="5"/>
  <c r="AN49" i="5"/>
  <c r="S49" i="5"/>
  <c r="AM49" i="5" s="1"/>
  <c r="AL49" i="5"/>
  <c r="P49" i="5"/>
  <c r="AA49" i="5" s="1"/>
  <c r="AX49" i="5" s="1"/>
  <c r="N49" i="5"/>
  <c r="AI49" i="5" s="1"/>
  <c r="AT48" i="5"/>
  <c r="AR48" i="5"/>
  <c r="AQ48" i="5"/>
  <c r="Y48" i="5"/>
  <c r="W48" i="5"/>
  <c r="V48" i="5"/>
  <c r="AN48" i="5"/>
  <c r="S48" i="5"/>
  <c r="AM48" i="5" s="1"/>
  <c r="AL48" i="5"/>
  <c r="P48" i="5"/>
  <c r="AA48" i="5" s="1"/>
  <c r="AX48" i="5" s="1"/>
  <c r="N48" i="5"/>
  <c r="U99" i="5"/>
  <c r="AO99" i="5" s="1"/>
  <c r="AT47" i="5"/>
  <c r="AR47" i="5"/>
  <c r="AQ47" i="5"/>
  <c r="Y47" i="5"/>
  <c r="W47" i="5"/>
  <c r="V47" i="5"/>
  <c r="AN47" i="5"/>
  <c r="S47" i="5"/>
  <c r="AM47" i="5" s="1"/>
  <c r="AL47" i="5"/>
  <c r="P47" i="5"/>
  <c r="AA47" i="5" s="1"/>
  <c r="AX47" i="5" s="1"/>
  <c r="N47" i="5"/>
  <c r="AT46" i="5"/>
  <c r="AR46" i="5"/>
  <c r="AQ46" i="5"/>
  <c r="Y46" i="5"/>
  <c r="W46" i="5"/>
  <c r="V46" i="5"/>
  <c r="AN46" i="5"/>
  <c r="S46" i="5"/>
  <c r="AM46" i="5" s="1"/>
  <c r="AL46" i="5"/>
  <c r="P46" i="5"/>
  <c r="AA46" i="5" s="1"/>
  <c r="AX46" i="5" s="1"/>
  <c r="N46" i="5"/>
  <c r="AI46" i="5" s="1"/>
  <c r="AT45" i="5"/>
  <c r="AR45" i="5"/>
  <c r="AQ45" i="5"/>
  <c r="Y45" i="5"/>
  <c r="W45" i="5"/>
  <c r="V45" i="5"/>
  <c r="AN45" i="5"/>
  <c r="S45" i="5"/>
  <c r="AM45" i="5" s="1"/>
  <c r="AL45" i="5"/>
  <c r="P45" i="5"/>
  <c r="AA45" i="5" s="1"/>
  <c r="AX45" i="5" s="1"/>
  <c r="N45" i="5"/>
  <c r="AT44" i="5"/>
  <c r="AR44" i="5"/>
  <c r="AQ44" i="5"/>
  <c r="Y44" i="5"/>
  <c r="W44" i="5"/>
  <c r="V44" i="5"/>
  <c r="AN44" i="5"/>
  <c r="S44" i="5"/>
  <c r="AM44" i="5" s="1"/>
  <c r="AL44" i="5"/>
  <c r="P44" i="5"/>
  <c r="AA44" i="5" s="1"/>
  <c r="AX44" i="5" s="1"/>
  <c r="N44" i="5"/>
  <c r="AI44" i="5" s="1"/>
  <c r="AT43" i="5"/>
  <c r="AR43" i="5"/>
  <c r="AQ43" i="5"/>
  <c r="Y43" i="5"/>
  <c r="W43" i="5"/>
  <c r="V43" i="5"/>
  <c r="AN43" i="5"/>
  <c r="S43" i="5"/>
  <c r="AM43" i="5" s="1"/>
  <c r="AL43" i="5"/>
  <c r="P43" i="5"/>
  <c r="AA43" i="5" s="1"/>
  <c r="AX43" i="5" s="1"/>
  <c r="N43" i="5"/>
  <c r="AT42" i="5"/>
  <c r="AR42" i="5"/>
  <c r="AQ42" i="5"/>
  <c r="Y42" i="5"/>
  <c r="W42" i="5"/>
  <c r="V42" i="5"/>
  <c r="AN42" i="5"/>
  <c r="S42" i="5"/>
  <c r="AM42" i="5" s="1"/>
  <c r="AL42" i="5"/>
  <c r="P42" i="5"/>
  <c r="AA42" i="5" s="1"/>
  <c r="AX42" i="5" s="1"/>
  <c r="N42" i="5"/>
  <c r="AI42" i="5" s="1"/>
  <c r="AT41" i="5"/>
  <c r="AR41" i="5"/>
  <c r="AQ41" i="5"/>
  <c r="Y41" i="5"/>
  <c r="W41" i="5"/>
  <c r="V41" i="5"/>
  <c r="AN41" i="5"/>
  <c r="S41" i="5"/>
  <c r="AM41" i="5" s="1"/>
  <c r="AL41" i="5"/>
  <c r="P41" i="5"/>
  <c r="AA41" i="5" s="1"/>
  <c r="AX41" i="5" s="1"/>
  <c r="N41" i="5"/>
  <c r="AI41" i="5" s="1"/>
  <c r="U92" i="5"/>
  <c r="AO92" i="5" s="1"/>
  <c r="AT40" i="5"/>
  <c r="AR40" i="5"/>
  <c r="AQ40" i="5"/>
  <c r="Y40" i="5"/>
  <c r="W40" i="5"/>
  <c r="V40" i="5"/>
  <c r="AN40" i="5"/>
  <c r="S40" i="5"/>
  <c r="AM40" i="5" s="1"/>
  <c r="AL40" i="5"/>
  <c r="P40" i="5"/>
  <c r="AA40" i="5" s="1"/>
  <c r="AX40" i="5" s="1"/>
  <c r="N40" i="5"/>
  <c r="AI40" i="5" s="1"/>
  <c r="AT39" i="5"/>
  <c r="AR39" i="5"/>
  <c r="AQ39" i="5"/>
  <c r="Y39" i="5"/>
  <c r="W39" i="5"/>
  <c r="V39" i="5"/>
  <c r="AN39" i="5"/>
  <c r="S39" i="5"/>
  <c r="AM39" i="5" s="1"/>
  <c r="AL39" i="5"/>
  <c r="P39" i="5"/>
  <c r="AA39" i="5" s="1"/>
  <c r="AX39" i="5" s="1"/>
  <c r="N39" i="5"/>
  <c r="AT38" i="5"/>
  <c r="AR38" i="5"/>
  <c r="AQ38" i="5"/>
  <c r="Y38" i="5"/>
  <c r="W38" i="5"/>
  <c r="V38" i="5"/>
  <c r="AN38" i="5"/>
  <c r="S38" i="5"/>
  <c r="AM38" i="5" s="1"/>
  <c r="AL38" i="5"/>
  <c r="P38" i="5"/>
  <c r="AA38" i="5" s="1"/>
  <c r="AX38" i="5" s="1"/>
  <c r="N38" i="5"/>
  <c r="AT37" i="5"/>
  <c r="AR37" i="5"/>
  <c r="AQ37" i="5"/>
  <c r="Y37" i="5"/>
  <c r="W37" i="5"/>
  <c r="V37" i="5"/>
  <c r="AN37" i="5"/>
  <c r="S37" i="5"/>
  <c r="AM37" i="5" s="1"/>
  <c r="AL37" i="5"/>
  <c r="P37" i="5"/>
  <c r="AA37" i="5" s="1"/>
  <c r="AX37" i="5" s="1"/>
  <c r="N37" i="5"/>
  <c r="AI37" i="5" s="1"/>
  <c r="AT36" i="5"/>
  <c r="AR36" i="5"/>
  <c r="AQ36" i="5"/>
  <c r="Y36" i="5"/>
  <c r="W36" i="5"/>
  <c r="V36" i="5"/>
  <c r="AN36" i="5"/>
  <c r="S36" i="5"/>
  <c r="AM36" i="5" s="1"/>
  <c r="AL36" i="5"/>
  <c r="P36" i="5"/>
  <c r="AA36" i="5" s="1"/>
  <c r="AX36" i="5" s="1"/>
  <c r="N36" i="5"/>
  <c r="AT35" i="5"/>
  <c r="AR35" i="5"/>
  <c r="AQ35" i="5"/>
  <c r="Y35" i="5"/>
  <c r="W35" i="5"/>
  <c r="V35" i="5"/>
  <c r="AN35" i="5"/>
  <c r="S35" i="5"/>
  <c r="AM35" i="5" s="1"/>
  <c r="AL35" i="5"/>
  <c r="P35" i="5"/>
  <c r="AA35" i="5" s="1"/>
  <c r="AX35" i="5" s="1"/>
  <c r="N35" i="5"/>
  <c r="AI35" i="5" s="1"/>
  <c r="AT34" i="5"/>
  <c r="AR34" i="5"/>
  <c r="AQ34" i="5"/>
  <c r="Y34" i="5"/>
  <c r="W34" i="5"/>
  <c r="V34" i="5"/>
  <c r="AN34" i="5"/>
  <c r="S34" i="5"/>
  <c r="AM34" i="5" s="1"/>
  <c r="AL34" i="5"/>
  <c r="P34" i="5"/>
  <c r="AA34" i="5" s="1"/>
  <c r="AX34" i="5" s="1"/>
  <c r="N34" i="5"/>
  <c r="AI34" i="5" s="1"/>
  <c r="AT33" i="5"/>
  <c r="AR33" i="5"/>
  <c r="AQ33" i="5"/>
  <c r="Y33" i="5"/>
  <c r="W33" i="5"/>
  <c r="V33" i="5"/>
  <c r="AN33" i="5"/>
  <c r="S33" i="5"/>
  <c r="AM33" i="5" s="1"/>
  <c r="AL33" i="5"/>
  <c r="P33" i="5"/>
  <c r="AA33" i="5" s="1"/>
  <c r="AX33" i="5" s="1"/>
  <c r="N33" i="5"/>
  <c r="AI33" i="5" s="1"/>
  <c r="AT32" i="5"/>
  <c r="AR32" i="5"/>
  <c r="AQ32" i="5"/>
  <c r="Y32" i="5"/>
  <c r="W32" i="5"/>
  <c r="V32" i="5"/>
  <c r="AN32" i="5"/>
  <c r="S32" i="5"/>
  <c r="AM32" i="5" s="1"/>
  <c r="AL32" i="5"/>
  <c r="P32" i="5"/>
  <c r="AA32" i="5" s="1"/>
  <c r="AX32" i="5" s="1"/>
  <c r="N32" i="5"/>
  <c r="AT31" i="5"/>
  <c r="AR31" i="5"/>
  <c r="AQ31" i="5"/>
  <c r="Y31" i="5"/>
  <c r="W31" i="5"/>
  <c r="V31" i="5"/>
  <c r="AN31" i="5"/>
  <c r="S31" i="5"/>
  <c r="AM31" i="5" s="1"/>
  <c r="AL31" i="5"/>
  <c r="P31" i="5"/>
  <c r="AA31" i="5" s="1"/>
  <c r="AX31" i="5" s="1"/>
  <c r="N31" i="5"/>
  <c r="AI31" i="5" s="1"/>
  <c r="AT30" i="5"/>
  <c r="AR30" i="5"/>
  <c r="AQ30" i="5"/>
  <c r="Y30" i="5"/>
  <c r="W30" i="5"/>
  <c r="V30" i="5"/>
  <c r="AN30" i="5"/>
  <c r="S30" i="5"/>
  <c r="AM30" i="5" s="1"/>
  <c r="AL30" i="5"/>
  <c r="P30" i="5"/>
  <c r="AA30" i="5" s="1"/>
  <c r="AX30" i="5" s="1"/>
  <c r="N30" i="5"/>
  <c r="AI30" i="5" s="1"/>
  <c r="AT29" i="5"/>
  <c r="AR29" i="5"/>
  <c r="AQ29" i="5"/>
  <c r="Y29" i="5"/>
  <c r="W29" i="5"/>
  <c r="V29" i="5"/>
  <c r="AN29" i="5"/>
  <c r="S29" i="5"/>
  <c r="AM29" i="5" s="1"/>
  <c r="AL29" i="5"/>
  <c r="P29" i="5"/>
  <c r="AA29" i="5" s="1"/>
  <c r="AX29" i="5" s="1"/>
  <c r="N29" i="5"/>
  <c r="AI29" i="5" s="1"/>
  <c r="AT28" i="5"/>
  <c r="AR28" i="5"/>
  <c r="AQ28" i="5"/>
  <c r="Y28" i="5"/>
  <c r="W28" i="5"/>
  <c r="V28" i="5"/>
  <c r="AN28" i="5"/>
  <c r="S28" i="5"/>
  <c r="AM28" i="5" s="1"/>
  <c r="AL28" i="5"/>
  <c r="P28" i="5"/>
  <c r="AA28" i="5" s="1"/>
  <c r="AX28" i="5" s="1"/>
  <c r="N28" i="5"/>
  <c r="AT27" i="5"/>
  <c r="AR27" i="5"/>
  <c r="AQ27" i="5"/>
  <c r="Y27" i="5"/>
  <c r="W27" i="5"/>
  <c r="V27" i="5"/>
  <c r="AN27" i="5"/>
  <c r="S27" i="5"/>
  <c r="AM27" i="5" s="1"/>
  <c r="AL27" i="5"/>
  <c r="P27" i="5"/>
  <c r="AA27" i="5" s="1"/>
  <c r="AX27" i="5" s="1"/>
  <c r="N27" i="5"/>
  <c r="AI27" i="5" s="1"/>
  <c r="AT26" i="5"/>
  <c r="AR26" i="5"/>
  <c r="AQ26" i="5"/>
  <c r="Y26" i="5"/>
  <c r="W26" i="5"/>
  <c r="V26" i="5"/>
  <c r="AN26" i="5"/>
  <c r="S26" i="5"/>
  <c r="AM26" i="5" s="1"/>
  <c r="AL26" i="5"/>
  <c r="P26" i="5"/>
  <c r="AA26" i="5" s="1"/>
  <c r="AX26" i="5" s="1"/>
  <c r="N26" i="5"/>
  <c r="AI26" i="5" s="1"/>
  <c r="V25" i="5"/>
  <c r="P25" i="5"/>
  <c r="AA25" i="5" s="1"/>
  <c r="N25" i="5"/>
  <c r="U76" i="5"/>
  <c r="O76" i="5" s="1"/>
  <c r="AQ24" i="5"/>
  <c r="AL24" i="5"/>
  <c r="Y24" i="5"/>
  <c r="W24" i="5"/>
  <c r="AN24" i="5"/>
  <c r="S24" i="5"/>
  <c r="AM24" i="5" s="1"/>
  <c r="P24" i="5"/>
  <c r="AA24" i="5" s="1"/>
  <c r="AX24" i="5" s="1"/>
  <c r="N24" i="5"/>
  <c r="AT23" i="5"/>
  <c r="AR23" i="5"/>
  <c r="AQ23" i="5"/>
  <c r="Y23" i="5"/>
  <c r="W23" i="5"/>
  <c r="V23" i="5"/>
  <c r="AN23" i="5"/>
  <c r="S23" i="5"/>
  <c r="AM23" i="5" s="1"/>
  <c r="AL23" i="5"/>
  <c r="P23" i="5"/>
  <c r="AA23" i="5" s="1"/>
  <c r="AX23" i="5" s="1"/>
  <c r="N23" i="5"/>
  <c r="AT22" i="5"/>
  <c r="AR22" i="5"/>
  <c r="AQ22" i="5"/>
  <c r="Y22" i="5"/>
  <c r="W22" i="5"/>
  <c r="V22" i="5"/>
  <c r="AN22" i="5"/>
  <c r="S22" i="5"/>
  <c r="AM22" i="5" s="1"/>
  <c r="AL22" i="5"/>
  <c r="P22" i="5"/>
  <c r="AA22" i="5" s="1"/>
  <c r="AX22" i="5" s="1"/>
  <c r="N22" i="5"/>
  <c r="AI22" i="5" s="1"/>
  <c r="AT21" i="5"/>
  <c r="AR21" i="5"/>
  <c r="AQ21" i="5"/>
  <c r="Y21" i="5"/>
  <c r="W21" i="5"/>
  <c r="V21" i="5"/>
  <c r="AN21" i="5"/>
  <c r="S21" i="5"/>
  <c r="AM21" i="5" s="1"/>
  <c r="AL21" i="5"/>
  <c r="P21" i="5"/>
  <c r="AA21" i="5" s="1"/>
  <c r="AX21" i="5" s="1"/>
  <c r="N21" i="5"/>
  <c r="AT20" i="5"/>
  <c r="AR20" i="5"/>
  <c r="AQ20" i="5"/>
  <c r="Y20" i="5"/>
  <c r="W20" i="5"/>
  <c r="V20" i="5"/>
  <c r="AN20" i="5"/>
  <c r="S20" i="5"/>
  <c r="AM20" i="5" s="1"/>
  <c r="AL20" i="5"/>
  <c r="P20" i="5"/>
  <c r="AA20" i="5" s="1"/>
  <c r="AX20" i="5" s="1"/>
  <c r="N20" i="5"/>
  <c r="AI20" i="5" s="1"/>
  <c r="AT19" i="5"/>
  <c r="AR19" i="5"/>
  <c r="AQ19" i="5"/>
  <c r="Y19" i="5"/>
  <c r="W19" i="5"/>
  <c r="V19" i="5"/>
  <c r="AN19" i="5"/>
  <c r="S19" i="5"/>
  <c r="AM19" i="5" s="1"/>
  <c r="AL19" i="5"/>
  <c r="P19" i="5"/>
  <c r="AA19" i="5" s="1"/>
  <c r="AX19" i="5" s="1"/>
  <c r="N19" i="5"/>
  <c r="AT18" i="5"/>
  <c r="AR18" i="5"/>
  <c r="AQ18" i="5"/>
  <c r="Y18" i="5"/>
  <c r="W18" i="5"/>
  <c r="V18" i="5"/>
  <c r="AN18" i="5"/>
  <c r="S18" i="5"/>
  <c r="AM18" i="5" s="1"/>
  <c r="AL18" i="5"/>
  <c r="P18" i="5"/>
  <c r="AA18" i="5" s="1"/>
  <c r="AX18" i="5" s="1"/>
  <c r="N18" i="5"/>
  <c r="AI18" i="5" s="1"/>
  <c r="AT17" i="5"/>
  <c r="AR17" i="5"/>
  <c r="AQ17" i="5"/>
  <c r="Y17" i="5"/>
  <c r="W17" i="5"/>
  <c r="V17" i="5"/>
  <c r="AN17" i="5"/>
  <c r="S17" i="5"/>
  <c r="AM17" i="5" s="1"/>
  <c r="AL17" i="5"/>
  <c r="P17" i="5"/>
  <c r="AA17" i="5" s="1"/>
  <c r="AX17" i="5" s="1"/>
  <c r="N17" i="5"/>
  <c r="AT16" i="5"/>
  <c r="AR16" i="5"/>
  <c r="AQ16" i="5"/>
  <c r="Y16" i="5"/>
  <c r="W16" i="5"/>
  <c r="V16" i="5"/>
  <c r="AN16" i="5"/>
  <c r="S16" i="5"/>
  <c r="AM16" i="5" s="1"/>
  <c r="AL16" i="5"/>
  <c r="P16" i="5"/>
  <c r="AA16" i="5" s="1"/>
  <c r="AX16" i="5" s="1"/>
  <c r="N16" i="5"/>
  <c r="AI16" i="5" s="1"/>
  <c r="AT15" i="5"/>
  <c r="AR15" i="5"/>
  <c r="AQ15" i="5"/>
  <c r="Y15" i="5"/>
  <c r="W15" i="5"/>
  <c r="V15" i="5"/>
  <c r="AN15" i="5"/>
  <c r="S15" i="5"/>
  <c r="AM15" i="5" s="1"/>
  <c r="AL15" i="5"/>
  <c r="P15" i="5"/>
  <c r="AA15" i="5" s="1"/>
  <c r="AX15" i="5" s="1"/>
  <c r="N15" i="5"/>
  <c r="AT14" i="5"/>
  <c r="AR14" i="5"/>
  <c r="AQ14" i="5"/>
  <c r="Y14" i="5"/>
  <c r="W14" i="5"/>
  <c r="V14" i="5"/>
  <c r="AN14" i="5"/>
  <c r="S14" i="5"/>
  <c r="AM14" i="5" s="1"/>
  <c r="AL14" i="5"/>
  <c r="P14" i="5"/>
  <c r="AA14" i="5" s="1"/>
  <c r="AX14" i="5" s="1"/>
  <c r="N14" i="5"/>
  <c r="AI14" i="5" s="1"/>
  <c r="AT13" i="5"/>
  <c r="AR13" i="5"/>
  <c r="AQ13" i="5"/>
  <c r="Y13" i="5"/>
  <c r="W13" i="5"/>
  <c r="V13" i="5"/>
  <c r="AN13" i="5"/>
  <c r="S13" i="5"/>
  <c r="AM13" i="5" s="1"/>
  <c r="AL13" i="5"/>
  <c r="P13" i="5"/>
  <c r="AA13" i="5" s="1"/>
  <c r="AX13" i="5" s="1"/>
  <c r="N13" i="5"/>
  <c r="AT12" i="5"/>
  <c r="AR12" i="5"/>
  <c r="AQ12" i="5"/>
  <c r="Y12" i="5"/>
  <c r="W12" i="5"/>
  <c r="V12" i="5"/>
  <c r="AN12" i="5"/>
  <c r="S12" i="5"/>
  <c r="AM12" i="5" s="1"/>
  <c r="AL12" i="5"/>
  <c r="P12" i="5"/>
  <c r="AA12" i="5" s="1"/>
  <c r="AX12" i="5" s="1"/>
  <c r="N12" i="5"/>
  <c r="AI12" i="5" s="1"/>
  <c r="AT11" i="5"/>
  <c r="AR11" i="5"/>
  <c r="AQ11" i="5"/>
  <c r="Y11" i="5"/>
  <c r="W11" i="5"/>
  <c r="V11" i="5"/>
  <c r="AN11" i="5"/>
  <c r="S11" i="5"/>
  <c r="AM11" i="5" s="1"/>
  <c r="AL11" i="5"/>
  <c r="P11" i="5"/>
  <c r="AA11" i="5" s="1"/>
  <c r="AX11" i="5" s="1"/>
  <c r="N11" i="5"/>
  <c r="AT10" i="5"/>
  <c r="AR10" i="5"/>
  <c r="AQ10" i="5"/>
  <c r="Y10" i="5"/>
  <c r="W10" i="5"/>
  <c r="V10" i="5"/>
  <c r="AN10" i="5"/>
  <c r="S10" i="5"/>
  <c r="AM10" i="5" s="1"/>
  <c r="AL10" i="5"/>
  <c r="P10" i="5"/>
  <c r="AA10" i="5" s="1"/>
  <c r="AX10" i="5" s="1"/>
  <c r="N10" i="5"/>
  <c r="AI10" i="5" s="1"/>
  <c r="AT9" i="5"/>
  <c r="AR9" i="5"/>
  <c r="AQ9" i="5"/>
  <c r="Y9" i="5"/>
  <c r="W9" i="5"/>
  <c r="V9" i="5"/>
  <c r="AN9" i="5"/>
  <c r="S9" i="5"/>
  <c r="AM9" i="5" s="1"/>
  <c r="AL9" i="5"/>
  <c r="P9" i="5"/>
  <c r="AA9" i="5" s="1"/>
  <c r="AX9" i="5" s="1"/>
  <c r="N9" i="5"/>
  <c r="AI9" i="5" s="1"/>
  <c r="AT8" i="5"/>
  <c r="AR8" i="5"/>
  <c r="AQ8" i="5"/>
  <c r="Y8" i="5"/>
  <c r="W8" i="5"/>
  <c r="V8" i="5"/>
  <c r="AN8" i="5"/>
  <c r="S8" i="5"/>
  <c r="AM8" i="5" s="1"/>
  <c r="AL8" i="5"/>
  <c r="P8" i="5"/>
  <c r="AA8" i="5" s="1"/>
  <c r="AX8" i="5" s="1"/>
  <c r="N8" i="5"/>
  <c r="AI8" i="5" s="1"/>
  <c r="AQ7" i="5"/>
  <c r="Y7" i="5"/>
  <c r="AT7" i="5"/>
  <c r="W7" i="5"/>
  <c r="V7" i="5"/>
  <c r="AN7" i="5"/>
  <c r="S7" i="5"/>
  <c r="AM7" i="5" s="1"/>
  <c r="AL7" i="5"/>
  <c r="P7" i="5"/>
  <c r="AA7" i="5" s="1"/>
  <c r="AX7" i="5" s="1"/>
  <c r="N7" i="5"/>
  <c r="AT6" i="5"/>
  <c r="AR6" i="5"/>
  <c r="AQ6" i="5"/>
  <c r="Y6" i="5"/>
  <c r="W6" i="5"/>
  <c r="V6" i="5"/>
  <c r="AN6" i="5"/>
  <c r="S6" i="5"/>
  <c r="AM6" i="5" s="1"/>
  <c r="AL6" i="5"/>
  <c r="P6" i="5"/>
  <c r="AA6" i="5" s="1"/>
  <c r="AX6" i="5" s="1"/>
  <c r="N6" i="5"/>
  <c r="AI6" i="5" s="1"/>
  <c r="AT5" i="5"/>
  <c r="AR5" i="5"/>
  <c r="AQ5" i="5"/>
  <c r="Y5" i="5"/>
  <c r="W5" i="5"/>
  <c r="V5" i="5"/>
  <c r="AN5" i="5"/>
  <c r="S5" i="5"/>
  <c r="AM5" i="5" s="1"/>
  <c r="AL5" i="5"/>
  <c r="P5" i="5"/>
  <c r="AA5" i="5" s="1"/>
  <c r="AX5" i="5" s="1"/>
  <c r="N5" i="5"/>
  <c r="AT4" i="5"/>
  <c r="AR4" i="5"/>
  <c r="AQ4" i="5"/>
  <c r="Y4" i="5"/>
  <c r="W4" i="5"/>
  <c r="V4" i="5"/>
  <c r="AN4" i="5"/>
  <c r="S4" i="5"/>
  <c r="AM4" i="5" s="1"/>
  <c r="AL4" i="5"/>
  <c r="P4" i="5"/>
  <c r="AA4" i="5" s="1"/>
  <c r="AX4" i="5" s="1"/>
  <c r="N4" i="5"/>
  <c r="AI4" i="5" s="1"/>
  <c r="AT3" i="5"/>
  <c r="AR3" i="5"/>
  <c r="AQ3" i="5"/>
  <c r="AB3" i="5"/>
  <c r="AB4" i="5" s="1"/>
  <c r="AB5" i="5" s="1"/>
  <c r="AB6" i="5" s="1"/>
  <c r="AB7" i="5" s="1"/>
  <c r="AB8" i="5" s="1"/>
  <c r="AB9" i="5" s="1"/>
  <c r="AB10" i="5" s="1"/>
  <c r="AB11" i="5" s="1"/>
  <c r="AB12" i="5" s="1"/>
  <c r="AB13" i="5" s="1"/>
  <c r="AB14" i="5" s="1"/>
  <c r="AB15" i="5" s="1"/>
  <c r="AB16" i="5" s="1"/>
  <c r="AB17" i="5" s="1"/>
  <c r="AB18" i="5" s="1"/>
  <c r="AB19" i="5" s="1"/>
  <c r="AB20" i="5" s="1"/>
  <c r="AB21" i="5" s="1"/>
  <c r="AB22" i="5" s="1"/>
  <c r="AB23" i="5" s="1"/>
  <c r="AB24" i="5" s="1"/>
  <c r="Y3" i="5"/>
  <c r="W3" i="5"/>
  <c r="V3" i="5"/>
  <c r="AN3" i="5"/>
  <c r="S3" i="5"/>
  <c r="AM3" i="5" s="1"/>
  <c r="AL3" i="5"/>
  <c r="P3" i="5"/>
  <c r="AA3" i="5" s="1"/>
  <c r="AX3" i="5" s="1"/>
  <c r="N3" i="5"/>
  <c r="AT2" i="5"/>
  <c r="AR2" i="5"/>
  <c r="AQ2" i="5"/>
  <c r="AL2" i="5"/>
  <c r="Y2" i="5"/>
  <c r="W2" i="5"/>
  <c r="V2" i="5"/>
  <c r="S2" i="5"/>
  <c r="AM2" i="5" s="1"/>
  <c r="P2" i="5"/>
  <c r="N2" i="5"/>
  <c r="AI2" i="5" s="1"/>
  <c r="A2" i="5"/>
  <c r="G120" i="3"/>
  <c r="F120" i="3"/>
  <c r="D120" i="3"/>
  <c r="C120" i="3"/>
  <c r="G119" i="3"/>
  <c r="F119" i="3"/>
  <c r="D119" i="3"/>
  <c r="C119" i="3"/>
  <c r="G118" i="3"/>
  <c r="F118" i="3"/>
  <c r="D118" i="3"/>
  <c r="C118" i="3"/>
  <c r="D111" i="3"/>
  <c r="C111" i="3"/>
  <c r="G110" i="3"/>
  <c r="F110" i="3"/>
  <c r="G109" i="3"/>
  <c r="F109" i="3"/>
  <c r="D109" i="3"/>
  <c r="C109" i="3"/>
  <c r="F108" i="3"/>
  <c r="G107" i="3"/>
  <c r="F107" i="3"/>
  <c r="G105" i="3"/>
  <c r="F105" i="3"/>
  <c r="D103" i="3"/>
  <c r="C103" i="3"/>
  <c r="D102" i="3"/>
  <c r="C102" i="3"/>
  <c r="G100" i="3"/>
  <c r="F100" i="3"/>
  <c r="D100" i="3"/>
  <c r="C100" i="3"/>
  <c r="G99" i="3"/>
  <c r="F99" i="3"/>
  <c r="D99" i="3"/>
  <c r="C99" i="3"/>
  <c r="G98" i="3"/>
  <c r="F98" i="3"/>
  <c r="D98" i="3"/>
  <c r="C98" i="3"/>
  <c r="D91" i="3"/>
  <c r="C91" i="3"/>
  <c r="G90" i="3"/>
  <c r="F90" i="3"/>
  <c r="G89" i="3"/>
  <c r="F89" i="3"/>
  <c r="D89" i="3"/>
  <c r="C89" i="3"/>
  <c r="F88" i="3"/>
  <c r="G87" i="3"/>
  <c r="F87" i="3"/>
  <c r="G85" i="3"/>
  <c r="F85" i="3"/>
  <c r="D83" i="3"/>
  <c r="C83" i="3"/>
  <c r="D82" i="3"/>
  <c r="C82" i="3"/>
  <c r="G80" i="3"/>
  <c r="F80" i="3"/>
  <c r="D80" i="3"/>
  <c r="C80" i="3"/>
  <c r="G79" i="3"/>
  <c r="F79" i="3"/>
  <c r="D79" i="3"/>
  <c r="C79" i="3"/>
  <c r="G78" i="3"/>
  <c r="F78" i="3"/>
  <c r="D78" i="3"/>
  <c r="C78" i="3"/>
  <c r="D71" i="3"/>
  <c r="C71" i="3"/>
  <c r="G70" i="3"/>
  <c r="F70" i="3"/>
  <c r="G69" i="3"/>
  <c r="F69" i="3"/>
  <c r="D69" i="3"/>
  <c r="C69" i="3"/>
  <c r="G67" i="3"/>
  <c r="F67" i="3"/>
  <c r="G65" i="3"/>
  <c r="F65" i="3"/>
  <c r="D63" i="3"/>
  <c r="C63" i="3"/>
  <c r="D62" i="3"/>
  <c r="C62" i="3"/>
  <c r="F60" i="3"/>
  <c r="D60" i="3"/>
  <c r="C60" i="3"/>
  <c r="F59" i="3"/>
  <c r="D59" i="3"/>
  <c r="C59" i="3"/>
  <c r="F58" i="3"/>
  <c r="D58" i="3"/>
  <c r="C58" i="3"/>
  <c r="D51" i="3"/>
  <c r="C51" i="3"/>
  <c r="F50" i="3"/>
  <c r="F49" i="3"/>
  <c r="D49" i="3"/>
  <c r="C49" i="3"/>
  <c r="F48" i="3"/>
  <c r="F47" i="3"/>
  <c r="F45" i="3"/>
  <c r="D43" i="3"/>
  <c r="C43" i="3"/>
  <c r="D42" i="3"/>
  <c r="C42" i="3"/>
  <c r="F40" i="3"/>
  <c r="D40" i="3"/>
  <c r="C40" i="3"/>
  <c r="F39" i="3"/>
  <c r="D39" i="3"/>
  <c r="C39" i="3"/>
  <c r="F38" i="3"/>
  <c r="D38" i="3"/>
  <c r="C38" i="3"/>
  <c r="F28" i="3"/>
  <c r="F27" i="3"/>
  <c r="F25" i="3"/>
  <c r="D23" i="3"/>
  <c r="C23" i="3"/>
  <c r="D22" i="3"/>
  <c r="C22" i="3"/>
  <c r="D20" i="3"/>
  <c r="C20" i="3"/>
  <c r="D19" i="3"/>
  <c r="C19" i="3"/>
  <c r="D18" i="3"/>
  <c r="C18" i="3"/>
  <c r="D4" i="3"/>
  <c r="C4" i="3"/>
  <c r="D3" i="3"/>
  <c r="C3" i="3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AU72" i="5" l="1"/>
  <c r="AV100" i="5"/>
  <c r="AU101" i="5"/>
  <c r="U53" i="5"/>
  <c r="AO53" i="5" s="1"/>
  <c r="U54" i="5"/>
  <c r="AC54" i="5" s="1"/>
  <c r="AZ54" i="5" s="1"/>
  <c r="U55" i="5"/>
  <c r="AO55" i="5" s="1"/>
  <c r="U56" i="5"/>
  <c r="AC56" i="5" s="1"/>
  <c r="AZ56" i="5" s="1"/>
  <c r="U57" i="5"/>
  <c r="AO57" i="5" s="1"/>
  <c r="U63" i="5"/>
  <c r="AO63" i="5" s="1"/>
  <c r="U64" i="5"/>
  <c r="AO64" i="5" s="1"/>
  <c r="AS14" i="5"/>
  <c r="AS20" i="5"/>
  <c r="AS50" i="5"/>
  <c r="AS58" i="5"/>
  <c r="AS59" i="5"/>
  <c r="O59" i="5"/>
  <c r="AS60" i="5"/>
  <c r="O60" i="5"/>
  <c r="AS62" i="5"/>
  <c r="AS65" i="5"/>
  <c r="AS67" i="5"/>
  <c r="O67" i="5"/>
  <c r="AS70" i="5"/>
  <c r="AS72" i="5"/>
  <c r="AS74" i="5"/>
  <c r="AS87" i="5"/>
  <c r="AS95" i="5"/>
  <c r="AS4" i="5"/>
  <c r="AS5" i="5"/>
  <c r="O5" i="5"/>
  <c r="AS6" i="5"/>
  <c r="AS11" i="5"/>
  <c r="AS12" i="5"/>
  <c r="AS13" i="5"/>
  <c r="O13" i="5"/>
  <c r="AS19" i="5"/>
  <c r="AS23" i="5"/>
  <c r="AS30" i="5"/>
  <c r="AS31" i="5"/>
  <c r="AS49" i="5"/>
  <c r="AS53" i="5"/>
  <c r="AS54" i="5"/>
  <c r="AS55" i="5"/>
  <c r="AS56" i="5"/>
  <c r="AS57" i="5"/>
  <c r="AS61" i="5"/>
  <c r="AS63" i="5"/>
  <c r="AS64" i="5"/>
  <c r="AS78" i="5"/>
  <c r="O78" i="5"/>
  <c r="AS82" i="5"/>
  <c r="O82" i="5"/>
  <c r="AS86" i="5"/>
  <c r="O86" i="5"/>
  <c r="AS90" i="5"/>
  <c r="O90" i="5"/>
  <c r="AS94" i="5"/>
  <c r="O94" i="5"/>
  <c r="AS98" i="5"/>
  <c r="O98" i="5"/>
  <c r="AS10" i="5"/>
  <c r="O10" i="5"/>
  <c r="AS18" i="5"/>
  <c r="AS22" i="5"/>
  <c r="AS29" i="5"/>
  <c r="AS34" i="5"/>
  <c r="AS35" i="5"/>
  <c r="AS40" i="5"/>
  <c r="AS41" i="5"/>
  <c r="AS46" i="5"/>
  <c r="AS47" i="5"/>
  <c r="AS48" i="5"/>
  <c r="AS77" i="5"/>
  <c r="AS81" i="5"/>
  <c r="AS85" i="5"/>
  <c r="AS89" i="5"/>
  <c r="AS93" i="5"/>
  <c r="AS97" i="5"/>
  <c r="AS3" i="5"/>
  <c r="AS26" i="5"/>
  <c r="AS27" i="5"/>
  <c r="AS32" i="5"/>
  <c r="AS37" i="5"/>
  <c r="AS44" i="5"/>
  <c r="AS66" i="5"/>
  <c r="AS68" i="5"/>
  <c r="O68" i="5"/>
  <c r="AS69" i="5"/>
  <c r="AS71" i="5"/>
  <c r="AS73" i="5"/>
  <c r="AS79" i="5"/>
  <c r="AS83" i="5"/>
  <c r="AS91" i="5"/>
  <c r="AS99" i="5"/>
  <c r="O99" i="5"/>
  <c r="AS36" i="5"/>
  <c r="AS42" i="5"/>
  <c r="AS43" i="5"/>
  <c r="AS2" i="5"/>
  <c r="AS8" i="5"/>
  <c r="AS9" i="5"/>
  <c r="AS15" i="5"/>
  <c r="AS16" i="5"/>
  <c r="AS17" i="5"/>
  <c r="AS21" i="5"/>
  <c r="AS28" i="5"/>
  <c r="AS33" i="5"/>
  <c r="AS38" i="5"/>
  <c r="AS39" i="5"/>
  <c r="AS45" i="5"/>
  <c r="AS80" i="5"/>
  <c r="AS84" i="5"/>
  <c r="AS88" i="5"/>
  <c r="AS92" i="5"/>
  <c r="O92" i="5"/>
  <c r="AS96" i="5"/>
  <c r="AS100" i="5"/>
  <c r="AS101" i="5"/>
  <c r="AV3" i="5"/>
  <c r="AE3" i="5"/>
  <c r="AV9" i="5"/>
  <c r="AE9" i="5"/>
  <c r="AV12" i="5"/>
  <c r="AE12" i="5"/>
  <c r="AV14" i="5"/>
  <c r="AE14" i="5"/>
  <c r="AV15" i="5"/>
  <c r="AE15" i="5"/>
  <c r="AV16" i="5"/>
  <c r="AE16" i="5"/>
  <c r="AV18" i="5"/>
  <c r="AE18" i="5"/>
  <c r="AV20" i="5"/>
  <c r="AE20" i="5"/>
  <c r="AV22" i="5"/>
  <c r="AE22" i="5"/>
  <c r="AV23" i="5"/>
  <c r="AE23" i="5"/>
  <c r="AV27" i="5"/>
  <c r="AE27" i="5"/>
  <c r="AV29" i="5"/>
  <c r="AE29" i="5"/>
  <c r="AV31" i="5"/>
  <c r="AE31" i="5"/>
  <c r="AV32" i="5"/>
  <c r="AE32" i="5"/>
  <c r="AV34" i="5"/>
  <c r="AE34" i="5"/>
  <c r="AV35" i="5"/>
  <c r="AE35" i="5"/>
  <c r="AV36" i="5"/>
  <c r="AE36" i="5"/>
  <c r="AV37" i="5"/>
  <c r="AE37" i="5"/>
  <c r="AV38" i="5"/>
  <c r="AE38" i="5"/>
  <c r="AV41" i="5"/>
  <c r="AE41" i="5"/>
  <c r="AV42" i="5"/>
  <c r="AE42" i="5"/>
  <c r="AV43" i="5"/>
  <c r="AE43" i="5"/>
  <c r="AV46" i="5"/>
  <c r="AE46" i="5"/>
  <c r="AV47" i="5"/>
  <c r="AE47" i="5"/>
  <c r="AV48" i="5"/>
  <c r="AE48" i="5"/>
  <c r="AV62" i="5"/>
  <c r="AE62" i="5"/>
  <c r="AV64" i="5"/>
  <c r="AE64" i="5"/>
  <c r="AV67" i="5"/>
  <c r="AE67" i="5"/>
  <c r="AV68" i="5"/>
  <c r="AE68" i="5"/>
  <c r="AV69" i="5"/>
  <c r="AE69" i="5"/>
  <c r="AV70" i="5"/>
  <c r="AE70" i="5"/>
  <c r="V81" i="5"/>
  <c r="F81" i="5"/>
  <c r="X81" i="5" s="1"/>
  <c r="AV81" i="5"/>
  <c r="AE81" i="5"/>
  <c r="V89" i="5"/>
  <c r="F89" i="5"/>
  <c r="X89" i="5" s="1"/>
  <c r="AV89" i="5"/>
  <c r="AE89" i="5"/>
  <c r="V97" i="5"/>
  <c r="F97" i="5"/>
  <c r="X97" i="5" s="1"/>
  <c r="AV97" i="5"/>
  <c r="AE97" i="5"/>
  <c r="F102" i="5"/>
  <c r="X102" i="5" s="1"/>
  <c r="AV4" i="5"/>
  <c r="AE4" i="5"/>
  <c r="AV5" i="5"/>
  <c r="AE5" i="5"/>
  <c r="AV6" i="5"/>
  <c r="AE6" i="5"/>
  <c r="V58" i="5"/>
  <c r="F58" i="5"/>
  <c r="X58" i="5" s="1"/>
  <c r="V59" i="5"/>
  <c r="F59" i="5"/>
  <c r="X59" i="5" s="1"/>
  <c r="V80" i="5"/>
  <c r="F80" i="5"/>
  <c r="X80" i="5" s="1"/>
  <c r="AV80" i="5"/>
  <c r="AE80" i="5"/>
  <c r="V88" i="5"/>
  <c r="F88" i="5"/>
  <c r="X88" i="5" s="1"/>
  <c r="AV88" i="5"/>
  <c r="AE88" i="5"/>
  <c r="V96" i="5"/>
  <c r="F96" i="5"/>
  <c r="X96" i="5" s="1"/>
  <c r="AV96" i="5"/>
  <c r="AE96" i="5"/>
  <c r="AV102" i="5"/>
  <c r="AE102" i="5"/>
  <c r="AV7" i="5"/>
  <c r="AE7" i="5"/>
  <c r="V53" i="5"/>
  <c r="F53" i="5"/>
  <c r="X53" i="5" s="1"/>
  <c r="V54" i="5"/>
  <c r="F54" i="5"/>
  <c r="X54" i="5" s="1"/>
  <c r="V55" i="5"/>
  <c r="F55" i="5"/>
  <c r="X55" i="5" s="1"/>
  <c r="V56" i="5"/>
  <c r="F56" i="5"/>
  <c r="X56" i="5" s="1"/>
  <c r="V57" i="5"/>
  <c r="F57" i="5"/>
  <c r="X57" i="5" s="1"/>
  <c r="V61" i="5"/>
  <c r="F61" i="5"/>
  <c r="X61" i="5" s="1"/>
  <c r="V65" i="5"/>
  <c r="F65" i="5"/>
  <c r="X65" i="5" s="1"/>
  <c r="V66" i="5"/>
  <c r="F66" i="5"/>
  <c r="X66" i="5" s="1"/>
  <c r="V67" i="5"/>
  <c r="F67" i="5"/>
  <c r="X67" i="5" s="1"/>
  <c r="V68" i="5"/>
  <c r="F68" i="5"/>
  <c r="X68" i="5" s="1"/>
  <c r="V69" i="5"/>
  <c r="F69" i="5"/>
  <c r="X69" i="5" s="1"/>
  <c r="V70" i="5"/>
  <c r="F70" i="5"/>
  <c r="X70" i="5" s="1"/>
  <c r="V71" i="5"/>
  <c r="F71" i="5"/>
  <c r="X71" i="5" s="1"/>
  <c r="V72" i="5"/>
  <c r="F72" i="5"/>
  <c r="X72" i="5" s="1"/>
  <c r="V73" i="5"/>
  <c r="F73" i="5"/>
  <c r="X73" i="5" s="1"/>
  <c r="V74" i="5"/>
  <c r="F74" i="5"/>
  <c r="X74" i="5" s="1"/>
  <c r="V79" i="5"/>
  <c r="F79" i="5"/>
  <c r="X79" i="5" s="1"/>
  <c r="AV79" i="5"/>
  <c r="AE79" i="5"/>
  <c r="V83" i="5"/>
  <c r="F83" i="5"/>
  <c r="X83" i="5" s="1"/>
  <c r="AV83" i="5"/>
  <c r="AE83" i="5"/>
  <c r="V87" i="5"/>
  <c r="F87" i="5"/>
  <c r="X87" i="5" s="1"/>
  <c r="AV87" i="5"/>
  <c r="AE87" i="5"/>
  <c r="V91" i="5"/>
  <c r="F91" i="5"/>
  <c r="X91" i="5" s="1"/>
  <c r="AV91" i="5"/>
  <c r="AE91" i="5"/>
  <c r="V95" i="5"/>
  <c r="F95" i="5"/>
  <c r="X95" i="5" s="1"/>
  <c r="AV95" i="5"/>
  <c r="AE95" i="5"/>
  <c r="V99" i="5"/>
  <c r="F99" i="5"/>
  <c r="X99" i="5" s="1"/>
  <c r="AV99" i="5"/>
  <c r="AE99" i="5"/>
  <c r="AV101" i="5"/>
  <c r="AE101" i="5"/>
  <c r="AV8" i="5"/>
  <c r="AE8" i="5"/>
  <c r="AV10" i="5"/>
  <c r="AE10" i="5"/>
  <c r="AV11" i="5"/>
  <c r="AE11" i="5"/>
  <c r="AV13" i="5"/>
  <c r="AE13" i="5"/>
  <c r="AV17" i="5"/>
  <c r="AE17" i="5"/>
  <c r="AV19" i="5"/>
  <c r="AE19" i="5"/>
  <c r="AV21" i="5"/>
  <c r="AE21" i="5"/>
  <c r="AV26" i="5"/>
  <c r="AE26" i="5"/>
  <c r="AV28" i="5"/>
  <c r="AE28" i="5"/>
  <c r="AV30" i="5"/>
  <c r="AE30" i="5"/>
  <c r="AV33" i="5"/>
  <c r="AE33" i="5"/>
  <c r="AV39" i="5"/>
  <c r="AE39" i="5"/>
  <c r="AV40" i="5"/>
  <c r="AE40" i="5"/>
  <c r="AV44" i="5"/>
  <c r="AE44" i="5"/>
  <c r="AV45" i="5"/>
  <c r="AE45" i="5"/>
  <c r="AV49" i="5"/>
  <c r="AE49" i="5"/>
  <c r="AV50" i="5"/>
  <c r="AE50" i="5"/>
  <c r="AV63" i="5"/>
  <c r="AE63" i="5"/>
  <c r="AV65" i="5"/>
  <c r="AE65" i="5"/>
  <c r="AV66" i="5"/>
  <c r="AE66" i="5"/>
  <c r="AV71" i="5"/>
  <c r="AE71" i="5"/>
  <c r="AV72" i="5"/>
  <c r="AE72" i="5"/>
  <c r="AV73" i="5"/>
  <c r="AE73" i="5"/>
  <c r="AV74" i="5"/>
  <c r="AE74" i="5"/>
  <c r="V77" i="5"/>
  <c r="F77" i="5"/>
  <c r="X77" i="5" s="1"/>
  <c r="AV77" i="5"/>
  <c r="AE77" i="5"/>
  <c r="V85" i="5"/>
  <c r="F85" i="5"/>
  <c r="X85" i="5" s="1"/>
  <c r="AV85" i="5"/>
  <c r="AE85" i="5"/>
  <c r="V93" i="5"/>
  <c r="F93" i="5"/>
  <c r="X93" i="5" s="1"/>
  <c r="AV93" i="5"/>
  <c r="AE93" i="5"/>
  <c r="V60" i="5"/>
  <c r="F60" i="5"/>
  <c r="X60" i="5" s="1"/>
  <c r="F62" i="5"/>
  <c r="X62" i="5" s="1"/>
  <c r="AV75" i="5"/>
  <c r="AE75" i="5"/>
  <c r="V84" i="5"/>
  <c r="F84" i="5"/>
  <c r="X84" i="5" s="1"/>
  <c r="AV84" i="5"/>
  <c r="AE84" i="5"/>
  <c r="V92" i="5"/>
  <c r="F92" i="5"/>
  <c r="X92" i="5" s="1"/>
  <c r="AV92" i="5"/>
  <c r="AE92" i="5"/>
  <c r="V100" i="5"/>
  <c r="F100" i="5"/>
  <c r="X100" i="5" s="1"/>
  <c r="V101" i="5"/>
  <c r="F101" i="5"/>
  <c r="X101" i="5" s="1"/>
  <c r="AV2" i="5"/>
  <c r="AE2" i="5"/>
  <c r="AU14" i="5"/>
  <c r="AU18" i="5"/>
  <c r="AU22" i="5"/>
  <c r="AV24" i="5"/>
  <c r="AE24" i="5"/>
  <c r="AU30" i="5"/>
  <c r="AU33" i="5"/>
  <c r="AV51" i="5"/>
  <c r="AE51" i="5"/>
  <c r="AV52" i="5"/>
  <c r="AE52" i="5"/>
  <c r="AV53" i="5"/>
  <c r="AE53" i="5"/>
  <c r="AV54" i="5"/>
  <c r="AE54" i="5"/>
  <c r="AV55" i="5"/>
  <c r="AE55" i="5"/>
  <c r="AV56" i="5"/>
  <c r="AE56" i="5"/>
  <c r="AV57" i="5"/>
  <c r="AE57" i="5"/>
  <c r="AV58" i="5"/>
  <c r="AE58" i="5"/>
  <c r="AV59" i="5"/>
  <c r="AE59" i="5"/>
  <c r="AV60" i="5"/>
  <c r="AE60" i="5"/>
  <c r="AV61" i="5"/>
  <c r="AE61" i="5"/>
  <c r="V62" i="5"/>
  <c r="V63" i="5"/>
  <c r="F63" i="5"/>
  <c r="X63" i="5" s="1"/>
  <c r="V64" i="5"/>
  <c r="F64" i="5"/>
  <c r="X64" i="5" s="1"/>
  <c r="V78" i="5"/>
  <c r="F78" i="5"/>
  <c r="X78" i="5" s="1"/>
  <c r="AV78" i="5"/>
  <c r="AE78" i="5"/>
  <c r="V82" i="5"/>
  <c r="F82" i="5"/>
  <c r="X82" i="5" s="1"/>
  <c r="AV82" i="5"/>
  <c r="AE82" i="5"/>
  <c r="V86" i="5"/>
  <c r="F86" i="5"/>
  <c r="X86" i="5" s="1"/>
  <c r="AV86" i="5"/>
  <c r="AE86" i="5"/>
  <c r="V90" i="5"/>
  <c r="F90" i="5"/>
  <c r="X90" i="5" s="1"/>
  <c r="AV90" i="5"/>
  <c r="AE90" i="5"/>
  <c r="V94" i="5"/>
  <c r="F94" i="5"/>
  <c r="X94" i="5" s="1"/>
  <c r="AV94" i="5"/>
  <c r="AE94" i="5"/>
  <c r="V98" i="5"/>
  <c r="F98" i="5"/>
  <c r="X98" i="5" s="1"/>
  <c r="AV98" i="5"/>
  <c r="AE98" i="5"/>
  <c r="AA55" i="5"/>
  <c r="AX55" i="5" s="1"/>
  <c r="AA89" i="5"/>
  <c r="AX89" i="5" s="1"/>
  <c r="AA93" i="5"/>
  <c r="AX93" i="5" s="1"/>
  <c r="AA63" i="5"/>
  <c r="AX63" i="5" s="1"/>
  <c r="AU27" i="5"/>
  <c r="U25" i="5"/>
  <c r="AU28" i="5"/>
  <c r="T57" i="5"/>
  <c r="AN57" i="5" s="1"/>
  <c r="T75" i="5"/>
  <c r="AN75" i="5" s="1"/>
  <c r="AA79" i="5"/>
  <c r="AX79" i="5" s="1"/>
  <c r="AA80" i="5"/>
  <c r="AX80" i="5" s="1"/>
  <c r="T87" i="5"/>
  <c r="AN87" i="5" s="1"/>
  <c r="AU97" i="5"/>
  <c r="AU98" i="5"/>
  <c r="T100" i="5"/>
  <c r="AN100" i="5" s="1"/>
  <c r="T101" i="5"/>
  <c r="AN101" i="5" s="1"/>
  <c r="A53" i="5"/>
  <c r="T53" i="5" s="1"/>
  <c r="AN53" i="5" s="1"/>
  <c r="T2" i="5"/>
  <c r="AN2" i="5" s="1"/>
  <c r="T56" i="5"/>
  <c r="AN56" i="5" s="1"/>
  <c r="T64" i="5"/>
  <c r="AN64" i="5" s="1"/>
  <c r="T90" i="5"/>
  <c r="AN90" i="5" s="1"/>
  <c r="T55" i="5"/>
  <c r="AN55" i="5" s="1"/>
  <c r="T79" i="5"/>
  <c r="AN79" i="5" s="1"/>
  <c r="T80" i="5"/>
  <c r="AN80" i="5" s="1"/>
  <c r="T81" i="5"/>
  <c r="AN81" i="5" s="1"/>
  <c r="AU93" i="5"/>
  <c r="AU94" i="5"/>
  <c r="T96" i="5"/>
  <c r="AN96" i="5" s="1"/>
  <c r="T97" i="5"/>
  <c r="AN97" i="5" s="1"/>
  <c r="T98" i="5"/>
  <c r="AN98" i="5" s="1"/>
  <c r="T99" i="5"/>
  <c r="AN99" i="5" s="1"/>
  <c r="T83" i="5"/>
  <c r="AN83" i="5" s="1"/>
  <c r="T84" i="5"/>
  <c r="AN84" i="5" s="1"/>
  <c r="T88" i="5"/>
  <c r="AN88" i="5" s="1"/>
  <c r="T89" i="5"/>
  <c r="AN89" i="5" s="1"/>
  <c r="T91" i="5"/>
  <c r="AN91" i="5" s="1"/>
  <c r="AU39" i="5"/>
  <c r="U41" i="5"/>
  <c r="AO41" i="5" s="1"/>
  <c r="U48" i="5"/>
  <c r="AO48" i="5" s="1"/>
  <c r="T63" i="5"/>
  <c r="AN63" i="5" s="1"/>
  <c r="T77" i="5"/>
  <c r="AN77" i="5" s="1"/>
  <c r="T78" i="5"/>
  <c r="AN78" i="5" s="1"/>
  <c r="T85" i="5"/>
  <c r="AN85" i="5" s="1"/>
  <c r="AU89" i="5"/>
  <c r="AU90" i="5"/>
  <c r="T92" i="5"/>
  <c r="AN92" i="5" s="1"/>
  <c r="T93" i="5"/>
  <c r="AN93" i="5" s="1"/>
  <c r="T94" i="5"/>
  <c r="AN94" i="5" s="1"/>
  <c r="T95" i="5"/>
  <c r="AN95" i="5" s="1"/>
  <c r="AA54" i="5"/>
  <c r="AX54" i="5" s="1"/>
  <c r="AA61" i="5"/>
  <c r="AX61" i="5" s="1"/>
  <c r="AU80" i="5"/>
  <c r="AA87" i="5"/>
  <c r="AX87" i="5" s="1"/>
  <c r="AA88" i="5"/>
  <c r="AX88" i="5" s="1"/>
  <c r="AA92" i="5"/>
  <c r="AX92" i="5" s="1"/>
  <c r="AA96" i="5"/>
  <c r="AX96" i="5" s="1"/>
  <c r="AA100" i="5"/>
  <c r="AX100" i="5" s="1"/>
  <c r="AU8" i="5"/>
  <c r="AO6" i="5"/>
  <c r="AU41" i="5"/>
  <c r="AU37" i="5"/>
  <c r="AU46" i="5"/>
  <c r="AU78" i="5"/>
  <c r="AU82" i="5"/>
  <c r="AU16" i="5"/>
  <c r="AU20" i="5"/>
  <c r="AU35" i="5"/>
  <c r="AU44" i="5"/>
  <c r="AU47" i="5"/>
  <c r="AU50" i="5"/>
  <c r="U58" i="5"/>
  <c r="AO58" i="5" s="1"/>
  <c r="U7" i="5"/>
  <c r="AO7" i="5" s="1"/>
  <c r="U69" i="5"/>
  <c r="AO69" i="5" s="1"/>
  <c r="U18" i="5"/>
  <c r="AO18" i="5" s="1"/>
  <c r="AA56" i="5"/>
  <c r="AX56" i="5" s="1"/>
  <c r="AA64" i="5"/>
  <c r="AX64" i="5" s="1"/>
  <c r="AO3" i="5"/>
  <c r="AO5" i="5"/>
  <c r="AU15" i="5"/>
  <c r="U91" i="5"/>
  <c r="AO91" i="5" s="1"/>
  <c r="U40" i="5"/>
  <c r="AO40" i="5" s="1"/>
  <c r="U100" i="5"/>
  <c r="AO100" i="5" s="1"/>
  <c r="U49" i="5"/>
  <c r="AO49" i="5" s="1"/>
  <c r="AA84" i="5"/>
  <c r="AX84" i="5" s="1"/>
  <c r="AA78" i="5"/>
  <c r="AX78" i="5" s="1"/>
  <c r="AA82" i="5"/>
  <c r="AX82" i="5" s="1"/>
  <c r="AA83" i="5"/>
  <c r="AX83" i="5" s="1"/>
  <c r="AU45" i="5"/>
  <c r="AU85" i="5"/>
  <c r="AU86" i="5"/>
  <c r="AU91" i="5"/>
  <c r="AU95" i="5"/>
  <c r="AU99" i="5"/>
  <c r="AU7" i="5"/>
  <c r="AU11" i="5"/>
  <c r="AU21" i="5"/>
  <c r="AU23" i="5"/>
  <c r="AU31" i="5"/>
  <c r="AU40" i="5"/>
  <c r="AU42" i="5"/>
  <c r="AU9" i="5"/>
  <c r="AU17" i="5"/>
  <c r="AU19" i="5"/>
  <c r="AU26" i="5"/>
  <c r="AU29" i="5"/>
  <c r="AU32" i="5"/>
  <c r="AU34" i="5"/>
  <c r="AU36" i="5"/>
  <c r="AU38" i="5"/>
  <c r="AU43" i="5"/>
  <c r="AU48" i="5"/>
  <c r="AU49" i="5"/>
  <c r="AU68" i="5"/>
  <c r="AU73" i="5"/>
  <c r="AU77" i="5"/>
  <c r="AU81" i="5"/>
  <c r="AU84" i="5"/>
  <c r="AA86" i="5"/>
  <c r="AX86" i="5" s="1"/>
  <c r="AU87" i="5"/>
  <c r="U66" i="5"/>
  <c r="AO66" i="5" s="1"/>
  <c r="U15" i="5"/>
  <c r="AO15" i="5" s="1"/>
  <c r="U24" i="5"/>
  <c r="AO24" i="5" s="1"/>
  <c r="U75" i="5"/>
  <c r="AO75" i="5" s="1"/>
  <c r="U83" i="5"/>
  <c r="AO83" i="5" s="1"/>
  <c r="U32" i="5"/>
  <c r="AO32" i="5" s="1"/>
  <c r="U95" i="5"/>
  <c r="AO95" i="5" s="1"/>
  <c r="U44" i="5"/>
  <c r="AO44" i="5" s="1"/>
  <c r="AL77" i="5"/>
  <c r="AL78" i="5" s="1"/>
  <c r="AL79" i="5" s="1"/>
  <c r="AL80" i="5" s="1"/>
  <c r="AL81" i="5" s="1"/>
  <c r="AL82" i="5" s="1"/>
  <c r="AL83" i="5" s="1"/>
  <c r="AL84" i="5" s="1"/>
  <c r="AL85" i="5" s="1"/>
  <c r="AL86" i="5" s="1"/>
  <c r="AL87" i="5" s="1"/>
  <c r="AL88" i="5" s="1"/>
  <c r="AL89" i="5" s="1"/>
  <c r="AL90" i="5" s="1"/>
  <c r="AL91" i="5" s="1"/>
  <c r="AL92" i="5" s="1"/>
  <c r="AL93" i="5" s="1"/>
  <c r="AL94" i="5" s="1"/>
  <c r="AL95" i="5" s="1"/>
  <c r="AL96" i="5" s="1"/>
  <c r="AL97" i="5" s="1"/>
  <c r="AL98" i="5" s="1"/>
  <c r="AL99" i="5" s="1"/>
  <c r="AL100" i="5" s="1"/>
  <c r="AL101" i="5" s="1"/>
  <c r="AL102" i="5" s="1"/>
  <c r="AL76" i="5"/>
  <c r="AT61" i="5"/>
  <c r="AA75" i="5"/>
  <c r="AX75" i="5" s="1"/>
  <c r="AT60" i="5"/>
  <c r="AU60" i="5" s="1"/>
  <c r="AT71" i="5"/>
  <c r="AU71" i="5" s="1"/>
  <c r="U65" i="5"/>
  <c r="AO65" i="5" s="1"/>
  <c r="U14" i="5"/>
  <c r="AO14" i="5" s="1"/>
  <c r="U73" i="5"/>
  <c r="AO73" i="5" s="1"/>
  <c r="U22" i="5"/>
  <c r="AO22" i="5" s="1"/>
  <c r="U80" i="5"/>
  <c r="AO80" i="5" s="1"/>
  <c r="U29" i="5"/>
  <c r="AO29" i="5" s="1"/>
  <c r="U96" i="5"/>
  <c r="AO96" i="5" s="1"/>
  <c r="U45" i="5"/>
  <c r="AO45" i="5" s="1"/>
  <c r="AT65" i="5"/>
  <c r="AU65" i="5" s="1"/>
  <c r="AT67" i="5"/>
  <c r="AU67" i="5" s="1"/>
  <c r="AT70" i="5"/>
  <c r="AU70" i="5" s="1"/>
  <c r="AA97" i="5"/>
  <c r="AX97" i="5" s="1"/>
  <c r="U62" i="5"/>
  <c r="AO62" i="5" s="1"/>
  <c r="U11" i="5"/>
  <c r="AO11" i="5" s="1"/>
  <c r="U79" i="5"/>
  <c r="AO79" i="5" s="1"/>
  <c r="U28" i="5"/>
  <c r="AO28" i="5" s="1"/>
  <c r="AT53" i="5"/>
  <c r="AT59" i="5"/>
  <c r="AU59" i="5" s="1"/>
  <c r="AO61" i="5"/>
  <c r="AO10" i="5"/>
  <c r="U72" i="5"/>
  <c r="AO72" i="5" s="1"/>
  <c r="U21" i="5"/>
  <c r="AO21" i="5" s="1"/>
  <c r="U88" i="5"/>
  <c r="AO88" i="5" s="1"/>
  <c r="U37" i="5"/>
  <c r="AO37" i="5" s="1"/>
  <c r="AT55" i="5"/>
  <c r="AT58" i="5"/>
  <c r="AU58" i="5" s="1"/>
  <c r="AT62" i="5"/>
  <c r="AU62" i="5" s="1"/>
  <c r="AT64" i="5"/>
  <c r="AA101" i="5"/>
  <c r="AX101" i="5" s="1"/>
  <c r="AT74" i="5"/>
  <c r="AU74" i="5" s="1"/>
  <c r="AT79" i="5"/>
  <c r="AU79" i="5" s="1"/>
  <c r="U87" i="5"/>
  <c r="AO87" i="5" s="1"/>
  <c r="U36" i="5"/>
  <c r="AO36" i="5" s="1"/>
  <c r="AT54" i="5"/>
  <c r="AA77" i="5"/>
  <c r="AX77" i="5" s="1"/>
  <c r="AA81" i="5"/>
  <c r="AX81" i="5" s="1"/>
  <c r="AN82" i="5"/>
  <c r="AA85" i="5"/>
  <c r="AX85" i="5" s="1"/>
  <c r="AN86" i="5"/>
  <c r="AT88" i="5"/>
  <c r="AU88" i="5" s="1"/>
  <c r="AA91" i="5"/>
  <c r="AX91" i="5" s="1"/>
  <c r="AT92" i="5"/>
  <c r="AU92" i="5" s="1"/>
  <c r="AA95" i="5"/>
  <c r="AX95" i="5" s="1"/>
  <c r="AT96" i="5"/>
  <c r="AU96" i="5" s="1"/>
  <c r="AA99" i="5"/>
  <c r="AX99" i="5" s="1"/>
  <c r="AT100" i="5"/>
  <c r="AU100" i="5" s="1"/>
  <c r="AT83" i="5"/>
  <c r="AU83" i="5" s="1"/>
  <c r="AO76" i="5"/>
  <c r="AC76" i="5"/>
  <c r="AZ76" i="5" s="1"/>
  <c r="U84" i="5"/>
  <c r="AO84" i="5" s="1"/>
  <c r="U33" i="5"/>
  <c r="AO33" i="5" s="1"/>
  <c r="AT69" i="5"/>
  <c r="AU69" i="5" s="1"/>
  <c r="AA90" i="5"/>
  <c r="AX90" i="5" s="1"/>
  <c r="AA94" i="5"/>
  <c r="AX94" i="5" s="1"/>
  <c r="AA98" i="5"/>
  <c r="AX98" i="5" s="1"/>
  <c r="AA57" i="5"/>
  <c r="AX57" i="5" s="1"/>
  <c r="AT63" i="5"/>
  <c r="AT66" i="5"/>
  <c r="AU66" i="5" s="1"/>
  <c r="AB25" i="5"/>
  <c r="AB26" i="5"/>
  <c r="AB27" i="5" s="1"/>
  <c r="AB28" i="5" s="1"/>
  <c r="AB29" i="5" s="1"/>
  <c r="AB30" i="5" s="1"/>
  <c r="AB31" i="5" s="1"/>
  <c r="AB32" i="5" s="1"/>
  <c r="AB33" i="5" s="1"/>
  <c r="AB34" i="5" s="1"/>
  <c r="AB35" i="5" s="1"/>
  <c r="AB36" i="5" s="1"/>
  <c r="AB37" i="5" s="1"/>
  <c r="AB38" i="5" s="1"/>
  <c r="AB39" i="5" s="1"/>
  <c r="AB40" i="5" s="1"/>
  <c r="AB41" i="5" s="1"/>
  <c r="AB42" i="5" s="1"/>
  <c r="AB43" i="5" s="1"/>
  <c r="AB44" i="5" s="1"/>
  <c r="AB45" i="5" s="1"/>
  <c r="AB46" i="5" s="1"/>
  <c r="AB47" i="5" s="1"/>
  <c r="AB48" i="5" s="1"/>
  <c r="AB49" i="5" s="1"/>
  <c r="AB50" i="5" s="1"/>
  <c r="AB51" i="5" s="1"/>
  <c r="AB52" i="5" s="1"/>
  <c r="AB53" i="5" s="1"/>
  <c r="AB54" i="5" s="1"/>
  <c r="AB55" i="5" s="1"/>
  <c r="AB56" i="5" s="1"/>
  <c r="AB57" i="5" s="1"/>
  <c r="AB58" i="5" s="1"/>
  <c r="AB59" i="5" s="1"/>
  <c r="AB60" i="5" s="1"/>
  <c r="AB61" i="5" s="1"/>
  <c r="AB62" i="5" s="1"/>
  <c r="AB63" i="5" s="1"/>
  <c r="AB64" i="5" s="1"/>
  <c r="AB65" i="5" s="1"/>
  <c r="AB66" i="5" s="1"/>
  <c r="AB67" i="5" s="1"/>
  <c r="AB68" i="5" s="1"/>
  <c r="AB69" i="5" s="1"/>
  <c r="AB70" i="5" s="1"/>
  <c r="AB71" i="5" s="1"/>
  <c r="AB72" i="5" s="1"/>
  <c r="AB73" i="5" s="1"/>
  <c r="AB74" i="5" s="1"/>
  <c r="AB75" i="5" s="1"/>
  <c r="U81" i="5"/>
  <c r="AO81" i="5" s="1"/>
  <c r="U30" i="5"/>
  <c r="AO30" i="5" s="1"/>
  <c r="U97" i="5"/>
  <c r="AO97" i="5" s="1"/>
  <c r="U46" i="5"/>
  <c r="AO46" i="5" s="1"/>
  <c r="U71" i="5"/>
  <c r="AO71" i="5" s="1"/>
  <c r="U20" i="5"/>
  <c r="AO20" i="5" s="1"/>
  <c r="AO2" i="5"/>
  <c r="AA2" i="5"/>
  <c r="AX2" i="5" s="1"/>
  <c r="AO4" i="5"/>
  <c r="U8" i="5"/>
  <c r="AO8" i="5" s="1"/>
  <c r="AO12" i="5"/>
  <c r="U16" i="5"/>
  <c r="AO16" i="5" s="1"/>
  <c r="U70" i="5"/>
  <c r="AO70" i="5" s="1"/>
  <c r="U19" i="5"/>
  <c r="AO19" i="5" s="1"/>
  <c r="U85" i="5"/>
  <c r="AO85" i="5" s="1"/>
  <c r="U34" i="5"/>
  <c r="AO34" i="5" s="1"/>
  <c r="U101" i="5"/>
  <c r="AO101" i="5" s="1"/>
  <c r="U50" i="5"/>
  <c r="AO50" i="5" s="1"/>
  <c r="U74" i="5"/>
  <c r="AO74" i="5" s="1"/>
  <c r="U23" i="5"/>
  <c r="AO23" i="5" s="1"/>
  <c r="U77" i="5"/>
  <c r="AO77" i="5" s="1"/>
  <c r="U26" i="5"/>
  <c r="AO26" i="5" s="1"/>
  <c r="U93" i="5"/>
  <c r="AO93" i="5" s="1"/>
  <c r="U42" i="5"/>
  <c r="AO42" i="5" s="1"/>
  <c r="U9" i="5"/>
  <c r="AO9" i="5" s="1"/>
  <c r="AO13" i="5"/>
  <c r="U17" i="5"/>
  <c r="AO17" i="5" s="1"/>
  <c r="U89" i="5"/>
  <c r="AO89" i="5" s="1"/>
  <c r="U38" i="5"/>
  <c r="AO38" i="5" s="1"/>
  <c r="U51" i="5"/>
  <c r="AO51" i="5" s="1"/>
  <c r="U27" i="5"/>
  <c r="AO27" i="5" s="1"/>
  <c r="U31" i="5"/>
  <c r="AO31" i="5" s="1"/>
  <c r="U35" i="5"/>
  <c r="AO35" i="5" s="1"/>
  <c r="U39" i="5"/>
  <c r="AO39" i="5" s="1"/>
  <c r="U43" i="5"/>
  <c r="AO43" i="5" s="1"/>
  <c r="U47" i="5"/>
  <c r="AO47" i="5" s="1"/>
  <c r="AC59" i="5"/>
  <c r="AZ59" i="5" s="1"/>
  <c r="AI17" i="5"/>
  <c r="AC52" i="5"/>
  <c r="AZ52" i="5" s="1"/>
  <c r="Q17" i="5"/>
  <c r="AK17" i="5" s="1"/>
  <c r="AI100" i="5"/>
  <c r="Q100" i="5"/>
  <c r="AK100" i="5" s="1"/>
  <c r="Q59" i="5"/>
  <c r="AK59" i="5" s="1"/>
  <c r="AI84" i="5"/>
  <c r="Q84" i="5"/>
  <c r="AK84" i="5" s="1"/>
  <c r="Q91" i="5"/>
  <c r="AK91" i="5" s="1"/>
  <c r="Q25" i="5"/>
  <c r="AK24" i="5" s="1"/>
  <c r="AI59" i="5"/>
  <c r="Q66" i="5"/>
  <c r="AK66" i="5" s="1"/>
  <c r="Q24" i="5"/>
  <c r="AI72" i="5"/>
  <c r="Q96" i="5"/>
  <c r="AK96" i="5" s="1"/>
  <c r="Q72" i="5"/>
  <c r="AK72" i="5" s="1"/>
  <c r="Q26" i="5"/>
  <c r="AK26" i="5" s="1"/>
  <c r="AI21" i="5"/>
  <c r="AI38" i="5"/>
  <c r="AI50" i="5"/>
  <c r="AC99" i="5"/>
  <c r="AZ99" i="5" s="1"/>
  <c r="Q5" i="5"/>
  <c r="AK5" i="5" s="1"/>
  <c r="Q20" i="5"/>
  <c r="AK20" i="5" s="1"/>
  <c r="Q21" i="5"/>
  <c r="AK21" i="5" s="1"/>
  <c r="Q33" i="5"/>
  <c r="AK33" i="5" s="1"/>
  <c r="Q38" i="5"/>
  <c r="AK38" i="5" s="1"/>
  <c r="AI45" i="5"/>
  <c r="Q50" i="5"/>
  <c r="AK50" i="5" s="1"/>
  <c r="Q64" i="5"/>
  <c r="AK64" i="5" s="1"/>
  <c r="Q74" i="5"/>
  <c r="AK74" i="5" s="1"/>
  <c r="Q79" i="5"/>
  <c r="AK79" i="5" s="1"/>
  <c r="Q99" i="5"/>
  <c r="AK99" i="5" s="1"/>
  <c r="AI5" i="5"/>
  <c r="Z3" i="5"/>
  <c r="Z4" i="5" s="1"/>
  <c r="Z5" i="5" s="1"/>
  <c r="Z6" i="5" s="1"/>
  <c r="Z7" i="5" s="1"/>
  <c r="Z8" i="5" s="1"/>
  <c r="Z9" i="5" s="1"/>
  <c r="Z10" i="5" s="1"/>
  <c r="Z11" i="5" s="1"/>
  <c r="Z12" i="5" s="1"/>
  <c r="Z13" i="5" s="1"/>
  <c r="Z14" i="5" s="1"/>
  <c r="Z15" i="5" s="1"/>
  <c r="Z16" i="5" s="1"/>
  <c r="Z17" i="5" s="1"/>
  <c r="Z18" i="5" s="1"/>
  <c r="Z19" i="5" s="1"/>
  <c r="Z20" i="5" s="1"/>
  <c r="Z21" i="5" s="1"/>
  <c r="Z22" i="5" s="1"/>
  <c r="Z23" i="5" s="1"/>
  <c r="Z24" i="5" s="1"/>
  <c r="Q8" i="5"/>
  <c r="AK8" i="5" s="1"/>
  <c r="Q29" i="5"/>
  <c r="AK29" i="5" s="1"/>
  <c r="Q41" i="5"/>
  <c r="AK41" i="5" s="1"/>
  <c r="Q45" i="5"/>
  <c r="AK45" i="5" s="1"/>
  <c r="Q88" i="5"/>
  <c r="AK88" i="5" s="1"/>
  <c r="AI7" i="5"/>
  <c r="AI3" i="5"/>
  <c r="AC68" i="5"/>
  <c r="AZ68" i="5" s="1"/>
  <c r="AC92" i="5"/>
  <c r="AZ92" i="5" s="1"/>
  <c r="Q2" i="5"/>
  <c r="AK2" i="5" s="1"/>
  <c r="Q13" i="5"/>
  <c r="AK13" i="5" s="1"/>
  <c r="AI13" i="5"/>
  <c r="Q34" i="5"/>
  <c r="AK34" i="5" s="1"/>
  <c r="Q46" i="5"/>
  <c r="AK46" i="5" s="1"/>
  <c r="AI75" i="5"/>
  <c r="Q83" i="5"/>
  <c r="AK83" i="5" s="1"/>
  <c r="Q92" i="5"/>
  <c r="AK92" i="5" s="1"/>
  <c r="Q95" i="5"/>
  <c r="AK95" i="5" s="1"/>
  <c r="Q4" i="5"/>
  <c r="AK4" i="5" s="1"/>
  <c r="Q16" i="5"/>
  <c r="AK16" i="5" s="1"/>
  <c r="AI24" i="5"/>
  <c r="Q30" i="5"/>
  <c r="AK30" i="5" s="1"/>
  <c r="Q37" i="5"/>
  <c r="AK37" i="5" s="1"/>
  <c r="Q49" i="5"/>
  <c r="AK49" i="5" s="1"/>
  <c r="Q57" i="5"/>
  <c r="AK57" i="5" s="1"/>
  <c r="Q68" i="5"/>
  <c r="AK68" i="5" s="1"/>
  <c r="Q9" i="5"/>
  <c r="AK9" i="5" s="1"/>
  <c r="Q12" i="5"/>
  <c r="AK12" i="5" s="1"/>
  <c r="Q27" i="5"/>
  <c r="AK27" i="5" s="1"/>
  <c r="Q42" i="5"/>
  <c r="AK42" i="5" s="1"/>
  <c r="Q53" i="5"/>
  <c r="AK53" i="5" s="1"/>
  <c r="Q56" i="5"/>
  <c r="AK56" i="5" s="1"/>
  <c r="Q61" i="5"/>
  <c r="AK61" i="5" s="1"/>
  <c r="Q70" i="5"/>
  <c r="AK70" i="5" s="1"/>
  <c r="Q80" i="5"/>
  <c r="AK80" i="5" s="1"/>
  <c r="Q87" i="5"/>
  <c r="AK87" i="5" s="1"/>
  <c r="AI11" i="5"/>
  <c r="AI15" i="5"/>
  <c r="AI19" i="5"/>
  <c r="AI23" i="5"/>
  <c r="AI39" i="5"/>
  <c r="Q39" i="5"/>
  <c r="AK39" i="5" s="1"/>
  <c r="Q48" i="5"/>
  <c r="AK48" i="5" s="1"/>
  <c r="AI63" i="5"/>
  <c r="Q63" i="5"/>
  <c r="AK63" i="5" s="1"/>
  <c r="Q32" i="5"/>
  <c r="AK32" i="5" s="1"/>
  <c r="Q36" i="5"/>
  <c r="AK36" i="5" s="1"/>
  <c r="AI43" i="5"/>
  <c r="Q43" i="5"/>
  <c r="AK43" i="5" s="1"/>
  <c r="AI48" i="5"/>
  <c r="AI60" i="5"/>
  <c r="Q60" i="5"/>
  <c r="AK60" i="5" s="1"/>
  <c r="AC60" i="5"/>
  <c r="AZ60" i="5" s="1"/>
  <c r="Q10" i="5"/>
  <c r="AK10" i="5" s="1"/>
  <c r="Q14" i="5"/>
  <c r="AK14" i="5" s="1"/>
  <c r="Q18" i="5"/>
  <c r="AK18" i="5" s="1"/>
  <c r="Q22" i="5"/>
  <c r="AK22" i="5" s="1"/>
  <c r="Q28" i="5"/>
  <c r="AK28" i="5" s="1"/>
  <c r="AI28" i="5"/>
  <c r="Q31" i="5"/>
  <c r="AK31" i="5" s="1"/>
  <c r="AI32" i="5"/>
  <c r="Q35" i="5"/>
  <c r="AK35" i="5" s="1"/>
  <c r="AI36" i="5"/>
  <c r="Q40" i="5"/>
  <c r="AK40" i="5" s="1"/>
  <c r="AI47" i="5"/>
  <c r="Q47" i="5"/>
  <c r="AK47" i="5" s="1"/>
  <c r="AC2" i="5"/>
  <c r="AZ2" i="5" s="1"/>
  <c r="Q6" i="5"/>
  <c r="AK6" i="5" s="1"/>
  <c r="Q3" i="5"/>
  <c r="AK3" i="5" s="1"/>
  <c r="Q7" i="5"/>
  <c r="AK7" i="5" s="1"/>
  <c r="Q11" i="5"/>
  <c r="AK11" i="5" s="1"/>
  <c r="Q15" i="5"/>
  <c r="AK15" i="5" s="1"/>
  <c r="Q19" i="5"/>
  <c r="AK19" i="5" s="1"/>
  <c r="Q23" i="5"/>
  <c r="AK23" i="5" s="1"/>
  <c r="Q44" i="5"/>
  <c r="AK44" i="5" s="1"/>
  <c r="Q54" i="5"/>
  <c r="AK54" i="5" s="1"/>
  <c r="AI54" i="5"/>
  <c r="Q62" i="5"/>
  <c r="AK62" i="5" s="1"/>
  <c r="AI62" i="5"/>
  <c r="AI102" i="5"/>
  <c r="Q102" i="5"/>
  <c r="AK102" i="5" s="1"/>
  <c r="AC102" i="5"/>
  <c r="AZ102" i="5" s="1"/>
  <c r="Q65" i="5"/>
  <c r="AK65" i="5" s="1"/>
  <c r="AI67" i="5"/>
  <c r="AC67" i="5"/>
  <c r="AZ67" i="5" s="1"/>
  <c r="Q67" i="5"/>
  <c r="AK67" i="5" s="1"/>
  <c r="AI69" i="5"/>
  <c r="Q69" i="5"/>
  <c r="AK69" i="5" s="1"/>
  <c r="AI71" i="5"/>
  <c r="Q71" i="5"/>
  <c r="AK71" i="5" s="1"/>
  <c r="AI73" i="5"/>
  <c r="Q73" i="5"/>
  <c r="AK73" i="5" s="1"/>
  <c r="Q77" i="5"/>
  <c r="AK77" i="5" s="1"/>
  <c r="AI78" i="5"/>
  <c r="AC78" i="5"/>
  <c r="AZ78" i="5" s="1"/>
  <c r="Q78" i="5"/>
  <c r="AK78" i="5" s="1"/>
  <c r="Q81" i="5"/>
  <c r="AK81" i="5" s="1"/>
  <c r="AI82" i="5"/>
  <c r="AC82" i="5"/>
  <c r="AZ82" i="5" s="1"/>
  <c r="Q82" i="5"/>
  <c r="AK82" i="5" s="1"/>
  <c r="Q85" i="5"/>
  <c r="AK85" i="5" s="1"/>
  <c r="AI86" i="5"/>
  <c r="AC86" i="5"/>
  <c r="AZ86" i="5" s="1"/>
  <c r="Q86" i="5"/>
  <c r="AK86" i="5" s="1"/>
  <c r="Q89" i="5"/>
  <c r="AK89" i="5" s="1"/>
  <c r="AI90" i="5"/>
  <c r="AC90" i="5"/>
  <c r="AZ90" i="5" s="1"/>
  <c r="Q90" i="5"/>
  <c r="AK90" i="5" s="1"/>
  <c r="Q93" i="5"/>
  <c r="AK93" i="5" s="1"/>
  <c r="AI94" i="5"/>
  <c r="AC94" i="5"/>
  <c r="AZ94" i="5" s="1"/>
  <c r="Q94" i="5"/>
  <c r="AK94" i="5" s="1"/>
  <c r="Q51" i="5"/>
  <c r="AK51" i="5" s="1"/>
  <c r="Q52" i="5"/>
  <c r="AK52" i="5" s="1"/>
  <c r="Q55" i="5"/>
  <c r="AK55" i="5" s="1"/>
  <c r="Q58" i="5"/>
  <c r="AK58" i="5" s="1"/>
  <c r="AI65" i="5"/>
  <c r="AI77" i="5"/>
  <c r="AI81" i="5"/>
  <c r="AI85" i="5"/>
  <c r="AI89" i="5"/>
  <c r="Q97" i="5"/>
  <c r="AK97" i="5" s="1"/>
  <c r="AI98" i="5"/>
  <c r="AC98" i="5"/>
  <c r="AZ98" i="5" s="1"/>
  <c r="Q98" i="5"/>
  <c r="AK98" i="5" s="1"/>
  <c r="Q101" i="5"/>
  <c r="AK101" i="5" s="1"/>
  <c r="AC53" i="5" l="1"/>
  <c r="AZ53" i="5" s="1"/>
  <c r="AC57" i="5"/>
  <c r="AZ57" i="5" s="1"/>
  <c r="O53" i="5"/>
  <c r="AC64" i="5"/>
  <c r="AZ64" i="5" s="1"/>
  <c r="AC100" i="5"/>
  <c r="AZ100" i="5" s="1"/>
  <c r="O57" i="5"/>
  <c r="O64" i="5"/>
  <c r="O55" i="5"/>
  <c r="AC93" i="5"/>
  <c r="AZ93" i="5" s="1"/>
  <c r="AC63" i="5"/>
  <c r="AZ63" i="5" s="1"/>
  <c r="O63" i="5"/>
  <c r="O58" i="5"/>
  <c r="O46" i="5"/>
  <c r="O89" i="5"/>
  <c r="AC55" i="5"/>
  <c r="AZ55" i="5" s="1"/>
  <c r="O97" i="5"/>
  <c r="O95" i="5"/>
  <c r="AC8" i="5"/>
  <c r="AZ8" i="5" s="1"/>
  <c r="AC26" i="5"/>
  <c r="AZ26" i="5" s="1"/>
  <c r="AA53" i="5"/>
  <c r="AX53" i="5" s="1"/>
  <c r="O22" i="5"/>
  <c r="O48" i="5"/>
  <c r="O56" i="5"/>
  <c r="O54" i="5"/>
  <c r="O23" i="5"/>
  <c r="O65" i="5"/>
  <c r="AO56" i="5"/>
  <c r="AO54" i="5"/>
  <c r="O34" i="5"/>
  <c r="O31" i="5"/>
  <c r="O40" i="5"/>
  <c r="O74" i="5"/>
  <c r="O20" i="5"/>
  <c r="O70" i="5"/>
  <c r="AC91" i="5"/>
  <c r="AZ91" i="5" s="1"/>
  <c r="O101" i="5"/>
  <c r="O96" i="5"/>
  <c r="O88" i="5"/>
  <c r="O80" i="5"/>
  <c r="O39" i="5"/>
  <c r="O33" i="5"/>
  <c r="O21" i="5"/>
  <c r="O16" i="5"/>
  <c r="O9" i="5"/>
  <c r="O2" i="5"/>
  <c r="O42" i="5"/>
  <c r="O83" i="5"/>
  <c r="O73" i="5"/>
  <c r="O69" i="5"/>
  <c r="O66" i="5"/>
  <c r="O37" i="5"/>
  <c r="O27" i="5"/>
  <c r="O7" i="5"/>
  <c r="O11" i="5"/>
  <c r="AC25" i="5"/>
  <c r="O25" i="5"/>
  <c r="O3" i="5"/>
  <c r="O93" i="5"/>
  <c r="O85" i="5"/>
  <c r="O77" i="5"/>
  <c r="O47" i="5"/>
  <c r="O41" i="5"/>
  <c r="O35" i="5"/>
  <c r="O29" i="5"/>
  <c r="O18" i="5"/>
  <c r="O61" i="5"/>
  <c r="O49" i="5"/>
  <c r="O30" i="5"/>
  <c r="O19" i="5"/>
  <c r="O12" i="5"/>
  <c r="O6" i="5"/>
  <c r="O4" i="5"/>
  <c r="O87" i="5"/>
  <c r="O72" i="5"/>
  <c r="O62" i="5"/>
  <c r="O50" i="5"/>
  <c r="O14" i="5"/>
  <c r="O81" i="5"/>
  <c r="O100" i="5"/>
  <c r="O84" i="5"/>
  <c r="O45" i="5"/>
  <c r="O38" i="5"/>
  <c r="O28" i="5"/>
  <c r="O17" i="5"/>
  <c r="O15" i="5"/>
  <c r="O8" i="5"/>
  <c r="O43" i="5"/>
  <c r="O36" i="5"/>
  <c r="O91" i="5"/>
  <c r="O79" i="5"/>
  <c r="O71" i="5"/>
  <c r="O44" i="5"/>
  <c r="O32" i="5"/>
  <c r="O26" i="5"/>
  <c r="AC37" i="5"/>
  <c r="AZ37" i="5" s="1"/>
  <c r="AC6" i="5"/>
  <c r="AZ6" i="5" s="1"/>
  <c r="AC22" i="5"/>
  <c r="AZ22" i="5" s="1"/>
  <c r="AC18" i="5"/>
  <c r="AZ18" i="5" s="1"/>
  <c r="AC48" i="5"/>
  <c r="AZ48" i="5" s="1"/>
  <c r="AC29" i="5"/>
  <c r="AZ29" i="5" s="1"/>
  <c r="AC24" i="5"/>
  <c r="AZ24" i="5" s="1"/>
  <c r="AC5" i="5"/>
  <c r="AZ5" i="5" s="1"/>
  <c r="AC14" i="5"/>
  <c r="AZ14" i="5" s="1"/>
  <c r="AC95" i="5"/>
  <c r="AZ95" i="5" s="1"/>
  <c r="AC41" i="5"/>
  <c r="AZ41" i="5" s="1"/>
  <c r="AC20" i="5"/>
  <c r="AZ20" i="5" s="1"/>
  <c r="AC84" i="5"/>
  <c r="AZ84" i="5" s="1"/>
  <c r="AC88" i="5"/>
  <c r="AZ88" i="5" s="1"/>
  <c r="AC36" i="5"/>
  <c r="AZ36" i="5" s="1"/>
  <c r="AC30" i="5"/>
  <c r="AZ30" i="5" s="1"/>
  <c r="AC16" i="5"/>
  <c r="AZ16" i="5" s="1"/>
  <c r="AC101" i="5"/>
  <c r="AZ101" i="5" s="1"/>
  <c r="AC35" i="5"/>
  <c r="AZ35" i="5" s="1"/>
  <c r="AC12" i="5"/>
  <c r="AZ12" i="5" s="1"/>
  <c r="AC83" i="5"/>
  <c r="AZ83" i="5" s="1"/>
  <c r="AC7" i="5"/>
  <c r="AZ7" i="5" s="1"/>
  <c r="AC34" i="5"/>
  <c r="AZ34" i="5" s="1"/>
  <c r="AC87" i="5"/>
  <c r="AZ87" i="5" s="1"/>
  <c r="AC28" i="5"/>
  <c r="AZ28" i="5" s="1"/>
  <c r="AC97" i="5"/>
  <c r="AZ97" i="5" s="1"/>
  <c r="AC65" i="5"/>
  <c r="AZ65" i="5" s="1"/>
  <c r="AC40" i="5"/>
  <c r="AZ40" i="5" s="1"/>
  <c r="AC32" i="5"/>
  <c r="AZ32" i="5" s="1"/>
  <c r="AC61" i="5"/>
  <c r="AZ61" i="5" s="1"/>
  <c r="AC15" i="5"/>
  <c r="AZ15" i="5" s="1"/>
  <c r="AC47" i="5"/>
  <c r="AZ47" i="5" s="1"/>
  <c r="AC80" i="5"/>
  <c r="AZ80" i="5" s="1"/>
  <c r="AC42" i="5"/>
  <c r="AZ42" i="5" s="1"/>
  <c r="AC3" i="5"/>
  <c r="AZ3" i="5" s="1"/>
  <c r="AC45" i="5"/>
  <c r="AZ45" i="5" s="1"/>
  <c r="AC58" i="5"/>
  <c r="AZ58" i="5" s="1"/>
  <c r="AC69" i="5"/>
  <c r="AZ69" i="5" s="1"/>
  <c r="AC62" i="5"/>
  <c r="AZ62" i="5" s="1"/>
  <c r="AC49" i="5"/>
  <c r="AZ49" i="5" s="1"/>
  <c r="AC74" i="5"/>
  <c r="AZ74" i="5" s="1"/>
  <c r="AC33" i="5"/>
  <c r="AZ33" i="5" s="1"/>
  <c r="AC66" i="5"/>
  <c r="AZ66" i="5" s="1"/>
  <c r="AC21" i="5"/>
  <c r="AZ21" i="5" s="1"/>
  <c r="AC11" i="5"/>
  <c r="AZ11" i="5" s="1"/>
  <c r="AC10" i="5"/>
  <c r="AZ10" i="5" s="1"/>
  <c r="AC39" i="5"/>
  <c r="AZ39" i="5" s="1"/>
  <c r="AC27" i="5"/>
  <c r="AZ27" i="5" s="1"/>
  <c r="AC46" i="5"/>
  <c r="AZ46" i="5" s="1"/>
  <c r="AC72" i="5"/>
  <c r="AZ72" i="5" s="1"/>
  <c r="AC50" i="5"/>
  <c r="AZ50" i="5" s="1"/>
  <c r="AC13" i="5"/>
  <c r="AZ13" i="5" s="1"/>
  <c r="AC73" i="5"/>
  <c r="AZ73" i="5" s="1"/>
  <c r="AC43" i="5"/>
  <c r="AZ43" i="5" s="1"/>
  <c r="AC96" i="5"/>
  <c r="AZ96" i="5" s="1"/>
  <c r="AB77" i="5"/>
  <c r="AB78" i="5" s="1"/>
  <c r="AB79" i="5" s="1"/>
  <c r="AB80" i="5" s="1"/>
  <c r="AB81" i="5" s="1"/>
  <c r="AB82" i="5" s="1"/>
  <c r="AB83" i="5" s="1"/>
  <c r="AB84" i="5" s="1"/>
  <c r="AB85" i="5" s="1"/>
  <c r="AB86" i="5" s="1"/>
  <c r="AB87" i="5" s="1"/>
  <c r="AB88" i="5" s="1"/>
  <c r="AB89" i="5" s="1"/>
  <c r="AB90" i="5" s="1"/>
  <c r="AB91" i="5" s="1"/>
  <c r="AB92" i="5" s="1"/>
  <c r="AB93" i="5" s="1"/>
  <c r="AB94" i="5" s="1"/>
  <c r="AB95" i="5" s="1"/>
  <c r="AB96" i="5" s="1"/>
  <c r="AB97" i="5" s="1"/>
  <c r="AB98" i="5" s="1"/>
  <c r="AB99" i="5" s="1"/>
  <c r="AB100" i="5" s="1"/>
  <c r="AB101" i="5" s="1"/>
  <c r="AB102" i="5" s="1"/>
  <c r="AB76" i="5"/>
  <c r="AC85" i="5"/>
  <c r="AZ85" i="5" s="1"/>
  <c r="AC81" i="5"/>
  <c r="AZ81" i="5" s="1"/>
  <c r="AC44" i="5"/>
  <c r="AZ44" i="5" s="1"/>
  <c r="AC75" i="5"/>
  <c r="AZ75" i="5" s="1"/>
  <c r="AC4" i="5"/>
  <c r="AZ4" i="5" s="1"/>
  <c r="AC51" i="5"/>
  <c r="AZ51" i="5" s="1"/>
  <c r="AC79" i="5"/>
  <c r="AZ79" i="5" s="1"/>
  <c r="AC38" i="5"/>
  <c r="AZ38" i="5" s="1"/>
  <c r="AC19" i="5"/>
  <c r="AZ19" i="5" s="1"/>
  <c r="AC23" i="5"/>
  <c r="AZ23" i="5" s="1"/>
  <c r="AC77" i="5"/>
  <c r="AZ77" i="5" s="1"/>
  <c r="AC89" i="5"/>
  <c r="AZ89" i="5" s="1"/>
  <c r="AC71" i="5"/>
  <c r="AZ71" i="5" s="1"/>
  <c r="AC9" i="5"/>
  <c r="AZ9" i="5" s="1"/>
  <c r="AC17" i="5"/>
  <c r="AZ17" i="5" s="1"/>
  <c r="AC31" i="5"/>
  <c r="AZ31" i="5" s="1"/>
  <c r="AC70" i="5"/>
  <c r="AZ70" i="5" s="1"/>
  <c r="Z26" i="5"/>
  <c r="Z27" i="5" s="1"/>
  <c r="Z28" i="5" s="1"/>
  <c r="Z29" i="5" s="1"/>
  <c r="Z30" i="5" s="1"/>
  <c r="Z31" i="5" s="1"/>
  <c r="Z32" i="5" s="1"/>
  <c r="Z33" i="5" s="1"/>
  <c r="Z34" i="5" s="1"/>
  <c r="Z35" i="5" s="1"/>
  <c r="Z36" i="5" s="1"/>
  <c r="Z37" i="5" s="1"/>
  <c r="Z38" i="5" s="1"/>
  <c r="Z39" i="5" s="1"/>
  <c r="Z40" i="5" s="1"/>
  <c r="Z41" i="5" s="1"/>
  <c r="Z42" i="5" s="1"/>
  <c r="Z43" i="5" s="1"/>
  <c r="Z44" i="5" s="1"/>
  <c r="Z45" i="5" s="1"/>
  <c r="Z46" i="5" s="1"/>
  <c r="Z47" i="5" s="1"/>
  <c r="Z48" i="5" s="1"/>
  <c r="Z49" i="5" s="1"/>
  <c r="Z50" i="5" s="1"/>
  <c r="Z51" i="5" s="1"/>
  <c r="Z52" i="5" s="1"/>
  <c r="Z53" i="5" s="1"/>
  <c r="Z54" i="5" s="1"/>
  <c r="Z55" i="5" s="1"/>
  <c r="Z56" i="5" s="1"/>
  <c r="Z57" i="5" s="1"/>
  <c r="Z58" i="5" s="1"/>
  <c r="Z59" i="5" s="1"/>
  <c r="Z60" i="5" s="1"/>
  <c r="Z61" i="5" s="1"/>
  <c r="Z62" i="5" s="1"/>
  <c r="Z63" i="5" s="1"/>
  <c r="Z64" i="5" s="1"/>
  <c r="Z65" i="5" s="1"/>
  <c r="Z66" i="5" s="1"/>
  <c r="Z67" i="5" s="1"/>
  <c r="Z68" i="5" s="1"/>
  <c r="Z69" i="5" s="1"/>
  <c r="Z70" i="5" s="1"/>
  <c r="Z71" i="5" s="1"/>
  <c r="Z72" i="5" s="1"/>
  <c r="Z73" i="5" s="1"/>
  <c r="Z74" i="5" s="1"/>
  <c r="Z75" i="5" s="1"/>
  <c r="Z25" i="5"/>
  <c r="Z77" i="5" l="1"/>
  <c r="Z78" i="5" s="1"/>
  <c r="Z79" i="5" s="1"/>
  <c r="Z80" i="5" s="1"/>
  <c r="Z81" i="5" s="1"/>
  <c r="Z82" i="5" s="1"/>
  <c r="Z83" i="5" s="1"/>
  <c r="Z84" i="5" s="1"/>
  <c r="Z85" i="5" s="1"/>
  <c r="Z86" i="5" s="1"/>
  <c r="Z87" i="5" s="1"/>
  <c r="Z88" i="5" s="1"/>
  <c r="Z89" i="5" s="1"/>
  <c r="Z90" i="5" s="1"/>
  <c r="Z91" i="5" s="1"/>
  <c r="Z92" i="5" s="1"/>
  <c r="Z93" i="5" s="1"/>
  <c r="Z94" i="5" s="1"/>
  <c r="Z95" i="5" s="1"/>
  <c r="Z96" i="5" s="1"/>
  <c r="Z97" i="5" s="1"/>
  <c r="Z98" i="5" s="1"/>
  <c r="Z99" i="5" s="1"/>
  <c r="Z100" i="5" s="1"/>
  <c r="Z101" i="5" s="1"/>
  <c r="Z102" i="5" s="1"/>
  <c r="Z76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 Newell</author>
  </authors>
  <commentList>
    <comment ref="R1" authorId="0" shapeId="0" xr:uid="{D721AAF4-8A78-486A-A169-9B4D25F2F6C9}">
      <text>
        <r>
          <rPr>
            <b/>
            <sz val="9"/>
            <color indexed="81"/>
            <rFont val="Tahoma"/>
            <family val="2"/>
          </rPr>
          <t>Jo Newell:</t>
        </r>
        <r>
          <rPr>
            <sz val="9"/>
            <color indexed="81"/>
            <rFont val="Tahoma"/>
            <family val="2"/>
          </rPr>
          <t xml:space="preserve">
ExecType:
0 new deal
5 Edit
</t>
        </r>
      </text>
    </comment>
    <comment ref="AL1" authorId="0" shapeId="0" xr:uid="{C1C27707-11F1-4122-8490-407038EDB7FE}">
      <text>
        <r>
          <rPr>
            <b/>
            <sz val="9"/>
            <color indexed="81"/>
            <rFont val="Tahoma"/>
            <family val="2"/>
          </rPr>
          <t>Jo Newell:</t>
        </r>
        <r>
          <rPr>
            <sz val="9"/>
            <color indexed="81"/>
            <rFont val="Tahoma"/>
            <family val="2"/>
          </rPr>
          <t xml:space="preserve">
ExecType:
0 new deal
5 Edit
</t>
        </r>
      </text>
    </comment>
  </commentList>
</comments>
</file>

<file path=xl/sharedStrings.xml><?xml version="1.0" encoding="utf-8"?>
<sst xmlns="http://schemas.openxmlformats.org/spreadsheetml/2006/main" count="1078" uniqueCount="99">
  <si>
    <t>Customer payment instructions</t>
  </si>
  <si>
    <t>Case 1</t>
  </si>
  <si>
    <t>Cash Transfers</t>
  </si>
  <si>
    <t>FX trades</t>
  </si>
  <si>
    <t>Lock in FX trades</t>
  </si>
  <si>
    <t>Lock in individual instructions</t>
  </si>
  <si>
    <t>Currency</t>
  </si>
  <si>
    <t>Amount</t>
  </si>
  <si>
    <t>Rate</t>
  </si>
  <si>
    <t>USD</t>
  </si>
  <si>
    <t>BRL</t>
  </si>
  <si>
    <t>Incoming</t>
  </si>
  <si>
    <t>Customer payment Instr</t>
  </si>
  <si>
    <t>Outgoing</t>
  </si>
  <si>
    <t>Lock in</t>
  </si>
  <si>
    <t>Total no Lock-in</t>
  </si>
  <si>
    <t>Total Lock-in</t>
  </si>
  <si>
    <t>Total balances</t>
  </si>
  <si>
    <t>Pending</t>
  </si>
  <si>
    <t>Open Balance</t>
  </si>
  <si>
    <t xml:space="preserve">Accounts </t>
  </si>
  <si>
    <t>Funding method</t>
  </si>
  <si>
    <t>Cash flow control</t>
  </si>
  <si>
    <t>Lock-in activity</t>
  </si>
  <si>
    <t>USD and BRL</t>
  </si>
  <si>
    <t>BRL funds from conversion are available only 30 min after the trade</t>
  </si>
  <si>
    <t>Actions</t>
  </si>
  <si>
    <t>Issue a real-time liquidity dashboard in line with Instructions indicated</t>
  </si>
  <si>
    <t>Show step by step how balance is changing, when and why</t>
  </si>
  <si>
    <t>BRL 5110 USD 180000</t>
  </si>
  <si>
    <t>FX management</t>
  </si>
  <si>
    <t>HS is converting USD into BRL in line with forecasted balance in BRL</t>
  </si>
  <si>
    <t>Define opening balace on T+1 BRL and USD</t>
  </si>
  <si>
    <t xml:space="preserve">Brazil Bank </t>
  </si>
  <si>
    <t>Forecasted USD</t>
  </si>
  <si>
    <t>Actual USD</t>
  </si>
  <si>
    <t>Forecasted BRL</t>
  </si>
  <si>
    <t>Actual BRL</t>
  </si>
  <si>
    <t>Time</t>
  </si>
  <si>
    <t xml:space="preserve">Calculate Total revenue and trading PnL regular FX and Lock in FX </t>
  </si>
  <si>
    <t xml:space="preserve">No </t>
  </si>
  <si>
    <t>Amount BRL</t>
  </si>
  <si>
    <t>Amount USD</t>
  </si>
  <si>
    <t>Account Currency</t>
  </si>
  <si>
    <t>Closing statement Partner _day T</t>
  </si>
  <si>
    <t>Bank (Acc in hard ccy and local ccy)</t>
  </si>
  <si>
    <t>HS is funding in advance USD account via cash transfer (in this example we assume immediate available in actual balance)</t>
  </si>
  <si>
    <t>Key</t>
  </si>
  <si>
    <t>DealType</t>
  </si>
  <si>
    <t>MsgID</t>
  </si>
  <si>
    <t>ExecType</t>
  </si>
  <si>
    <t>TradeDate</t>
  </si>
  <si>
    <t>ExtRefNo</t>
  </si>
  <si>
    <t>ExternalCustomer</t>
  </si>
  <si>
    <t>Direction</t>
  </si>
  <si>
    <t>DealtCurrency</t>
  </si>
  <si>
    <t>DealtAmount</t>
  </si>
  <si>
    <t>Book</t>
  </si>
  <si>
    <t>ValueDate</t>
  </si>
  <si>
    <t>Notes</t>
  </si>
  <si>
    <t>MandatedUser</t>
  </si>
  <si>
    <t>Customer Payment Instruction</t>
  </si>
  <si>
    <t>PAY</t>
  </si>
  <si>
    <t>TYPE</t>
  </si>
  <si>
    <t>TIME</t>
  </si>
  <si>
    <t>CURRENCY</t>
  </si>
  <si>
    <t>AMOUNT</t>
  </si>
  <si>
    <t>DIR</t>
  </si>
  <si>
    <t>Cash Transfer</t>
  </si>
  <si>
    <t>RECEIVE</t>
  </si>
  <si>
    <t>LEI</t>
  </si>
  <si>
    <t xml:space="preserve"> </t>
  </si>
  <si>
    <t>AgainstCurrency</t>
  </si>
  <si>
    <t>AgainstAmount</t>
  </si>
  <si>
    <t>BUY</t>
  </si>
  <si>
    <t>vs</t>
  </si>
  <si>
    <t>FX Trade</t>
  </si>
  <si>
    <t>ACTUAL</t>
  </si>
  <si>
    <t>SELL</t>
  </si>
  <si>
    <t>PARTY</t>
  </si>
  <si>
    <t>BDB</t>
  </si>
  <si>
    <t>CPTYIMP</t>
  </si>
  <si>
    <t>ACTUALS</t>
  </si>
  <si>
    <t>ACT</t>
  </si>
  <si>
    <t>POST TYPE</t>
  </si>
  <si>
    <t>FORECAST</t>
  </si>
  <si>
    <t>BOOK</t>
  </si>
  <si>
    <t>CASHTX</t>
  </si>
  <si>
    <t>CUSTINST</t>
  </si>
  <si>
    <t>FX</t>
  </si>
  <si>
    <t>DEFAULT</t>
  </si>
  <si>
    <t>ParentExtRefNo</t>
  </si>
  <si>
    <t>Adjustment</t>
  </si>
  <si>
    <t>InterestRate</t>
  </si>
  <si>
    <t>Fixed</t>
  </si>
  <si>
    <t>RedefaultValues</t>
  </si>
  <si>
    <t>N</t>
  </si>
  <si>
    <t>Portfolio</t>
  </si>
  <si>
    <t>AM2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</si>
</sst>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000000"/>
    <numFmt numFmtId="165" formatCode="_-* #,##0.00\ _€_-;\-* #,##0.00\ _€_-;_-* &quot;-&quot;??\ _€_-;_-@_-"/>
    <numFmt numFmtId="166" formatCode="yyyy\-mm\-dd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i/>
      <sz val="9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indexed="8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indexed="8"/>
      <name val="Courier New"/>
      <family val="3"/>
    </font>
    <font>
      <sz val="11"/>
      <color theme="1"/>
      <name val="Courier New"/>
      <family val="3"/>
    </font>
    <font>
      <sz val="11"/>
      <color theme="0"/>
      <name val="Courier New"/>
      <family val="3"/>
    </font>
    <font>
      <b/>
      <sz val="11"/>
      <color theme="2"/>
      <name val="Courier New"/>
      <family val="3"/>
    </font>
    <font>
      <sz val="11"/>
      <name val="Courier New"/>
      <family val="3"/>
    </font>
  </fonts>
  <fills count="1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6"/>
      </patternFill>
    </fill>
    <fill>
      <patternFill patternType="solid">
        <fgColor theme="9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22"/>
        <bgColor indexed="0"/>
      </patternFill>
    </fill>
    <fill>
      <patternFill patternType="solid">
        <fgColor rgb="FFFFFF00"/>
        <bgColor indexed="0"/>
      </patternFill>
    </fill>
    <fill>
      <patternFill patternType="solid">
        <fgColor theme="1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10" fillId="0" borderId="0"/>
  </cellStyleXfs>
  <cellXfs count="189">
    <xf numFmtId="0" fontId="0" fillId="0" borderId="0" xfId="0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43" fontId="0" fillId="0" borderId="0" xfId="0" applyNumberFormat="1"/>
    <xf numFmtId="0" fontId="0" fillId="0" borderId="0" xfId="0" applyFill="1" applyBorder="1" applyAlignment="1">
      <alignment horizontal="center"/>
    </xf>
    <xf numFmtId="165" fontId="0" fillId="0" borderId="0" xfId="0" applyNumberFormat="1"/>
    <xf numFmtId="43" fontId="0" fillId="0" borderId="0" xfId="1" applyFont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" xfId="0" applyBorder="1" applyAlignment="1">
      <alignment horizontal="center"/>
    </xf>
    <xf numFmtId="0" fontId="4" fillId="0" borderId="0" xfId="0" applyFont="1"/>
    <xf numFmtId="43" fontId="0" fillId="7" borderId="3" xfId="1" applyFont="1" applyFill="1" applyBorder="1"/>
    <xf numFmtId="0" fontId="0" fillId="7" borderId="4" xfId="0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43" fontId="0" fillId="7" borderId="5" xfId="1" applyFont="1" applyFill="1" applyBorder="1"/>
    <xf numFmtId="0" fontId="0" fillId="8" borderId="4" xfId="0" applyFill="1" applyBorder="1" applyAlignment="1">
      <alignment horizontal="center"/>
    </xf>
    <xf numFmtId="43" fontId="0" fillId="8" borderId="0" xfId="1" applyFont="1" applyFill="1" applyBorder="1"/>
    <xf numFmtId="43" fontId="0" fillId="8" borderId="5" xfId="1" applyFont="1" applyFill="1" applyBorder="1"/>
    <xf numFmtId="0" fontId="0" fillId="9" borderId="4" xfId="0" applyFill="1" applyBorder="1" applyAlignment="1">
      <alignment horizontal="center"/>
    </xf>
    <xf numFmtId="43" fontId="0" fillId="9" borderId="0" xfId="1" applyFont="1" applyFill="1" applyBorder="1"/>
    <xf numFmtId="43" fontId="0" fillId="9" borderId="5" xfId="1" applyFont="1" applyFill="1" applyBorder="1"/>
    <xf numFmtId="0" fontId="5" fillId="10" borderId="4" xfId="0" applyFont="1" applyFill="1" applyBorder="1" applyAlignment="1">
      <alignment horizontal="center"/>
    </xf>
    <xf numFmtId="43" fontId="5" fillId="10" borderId="0" xfId="1" applyFont="1" applyFill="1" applyBorder="1"/>
    <xf numFmtId="0" fontId="5" fillId="10" borderId="4" xfId="0" applyFont="1" applyFill="1" applyBorder="1"/>
    <xf numFmtId="0" fontId="5" fillId="10" borderId="5" xfId="0" applyFont="1" applyFill="1" applyBorder="1"/>
    <xf numFmtId="0" fontId="4" fillId="0" borderId="0" xfId="0" applyFont="1" applyAlignment="1">
      <alignment horizontal="center"/>
    </xf>
    <xf numFmtId="0" fontId="5" fillId="10" borderId="0" xfId="0" applyFont="1" applyFill="1" applyBorder="1"/>
    <xf numFmtId="0" fontId="0" fillId="12" borderId="4" xfId="0" applyFill="1" applyBorder="1" applyAlignment="1">
      <alignment horizontal="center"/>
    </xf>
    <xf numFmtId="43" fontId="0" fillId="12" borderId="0" xfId="1" applyFont="1" applyFill="1" applyBorder="1"/>
    <xf numFmtId="0" fontId="0" fillId="12" borderId="4" xfId="0" applyFill="1" applyBorder="1"/>
    <xf numFmtId="0" fontId="0" fillId="12" borderId="5" xfId="0" applyFill="1" applyBorder="1"/>
    <xf numFmtId="0" fontId="0" fillId="12" borderId="0" xfId="0" applyFill="1" applyBorder="1"/>
    <xf numFmtId="0" fontId="0" fillId="13" borderId="4" xfId="0" applyFill="1" applyBorder="1" applyAlignment="1">
      <alignment horizontal="center"/>
    </xf>
    <xf numFmtId="43" fontId="0" fillId="13" borderId="0" xfId="1" applyFont="1" applyFill="1" applyBorder="1"/>
    <xf numFmtId="0" fontId="0" fillId="13" borderId="4" xfId="0" applyFill="1" applyBorder="1"/>
    <xf numFmtId="0" fontId="0" fillId="13" borderId="5" xfId="0" applyFill="1" applyBorder="1"/>
    <xf numFmtId="0" fontId="0" fillId="13" borderId="0" xfId="0" applyFill="1" applyBorder="1"/>
    <xf numFmtId="0" fontId="0" fillId="13" borderId="6" xfId="0" applyFill="1" applyBorder="1" applyAlignment="1">
      <alignment horizontal="center"/>
    </xf>
    <xf numFmtId="43" fontId="0" fillId="13" borderId="7" xfId="1" applyFont="1" applyFill="1" applyBorder="1"/>
    <xf numFmtId="0" fontId="0" fillId="13" borderId="6" xfId="0" applyFill="1" applyBorder="1"/>
    <xf numFmtId="0" fontId="0" fillId="13" borderId="8" xfId="0" applyFill="1" applyBorder="1"/>
    <xf numFmtId="0" fontId="0" fillId="13" borderId="7" xfId="0" applyFill="1" applyBorder="1"/>
    <xf numFmtId="0" fontId="0" fillId="0" borderId="2" xfId="0" applyBorder="1"/>
    <xf numFmtId="0" fontId="0" fillId="0" borderId="3" xfId="0" applyBorder="1"/>
    <xf numFmtId="43" fontId="2" fillId="2" borderId="0" xfId="2" applyNumberFormat="1" applyBorder="1" applyAlignment="1">
      <alignment horizontal="center"/>
    </xf>
    <xf numFmtId="165" fontId="5" fillId="5" borderId="0" xfId="5" applyNumberFormat="1" applyBorder="1" applyAlignment="1">
      <alignment horizontal="center"/>
    </xf>
    <xf numFmtId="165" fontId="5" fillId="5" borderId="7" xfId="5" applyNumberFormat="1" applyBorder="1" applyAlignment="1">
      <alignment horizontal="center"/>
    </xf>
    <xf numFmtId="43" fontId="3" fillId="11" borderId="0" xfId="3" applyNumberFormat="1" applyFill="1" applyBorder="1" applyAlignment="1">
      <alignment horizontal="left" indent="1"/>
    </xf>
    <xf numFmtId="165" fontId="3" fillId="3" borderId="0" xfId="3" applyNumberFormat="1" applyBorder="1" applyAlignment="1">
      <alignment horizontal="left" indent="1"/>
    </xf>
    <xf numFmtId="43" fontId="3" fillId="3" borderId="5" xfId="3" applyNumberFormat="1" applyBorder="1"/>
    <xf numFmtId="43" fontId="8" fillId="11" borderId="0" xfId="4" applyNumberFormat="1" applyFont="1" applyFill="1" applyBorder="1" applyAlignment="1">
      <alignment horizontal="left" indent="1"/>
    </xf>
    <xf numFmtId="43" fontId="5" fillId="6" borderId="0" xfId="0" applyNumberFormat="1" applyFont="1" applyFill="1" applyBorder="1" applyAlignment="1">
      <alignment horizontal="center"/>
    </xf>
    <xf numFmtId="43" fontId="2" fillId="2" borderId="5" xfId="2" applyNumberFormat="1" applyBorder="1" applyAlignment="1">
      <alignment horizontal="center"/>
    </xf>
    <xf numFmtId="43" fontId="3" fillId="3" borderId="0" xfId="3" applyNumberFormat="1" applyBorder="1" applyAlignment="1">
      <alignment horizontal="left" indent="1"/>
    </xf>
    <xf numFmtId="43" fontId="8" fillId="4" borderId="0" xfId="4" applyNumberFormat="1" applyFont="1" applyBorder="1" applyAlignment="1">
      <alignment horizontal="left" indent="1"/>
    </xf>
    <xf numFmtId="0" fontId="5" fillId="5" borderId="5" xfId="5" applyBorder="1"/>
    <xf numFmtId="0" fontId="5" fillId="5" borderId="8" xfId="5" applyBorder="1"/>
    <xf numFmtId="0" fontId="0" fillId="12" borderId="0" xfId="0" applyFill="1"/>
    <xf numFmtId="0" fontId="0" fillId="12" borderId="2" xfId="0" applyFill="1" applyBorder="1"/>
    <xf numFmtId="0" fontId="0" fillId="12" borderId="7" xfId="0" applyFill="1" applyBorder="1"/>
    <xf numFmtId="0" fontId="4" fillId="0" borderId="11" xfId="0" applyFont="1" applyBorder="1"/>
    <xf numFmtId="0" fontId="0" fillId="0" borderId="11" xfId="0" applyBorder="1"/>
    <xf numFmtId="0" fontId="0" fillId="0" borderId="12" xfId="0" applyBorder="1"/>
    <xf numFmtId="0" fontId="6" fillId="0" borderId="12" xfId="0" applyFont="1" applyBorder="1" applyAlignment="1">
      <alignment horizontal="left" indent="1"/>
    </xf>
    <xf numFmtId="0" fontId="4" fillId="0" borderId="12" xfId="0" applyFont="1" applyBorder="1" applyAlignment="1">
      <alignment horizontal="left"/>
    </xf>
    <xf numFmtId="0" fontId="4" fillId="0" borderId="12" xfId="0" applyFont="1" applyBorder="1"/>
    <xf numFmtId="0" fontId="4" fillId="0" borderId="13" xfId="0" applyFont="1" applyBorder="1" applyAlignment="1">
      <alignment horizontal="left"/>
    </xf>
    <xf numFmtId="0" fontId="7" fillId="0" borderId="12" xfId="0" applyFont="1" applyBorder="1" applyAlignment="1">
      <alignment horizontal="left" indent="1"/>
    </xf>
    <xf numFmtId="43" fontId="2" fillId="11" borderId="0" xfId="2" applyNumberFormat="1" applyFill="1" applyBorder="1" applyAlignment="1">
      <alignment horizontal="center"/>
    </xf>
    <xf numFmtId="165" fontId="5" fillId="6" borderId="0" xfId="5" applyNumberFormat="1" applyFont="1" applyFill="1" applyBorder="1" applyAlignment="1">
      <alignment horizontal="center"/>
    </xf>
    <xf numFmtId="165" fontId="5" fillId="6" borderId="7" xfId="5" applyNumberFormat="1" applyFont="1" applyFill="1" applyBorder="1" applyAlignment="1">
      <alignment horizontal="center"/>
    </xf>
    <xf numFmtId="0" fontId="0" fillId="0" borderId="0" xfId="0" applyAlignment="1">
      <alignment wrapText="1"/>
    </xf>
    <xf numFmtId="20" fontId="0" fillId="7" borderId="4" xfId="0" applyNumberFormat="1" applyFill="1" applyBorder="1" applyAlignment="1">
      <alignment horizontal="center"/>
    </xf>
    <xf numFmtId="20" fontId="0" fillId="8" borderId="4" xfId="0" applyNumberFormat="1" applyFill="1" applyBorder="1" applyAlignment="1">
      <alignment horizontal="center"/>
    </xf>
    <xf numFmtId="20" fontId="0" fillId="9" borderId="4" xfId="0" applyNumberFormat="1" applyFill="1" applyBorder="1" applyAlignment="1">
      <alignment horizontal="center"/>
    </xf>
    <xf numFmtId="20" fontId="5" fillId="10" borderId="4" xfId="0" applyNumberFormat="1" applyFont="1" applyFill="1" applyBorder="1" applyAlignment="1">
      <alignment horizontal="center"/>
    </xf>
    <xf numFmtId="20" fontId="0" fillId="12" borderId="4" xfId="0" applyNumberFormat="1" applyFill="1" applyBorder="1" applyAlignment="1">
      <alignment horizontal="center"/>
    </xf>
    <xf numFmtId="20" fontId="0" fillId="13" borderId="4" xfId="0" applyNumberFormat="1" applyFill="1" applyBorder="1" applyAlignment="1">
      <alignment horizontal="center"/>
    </xf>
    <xf numFmtId="164" fontId="0" fillId="8" borderId="0" xfId="0" applyNumberFormat="1" applyFill="1" applyBorder="1"/>
    <xf numFmtId="164" fontId="0" fillId="9" borderId="0" xfId="0" applyNumberFormat="1" applyFill="1" applyBorder="1"/>
    <xf numFmtId="164" fontId="5" fillId="10" borderId="0" xfId="0" applyNumberFormat="1" applyFont="1" applyFill="1" applyBorder="1"/>
    <xf numFmtId="164" fontId="0" fillId="12" borderId="0" xfId="0" applyNumberFormat="1" applyFill="1" applyBorder="1"/>
    <xf numFmtId="164" fontId="0" fillId="13" borderId="0" xfId="0" applyNumberFormat="1" applyFill="1" applyBorder="1"/>
    <xf numFmtId="164" fontId="0" fillId="13" borderId="7" xfId="0" applyNumberFormat="1" applyFill="1" applyBorder="1"/>
    <xf numFmtId="0" fontId="0" fillId="7" borderId="2" xfId="0" applyFill="1" applyBorder="1"/>
    <xf numFmtId="0" fontId="0" fillId="7" borderId="0" xfId="0" applyFill="1" applyBorder="1"/>
    <xf numFmtId="0" fontId="0" fillId="8" borderId="0" xfId="0" applyFill="1" applyBorder="1"/>
    <xf numFmtId="0" fontId="0" fillId="9" borderId="0" xfId="0" applyFill="1" applyBorder="1"/>
    <xf numFmtId="0" fontId="0" fillId="0" borderId="14" xfId="0" applyBorder="1" applyAlignment="1">
      <alignment horizontal="center"/>
    </xf>
    <xf numFmtId="0" fontId="9" fillId="0" borderId="1" xfId="0" applyFont="1" applyBorder="1" applyAlignment="1">
      <alignment horizontal="left"/>
    </xf>
    <xf numFmtId="2" fontId="0" fillId="8" borderId="5" xfId="0" applyNumberFormat="1" applyFill="1" applyBorder="1"/>
    <xf numFmtId="2" fontId="0" fillId="9" borderId="5" xfId="0" applyNumberFormat="1" applyFill="1" applyBorder="1"/>
    <xf numFmtId="2" fontId="5" fillId="10" borderId="5" xfId="0" applyNumberFormat="1" applyFont="1" applyFill="1" applyBorder="1"/>
    <xf numFmtId="2" fontId="0" fillId="12" borderId="5" xfId="0" applyNumberFormat="1" applyFill="1" applyBorder="1"/>
    <xf numFmtId="2" fontId="0" fillId="13" borderId="5" xfId="0" applyNumberFormat="1" applyFill="1" applyBorder="1"/>
    <xf numFmtId="2" fontId="0" fillId="13" borderId="8" xfId="0" applyNumberFormat="1" applyFill="1" applyBorder="1"/>
    <xf numFmtId="43" fontId="0" fillId="7" borderId="2" xfId="1" applyFont="1" applyFill="1" applyBorder="1"/>
    <xf numFmtId="43" fontId="0" fillId="7" borderId="0" xfId="1" applyFont="1" applyFill="1" applyBorder="1"/>
    <xf numFmtId="43" fontId="0" fillId="7" borderId="1" xfId="1" applyFont="1" applyFill="1" applyBorder="1"/>
    <xf numFmtId="43" fontId="0" fillId="7" borderId="4" xfId="1" applyFont="1" applyFill="1" applyBorder="1"/>
    <xf numFmtId="43" fontId="0" fillId="8" borderId="4" xfId="1" applyFont="1" applyFill="1" applyBorder="1"/>
    <xf numFmtId="43" fontId="0" fillId="9" borderId="4" xfId="1" applyFont="1" applyFill="1" applyBorder="1"/>
    <xf numFmtId="0" fontId="13" fillId="14" borderId="15" xfId="6" applyNumberFormat="1" applyFont="1" applyFill="1" applyBorder="1" applyAlignment="1">
      <alignment horizontal="center"/>
    </xf>
    <xf numFmtId="0" fontId="13" fillId="14" borderId="16" xfId="6" applyNumberFormat="1" applyFont="1" applyFill="1" applyBorder="1" applyAlignment="1">
      <alignment horizontal="center"/>
    </xf>
    <xf numFmtId="22" fontId="14" fillId="0" borderId="0" xfId="0" applyNumberFormat="1" applyFont="1"/>
    <xf numFmtId="0" fontId="14" fillId="0" borderId="0" xfId="0" applyFont="1"/>
    <xf numFmtId="166" fontId="14" fillId="0" borderId="0" xfId="0" applyNumberFormat="1" applyFont="1"/>
    <xf numFmtId="20" fontId="14" fillId="0" borderId="0" xfId="0" applyNumberFormat="1" applyFont="1"/>
    <xf numFmtId="43" fontId="14" fillId="0" borderId="0" xfId="0" applyNumberFormat="1" applyFont="1"/>
    <xf numFmtId="0" fontId="14" fillId="0" borderId="0" xfId="0" applyNumberFormat="1" applyFont="1"/>
    <xf numFmtId="0" fontId="14" fillId="0" borderId="0" xfId="0" applyNumberFormat="1" applyFont="1" applyAlignment="1">
      <alignment horizontal="center"/>
    </xf>
    <xf numFmtId="0" fontId="13" fillId="15" borderId="15" xfId="6" applyNumberFormat="1" applyFont="1" applyFill="1" applyBorder="1" applyAlignment="1">
      <alignment horizontal="center"/>
    </xf>
    <xf numFmtId="0" fontId="13" fillId="15" borderId="16" xfId="6" applyNumberFormat="1" applyFont="1" applyFill="1" applyBorder="1" applyAlignment="1">
      <alignment horizontal="center"/>
    </xf>
    <xf numFmtId="0" fontId="14" fillId="7" borderId="2" xfId="0" applyFont="1" applyFill="1" applyBorder="1" applyAlignment="1">
      <alignment horizontal="center"/>
    </xf>
    <xf numFmtId="20" fontId="14" fillId="7" borderId="4" xfId="0" applyNumberFormat="1" applyFont="1" applyFill="1" applyBorder="1" applyAlignment="1">
      <alignment horizontal="center"/>
    </xf>
    <xf numFmtId="0" fontId="14" fillId="7" borderId="0" xfId="0" applyFont="1" applyFill="1" applyBorder="1" applyAlignment="1">
      <alignment horizontal="center"/>
    </xf>
    <xf numFmtId="20" fontId="14" fillId="8" borderId="4" xfId="0" applyNumberFormat="1" applyFont="1" applyFill="1" applyBorder="1" applyAlignment="1">
      <alignment horizontal="center"/>
    </xf>
    <xf numFmtId="0" fontId="14" fillId="8" borderId="0" xfId="0" applyFont="1" applyFill="1" applyBorder="1" applyAlignment="1">
      <alignment horizontal="center"/>
    </xf>
    <xf numFmtId="0" fontId="14" fillId="8" borderId="4" xfId="0" applyFont="1" applyFill="1" applyBorder="1" applyAlignment="1">
      <alignment horizontal="center"/>
    </xf>
    <xf numFmtId="20" fontId="14" fillId="9" borderId="4" xfId="0" applyNumberFormat="1" applyFont="1" applyFill="1" applyBorder="1" applyAlignment="1">
      <alignment horizontal="center"/>
    </xf>
    <xf numFmtId="0" fontId="14" fillId="9" borderId="0" xfId="0" applyFont="1" applyFill="1" applyBorder="1" applyAlignment="1">
      <alignment horizontal="center"/>
    </xf>
    <xf numFmtId="0" fontId="14" fillId="9" borderId="4" xfId="0" applyFont="1" applyFill="1" applyBorder="1" applyAlignment="1">
      <alignment horizontal="center"/>
    </xf>
    <xf numFmtId="20" fontId="15" fillId="10" borderId="4" xfId="0" applyNumberFormat="1" applyFont="1" applyFill="1" applyBorder="1" applyAlignment="1">
      <alignment horizontal="center"/>
    </xf>
    <xf numFmtId="0" fontId="15" fillId="10" borderId="0" xfId="0" applyFont="1" applyFill="1" applyBorder="1" applyAlignment="1">
      <alignment horizontal="center"/>
    </xf>
    <xf numFmtId="0" fontId="15" fillId="10" borderId="4" xfId="0" applyFont="1" applyFill="1" applyBorder="1" applyAlignment="1">
      <alignment horizontal="center"/>
    </xf>
    <xf numFmtId="20" fontId="14" fillId="13" borderId="4" xfId="0" applyNumberFormat="1" applyFont="1" applyFill="1" applyBorder="1" applyAlignment="1">
      <alignment horizontal="center"/>
    </xf>
    <xf numFmtId="0" fontId="14" fillId="13" borderId="4" xfId="0" applyFont="1" applyFill="1" applyBorder="1" applyAlignment="1">
      <alignment horizontal="center"/>
    </xf>
    <xf numFmtId="0" fontId="14" fillId="13" borderId="6" xfId="0" applyFont="1" applyFill="1" applyBorder="1" applyAlignment="1">
      <alignment horizontal="center"/>
    </xf>
    <xf numFmtId="0" fontId="14" fillId="0" borderId="0" xfId="0" applyFont="1" applyAlignment="1">
      <alignment horizontal="center"/>
    </xf>
    <xf numFmtId="2" fontId="14" fillId="0" borderId="0" xfId="0" applyNumberFormat="1" applyFont="1"/>
    <xf numFmtId="2" fontId="14" fillId="13" borderId="4" xfId="0" applyNumberFormat="1" applyFont="1" applyFill="1" applyBorder="1" applyAlignment="1">
      <alignment horizontal="center"/>
    </xf>
    <xf numFmtId="2" fontId="14" fillId="7" borderId="2" xfId="1" applyNumberFormat="1" applyFont="1" applyFill="1" applyBorder="1"/>
    <xf numFmtId="2" fontId="14" fillId="7" borderId="0" xfId="1" applyNumberFormat="1" applyFont="1" applyFill="1" applyBorder="1"/>
    <xf numFmtId="2" fontId="14" fillId="8" borderId="0" xfId="1" applyNumberFormat="1" applyFont="1" applyFill="1" applyBorder="1"/>
    <xf numFmtId="2" fontId="14" fillId="9" borderId="0" xfId="1" applyNumberFormat="1" applyFont="1" applyFill="1" applyBorder="1"/>
    <xf numFmtId="2" fontId="15" fillId="10" borderId="0" xfId="1" applyNumberFormat="1" applyFont="1" applyFill="1" applyBorder="1"/>
    <xf numFmtId="2" fontId="14" fillId="13" borderId="0" xfId="1" applyNumberFormat="1" applyFont="1" applyFill="1" applyBorder="1"/>
    <xf numFmtId="2" fontId="14" fillId="13" borderId="7" xfId="1" applyNumberFormat="1" applyFont="1" applyFill="1" applyBorder="1"/>
    <xf numFmtId="0" fontId="14" fillId="0" borderId="0" xfId="0" applyNumberFormat="1" applyFont="1" applyAlignment="1">
      <alignment horizontal="left"/>
    </xf>
    <xf numFmtId="20" fontId="14" fillId="13" borderId="4" xfId="0" applyNumberFormat="1" applyFont="1" applyFill="1" applyBorder="1" applyAlignment="1">
      <alignment horizontal="left"/>
    </xf>
    <xf numFmtId="0" fontId="14" fillId="0" borderId="0" xfId="0" applyFont="1" applyAlignment="1">
      <alignment horizontal="left"/>
    </xf>
    <xf numFmtId="20" fontId="16" fillId="16" borderId="4" xfId="0" applyNumberFormat="1" applyFont="1" applyFill="1" applyBorder="1" applyAlignment="1">
      <alignment horizontal="center"/>
    </xf>
    <xf numFmtId="0" fontId="16" fillId="16" borderId="0" xfId="0" applyNumberFormat="1" applyFont="1" applyFill="1"/>
    <xf numFmtId="0" fontId="16" fillId="16" borderId="4" xfId="0" applyFont="1" applyFill="1" applyBorder="1" applyAlignment="1">
      <alignment horizontal="center"/>
    </xf>
    <xf numFmtId="2" fontId="16" fillId="16" borderId="0" xfId="0" applyNumberFormat="1" applyFont="1" applyFill="1"/>
    <xf numFmtId="0" fontId="16" fillId="16" borderId="0" xfId="0" applyFont="1" applyFill="1"/>
    <xf numFmtId="0" fontId="16" fillId="16" borderId="0" xfId="0" applyNumberFormat="1" applyFont="1" applyFill="1" applyAlignment="1">
      <alignment horizontal="left"/>
    </xf>
    <xf numFmtId="22" fontId="16" fillId="16" borderId="0" xfId="0" applyNumberFormat="1" applyFont="1" applyFill="1"/>
    <xf numFmtId="166" fontId="16" fillId="16" borderId="0" xfId="0" applyNumberFormat="1" applyFont="1" applyFill="1"/>
    <xf numFmtId="20" fontId="16" fillId="16" borderId="0" xfId="0" applyNumberFormat="1" applyFont="1" applyFill="1"/>
    <xf numFmtId="43" fontId="16" fillId="16" borderId="0" xfId="0" applyNumberFormat="1" applyFont="1" applyFill="1"/>
    <xf numFmtId="20" fontId="14" fillId="13" borderId="0" xfId="0" applyNumberFormat="1" applyFont="1" applyFill="1" applyBorder="1" applyAlignment="1">
      <alignment horizontal="left"/>
    </xf>
    <xf numFmtId="20" fontId="17" fillId="10" borderId="4" xfId="0" applyNumberFormat="1" applyFont="1" applyFill="1" applyBorder="1" applyAlignment="1">
      <alignment horizontal="center"/>
    </xf>
    <xf numFmtId="0" fontId="17" fillId="0" borderId="0" xfId="0" applyNumberFormat="1" applyFont="1" applyAlignment="1">
      <alignment horizontal="left"/>
    </xf>
    <xf numFmtId="0" fontId="17" fillId="10" borderId="4" xfId="0" applyFont="1" applyFill="1" applyBorder="1" applyAlignment="1">
      <alignment horizontal="center"/>
    </xf>
    <xf numFmtId="2" fontId="17" fillId="10" borderId="0" xfId="1" applyNumberFormat="1" applyFont="1" applyFill="1" applyBorder="1"/>
    <xf numFmtId="0" fontId="17" fillId="0" borderId="0" xfId="0" applyNumberFormat="1" applyFont="1"/>
    <xf numFmtId="0" fontId="17" fillId="0" borderId="0" xfId="0" applyFont="1"/>
    <xf numFmtId="22" fontId="17" fillId="0" borderId="0" xfId="0" applyNumberFormat="1" applyFont="1"/>
    <xf numFmtId="166" fontId="17" fillId="0" borderId="0" xfId="0" applyNumberFormat="1" applyFont="1"/>
    <xf numFmtId="20" fontId="17" fillId="0" borderId="0" xfId="0" applyNumberFormat="1" applyFont="1"/>
    <xf numFmtId="43" fontId="17" fillId="0" borderId="0" xfId="0" applyNumberFormat="1" applyFont="1"/>
    <xf numFmtId="0" fontId="17" fillId="0" borderId="0" xfId="0" applyNumberFormat="1" applyFont="1" applyFill="1" applyBorder="1"/>
    <xf numFmtId="0" fontId="14" fillId="0" borderId="0" xfId="0" applyNumberFormat="1" applyFont="1" applyFill="1" applyBorder="1"/>
    <xf numFmtId="0" fontId="16" fillId="16" borderId="0" xfId="0" applyNumberFormat="1" applyFont="1" applyFill="1" applyBorder="1"/>
    <xf numFmtId="0" fontId="14" fillId="13" borderId="4" xfId="0" applyNumberFormat="1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20" fontId="0" fillId="0" borderId="1" xfId="0" applyNumberFormat="1" applyBorder="1" applyAlignment="1">
      <alignment horizontal="center" vertical="top"/>
    </xf>
    <xf numFmtId="20" fontId="0" fillId="0" borderId="4" xfId="0" applyNumberFormat="1" applyBorder="1" applyAlignment="1">
      <alignment horizontal="center" vertical="top"/>
    </xf>
    <xf numFmtId="20" fontId="0" fillId="0" borderId="6" xfId="0" applyNumberFormat="1" applyBorder="1" applyAlignment="1">
      <alignment horizontal="center" vertical="top"/>
    </xf>
    <xf numFmtId="0" fontId="3" fillId="3" borderId="15" xfId="3" applyNumberFormat="1" applyBorder="1" applyAlignment="1">
      <alignment horizontal="center"/>
    </xf>
    <xf numFmtId="2" fontId="13" fillId="14" borderId="15" xfId="6" applyNumberFormat="1" applyFont="1" applyFill="1" applyBorder="1" applyAlignment="1">
      <alignment horizontal="center"/>
    </xf>
  </cellXfs>
  <cellStyles count="7">
    <cellStyle name="Accent3" xfId="4" builtinId="37"/>
    <cellStyle name="Accent6" xfId="5" builtinId="49"/>
    <cellStyle name="Bad" xfId="3" builtinId="27"/>
    <cellStyle name="Comma" xfId="1" builtinId="3"/>
    <cellStyle name="Good" xfId="2" builtinId="26"/>
    <cellStyle name="Normal" xfId="0" builtinId="0"/>
    <cellStyle name="Normal_Sheet2" xfId="6" xr:uid="{5E2A46AD-81B1-40DE-A916-5B74549CF34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townsend/Documents/GitHub/ebSiena-DemoSystemData/Prospects/HomeSend/XML%20Deal%20Generator/XMLTXNGenerator-MASTER%20ACCOUNT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ACCTS"/>
      <sheetName val="SpotUpload"/>
      <sheetName val="Sheet3"/>
      <sheetName val="StatementUpload"/>
      <sheetName val="HSFT"/>
      <sheetName val="HSFX"/>
      <sheetName val="Sheet1"/>
      <sheetName val="Sample"/>
      <sheetName val="ReconAccounts"/>
      <sheetName val="ReconUpload"/>
      <sheetName val="RUN"/>
      <sheetName val="Term"/>
      <sheetName val="$Term2"/>
      <sheetName val="$TermInterestDates"/>
      <sheetName val="$TermInterestRates"/>
      <sheetName val="$TermInterestAmortisation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E3A89-0F22-484A-AFB1-C243EBA9EC19}">
  <sheetPr codeName="Sheet1"/>
  <dimension ref="A1:B12"/>
  <sheetViews>
    <sheetView zoomScale="130" zoomScaleNormal="130" workbookViewId="0">
      <selection activeCell="B13" sqref="B13"/>
    </sheetView>
  </sheetViews>
  <sheetFormatPr defaultColWidth="8.85546875" defaultRowHeight="15" x14ac:dyDescent="0.25"/>
  <cols>
    <col min="1" max="1" width="28.42578125" bestFit="1" customWidth="1"/>
    <col min="2" max="2" width="64.85546875" customWidth="1"/>
  </cols>
  <sheetData>
    <row r="1" spans="1:2" x14ac:dyDescent="0.25">
      <c r="A1" s="21" t="s">
        <v>1</v>
      </c>
      <c r="B1" t="s">
        <v>45</v>
      </c>
    </row>
    <row r="2" spans="1:2" x14ac:dyDescent="0.25">
      <c r="A2" s="21" t="s">
        <v>20</v>
      </c>
      <c r="B2" t="s">
        <v>24</v>
      </c>
    </row>
    <row r="3" spans="1:2" ht="30" x14ac:dyDescent="0.25">
      <c r="A3" t="s">
        <v>21</v>
      </c>
      <c r="B3" s="83" t="s">
        <v>46</v>
      </c>
    </row>
    <row r="4" spans="1:2" x14ac:dyDescent="0.25">
      <c r="A4" t="s">
        <v>30</v>
      </c>
      <c r="B4" t="s">
        <v>31</v>
      </c>
    </row>
    <row r="5" spans="1:2" x14ac:dyDescent="0.25">
      <c r="A5" t="s">
        <v>22</v>
      </c>
      <c r="B5" t="s">
        <v>25</v>
      </c>
    </row>
    <row r="6" spans="1:2" x14ac:dyDescent="0.25">
      <c r="A6" t="s">
        <v>23</v>
      </c>
      <c r="B6" t="s">
        <v>40</v>
      </c>
    </row>
    <row r="7" spans="1:2" x14ac:dyDescent="0.25">
      <c r="A7" t="s">
        <v>44</v>
      </c>
      <c r="B7" t="s">
        <v>29</v>
      </c>
    </row>
    <row r="9" spans="1:2" x14ac:dyDescent="0.25">
      <c r="A9" s="21" t="s">
        <v>26</v>
      </c>
      <c r="B9" t="s">
        <v>27</v>
      </c>
    </row>
    <row r="10" spans="1:2" x14ac:dyDescent="0.25">
      <c r="B10" t="s">
        <v>28</v>
      </c>
    </row>
    <row r="11" spans="1:2" x14ac:dyDescent="0.25">
      <c r="B11" t="s">
        <v>32</v>
      </c>
    </row>
    <row r="12" spans="1:2" x14ac:dyDescent="0.25">
      <c r="B12" t="s">
        <v>39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26E94-6D07-4D35-8DA7-097B1A54D4AC}">
  <sheetPr codeName="Sheet2"/>
  <dimension ref="A1:S46"/>
  <sheetViews>
    <sheetView zoomScale="98" workbookViewId="0">
      <selection activeCell="E5" sqref="E5"/>
    </sheetView>
  </sheetViews>
  <sheetFormatPr defaultColWidth="8.85546875" defaultRowHeight="15" x14ac:dyDescent="0.25"/>
  <cols>
    <col min="1" max="1" width="27.42578125" style="1" customWidth="1"/>
    <col min="2" max="2" width="22.42578125" customWidth="1"/>
    <col min="3" max="3" width="19.42578125" customWidth="1"/>
    <col min="4" max="7" width="20.85546875" customWidth="1"/>
    <col min="8" max="8" width="18.42578125" customWidth="1"/>
    <col min="9" max="9" width="22.28515625" customWidth="1"/>
    <col min="10" max="10" width="20" customWidth="1"/>
    <col min="11" max="11" width="18.42578125" customWidth="1"/>
    <col min="12" max="12" width="22.28515625" customWidth="1"/>
    <col min="13" max="13" width="20" customWidth="1"/>
    <col min="14" max="14" width="18.85546875" customWidth="1"/>
    <col min="15" max="15" width="17.42578125" customWidth="1"/>
    <col min="18" max="18" width="11.42578125" bestFit="1" customWidth="1"/>
    <col min="19" max="19" width="10.140625" bestFit="1" customWidth="1"/>
  </cols>
  <sheetData>
    <row r="1" spans="1:19" ht="19.5" thickBot="1" x14ac:dyDescent="0.35">
      <c r="A1" s="101" t="s">
        <v>1</v>
      </c>
      <c r="B1" s="180" t="s">
        <v>0</v>
      </c>
      <c r="C1" s="181"/>
      <c r="D1" s="181"/>
      <c r="E1" s="182"/>
      <c r="F1" s="178" t="s">
        <v>2</v>
      </c>
      <c r="G1" s="179"/>
      <c r="H1" s="180" t="s">
        <v>3</v>
      </c>
      <c r="I1" s="181"/>
      <c r="J1" s="182"/>
      <c r="K1" s="183" t="s">
        <v>4</v>
      </c>
      <c r="L1" s="178"/>
      <c r="M1" s="179"/>
      <c r="N1" s="183" t="s">
        <v>5</v>
      </c>
      <c r="O1" s="179"/>
    </row>
    <row r="2" spans="1:19" ht="15.75" thickBot="1" x14ac:dyDescent="0.3">
      <c r="A2" s="18" t="s">
        <v>38</v>
      </c>
      <c r="B2" s="18" t="s">
        <v>43</v>
      </c>
      <c r="C2" s="100" t="s">
        <v>41</v>
      </c>
      <c r="D2" s="100" t="s">
        <v>8</v>
      </c>
      <c r="E2" s="100" t="s">
        <v>42</v>
      </c>
      <c r="F2" s="100" t="s">
        <v>6</v>
      </c>
      <c r="G2" s="19" t="s">
        <v>7</v>
      </c>
      <c r="H2" s="2" t="s">
        <v>6</v>
      </c>
      <c r="I2" s="3" t="s">
        <v>7</v>
      </c>
      <c r="J2" s="4" t="s">
        <v>8</v>
      </c>
      <c r="K2" s="11" t="s">
        <v>6</v>
      </c>
      <c r="L2" s="12" t="s">
        <v>7</v>
      </c>
      <c r="M2" s="13" t="s">
        <v>8</v>
      </c>
      <c r="N2" s="11" t="s">
        <v>6</v>
      </c>
      <c r="O2" s="13" t="s">
        <v>7</v>
      </c>
      <c r="R2" s="15"/>
      <c r="S2" s="15"/>
    </row>
    <row r="3" spans="1:19" x14ac:dyDescent="0.25">
      <c r="A3" s="84">
        <v>0.33333333333333331</v>
      </c>
      <c r="B3" s="23"/>
      <c r="C3" s="24"/>
      <c r="D3" s="24"/>
      <c r="E3" s="25"/>
      <c r="F3" s="96" t="s">
        <v>9</v>
      </c>
      <c r="G3" s="108">
        <v>40000</v>
      </c>
      <c r="H3" s="110"/>
      <c r="I3" s="108"/>
      <c r="J3" s="22"/>
      <c r="K3" s="3"/>
      <c r="L3" s="3"/>
      <c r="M3" s="4"/>
      <c r="N3" s="2"/>
      <c r="O3" s="4"/>
      <c r="R3" s="16"/>
      <c r="S3" s="17"/>
    </row>
    <row r="4" spans="1:19" x14ac:dyDescent="0.25">
      <c r="A4" s="84">
        <v>0.375</v>
      </c>
      <c r="B4" s="23"/>
      <c r="C4" s="24"/>
      <c r="D4" s="24"/>
      <c r="E4" s="25"/>
      <c r="F4" s="97" t="s">
        <v>9</v>
      </c>
      <c r="G4" s="109">
        <v>25000</v>
      </c>
      <c r="H4" s="111"/>
      <c r="I4" s="109"/>
      <c r="J4" s="26"/>
      <c r="K4" s="3"/>
      <c r="L4" s="3"/>
      <c r="M4" s="4"/>
      <c r="N4" s="2"/>
      <c r="O4" s="4"/>
      <c r="R4" s="16"/>
      <c r="S4" s="17"/>
    </row>
    <row r="5" spans="1:19" x14ac:dyDescent="0.25">
      <c r="A5" s="85">
        <v>0.41666666666666669</v>
      </c>
      <c r="B5" s="27" t="s">
        <v>10</v>
      </c>
      <c r="C5" s="28">
        <v>152</v>
      </c>
      <c r="D5" s="90">
        <v>4.1111310000000003</v>
      </c>
      <c r="E5" s="102">
        <f>+C5/D5</f>
        <v>36.972794104590683</v>
      </c>
      <c r="F5" s="98" t="s">
        <v>9</v>
      </c>
      <c r="G5" s="28">
        <v>75000</v>
      </c>
      <c r="H5" s="112"/>
      <c r="I5" s="28"/>
      <c r="J5" s="29"/>
      <c r="K5" s="6"/>
      <c r="L5" s="6"/>
      <c r="M5" s="7"/>
      <c r="N5" s="5"/>
      <c r="O5" s="7"/>
      <c r="S5" s="17"/>
    </row>
    <row r="6" spans="1:19" x14ac:dyDescent="0.25">
      <c r="A6" s="85">
        <v>0.41666666666666669</v>
      </c>
      <c r="B6" s="27" t="s">
        <v>10</v>
      </c>
      <c r="C6" s="28">
        <v>278</v>
      </c>
      <c r="D6" s="90">
        <v>4.111523</v>
      </c>
      <c r="E6" s="102">
        <f t="shared" ref="E6:E44" si="0">+C6/D6</f>
        <v>67.614847344888986</v>
      </c>
      <c r="F6" s="98" t="s">
        <v>9</v>
      </c>
      <c r="G6" s="28">
        <v>40000</v>
      </c>
      <c r="H6" s="112"/>
      <c r="I6" s="28"/>
      <c r="J6" s="29"/>
      <c r="K6" s="6"/>
      <c r="L6" s="6"/>
      <c r="M6" s="7"/>
      <c r="N6" s="5"/>
      <c r="O6" s="7"/>
      <c r="S6" s="17"/>
    </row>
    <row r="7" spans="1:19" x14ac:dyDescent="0.25">
      <c r="A7" s="85">
        <v>0.41666666666666669</v>
      </c>
      <c r="B7" s="27" t="s">
        <v>10</v>
      </c>
      <c r="C7" s="28">
        <v>7996</v>
      </c>
      <c r="D7" s="90">
        <v>4.1113670000000004</v>
      </c>
      <c r="E7" s="102">
        <f t="shared" si="0"/>
        <v>1944.8519190819013</v>
      </c>
      <c r="F7" s="98" t="s">
        <v>9</v>
      </c>
      <c r="G7" s="28">
        <v>10000</v>
      </c>
      <c r="H7" s="112"/>
      <c r="I7" s="28"/>
      <c r="J7" s="29"/>
      <c r="K7" s="6"/>
      <c r="L7" s="6"/>
      <c r="M7" s="7"/>
      <c r="N7" s="5"/>
      <c r="O7" s="7"/>
      <c r="S7" s="17"/>
    </row>
    <row r="8" spans="1:19" x14ac:dyDescent="0.25">
      <c r="A8" s="86">
        <v>0.4375</v>
      </c>
      <c r="B8" s="30" t="s">
        <v>10</v>
      </c>
      <c r="C8" s="31">
        <v>2000</v>
      </c>
      <c r="D8" s="91">
        <v>4.1117822999999998</v>
      </c>
      <c r="E8" s="103">
        <f t="shared" si="0"/>
        <v>486.40707461579376</v>
      </c>
      <c r="F8" s="99" t="s">
        <v>9</v>
      </c>
      <c r="G8" s="31">
        <v>15000</v>
      </c>
      <c r="H8" s="113"/>
      <c r="I8" s="31"/>
      <c r="J8" s="32"/>
      <c r="K8" s="6"/>
      <c r="L8" s="6"/>
      <c r="M8" s="7"/>
      <c r="N8" s="5"/>
      <c r="O8" s="7"/>
      <c r="S8" s="17"/>
    </row>
    <row r="9" spans="1:19" x14ac:dyDescent="0.25">
      <c r="A9" s="87">
        <v>0.4381944444444445</v>
      </c>
      <c r="B9" s="33" t="s">
        <v>10</v>
      </c>
      <c r="C9" s="34">
        <v>1542</v>
      </c>
      <c r="D9" s="92">
        <v>4.1121350000000003</v>
      </c>
      <c r="E9" s="104">
        <f>+C9/D9</f>
        <v>374.98768887694587</v>
      </c>
      <c r="F9" s="38" t="s">
        <v>9</v>
      </c>
      <c r="G9" s="34">
        <v>20000</v>
      </c>
      <c r="H9" s="35" t="s">
        <v>9</v>
      </c>
      <c r="I9" s="34">
        <v>50000</v>
      </c>
      <c r="J9" s="36">
        <v>4.12</v>
      </c>
      <c r="K9" s="6"/>
      <c r="L9" s="6"/>
      <c r="M9" s="7"/>
      <c r="N9" s="5"/>
      <c r="O9" s="7"/>
      <c r="S9" s="17"/>
    </row>
    <row r="10" spans="1:19" x14ac:dyDescent="0.25">
      <c r="A10" s="87">
        <v>0.4381944444444445</v>
      </c>
      <c r="B10" s="33" t="s">
        <v>10</v>
      </c>
      <c r="C10" s="34">
        <v>3744.2</v>
      </c>
      <c r="D10" s="92">
        <v>4.1123111000000003</v>
      </c>
      <c r="E10" s="104">
        <f t="shared" si="0"/>
        <v>910.48559045058619</v>
      </c>
      <c r="F10" s="38" t="s">
        <v>9</v>
      </c>
      <c r="G10" s="34">
        <v>15000</v>
      </c>
      <c r="H10" s="35"/>
      <c r="I10" s="38"/>
      <c r="J10" s="36"/>
      <c r="K10" s="6"/>
      <c r="L10" s="6"/>
      <c r="M10" s="7"/>
      <c r="N10" s="5"/>
      <c r="O10" s="7"/>
      <c r="S10" s="17"/>
    </row>
    <row r="11" spans="1:19" x14ac:dyDescent="0.25">
      <c r="A11" s="87">
        <v>0.4381944444444445</v>
      </c>
      <c r="B11" s="33" t="s">
        <v>10</v>
      </c>
      <c r="C11" s="34">
        <v>4194.3999999999996</v>
      </c>
      <c r="D11" s="92">
        <v>4.1125234133333297</v>
      </c>
      <c r="E11" s="104">
        <f t="shared" si="0"/>
        <v>1019.9090870586209</v>
      </c>
      <c r="F11" s="38"/>
      <c r="G11" s="38"/>
      <c r="H11" s="35"/>
      <c r="I11" s="38"/>
      <c r="J11" s="36"/>
      <c r="K11" s="6"/>
      <c r="L11" s="6"/>
      <c r="M11" s="7"/>
      <c r="N11" s="5"/>
      <c r="O11" s="7"/>
      <c r="S11" s="17"/>
    </row>
    <row r="12" spans="1:19" x14ac:dyDescent="0.25">
      <c r="A12" s="87">
        <v>0.4381944444444445</v>
      </c>
      <c r="B12" s="33" t="s">
        <v>10</v>
      </c>
      <c r="C12" s="34">
        <v>4644.6000000000004</v>
      </c>
      <c r="D12" s="92">
        <v>4.1127563219047598</v>
      </c>
      <c r="E12" s="104">
        <f t="shared" si="0"/>
        <v>1129.3156308003497</v>
      </c>
      <c r="F12" s="38"/>
      <c r="G12" s="38"/>
      <c r="H12" s="35"/>
      <c r="I12" s="38"/>
      <c r="J12" s="36"/>
      <c r="K12" s="6"/>
      <c r="L12" s="6"/>
      <c r="M12" s="7"/>
      <c r="N12" s="5"/>
      <c r="O12" s="7"/>
      <c r="S12" s="17"/>
    </row>
    <row r="13" spans="1:19" x14ac:dyDescent="0.25">
      <c r="A13" s="87">
        <v>0.4381944444444445</v>
      </c>
      <c r="B13" s="33" t="s">
        <v>10</v>
      </c>
      <c r="C13" s="34">
        <v>5094.8</v>
      </c>
      <c r="D13" s="92">
        <v>4.1129892304761899</v>
      </c>
      <c r="E13" s="104">
        <f t="shared" si="0"/>
        <v>1238.7097836894018</v>
      </c>
      <c r="F13" s="38"/>
      <c r="G13" s="38"/>
      <c r="H13" s="35"/>
      <c r="I13" s="38"/>
      <c r="J13" s="36"/>
      <c r="K13" s="6"/>
      <c r="L13" s="6"/>
      <c r="M13" s="7"/>
      <c r="N13" s="5"/>
      <c r="O13" s="7"/>
      <c r="S13" s="17"/>
    </row>
    <row r="14" spans="1:19" x14ac:dyDescent="0.25">
      <c r="A14" s="87">
        <v>0.4381944444444445</v>
      </c>
      <c r="B14" s="33" t="s">
        <v>10</v>
      </c>
      <c r="C14" s="34">
        <v>5545</v>
      </c>
      <c r="D14" s="92">
        <v>4.11322213904762</v>
      </c>
      <c r="E14" s="104">
        <f t="shared" si="0"/>
        <v>1348.0915478306492</v>
      </c>
      <c r="F14" s="38"/>
      <c r="G14" s="38"/>
      <c r="H14" s="35"/>
      <c r="I14" s="38"/>
      <c r="J14" s="36"/>
      <c r="K14" s="6"/>
      <c r="L14" s="6"/>
      <c r="M14" s="7"/>
      <c r="N14" s="5"/>
      <c r="O14" s="7"/>
      <c r="S14" s="17"/>
    </row>
    <row r="15" spans="1:19" x14ac:dyDescent="0.25">
      <c r="A15" s="87">
        <v>0.4381944444444445</v>
      </c>
      <c r="B15" s="33" t="s">
        <v>10</v>
      </c>
      <c r="C15" s="34">
        <v>5995.2</v>
      </c>
      <c r="D15" s="92">
        <v>4.1134550476190501</v>
      </c>
      <c r="E15" s="104">
        <f t="shared" si="0"/>
        <v>1457.4609253284877</v>
      </c>
      <c r="F15" s="38"/>
      <c r="G15" s="38"/>
      <c r="H15" s="35"/>
      <c r="I15" s="38"/>
      <c r="J15" s="36"/>
      <c r="K15" s="6"/>
      <c r="L15" s="6"/>
      <c r="M15" s="7"/>
      <c r="N15" s="5"/>
      <c r="O15" s="7"/>
      <c r="S15" s="17"/>
    </row>
    <row r="16" spans="1:19" x14ac:dyDescent="0.25">
      <c r="A16" s="87">
        <v>0.4381944444444445</v>
      </c>
      <c r="B16" s="33" t="s">
        <v>10</v>
      </c>
      <c r="C16" s="34">
        <v>6445.4</v>
      </c>
      <c r="D16" s="92">
        <v>4.1136879561904802</v>
      </c>
      <c r="E16" s="104">
        <f t="shared" si="0"/>
        <v>1566.8179182868366</v>
      </c>
      <c r="F16" s="38"/>
      <c r="G16" s="38"/>
      <c r="H16" s="35"/>
      <c r="I16" s="38"/>
      <c r="J16" s="36"/>
      <c r="K16" s="6"/>
      <c r="L16" s="6"/>
      <c r="M16" s="7"/>
      <c r="N16" s="5"/>
      <c r="O16" s="7"/>
      <c r="S16" s="17"/>
    </row>
    <row r="17" spans="1:19" x14ac:dyDescent="0.25">
      <c r="A17" s="87">
        <v>0.4381944444444445</v>
      </c>
      <c r="B17" s="33" t="s">
        <v>10</v>
      </c>
      <c r="C17" s="34">
        <v>6895.6</v>
      </c>
      <c r="D17" s="92">
        <v>4.1139208647618997</v>
      </c>
      <c r="E17" s="104">
        <f t="shared" si="0"/>
        <v>1676.1625288091425</v>
      </c>
      <c r="F17" s="38"/>
      <c r="G17" s="38"/>
      <c r="H17" s="35"/>
      <c r="I17" s="38"/>
      <c r="J17" s="36"/>
      <c r="K17" s="6"/>
      <c r="L17" s="6"/>
      <c r="M17" s="7"/>
      <c r="N17" s="5"/>
      <c r="O17" s="7"/>
      <c r="S17" s="17"/>
    </row>
    <row r="18" spans="1:19" x14ac:dyDescent="0.25">
      <c r="A18" s="87">
        <v>0.4381944444444445</v>
      </c>
      <c r="B18" s="33" t="s">
        <v>10</v>
      </c>
      <c r="C18" s="34">
        <v>7345.8</v>
      </c>
      <c r="D18" s="92">
        <v>4.1141537733333298</v>
      </c>
      <c r="E18" s="104">
        <f t="shared" si="0"/>
        <v>1785.4947589983633</v>
      </c>
      <c r="F18" s="38"/>
      <c r="G18" s="38"/>
      <c r="H18" s="35"/>
      <c r="I18" s="38"/>
      <c r="J18" s="36"/>
      <c r="K18" s="6"/>
      <c r="L18" s="6"/>
      <c r="M18" s="7"/>
      <c r="N18" s="5"/>
      <c r="O18" s="7"/>
      <c r="S18" s="17"/>
    </row>
    <row r="19" spans="1:19" x14ac:dyDescent="0.25">
      <c r="A19" s="88">
        <v>0.45902777777777781</v>
      </c>
      <c r="B19" s="39" t="s">
        <v>10</v>
      </c>
      <c r="C19" s="40">
        <v>7796</v>
      </c>
      <c r="D19" s="93">
        <v>4.1143866819047599</v>
      </c>
      <c r="E19" s="105">
        <f t="shared" si="0"/>
        <v>1894.8146109569927</v>
      </c>
      <c r="F19" s="43"/>
      <c r="G19" s="43"/>
      <c r="H19" s="41"/>
      <c r="I19" s="43"/>
      <c r="J19" s="42"/>
      <c r="K19" s="6"/>
      <c r="L19" s="6"/>
      <c r="M19" s="7"/>
      <c r="N19" s="5"/>
      <c r="O19" s="7"/>
      <c r="S19" s="17"/>
    </row>
    <row r="20" spans="1:19" x14ac:dyDescent="0.25">
      <c r="A20" s="89">
        <v>0.54166666666666663</v>
      </c>
      <c r="B20" s="44" t="s">
        <v>10</v>
      </c>
      <c r="C20" s="45">
        <v>8246.2000000000007</v>
      </c>
      <c r="D20" s="94">
        <v>4.11461959047619</v>
      </c>
      <c r="E20" s="106">
        <f t="shared" si="0"/>
        <v>2004.1220867870456</v>
      </c>
      <c r="F20" s="48"/>
      <c r="G20" s="48"/>
      <c r="H20" s="46" t="s">
        <v>9</v>
      </c>
      <c r="I20" s="45">
        <v>10000</v>
      </c>
      <c r="J20" s="47">
        <v>4.1159999999999997</v>
      </c>
      <c r="K20" s="6"/>
      <c r="L20" s="6"/>
      <c r="M20" s="7"/>
      <c r="N20" s="5"/>
      <c r="O20" s="7"/>
      <c r="S20" s="17"/>
    </row>
    <row r="21" spans="1:19" x14ac:dyDescent="0.25">
      <c r="A21" s="89">
        <v>0.54166666666666663</v>
      </c>
      <c r="B21" s="44" t="s">
        <v>10</v>
      </c>
      <c r="C21" s="45">
        <v>8696.4</v>
      </c>
      <c r="D21" s="94">
        <v>4.1148524990476201</v>
      </c>
      <c r="E21" s="106">
        <f t="shared" si="0"/>
        <v>2113.4171885900591</v>
      </c>
      <c r="F21" s="48"/>
      <c r="G21" s="48"/>
      <c r="H21" s="46"/>
      <c r="I21" s="48"/>
      <c r="J21" s="47"/>
      <c r="K21" s="6"/>
      <c r="L21" s="6"/>
      <c r="M21" s="7"/>
      <c r="N21" s="5"/>
      <c r="O21" s="7"/>
    </row>
    <row r="22" spans="1:19" x14ac:dyDescent="0.25">
      <c r="A22" s="89">
        <v>0.54166666666666663</v>
      </c>
      <c r="B22" s="44" t="s">
        <v>10</v>
      </c>
      <c r="C22" s="45">
        <v>946.6</v>
      </c>
      <c r="D22" s="94">
        <v>4.1150854076190502</v>
      </c>
      <c r="E22" s="106">
        <f t="shared" si="0"/>
        <v>230.03167765300256</v>
      </c>
      <c r="F22" s="48"/>
      <c r="G22" s="48"/>
      <c r="H22" s="46"/>
      <c r="I22" s="48"/>
      <c r="J22" s="47"/>
      <c r="K22" s="6"/>
      <c r="L22" s="6"/>
      <c r="M22" s="7"/>
      <c r="N22" s="5"/>
      <c r="O22" s="7"/>
    </row>
    <row r="23" spans="1:19" x14ac:dyDescent="0.25">
      <c r="A23" s="89">
        <v>0.54166666666666663</v>
      </c>
      <c r="B23" s="44" t="s">
        <v>10</v>
      </c>
      <c r="C23" s="45">
        <v>596.79999999999995</v>
      </c>
      <c r="D23" s="94">
        <v>4.1153183161904803</v>
      </c>
      <c r="E23" s="106">
        <f t="shared" si="0"/>
        <v>145.01915870081547</v>
      </c>
      <c r="F23" s="48"/>
      <c r="G23" s="48"/>
      <c r="H23" s="46"/>
      <c r="I23" s="48"/>
      <c r="J23" s="47"/>
      <c r="K23" s="6"/>
      <c r="L23" s="6"/>
      <c r="M23" s="7"/>
      <c r="N23" s="5"/>
      <c r="O23" s="7"/>
    </row>
    <row r="24" spans="1:19" x14ac:dyDescent="0.25">
      <c r="A24" s="89">
        <v>0.54166666666666663</v>
      </c>
      <c r="B24" s="44" t="s">
        <v>10</v>
      </c>
      <c r="C24" s="45">
        <v>147</v>
      </c>
      <c r="D24" s="94">
        <v>4.1155512247619104</v>
      </c>
      <c r="E24" s="106">
        <f t="shared" si="0"/>
        <v>35.718180134789627</v>
      </c>
      <c r="F24" s="48"/>
      <c r="G24" s="48"/>
      <c r="H24" s="46"/>
      <c r="I24" s="48"/>
      <c r="J24" s="47"/>
      <c r="K24" s="6"/>
      <c r="L24" s="6"/>
      <c r="M24" s="7"/>
      <c r="N24" s="5"/>
      <c r="O24" s="7"/>
    </row>
    <row r="25" spans="1:19" x14ac:dyDescent="0.25">
      <c r="A25" s="89">
        <v>0.54166666666666663</v>
      </c>
      <c r="B25" s="44" t="s">
        <v>10</v>
      </c>
      <c r="C25" s="45">
        <v>10497.2</v>
      </c>
      <c r="D25" s="94">
        <v>4.1157841333333298</v>
      </c>
      <c r="E25" s="106">
        <f t="shared" si="0"/>
        <v>2550.473897545844</v>
      </c>
      <c r="F25" s="48"/>
      <c r="G25" s="48"/>
      <c r="H25" s="46"/>
      <c r="I25" s="48"/>
      <c r="J25" s="47"/>
      <c r="K25" s="6"/>
      <c r="L25" s="6"/>
      <c r="M25" s="7"/>
      <c r="N25" s="5"/>
      <c r="O25" s="7"/>
    </row>
    <row r="26" spans="1:19" x14ac:dyDescent="0.25">
      <c r="A26" s="89">
        <v>0.54166666666666663</v>
      </c>
      <c r="B26" s="44" t="s">
        <v>10</v>
      </c>
      <c r="C26" s="45">
        <v>5017.3999999999996</v>
      </c>
      <c r="D26" s="94">
        <v>4.1160170419047599</v>
      </c>
      <c r="E26" s="106">
        <f t="shared" si="0"/>
        <v>1218.993981054585</v>
      </c>
      <c r="F26" s="48"/>
      <c r="G26" s="48"/>
      <c r="H26" s="46"/>
      <c r="I26" s="48"/>
      <c r="J26" s="47"/>
      <c r="K26" s="6"/>
      <c r="L26" s="6"/>
      <c r="M26" s="7"/>
      <c r="N26" s="5"/>
      <c r="O26" s="7"/>
    </row>
    <row r="27" spans="1:19" x14ac:dyDescent="0.25">
      <c r="A27" s="89">
        <v>0.54166666666666663</v>
      </c>
      <c r="B27" s="44" t="s">
        <v>10</v>
      </c>
      <c r="C27" s="45">
        <v>5297.6</v>
      </c>
      <c r="D27" s="94">
        <v>4.11624995047619</v>
      </c>
      <c r="E27" s="106">
        <f t="shared" si="0"/>
        <v>1286.9966750651636</v>
      </c>
      <c r="F27" s="48"/>
      <c r="G27" s="48"/>
      <c r="H27" s="46"/>
      <c r="I27" s="48"/>
      <c r="J27" s="47"/>
      <c r="K27" s="6"/>
      <c r="L27" s="6"/>
      <c r="M27" s="7"/>
      <c r="N27" s="5"/>
      <c r="O27" s="7"/>
    </row>
    <row r="28" spans="1:19" x14ac:dyDescent="0.25">
      <c r="A28" s="89">
        <v>0.54166666666666663</v>
      </c>
      <c r="B28" s="44" t="s">
        <v>10</v>
      </c>
      <c r="C28" s="45">
        <v>5577.8</v>
      </c>
      <c r="D28" s="94">
        <v>4.1164828590476201</v>
      </c>
      <c r="E28" s="106">
        <f t="shared" si="0"/>
        <v>1354.9916739579153</v>
      </c>
      <c r="F28" s="48"/>
      <c r="G28" s="48"/>
      <c r="H28" s="46"/>
      <c r="I28" s="48"/>
      <c r="J28" s="47"/>
      <c r="K28" s="6"/>
      <c r="L28" s="6"/>
      <c r="M28" s="7"/>
      <c r="N28" s="5"/>
      <c r="O28" s="7"/>
    </row>
    <row r="29" spans="1:19" x14ac:dyDescent="0.25">
      <c r="A29" s="89">
        <v>0.54166666666666663</v>
      </c>
      <c r="B29" s="44" t="s">
        <v>10</v>
      </c>
      <c r="C29" s="45">
        <v>5858</v>
      </c>
      <c r="D29" s="94">
        <v>4.1167157676190502</v>
      </c>
      <c r="E29" s="106">
        <f t="shared" si="0"/>
        <v>1422.9789790389248</v>
      </c>
      <c r="F29" s="48"/>
      <c r="G29" s="48"/>
      <c r="H29" s="46"/>
      <c r="I29" s="48"/>
      <c r="J29" s="47"/>
      <c r="K29" s="6"/>
      <c r="L29" s="6"/>
      <c r="M29" s="7"/>
      <c r="N29" s="5"/>
      <c r="O29" s="7"/>
    </row>
    <row r="30" spans="1:19" x14ac:dyDescent="0.25">
      <c r="A30" s="89">
        <v>0.54166666666666663</v>
      </c>
      <c r="B30" s="44" t="s">
        <v>10</v>
      </c>
      <c r="C30" s="45">
        <v>6138.2</v>
      </c>
      <c r="D30" s="94">
        <v>4.1169486761904803</v>
      </c>
      <c r="E30" s="106">
        <f t="shared" si="0"/>
        <v>1490.9585916139804</v>
      </c>
      <c r="F30" s="48"/>
      <c r="G30" s="48"/>
      <c r="H30" s="46"/>
      <c r="I30" s="48"/>
      <c r="J30" s="47"/>
      <c r="K30" s="6"/>
      <c r="L30" s="6"/>
      <c r="M30" s="7"/>
      <c r="N30" s="5"/>
      <c r="O30" s="7"/>
    </row>
    <row r="31" spans="1:19" x14ac:dyDescent="0.25">
      <c r="A31" s="89">
        <v>0.54166666666666663</v>
      </c>
      <c r="B31" s="44" t="s">
        <v>10</v>
      </c>
      <c r="C31" s="45">
        <v>6418.4</v>
      </c>
      <c r="D31" s="94">
        <v>4.1171815847619104</v>
      </c>
      <c r="E31" s="106">
        <f t="shared" si="0"/>
        <v>1558.9305129885752</v>
      </c>
      <c r="F31" s="48"/>
      <c r="G31" s="48"/>
      <c r="H31" s="46"/>
      <c r="I31" s="48"/>
      <c r="J31" s="47"/>
      <c r="K31" s="6"/>
      <c r="L31" s="6"/>
      <c r="M31" s="7"/>
      <c r="N31" s="5"/>
      <c r="O31" s="7"/>
    </row>
    <row r="32" spans="1:19" x14ac:dyDescent="0.25">
      <c r="A32" s="89">
        <v>0.54166666666666663</v>
      </c>
      <c r="B32" s="44" t="s">
        <v>10</v>
      </c>
      <c r="C32" s="45">
        <v>6698.6</v>
      </c>
      <c r="D32" s="94">
        <v>4.1174144933333299</v>
      </c>
      <c r="E32" s="106">
        <f t="shared" si="0"/>
        <v>1626.8947444679109</v>
      </c>
      <c r="F32" s="48"/>
      <c r="G32" s="48"/>
      <c r="H32" s="46"/>
      <c r="I32" s="48"/>
      <c r="J32" s="47"/>
      <c r="K32" s="6"/>
      <c r="L32" s="6"/>
      <c r="M32" s="7"/>
      <c r="N32" s="5"/>
      <c r="O32" s="7"/>
    </row>
    <row r="33" spans="1:15" x14ac:dyDescent="0.25">
      <c r="A33" s="89">
        <v>0.54166666666666663</v>
      </c>
      <c r="B33" s="44" t="s">
        <v>10</v>
      </c>
      <c r="C33" s="45">
        <v>6978.8</v>
      </c>
      <c r="D33" s="94">
        <v>4.11764740190476</v>
      </c>
      <c r="E33" s="106">
        <f t="shared" si="0"/>
        <v>1694.8512873568814</v>
      </c>
      <c r="F33" s="48"/>
      <c r="G33" s="48"/>
      <c r="H33" s="46"/>
      <c r="I33" s="48"/>
      <c r="J33" s="47"/>
      <c r="K33" s="6"/>
      <c r="L33" s="6"/>
      <c r="M33" s="7"/>
      <c r="N33" s="5"/>
      <c r="O33" s="7"/>
    </row>
    <row r="34" spans="1:15" x14ac:dyDescent="0.25">
      <c r="A34" s="89">
        <v>0.54166666666666663</v>
      </c>
      <c r="B34" s="44" t="s">
        <v>10</v>
      </c>
      <c r="C34" s="45">
        <v>7259</v>
      </c>
      <c r="D34" s="94">
        <v>4.1178803104761901</v>
      </c>
      <c r="E34" s="106">
        <f t="shared" si="0"/>
        <v>1762.8001429600979</v>
      </c>
      <c r="F34" s="48"/>
      <c r="G34" s="48"/>
      <c r="H34" s="46"/>
      <c r="I34" s="48"/>
      <c r="J34" s="47"/>
      <c r="K34" s="6"/>
      <c r="L34" s="6"/>
      <c r="M34" s="7"/>
      <c r="N34" s="5"/>
      <c r="O34" s="7"/>
    </row>
    <row r="35" spans="1:15" x14ac:dyDescent="0.25">
      <c r="A35" s="89">
        <v>0.54166666666666663</v>
      </c>
      <c r="B35" s="44" t="s">
        <v>10</v>
      </c>
      <c r="C35" s="45">
        <v>7539.2</v>
      </c>
      <c r="D35" s="94">
        <v>4.1181132190476202</v>
      </c>
      <c r="E35" s="106">
        <f t="shared" si="0"/>
        <v>1830.7413125818723</v>
      </c>
      <c r="F35" s="48"/>
      <c r="G35" s="48"/>
      <c r="H35" s="46"/>
      <c r="I35" s="48"/>
      <c r="J35" s="47"/>
      <c r="K35" s="6"/>
      <c r="L35" s="6"/>
      <c r="M35" s="7"/>
      <c r="N35" s="5"/>
      <c r="O35" s="7"/>
    </row>
    <row r="36" spans="1:15" x14ac:dyDescent="0.25">
      <c r="A36" s="89">
        <v>0.54166666666666663</v>
      </c>
      <c r="B36" s="44" t="s">
        <v>10</v>
      </c>
      <c r="C36" s="45">
        <v>7819.4</v>
      </c>
      <c r="D36" s="94">
        <v>4.1183461276190503</v>
      </c>
      <c r="E36" s="106">
        <f t="shared" si="0"/>
        <v>1898.6747975262217</v>
      </c>
      <c r="F36" s="48"/>
      <c r="G36" s="48"/>
      <c r="H36" s="46"/>
      <c r="I36" s="48"/>
      <c r="J36" s="47"/>
      <c r="K36" s="6"/>
      <c r="L36" s="6"/>
      <c r="M36" s="7"/>
      <c r="N36" s="5"/>
      <c r="O36" s="7"/>
    </row>
    <row r="37" spans="1:15" x14ac:dyDescent="0.25">
      <c r="A37" s="89">
        <v>0.54166666666666663</v>
      </c>
      <c r="B37" s="44" t="s">
        <v>10</v>
      </c>
      <c r="C37" s="45">
        <v>8099.6</v>
      </c>
      <c r="D37" s="94">
        <v>4.1185790361904804</v>
      </c>
      <c r="E37" s="106">
        <f t="shared" si="0"/>
        <v>1966.6005990968681</v>
      </c>
      <c r="F37" s="48"/>
      <c r="G37" s="48"/>
      <c r="H37" s="46"/>
      <c r="I37" s="48"/>
      <c r="J37" s="47"/>
      <c r="K37" s="6"/>
      <c r="L37" s="6"/>
      <c r="M37" s="7"/>
      <c r="N37" s="5"/>
      <c r="O37" s="7"/>
    </row>
    <row r="38" spans="1:15" x14ac:dyDescent="0.25">
      <c r="A38" s="89">
        <v>0.54166666666666663</v>
      </c>
      <c r="B38" s="44" t="s">
        <v>10</v>
      </c>
      <c r="C38" s="45">
        <v>8379.7999999999993</v>
      </c>
      <c r="D38" s="94">
        <v>4.1188119447619096</v>
      </c>
      <c r="E38" s="106">
        <f t="shared" si="0"/>
        <v>2034.5187185972384</v>
      </c>
      <c r="F38" s="48"/>
      <c r="G38" s="48"/>
      <c r="H38" s="46"/>
      <c r="I38" s="48"/>
      <c r="J38" s="47"/>
      <c r="K38" s="6"/>
      <c r="L38" s="6"/>
      <c r="M38" s="7"/>
      <c r="N38" s="5"/>
      <c r="O38" s="7"/>
    </row>
    <row r="39" spans="1:15" x14ac:dyDescent="0.25">
      <c r="A39" s="89">
        <v>0.54166666666666663</v>
      </c>
      <c r="B39" s="44" t="s">
        <v>10</v>
      </c>
      <c r="C39" s="45">
        <v>8660</v>
      </c>
      <c r="D39" s="94">
        <v>4.1190448533333299</v>
      </c>
      <c r="E39" s="106">
        <f t="shared" si="0"/>
        <v>2102.4291573304695</v>
      </c>
      <c r="F39" s="48"/>
      <c r="G39" s="48"/>
      <c r="H39" s="46"/>
      <c r="I39" s="48"/>
      <c r="J39" s="47"/>
      <c r="K39" s="6"/>
      <c r="L39" s="6"/>
      <c r="M39" s="7"/>
      <c r="N39" s="5"/>
      <c r="O39" s="7"/>
    </row>
    <row r="40" spans="1:15" x14ac:dyDescent="0.25">
      <c r="A40" s="89">
        <v>0.54166666666666663</v>
      </c>
      <c r="B40" s="44" t="s">
        <v>10</v>
      </c>
      <c r="C40" s="45">
        <v>8940.2000000000007</v>
      </c>
      <c r="D40" s="94">
        <v>4.11927776190476</v>
      </c>
      <c r="E40" s="106">
        <f t="shared" si="0"/>
        <v>2170.3319165993894</v>
      </c>
      <c r="F40" s="48"/>
      <c r="G40" s="48"/>
      <c r="H40" s="46"/>
      <c r="I40" s="48"/>
      <c r="J40" s="47"/>
      <c r="K40" s="6"/>
      <c r="L40" s="6"/>
      <c r="M40" s="7"/>
      <c r="N40" s="5"/>
      <c r="O40" s="7"/>
    </row>
    <row r="41" spans="1:15" x14ac:dyDescent="0.25">
      <c r="A41" s="89">
        <v>0.54166666666666663</v>
      </c>
      <c r="B41" s="44" t="s">
        <v>10</v>
      </c>
      <c r="C41" s="45">
        <v>9220.4</v>
      </c>
      <c r="D41" s="94">
        <v>4.1195106704761901</v>
      </c>
      <c r="E41" s="106">
        <f t="shared" si="0"/>
        <v>2238.2269977065453</v>
      </c>
      <c r="F41" s="48"/>
      <c r="G41" s="48"/>
      <c r="H41" s="46"/>
      <c r="I41" s="48"/>
      <c r="J41" s="47"/>
      <c r="K41" s="6"/>
      <c r="L41" s="6"/>
      <c r="M41" s="7"/>
      <c r="N41" s="5"/>
      <c r="O41" s="7"/>
    </row>
    <row r="42" spans="1:15" x14ac:dyDescent="0.25">
      <c r="A42" s="89">
        <v>0.54166666666666663</v>
      </c>
      <c r="B42" s="44" t="s">
        <v>10</v>
      </c>
      <c r="C42" s="45">
        <v>9500.6</v>
      </c>
      <c r="D42" s="94">
        <v>4.1197435790476202</v>
      </c>
      <c r="E42" s="106">
        <f t="shared" si="0"/>
        <v>2306.1144019541862</v>
      </c>
      <c r="F42" s="48"/>
      <c r="G42" s="48"/>
      <c r="H42" s="46"/>
      <c r="I42" s="48"/>
      <c r="J42" s="47"/>
      <c r="K42" s="6"/>
      <c r="L42" s="6"/>
      <c r="M42" s="7"/>
      <c r="N42" s="5"/>
      <c r="O42" s="7"/>
    </row>
    <row r="43" spans="1:15" x14ac:dyDescent="0.25">
      <c r="A43" s="89">
        <v>0.54166666666666663</v>
      </c>
      <c r="B43" s="44" t="s">
        <v>10</v>
      </c>
      <c r="C43" s="45">
        <v>9780.7999999999993</v>
      </c>
      <c r="D43" s="94">
        <v>4.1199764876190503</v>
      </c>
      <c r="E43" s="106">
        <f t="shared" si="0"/>
        <v>2373.9941306442647</v>
      </c>
      <c r="F43" s="48"/>
      <c r="G43" s="48"/>
      <c r="H43" s="46"/>
      <c r="I43" s="48"/>
      <c r="J43" s="47"/>
      <c r="K43" s="6"/>
      <c r="L43" s="6"/>
      <c r="M43" s="7"/>
      <c r="N43" s="5"/>
      <c r="O43" s="7"/>
    </row>
    <row r="44" spans="1:15" ht="15.75" thickBot="1" x14ac:dyDescent="0.3">
      <c r="A44" s="89">
        <v>0.54166666666666663</v>
      </c>
      <c r="B44" s="49" t="s">
        <v>10</v>
      </c>
      <c r="C44" s="50">
        <v>10061</v>
      </c>
      <c r="D44" s="95">
        <v>4.1202093961904804</v>
      </c>
      <c r="E44" s="107">
        <f t="shared" si="0"/>
        <v>2441.866185078442</v>
      </c>
      <c r="F44" s="53"/>
      <c r="G44" s="53"/>
      <c r="H44" s="51"/>
      <c r="I44" s="53"/>
      <c r="J44" s="52"/>
      <c r="K44" s="9"/>
      <c r="L44" s="9"/>
      <c r="M44" s="10"/>
      <c r="N44" s="8"/>
      <c r="O44" s="10"/>
    </row>
    <row r="46" spans="1:15" x14ac:dyDescent="0.25">
      <c r="C46" s="14"/>
      <c r="D46" s="14"/>
      <c r="E46" s="14"/>
      <c r="F46" s="14"/>
      <c r="G46" s="14"/>
    </row>
  </sheetData>
  <mergeCells count="5">
    <mergeCell ref="F1:G1"/>
    <mergeCell ref="H1:J1"/>
    <mergeCell ref="K1:M1"/>
    <mergeCell ref="N1:O1"/>
    <mergeCell ref="B1:E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8C8B3-ED5E-4169-8D6A-B14356FF7C78}">
  <sheetPr codeName="Sheet3">
    <pageSetUpPr fitToPage="1"/>
  </sheetPr>
  <dimension ref="A1:G120"/>
  <sheetViews>
    <sheetView zoomScale="85" workbookViewId="0">
      <pane ySplit="1" topLeftCell="A2" activePane="bottomLeft" state="frozen"/>
      <selection pane="bottomLeft" activeCell="F111" sqref="F111"/>
    </sheetView>
  </sheetViews>
  <sheetFormatPr defaultColWidth="8.85546875" defaultRowHeight="15" x14ac:dyDescent="0.25"/>
  <cols>
    <col min="2" max="2" width="28" customWidth="1"/>
    <col min="3" max="3" width="16.7109375" style="1" customWidth="1"/>
    <col min="4" max="4" width="15" customWidth="1"/>
    <col min="6" max="6" width="17.140625" bestFit="1" customWidth="1"/>
    <col min="7" max="7" width="13.42578125" bestFit="1" customWidth="1"/>
  </cols>
  <sheetData>
    <row r="1" spans="1:7" ht="15.75" thickBot="1" x14ac:dyDescent="0.3">
      <c r="A1" s="21" t="s">
        <v>38</v>
      </c>
      <c r="B1" s="72" t="s">
        <v>33</v>
      </c>
      <c r="C1" s="37" t="s">
        <v>34</v>
      </c>
      <c r="D1" s="37" t="s">
        <v>35</v>
      </c>
      <c r="E1" s="69"/>
      <c r="F1" s="37" t="s">
        <v>36</v>
      </c>
      <c r="G1" s="37" t="s">
        <v>37</v>
      </c>
    </row>
    <row r="2" spans="1:7" x14ac:dyDescent="0.25">
      <c r="A2" s="184">
        <v>0.41597222222222219</v>
      </c>
      <c r="B2" s="73" t="s">
        <v>19</v>
      </c>
      <c r="C2" s="20"/>
      <c r="D2" s="54"/>
      <c r="E2" s="70"/>
      <c r="F2" s="54"/>
      <c r="G2" s="55"/>
    </row>
    <row r="3" spans="1:7" x14ac:dyDescent="0.25">
      <c r="A3" s="185"/>
      <c r="B3" s="74" t="s">
        <v>2</v>
      </c>
      <c r="C3" s="57">
        <f>C4-C5</f>
        <v>65000</v>
      </c>
      <c r="D3" s="57">
        <f>D4-D5</f>
        <v>65000</v>
      </c>
      <c r="E3" s="43"/>
      <c r="F3" s="6"/>
      <c r="G3" s="7"/>
    </row>
    <row r="4" spans="1:7" x14ac:dyDescent="0.25">
      <c r="A4" s="185"/>
      <c r="B4" s="75" t="s">
        <v>11</v>
      </c>
      <c r="C4" s="56">
        <f>+Instructions!G3+Instructions!G4</f>
        <v>65000</v>
      </c>
      <c r="D4" s="56">
        <f>+Instructions!G3+Instructions!G4</f>
        <v>65000</v>
      </c>
      <c r="E4" s="43"/>
      <c r="F4" s="6"/>
      <c r="G4" s="7"/>
    </row>
    <row r="5" spans="1:7" x14ac:dyDescent="0.25">
      <c r="A5" s="185"/>
      <c r="B5" s="75" t="s">
        <v>13</v>
      </c>
      <c r="C5" s="80"/>
      <c r="D5" s="80"/>
      <c r="E5" s="43"/>
      <c r="F5" s="6"/>
      <c r="G5" s="7"/>
    </row>
    <row r="6" spans="1:7" x14ac:dyDescent="0.25">
      <c r="A6" s="185"/>
      <c r="B6" s="74" t="s">
        <v>12</v>
      </c>
      <c r="C6" s="3"/>
      <c r="D6" s="3"/>
      <c r="E6" s="43"/>
      <c r="F6" s="6"/>
      <c r="G6" s="7"/>
    </row>
    <row r="7" spans="1:7" x14ac:dyDescent="0.25">
      <c r="A7" s="185"/>
      <c r="B7" s="75" t="s">
        <v>11</v>
      </c>
      <c r="C7" s="3"/>
      <c r="D7" s="3"/>
      <c r="E7" s="43"/>
      <c r="F7" s="6"/>
      <c r="G7" s="7"/>
    </row>
    <row r="8" spans="1:7" x14ac:dyDescent="0.25">
      <c r="A8" s="185"/>
      <c r="B8" s="75" t="s">
        <v>13</v>
      </c>
      <c r="C8" s="3"/>
      <c r="D8" s="3"/>
      <c r="E8" s="43"/>
      <c r="F8" s="6"/>
      <c r="G8" s="7"/>
    </row>
    <row r="9" spans="1:7" x14ac:dyDescent="0.25">
      <c r="A9" s="185"/>
      <c r="B9" s="74" t="s">
        <v>3</v>
      </c>
      <c r="C9" s="3"/>
      <c r="D9" s="3"/>
      <c r="E9" s="43"/>
      <c r="F9" s="6"/>
      <c r="G9" s="7"/>
    </row>
    <row r="10" spans="1:7" x14ac:dyDescent="0.25">
      <c r="A10" s="185"/>
      <c r="B10" s="75" t="s">
        <v>11</v>
      </c>
      <c r="C10" s="3"/>
      <c r="D10" s="3"/>
      <c r="E10" s="43"/>
      <c r="F10" s="6"/>
      <c r="G10" s="7"/>
    </row>
    <row r="11" spans="1:7" x14ac:dyDescent="0.25">
      <c r="A11" s="185"/>
      <c r="B11" s="75" t="s">
        <v>13</v>
      </c>
      <c r="C11" s="3"/>
      <c r="D11" s="3"/>
      <c r="E11" s="43"/>
      <c r="F11" s="6"/>
      <c r="G11" s="7"/>
    </row>
    <row r="12" spans="1:7" x14ac:dyDescent="0.25">
      <c r="A12" s="185"/>
      <c r="B12" s="74" t="s">
        <v>14</v>
      </c>
      <c r="C12" s="3"/>
      <c r="D12" s="3"/>
      <c r="E12" s="43"/>
      <c r="F12" s="6"/>
      <c r="G12" s="7"/>
    </row>
    <row r="13" spans="1:7" x14ac:dyDescent="0.25">
      <c r="A13" s="185"/>
      <c r="B13" s="75" t="s">
        <v>11</v>
      </c>
      <c r="C13" s="3"/>
      <c r="D13" s="3"/>
      <c r="E13" s="43"/>
      <c r="F13" s="6"/>
      <c r="G13" s="7"/>
    </row>
    <row r="14" spans="1:7" x14ac:dyDescent="0.25">
      <c r="A14" s="185"/>
      <c r="B14" s="75" t="s">
        <v>13</v>
      </c>
      <c r="C14" s="3"/>
      <c r="D14" s="3"/>
      <c r="E14" s="43"/>
      <c r="F14" s="6"/>
      <c r="G14" s="7"/>
    </row>
    <row r="15" spans="1:7" x14ac:dyDescent="0.25">
      <c r="A15" s="185"/>
      <c r="B15" s="74" t="s">
        <v>4</v>
      </c>
      <c r="C15" s="3"/>
      <c r="D15" s="3"/>
      <c r="E15" s="43"/>
      <c r="F15" s="6"/>
      <c r="G15" s="7"/>
    </row>
    <row r="16" spans="1:7" x14ac:dyDescent="0.25">
      <c r="A16" s="185"/>
      <c r="B16" s="75" t="s">
        <v>11</v>
      </c>
      <c r="C16" s="3"/>
      <c r="D16" s="3"/>
      <c r="E16" s="43"/>
      <c r="F16" s="6"/>
      <c r="G16" s="7"/>
    </row>
    <row r="17" spans="1:7" x14ac:dyDescent="0.25">
      <c r="A17" s="185"/>
      <c r="B17" s="75" t="s">
        <v>13</v>
      </c>
      <c r="C17" s="3"/>
      <c r="D17" s="3"/>
      <c r="E17" s="43"/>
      <c r="F17" s="6"/>
      <c r="G17" s="7"/>
    </row>
    <row r="18" spans="1:7" x14ac:dyDescent="0.25">
      <c r="A18" s="185"/>
      <c r="B18" s="76" t="s">
        <v>15</v>
      </c>
      <c r="C18" s="57">
        <f>C3+C6+C2+C9</f>
        <v>65000</v>
      </c>
      <c r="D18" s="57">
        <f>D3+D6+D2+D9</f>
        <v>65000</v>
      </c>
      <c r="E18" s="43"/>
      <c r="F18" s="6"/>
      <c r="G18" s="7"/>
    </row>
    <row r="19" spans="1:7" x14ac:dyDescent="0.25">
      <c r="A19" s="185"/>
      <c r="B19" s="77" t="s">
        <v>16</v>
      </c>
      <c r="C19" s="57">
        <f>C15-C12</f>
        <v>0</v>
      </c>
      <c r="D19" s="57">
        <f>D15-D12</f>
        <v>0</v>
      </c>
      <c r="E19" s="43"/>
      <c r="F19" s="6"/>
      <c r="G19" s="7"/>
    </row>
    <row r="20" spans="1:7" ht="15.75" thickBot="1" x14ac:dyDescent="0.3">
      <c r="A20" s="186"/>
      <c r="B20" s="78" t="s">
        <v>17</v>
      </c>
      <c r="C20" s="58">
        <f>C18+C19</f>
        <v>65000</v>
      </c>
      <c r="D20" s="58">
        <f>D18+D19</f>
        <v>65000</v>
      </c>
      <c r="E20" s="71"/>
      <c r="F20" s="9"/>
      <c r="G20" s="10"/>
    </row>
    <row r="21" spans="1:7" x14ac:dyDescent="0.25">
      <c r="A21" s="184">
        <v>0.4375</v>
      </c>
      <c r="B21" s="73" t="s">
        <v>19</v>
      </c>
      <c r="C21" s="20"/>
      <c r="D21" s="20"/>
      <c r="E21" s="70"/>
      <c r="F21" s="54"/>
      <c r="G21" s="55"/>
    </row>
    <row r="22" spans="1:7" x14ac:dyDescent="0.25">
      <c r="A22" s="185"/>
      <c r="B22" s="74" t="s">
        <v>2</v>
      </c>
      <c r="C22" s="57">
        <f>C23-C24</f>
        <v>205000</v>
      </c>
      <c r="D22" s="57">
        <f>D23-D24</f>
        <v>205000</v>
      </c>
      <c r="E22" s="43"/>
      <c r="F22" s="6"/>
      <c r="G22" s="7"/>
    </row>
    <row r="23" spans="1:7" x14ac:dyDescent="0.25">
      <c r="A23" s="185"/>
      <c r="B23" s="75" t="s">
        <v>11</v>
      </c>
      <c r="C23" s="56">
        <f>+Instructions!G5+Instructions!G6+Instructions!G7+Instructions!G8+C4</f>
        <v>205000</v>
      </c>
      <c r="D23" s="56">
        <f>+Instructions!G5+Instructions!G6+Instructions!G7+Instructions!G8+D4</f>
        <v>205000</v>
      </c>
      <c r="E23" s="43"/>
      <c r="F23" s="6"/>
      <c r="G23" s="7"/>
    </row>
    <row r="24" spans="1:7" x14ac:dyDescent="0.25">
      <c r="A24" s="185"/>
      <c r="B24" s="75" t="s">
        <v>13</v>
      </c>
      <c r="C24" s="80"/>
      <c r="D24" s="80"/>
      <c r="E24" s="43"/>
      <c r="F24" s="6"/>
      <c r="G24" s="7"/>
    </row>
    <row r="25" spans="1:7" x14ac:dyDescent="0.25">
      <c r="A25" s="185"/>
      <c r="B25" s="74" t="s">
        <v>12</v>
      </c>
      <c r="C25" s="3"/>
      <c r="D25" s="6"/>
      <c r="E25" s="43"/>
      <c r="F25" s="63">
        <f>F26-F27</f>
        <v>-10426</v>
      </c>
      <c r="G25" s="7"/>
    </row>
    <row r="26" spans="1:7" x14ac:dyDescent="0.25">
      <c r="A26" s="185"/>
      <c r="B26" s="75" t="s">
        <v>11</v>
      </c>
      <c r="C26" s="3"/>
      <c r="D26" s="6"/>
      <c r="E26" s="43"/>
      <c r="F26" s="6"/>
      <c r="G26" s="7"/>
    </row>
    <row r="27" spans="1:7" x14ac:dyDescent="0.25">
      <c r="A27" s="185"/>
      <c r="B27" s="75" t="s">
        <v>13</v>
      </c>
      <c r="C27" s="3"/>
      <c r="D27" s="6"/>
      <c r="E27" s="43"/>
      <c r="F27" s="65">
        <f>F28</f>
        <v>10426</v>
      </c>
      <c r="G27" s="7"/>
    </row>
    <row r="28" spans="1:7" x14ac:dyDescent="0.25">
      <c r="A28" s="185"/>
      <c r="B28" s="79" t="s">
        <v>18</v>
      </c>
      <c r="C28" s="3"/>
      <c r="D28" s="6"/>
      <c r="E28" s="43"/>
      <c r="F28" s="66">
        <f>+Instructions!C5+Instructions!C6+Instructions!C7+Instructions!C8</f>
        <v>10426</v>
      </c>
      <c r="G28" s="67">
        <v>0</v>
      </c>
    </row>
    <row r="29" spans="1:7" x14ac:dyDescent="0.25">
      <c r="A29" s="185"/>
      <c r="B29" s="74" t="s">
        <v>3</v>
      </c>
      <c r="C29" s="3"/>
      <c r="D29" s="6"/>
      <c r="E29" s="43"/>
      <c r="F29" s="6"/>
      <c r="G29" s="7"/>
    </row>
    <row r="30" spans="1:7" x14ac:dyDescent="0.25">
      <c r="A30" s="185"/>
      <c r="B30" s="75" t="s">
        <v>11</v>
      </c>
      <c r="C30" s="3"/>
      <c r="D30" s="6"/>
      <c r="E30" s="43"/>
      <c r="F30" s="6"/>
      <c r="G30" s="7"/>
    </row>
    <row r="31" spans="1:7" x14ac:dyDescent="0.25">
      <c r="A31" s="185"/>
      <c r="B31" s="75" t="s">
        <v>13</v>
      </c>
      <c r="C31" s="3"/>
      <c r="D31" s="6"/>
      <c r="E31" s="43"/>
      <c r="F31" s="6"/>
      <c r="G31" s="7"/>
    </row>
    <row r="32" spans="1:7" x14ac:dyDescent="0.25">
      <c r="A32" s="185"/>
      <c r="B32" s="74" t="s">
        <v>14</v>
      </c>
      <c r="C32" s="3"/>
      <c r="D32" s="6"/>
      <c r="E32" s="43"/>
      <c r="F32" s="6"/>
      <c r="G32" s="7"/>
    </row>
    <row r="33" spans="1:7" x14ac:dyDescent="0.25">
      <c r="A33" s="185"/>
      <c r="B33" s="75" t="s">
        <v>11</v>
      </c>
      <c r="C33" s="3"/>
      <c r="D33" s="6"/>
      <c r="E33" s="43"/>
      <c r="F33" s="6"/>
      <c r="G33" s="7"/>
    </row>
    <row r="34" spans="1:7" x14ac:dyDescent="0.25">
      <c r="A34" s="185"/>
      <c r="B34" s="75" t="s">
        <v>13</v>
      </c>
      <c r="C34" s="3"/>
      <c r="D34" s="6"/>
      <c r="E34" s="43"/>
      <c r="F34" s="6"/>
      <c r="G34" s="7"/>
    </row>
    <row r="35" spans="1:7" x14ac:dyDescent="0.25">
      <c r="A35" s="185"/>
      <c r="B35" s="74" t="s">
        <v>4</v>
      </c>
      <c r="C35" s="3"/>
      <c r="D35" s="6"/>
      <c r="E35" s="43"/>
      <c r="F35" s="6"/>
      <c r="G35" s="7"/>
    </row>
    <row r="36" spans="1:7" x14ac:dyDescent="0.25">
      <c r="A36" s="185"/>
      <c r="B36" s="75" t="s">
        <v>11</v>
      </c>
      <c r="C36" s="3"/>
      <c r="D36" s="6"/>
      <c r="E36" s="43"/>
      <c r="F36" s="6"/>
      <c r="G36" s="7"/>
    </row>
    <row r="37" spans="1:7" x14ac:dyDescent="0.25">
      <c r="A37" s="185"/>
      <c r="B37" s="75" t="s">
        <v>13</v>
      </c>
      <c r="C37" s="3"/>
      <c r="D37" s="6"/>
      <c r="E37" s="43"/>
      <c r="F37" s="6"/>
      <c r="G37" s="7"/>
    </row>
    <row r="38" spans="1:7" x14ac:dyDescent="0.25">
      <c r="A38" s="185"/>
      <c r="B38" s="76" t="s">
        <v>15</v>
      </c>
      <c r="C38" s="57">
        <f>C21+C25+C22+C29</f>
        <v>205000</v>
      </c>
      <c r="D38" s="57">
        <f>D21+D25+D22+D29</f>
        <v>205000</v>
      </c>
      <c r="E38" s="43"/>
      <c r="F38" s="81">
        <f>+F21+F25+F22+F29</f>
        <v>-10426</v>
      </c>
      <c r="G38" s="67">
        <v>0</v>
      </c>
    </row>
    <row r="39" spans="1:7" x14ac:dyDescent="0.25">
      <c r="A39" s="185"/>
      <c r="B39" s="77" t="s">
        <v>16</v>
      </c>
      <c r="C39" s="57">
        <f>C35-C32</f>
        <v>0</v>
      </c>
      <c r="D39" s="57">
        <f>D35-D32</f>
        <v>0</v>
      </c>
      <c r="E39" s="43"/>
      <c r="F39" s="57">
        <f>F35-F32</f>
        <v>0</v>
      </c>
      <c r="G39" s="67">
        <v>0</v>
      </c>
    </row>
    <row r="40" spans="1:7" ht="15.75" thickBot="1" x14ac:dyDescent="0.3">
      <c r="A40" s="186"/>
      <c r="B40" s="78" t="s">
        <v>17</v>
      </c>
      <c r="C40" s="58">
        <f>C38+C39</f>
        <v>205000</v>
      </c>
      <c r="D40" s="58">
        <f>D38+D39</f>
        <v>205000</v>
      </c>
      <c r="E40" s="71"/>
      <c r="F40" s="82">
        <f>F38+F39</f>
        <v>-10426</v>
      </c>
      <c r="G40" s="68">
        <v>0</v>
      </c>
    </row>
    <row r="41" spans="1:7" x14ac:dyDescent="0.25">
      <c r="A41" s="184">
        <v>0.4381944444444445</v>
      </c>
      <c r="B41" s="73" t="s">
        <v>19</v>
      </c>
      <c r="C41" s="20"/>
      <c r="D41" s="54"/>
      <c r="E41" s="70"/>
      <c r="F41" s="54"/>
      <c r="G41" s="55"/>
    </row>
    <row r="42" spans="1:7" x14ac:dyDescent="0.25">
      <c r="A42" s="185"/>
      <c r="B42" s="74" t="s">
        <v>71</v>
      </c>
      <c r="C42" s="57">
        <f>+C43-C44</f>
        <v>240000</v>
      </c>
      <c r="D42" s="57">
        <f>+D43-D44</f>
        <v>240000</v>
      </c>
      <c r="E42" s="43"/>
      <c r="F42" s="6"/>
      <c r="G42" s="7"/>
    </row>
    <row r="43" spans="1:7" x14ac:dyDescent="0.25">
      <c r="A43" s="185"/>
      <c r="B43" s="75" t="s">
        <v>11</v>
      </c>
      <c r="C43" s="56">
        <f>+Instructions!G9+Instructions!G10+C23</f>
        <v>240000</v>
      </c>
      <c r="D43" s="56">
        <f>+Instructions!G9+Instructions!G10+D23</f>
        <v>240000</v>
      </c>
      <c r="E43" s="43"/>
      <c r="F43" s="6"/>
      <c r="G43" s="7"/>
    </row>
    <row r="44" spans="1:7" x14ac:dyDescent="0.25">
      <c r="A44" s="185"/>
      <c r="B44" s="75" t="s">
        <v>13</v>
      </c>
      <c r="C44" s="59"/>
      <c r="D44" s="59"/>
      <c r="E44" s="43"/>
      <c r="F44" s="6"/>
      <c r="G44" s="7"/>
    </row>
    <row r="45" spans="1:7" x14ac:dyDescent="0.25">
      <c r="A45" s="185"/>
      <c r="B45" s="74" t="s">
        <v>12</v>
      </c>
      <c r="C45" s="3"/>
      <c r="D45" s="3"/>
      <c r="E45" s="43"/>
      <c r="F45" s="63">
        <f>F46-F47</f>
        <v>-61873</v>
      </c>
      <c r="G45" s="7"/>
    </row>
    <row r="46" spans="1:7" x14ac:dyDescent="0.25">
      <c r="A46" s="185"/>
      <c r="B46" s="75" t="s">
        <v>11</v>
      </c>
      <c r="C46" s="3"/>
      <c r="D46" s="3"/>
      <c r="E46" s="43"/>
      <c r="F46" s="6"/>
      <c r="G46" s="7"/>
    </row>
    <row r="47" spans="1:7" x14ac:dyDescent="0.25">
      <c r="A47" s="185"/>
      <c r="B47" s="75" t="s">
        <v>13</v>
      </c>
      <c r="C47" s="3"/>
      <c r="D47" s="3"/>
      <c r="E47" s="43"/>
      <c r="F47" s="65">
        <f>F48</f>
        <v>61873</v>
      </c>
      <c r="G47" s="7"/>
    </row>
    <row r="48" spans="1:7" x14ac:dyDescent="0.25">
      <c r="A48" s="185"/>
      <c r="B48" s="79" t="s">
        <v>18</v>
      </c>
      <c r="C48" s="3"/>
      <c r="D48" s="3"/>
      <c r="E48" s="43"/>
      <c r="F48" s="66">
        <f>+F28+Instructions!C9+Instructions!C10+Instructions!C11+Instructions!C12+Instructions!C13+Instructions!C14+Instructions!C15+Instructions!C16+Instructions!C17+Instructions!C18</f>
        <v>61873</v>
      </c>
      <c r="G48" s="7"/>
    </row>
    <row r="49" spans="1:7" x14ac:dyDescent="0.25">
      <c r="A49" s="185"/>
      <c r="B49" s="74" t="s">
        <v>3</v>
      </c>
      <c r="C49" s="63">
        <f>C50-C51</f>
        <v>-50000</v>
      </c>
      <c r="D49" s="63">
        <f>D50-D51</f>
        <v>-50000</v>
      </c>
      <c r="E49" s="43"/>
      <c r="F49" s="57">
        <f>+F50-F51</f>
        <v>206000</v>
      </c>
      <c r="G49" s="7"/>
    </row>
    <row r="50" spans="1:7" x14ac:dyDescent="0.25">
      <c r="A50" s="185"/>
      <c r="B50" s="75" t="s">
        <v>11</v>
      </c>
      <c r="C50" s="3"/>
      <c r="D50" s="3"/>
      <c r="E50" s="43"/>
      <c r="F50" s="56">
        <f>Instructions!I9*Instructions!J9</f>
        <v>206000</v>
      </c>
      <c r="G50" s="7"/>
    </row>
    <row r="51" spans="1:7" x14ac:dyDescent="0.25">
      <c r="A51" s="185"/>
      <c r="B51" s="75" t="s">
        <v>13</v>
      </c>
      <c r="C51" s="65">
        <f>+Instructions!I9</f>
        <v>50000</v>
      </c>
      <c r="D51" s="65">
        <f>+Instructions!I9</f>
        <v>50000</v>
      </c>
      <c r="E51" s="43"/>
      <c r="F51" s="6"/>
      <c r="G51" s="7"/>
    </row>
    <row r="52" spans="1:7" x14ac:dyDescent="0.25">
      <c r="A52" s="185"/>
      <c r="B52" s="74" t="s">
        <v>14</v>
      </c>
      <c r="C52" s="3"/>
      <c r="D52" s="3"/>
      <c r="E52" s="43"/>
      <c r="F52" s="6"/>
      <c r="G52" s="7"/>
    </row>
    <row r="53" spans="1:7" x14ac:dyDescent="0.25">
      <c r="A53" s="185"/>
      <c r="B53" s="75" t="s">
        <v>11</v>
      </c>
      <c r="C53" s="3"/>
      <c r="D53" s="3"/>
      <c r="E53" s="43"/>
      <c r="F53" s="6"/>
      <c r="G53" s="7"/>
    </row>
    <row r="54" spans="1:7" x14ac:dyDescent="0.25">
      <c r="A54" s="185"/>
      <c r="B54" s="75" t="s">
        <v>13</v>
      </c>
      <c r="C54" s="3"/>
      <c r="D54" s="3"/>
      <c r="E54" s="43"/>
      <c r="F54" s="6"/>
      <c r="G54" s="7"/>
    </row>
    <row r="55" spans="1:7" x14ac:dyDescent="0.25">
      <c r="A55" s="185"/>
      <c r="B55" s="74" t="s">
        <v>4</v>
      </c>
      <c r="C55" s="3"/>
      <c r="D55" s="3"/>
      <c r="E55" s="43"/>
      <c r="F55" s="6"/>
      <c r="G55" s="7"/>
    </row>
    <row r="56" spans="1:7" x14ac:dyDescent="0.25">
      <c r="A56" s="185"/>
      <c r="B56" s="75" t="s">
        <v>11</v>
      </c>
      <c r="C56" s="3"/>
      <c r="D56" s="3"/>
      <c r="E56" s="43"/>
      <c r="F56" s="6"/>
      <c r="G56" s="7"/>
    </row>
    <row r="57" spans="1:7" x14ac:dyDescent="0.25">
      <c r="A57" s="185"/>
      <c r="B57" s="75" t="s">
        <v>13</v>
      </c>
      <c r="C57" s="3"/>
      <c r="D57" s="3"/>
      <c r="E57" s="43"/>
      <c r="F57" s="6"/>
      <c r="G57" s="7"/>
    </row>
    <row r="58" spans="1:7" x14ac:dyDescent="0.25">
      <c r="A58" s="185"/>
      <c r="B58" s="76" t="s">
        <v>15</v>
      </c>
      <c r="C58" s="57">
        <f>C41+C45+C42+C49</f>
        <v>190000</v>
      </c>
      <c r="D58" s="57">
        <f>D41+D45+D42+D49</f>
        <v>190000</v>
      </c>
      <c r="E58" s="43"/>
      <c r="F58" s="57">
        <f>+F41+F45+F42+F49</f>
        <v>144127</v>
      </c>
      <c r="G58" s="67">
        <v>0</v>
      </c>
    </row>
    <row r="59" spans="1:7" x14ac:dyDescent="0.25">
      <c r="A59" s="185"/>
      <c r="B59" s="77" t="s">
        <v>16</v>
      </c>
      <c r="C59" s="57">
        <f>C55-C52</f>
        <v>0</v>
      </c>
      <c r="D59" s="57">
        <f>D55-D52</f>
        <v>0</v>
      </c>
      <c r="E59" s="43"/>
      <c r="F59" s="57">
        <f>F55-F52</f>
        <v>0</v>
      </c>
      <c r="G59" s="67">
        <v>0</v>
      </c>
    </row>
    <row r="60" spans="1:7" ht="15.75" thickBot="1" x14ac:dyDescent="0.3">
      <c r="A60" s="186"/>
      <c r="B60" s="78" t="s">
        <v>17</v>
      </c>
      <c r="C60" s="58">
        <f>C58+C59</f>
        <v>190000</v>
      </c>
      <c r="D60" s="58">
        <f>D58+D59</f>
        <v>190000</v>
      </c>
      <c r="E60" s="71"/>
      <c r="F60" s="58">
        <f>F58+F59</f>
        <v>144127</v>
      </c>
      <c r="G60" s="68">
        <v>0</v>
      </c>
    </row>
    <row r="61" spans="1:7" x14ac:dyDescent="0.25">
      <c r="A61" s="184">
        <v>0.45902777777777781</v>
      </c>
      <c r="B61" s="73" t="s">
        <v>19</v>
      </c>
      <c r="C61" s="20"/>
      <c r="D61" s="54"/>
      <c r="E61" s="70"/>
      <c r="F61" s="54"/>
      <c r="G61" s="55"/>
    </row>
    <row r="62" spans="1:7" x14ac:dyDescent="0.25">
      <c r="A62" s="185"/>
      <c r="B62" s="74" t="s">
        <v>2</v>
      </c>
      <c r="C62" s="57">
        <f>+C42</f>
        <v>240000</v>
      </c>
      <c r="D62" s="57">
        <f>+D42</f>
        <v>240000</v>
      </c>
      <c r="E62" s="43"/>
      <c r="F62" s="6"/>
      <c r="G62" s="7"/>
    </row>
    <row r="63" spans="1:7" x14ac:dyDescent="0.25">
      <c r="A63" s="185"/>
      <c r="B63" s="75" t="s">
        <v>11</v>
      </c>
      <c r="C63" s="56">
        <f>+C43</f>
        <v>240000</v>
      </c>
      <c r="D63" s="56">
        <f>+D43</f>
        <v>240000</v>
      </c>
      <c r="E63" s="43"/>
      <c r="F63" s="6"/>
      <c r="G63" s="7"/>
    </row>
    <row r="64" spans="1:7" x14ac:dyDescent="0.25">
      <c r="A64" s="185"/>
      <c r="B64" s="75" t="s">
        <v>13</v>
      </c>
      <c r="C64" s="59"/>
      <c r="D64" s="59"/>
      <c r="E64" s="43"/>
      <c r="F64" s="6"/>
      <c r="G64" s="7"/>
    </row>
    <row r="65" spans="1:7" x14ac:dyDescent="0.25">
      <c r="A65" s="185"/>
      <c r="B65" s="74" t="s">
        <v>12</v>
      </c>
      <c r="C65" s="3"/>
      <c r="D65" s="3"/>
      <c r="E65" s="43"/>
      <c r="F65" s="63">
        <f>F66-F67</f>
        <v>-69669</v>
      </c>
      <c r="G65" s="63">
        <f>G66-G67</f>
        <v>-69669</v>
      </c>
    </row>
    <row r="66" spans="1:7" x14ac:dyDescent="0.25">
      <c r="A66" s="185"/>
      <c r="B66" s="75" t="s">
        <v>11</v>
      </c>
      <c r="C66" s="3"/>
      <c r="D66" s="3"/>
      <c r="E66" s="43"/>
    </row>
    <row r="67" spans="1:7" x14ac:dyDescent="0.25">
      <c r="A67" s="185"/>
      <c r="B67" s="75" t="s">
        <v>13</v>
      </c>
      <c r="C67" s="3"/>
      <c r="D67" s="3"/>
      <c r="E67" s="43"/>
      <c r="F67" s="65">
        <f>+F48+Instructions!C19</f>
        <v>69669</v>
      </c>
      <c r="G67" s="61">
        <f>+F67</f>
        <v>69669</v>
      </c>
    </row>
    <row r="68" spans="1:7" x14ac:dyDescent="0.25">
      <c r="A68" s="185"/>
      <c r="B68" s="79" t="s">
        <v>18</v>
      </c>
      <c r="C68" s="3"/>
      <c r="D68" s="3"/>
      <c r="E68" s="43"/>
      <c r="F68" s="62"/>
      <c r="G68" s="7"/>
    </row>
    <row r="69" spans="1:7" x14ac:dyDescent="0.25">
      <c r="A69" s="185"/>
      <c r="B69" s="74" t="s">
        <v>3</v>
      </c>
      <c r="C69" s="63">
        <f>C70-C71</f>
        <v>-50000</v>
      </c>
      <c r="D69" s="63">
        <f>D70-D71</f>
        <v>-50000</v>
      </c>
      <c r="E69" s="43"/>
      <c r="F69" s="57">
        <f>+F70-F71</f>
        <v>206000</v>
      </c>
      <c r="G69" s="57">
        <f>+G70-G71</f>
        <v>206000</v>
      </c>
    </row>
    <row r="70" spans="1:7" x14ac:dyDescent="0.25">
      <c r="A70" s="185"/>
      <c r="B70" s="75" t="s">
        <v>11</v>
      </c>
      <c r="C70" s="3"/>
      <c r="D70" s="3"/>
      <c r="E70" s="43"/>
      <c r="F70" s="56">
        <f>+F50</f>
        <v>206000</v>
      </c>
      <c r="G70" s="64">
        <f>+F50</f>
        <v>206000</v>
      </c>
    </row>
    <row r="71" spans="1:7" x14ac:dyDescent="0.25">
      <c r="A71" s="185"/>
      <c r="B71" s="75" t="s">
        <v>13</v>
      </c>
      <c r="C71" s="65">
        <f>+C51</f>
        <v>50000</v>
      </c>
      <c r="D71" s="65">
        <f>+D51</f>
        <v>50000</v>
      </c>
      <c r="E71" s="43"/>
      <c r="F71" s="6"/>
      <c r="G71" s="7"/>
    </row>
    <row r="72" spans="1:7" x14ac:dyDescent="0.25">
      <c r="A72" s="185"/>
      <c r="B72" s="74" t="s">
        <v>14</v>
      </c>
      <c r="C72" s="3"/>
      <c r="D72" s="3"/>
      <c r="E72" s="43"/>
      <c r="F72" s="6"/>
      <c r="G72" s="7"/>
    </row>
    <row r="73" spans="1:7" x14ac:dyDescent="0.25">
      <c r="A73" s="185"/>
      <c r="B73" s="75" t="s">
        <v>11</v>
      </c>
      <c r="C73" s="3"/>
      <c r="D73" s="3"/>
      <c r="E73" s="43"/>
      <c r="F73" s="6"/>
      <c r="G73" s="7"/>
    </row>
    <row r="74" spans="1:7" x14ac:dyDescent="0.25">
      <c r="A74" s="185"/>
      <c r="B74" s="75" t="s">
        <v>13</v>
      </c>
      <c r="C74" s="3"/>
      <c r="D74" s="3"/>
      <c r="E74" s="43"/>
      <c r="F74" s="6"/>
      <c r="G74" s="7"/>
    </row>
    <row r="75" spans="1:7" x14ac:dyDescent="0.25">
      <c r="A75" s="185"/>
      <c r="B75" s="74" t="s">
        <v>4</v>
      </c>
      <c r="C75" s="3"/>
      <c r="D75" s="3"/>
      <c r="E75" s="43"/>
      <c r="F75" s="6"/>
      <c r="G75" s="7"/>
    </row>
    <row r="76" spans="1:7" x14ac:dyDescent="0.25">
      <c r="A76" s="185"/>
      <c r="B76" s="75" t="s">
        <v>11</v>
      </c>
      <c r="C76" s="3"/>
      <c r="D76" s="3"/>
      <c r="E76" s="43"/>
      <c r="F76" s="6"/>
      <c r="G76" s="7"/>
    </row>
    <row r="77" spans="1:7" x14ac:dyDescent="0.25">
      <c r="A77" s="185"/>
      <c r="B77" s="75" t="s">
        <v>13</v>
      </c>
      <c r="C77" s="3"/>
      <c r="D77" s="3"/>
      <c r="E77" s="43"/>
      <c r="F77" s="6"/>
      <c r="G77" s="7"/>
    </row>
    <row r="78" spans="1:7" x14ac:dyDescent="0.25">
      <c r="A78" s="185"/>
      <c r="B78" s="76" t="s">
        <v>15</v>
      </c>
      <c r="C78" s="57">
        <f>C61+C65+C62+C69</f>
        <v>190000</v>
      </c>
      <c r="D78" s="57">
        <f>D61+D65+D62+D69</f>
        <v>190000</v>
      </c>
      <c r="E78" s="43"/>
      <c r="F78" s="57">
        <f>+F61+F65+F62+F69</f>
        <v>136331</v>
      </c>
      <c r="G78" s="57">
        <f>+G61+G65+G62+G69</f>
        <v>136331</v>
      </c>
    </row>
    <row r="79" spans="1:7" x14ac:dyDescent="0.25">
      <c r="A79" s="185"/>
      <c r="B79" s="77" t="s">
        <v>16</v>
      </c>
      <c r="C79" s="57">
        <f>C75-C72</f>
        <v>0</v>
      </c>
      <c r="D79" s="57">
        <f>D75-D72</f>
        <v>0</v>
      </c>
      <c r="E79" s="43"/>
      <c r="F79" s="57">
        <f>F75-F72</f>
        <v>0</v>
      </c>
      <c r="G79" s="57">
        <f>G75-G72</f>
        <v>0</v>
      </c>
    </row>
    <row r="80" spans="1:7" ht="15.75" thickBot="1" x14ac:dyDescent="0.3">
      <c r="A80" s="186"/>
      <c r="B80" s="78" t="s">
        <v>17</v>
      </c>
      <c r="C80" s="58">
        <f>C78+C79</f>
        <v>190000</v>
      </c>
      <c r="D80" s="58">
        <f>D78+D79</f>
        <v>190000</v>
      </c>
      <c r="E80" s="71"/>
      <c r="F80" s="58">
        <f>F78+F79</f>
        <v>136331</v>
      </c>
      <c r="G80" s="58">
        <f>G78+G79</f>
        <v>136331</v>
      </c>
    </row>
    <row r="81" spans="1:7" x14ac:dyDescent="0.25">
      <c r="A81" s="184">
        <v>0.54166666666666663</v>
      </c>
      <c r="B81" s="73" t="s">
        <v>19</v>
      </c>
      <c r="C81" s="20"/>
      <c r="D81" s="54"/>
      <c r="E81" s="70"/>
      <c r="F81" s="54"/>
      <c r="G81" s="55"/>
    </row>
    <row r="82" spans="1:7" x14ac:dyDescent="0.25">
      <c r="A82" s="185"/>
      <c r="B82" s="74" t="s">
        <v>2</v>
      </c>
      <c r="C82" s="57">
        <f>+C62-C84</f>
        <v>240000</v>
      </c>
      <c r="D82" s="57">
        <f>+D62-D84</f>
        <v>240000</v>
      </c>
      <c r="E82" s="43"/>
      <c r="F82" s="6"/>
      <c r="G82" s="7"/>
    </row>
    <row r="83" spans="1:7" x14ac:dyDescent="0.25">
      <c r="A83" s="185"/>
      <c r="B83" s="75" t="s">
        <v>11</v>
      </c>
      <c r="C83" s="56">
        <f>+C63</f>
        <v>240000</v>
      </c>
      <c r="D83" s="56">
        <f>+D63</f>
        <v>240000</v>
      </c>
      <c r="E83" s="43"/>
      <c r="F83" s="6"/>
      <c r="G83" s="7"/>
    </row>
    <row r="84" spans="1:7" x14ac:dyDescent="0.25">
      <c r="A84" s="185"/>
      <c r="B84" s="75" t="s">
        <v>13</v>
      </c>
      <c r="C84" s="59"/>
      <c r="D84" s="59"/>
      <c r="E84" s="43"/>
      <c r="F84" s="6"/>
      <c r="G84" s="7"/>
    </row>
    <row r="85" spans="1:7" x14ac:dyDescent="0.25">
      <c r="A85" s="185"/>
      <c r="B85" s="74" t="s">
        <v>12</v>
      </c>
      <c r="C85" s="3"/>
      <c r="D85" s="3"/>
      <c r="E85" s="43"/>
      <c r="F85" s="63">
        <f>+F86-F87</f>
        <v>-242044</v>
      </c>
      <c r="G85" s="63">
        <f>+G86-G87</f>
        <v>-203481.2</v>
      </c>
    </row>
    <row r="86" spans="1:7" x14ac:dyDescent="0.25">
      <c r="A86" s="185"/>
      <c r="B86" s="75" t="s">
        <v>11</v>
      </c>
      <c r="C86" s="3"/>
      <c r="D86" s="3"/>
      <c r="E86" s="43"/>
      <c r="F86" s="6"/>
      <c r="G86" s="7"/>
    </row>
    <row r="87" spans="1:7" x14ac:dyDescent="0.25">
      <c r="A87" s="185"/>
      <c r="B87" s="75" t="s">
        <v>13</v>
      </c>
      <c r="C87" s="3"/>
      <c r="D87" s="3"/>
      <c r="E87" s="43"/>
      <c r="F87" s="60">
        <f>+F67+SUM(Instructions!C20:C40)+F88</f>
        <v>242044</v>
      </c>
      <c r="G87" s="61">
        <f>+G67+SUM(Instructions!C20:C40)</f>
        <v>203481.2</v>
      </c>
    </row>
    <row r="88" spans="1:7" x14ac:dyDescent="0.25">
      <c r="A88" s="185"/>
      <c r="B88" s="79" t="s">
        <v>18</v>
      </c>
      <c r="C88" s="3"/>
      <c r="D88" s="3"/>
      <c r="E88" s="43"/>
      <c r="F88" s="66">
        <f>+SUM(Instructions!C41:C44)</f>
        <v>38562.800000000003</v>
      </c>
      <c r="G88" s="7"/>
    </row>
    <row r="89" spans="1:7" x14ac:dyDescent="0.25">
      <c r="A89" s="185"/>
      <c r="B89" s="74" t="s">
        <v>3</v>
      </c>
      <c r="C89" s="63">
        <f>+C90-C91</f>
        <v>-60000</v>
      </c>
      <c r="D89" s="63">
        <f>+D90-D91</f>
        <v>-60000</v>
      </c>
      <c r="E89" s="43"/>
      <c r="F89" s="57">
        <f>+F90-F91</f>
        <v>247160</v>
      </c>
      <c r="G89" s="57">
        <f>+G90-G91</f>
        <v>206000</v>
      </c>
    </row>
    <row r="90" spans="1:7" x14ac:dyDescent="0.25">
      <c r="A90" s="185"/>
      <c r="B90" s="75" t="s">
        <v>11</v>
      </c>
      <c r="C90" s="3"/>
      <c r="D90" s="3"/>
      <c r="E90" s="43"/>
      <c r="F90" s="56">
        <f>+F70+Instructions!I20*Instructions!J20</f>
        <v>247160</v>
      </c>
      <c r="G90" s="64">
        <f>+F70</f>
        <v>206000</v>
      </c>
    </row>
    <row r="91" spans="1:7" x14ac:dyDescent="0.25">
      <c r="A91" s="185"/>
      <c r="B91" s="75" t="s">
        <v>13</v>
      </c>
      <c r="C91" s="65">
        <f>+C71+Instructions!I20</f>
        <v>60000</v>
      </c>
      <c r="D91" s="65">
        <f>+D71+Instructions!I20</f>
        <v>60000</v>
      </c>
      <c r="E91" s="43"/>
      <c r="F91" s="6"/>
      <c r="G91" s="7"/>
    </row>
    <row r="92" spans="1:7" x14ac:dyDescent="0.25">
      <c r="A92" s="185"/>
      <c r="B92" s="74" t="s">
        <v>14</v>
      </c>
      <c r="C92" s="3"/>
      <c r="D92" s="3"/>
      <c r="E92" s="43"/>
      <c r="F92" s="6"/>
      <c r="G92" s="7"/>
    </row>
    <row r="93" spans="1:7" x14ac:dyDescent="0.25">
      <c r="A93" s="185"/>
      <c r="B93" s="75" t="s">
        <v>11</v>
      </c>
      <c r="C93" s="3"/>
      <c r="D93" s="3"/>
      <c r="E93" s="43"/>
      <c r="F93" s="6"/>
      <c r="G93" s="7"/>
    </row>
    <row r="94" spans="1:7" x14ac:dyDescent="0.25">
      <c r="A94" s="185"/>
      <c r="B94" s="75" t="s">
        <v>13</v>
      </c>
      <c r="C94" s="3"/>
      <c r="D94" s="3"/>
      <c r="E94" s="43"/>
      <c r="F94" s="6"/>
      <c r="G94" s="7"/>
    </row>
    <row r="95" spans="1:7" x14ac:dyDescent="0.25">
      <c r="A95" s="185"/>
      <c r="B95" s="74" t="s">
        <v>4</v>
      </c>
      <c r="C95" s="3"/>
      <c r="D95" s="3"/>
      <c r="E95" s="43"/>
      <c r="F95" s="6"/>
      <c r="G95" s="7"/>
    </row>
    <row r="96" spans="1:7" x14ac:dyDescent="0.25">
      <c r="A96" s="185"/>
      <c r="B96" s="75" t="s">
        <v>11</v>
      </c>
      <c r="C96" s="3"/>
      <c r="D96" s="3"/>
      <c r="E96" s="43"/>
      <c r="F96" s="6"/>
      <c r="G96" s="7"/>
    </row>
    <row r="97" spans="1:7" x14ac:dyDescent="0.25">
      <c r="A97" s="185"/>
      <c r="B97" s="75" t="s">
        <v>13</v>
      </c>
      <c r="C97" s="3"/>
      <c r="D97" s="3"/>
      <c r="E97" s="43"/>
      <c r="F97" s="6"/>
      <c r="G97" s="7"/>
    </row>
    <row r="98" spans="1:7" x14ac:dyDescent="0.25">
      <c r="A98" s="185"/>
      <c r="B98" s="76" t="s">
        <v>15</v>
      </c>
      <c r="C98" s="57">
        <f>C81+C85+C82+C89</f>
        <v>180000</v>
      </c>
      <c r="D98" s="57">
        <f>D81+D85+D82+D89</f>
        <v>180000</v>
      </c>
      <c r="E98" s="43"/>
      <c r="F98" s="57">
        <f>+F81+F85+F82+F89</f>
        <v>5116</v>
      </c>
      <c r="G98" s="57">
        <f>+G81+G85+G82+G89</f>
        <v>2518.7999999999884</v>
      </c>
    </row>
    <row r="99" spans="1:7" x14ac:dyDescent="0.25">
      <c r="A99" s="185"/>
      <c r="B99" s="77" t="s">
        <v>16</v>
      </c>
      <c r="C99" s="57">
        <f>C95-C92</f>
        <v>0</v>
      </c>
      <c r="D99" s="57">
        <f>D95-D92</f>
        <v>0</v>
      </c>
      <c r="E99" s="43"/>
      <c r="F99" s="57">
        <f>F95-F92</f>
        <v>0</v>
      </c>
      <c r="G99" s="57">
        <f>G95-G92</f>
        <v>0</v>
      </c>
    </row>
    <row r="100" spans="1:7" ht="15.75" thickBot="1" x14ac:dyDescent="0.3">
      <c r="A100" s="186"/>
      <c r="B100" s="78" t="s">
        <v>17</v>
      </c>
      <c r="C100" s="58">
        <f>C98+C99</f>
        <v>180000</v>
      </c>
      <c r="D100" s="58">
        <f>D98+D99</f>
        <v>180000</v>
      </c>
      <c r="E100" s="71"/>
      <c r="F100" s="58">
        <f>F98+F99</f>
        <v>5116</v>
      </c>
      <c r="G100" s="58">
        <f>G98+G99</f>
        <v>2518.7999999999884</v>
      </c>
    </row>
    <row r="101" spans="1:7" x14ac:dyDescent="0.25">
      <c r="A101" s="184">
        <v>0.5625</v>
      </c>
      <c r="B101" s="73" t="s">
        <v>19</v>
      </c>
      <c r="C101" s="20"/>
      <c r="D101" s="54"/>
      <c r="E101" s="70"/>
      <c r="F101" s="54"/>
      <c r="G101" s="55"/>
    </row>
    <row r="102" spans="1:7" x14ac:dyDescent="0.25">
      <c r="A102" s="185"/>
      <c r="B102" s="74" t="s">
        <v>2</v>
      </c>
      <c r="C102" s="57">
        <f>+C82</f>
        <v>240000</v>
      </c>
      <c r="D102" s="57">
        <f>+D82</f>
        <v>240000</v>
      </c>
      <c r="E102" s="43"/>
      <c r="F102" s="6"/>
      <c r="G102" s="7"/>
    </row>
    <row r="103" spans="1:7" x14ac:dyDescent="0.25">
      <c r="A103" s="185"/>
      <c r="B103" s="75" t="s">
        <v>11</v>
      </c>
      <c r="C103" s="56">
        <f>+C83</f>
        <v>240000</v>
      </c>
      <c r="D103" s="56">
        <f>+D83</f>
        <v>240000</v>
      </c>
      <c r="E103" s="43"/>
      <c r="F103" s="6"/>
      <c r="G103" s="7"/>
    </row>
    <row r="104" spans="1:7" x14ac:dyDescent="0.25">
      <c r="A104" s="185"/>
      <c r="B104" s="75" t="s">
        <v>13</v>
      </c>
      <c r="C104" s="59"/>
      <c r="D104" s="59"/>
      <c r="E104" s="43"/>
      <c r="F104" s="6"/>
      <c r="G104" s="7"/>
    </row>
    <row r="105" spans="1:7" x14ac:dyDescent="0.25">
      <c r="A105" s="185"/>
      <c r="B105" s="74" t="s">
        <v>12</v>
      </c>
      <c r="C105" s="3"/>
      <c r="D105" s="3"/>
      <c r="E105" s="43"/>
      <c r="F105" s="63">
        <f>+F106-F107</f>
        <v>-242044</v>
      </c>
      <c r="G105" s="63">
        <f>+G106-G107</f>
        <v>-242044</v>
      </c>
    </row>
    <row r="106" spans="1:7" x14ac:dyDescent="0.25">
      <c r="A106" s="185"/>
      <c r="B106" s="75" t="s">
        <v>11</v>
      </c>
      <c r="C106" s="3"/>
      <c r="D106" s="3"/>
      <c r="E106" s="43"/>
      <c r="F106" s="6"/>
      <c r="G106" s="7"/>
    </row>
    <row r="107" spans="1:7" x14ac:dyDescent="0.25">
      <c r="A107" s="185"/>
      <c r="B107" s="75" t="s">
        <v>13</v>
      </c>
      <c r="C107" s="3"/>
      <c r="D107" s="3"/>
      <c r="E107" s="43"/>
      <c r="F107" s="60">
        <f>+F87</f>
        <v>242044</v>
      </c>
      <c r="G107" s="61">
        <f>+G87+F88</f>
        <v>242044</v>
      </c>
    </row>
    <row r="108" spans="1:7" x14ac:dyDescent="0.25">
      <c r="A108" s="185"/>
      <c r="B108" s="79" t="s">
        <v>18</v>
      </c>
      <c r="C108" s="3"/>
      <c r="D108" s="3"/>
      <c r="E108" s="43"/>
      <c r="F108" s="62">
        <f>+SUM(Instructions!C62:C65)</f>
        <v>0</v>
      </c>
      <c r="G108" s="7"/>
    </row>
    <row r="109" spans="1:7" x14ac:dyDescent="0.25">
      <c r="A109" s="185"/>
      <c r="B109" s="74" t="s">
        <v>3</v>
      </c>
      <c r="C109" s="63">
        <f>+C110-C111</f>
        <v>-60000</v>
      </c>
      <c r="D109" s="63">
        <f>+D110-D111</f>
        <v>-60000</v>
      </c>
      <c r="E109" s="43"/>
      <c r="F109" s="57">
        <f>+F110-F111</f>
        <v>247160</v>
      </c>
      <c r="G109" s="57">
        <f>+G110-G111</f>
        <v>247160</v>
      </c>
    </row>
    <row r="110" spans="1:7" x14ac:dyDescent="0.25">
      <c r="A110" s="185"/>
      <c r="B110" s="75" t="s">
        <v>11</v>
      </c>
      <c r="C110" s="3"/>
      <c r="D110" s="3"/>
      <c r="E110" s="43"/>
      <c r="F110" s="56">
        <f>+F90+Instructions!I41*Instructions!J41</f>
        <v>247160</v>
      </c>
      <c r="G110" s="64">
        <f>+F90</f>
        <v>247160</v>
      </c>
    </row>
    <row r="111" spans="1:7" x14ac:dyDescent="0.25">
      <c r="A111" s="185"/>
      <c r="B111" s="75" t="s">
        <v>13</v>
      </c>
      <c r="C111" s="65">
        <f>+C91+Instructions!I41</f>
        <v>60000</v>
      </c>
      <c r="D111" s="65">
        <f>+D91+Instructions!I41</f>
        <v>60000</v>
      </c>
      <c r="E111" s="43"/>
      <c r="F111" s="6"/>
      <c r="G111" s="7"/>
    </row>
    <row r="112" spans="1:7" x14ac:dyDescent="0.25">
      <c r="A112" s="185"/>
      <c r="B112" s="74" t="s">
        <v>14</v>
      </c>
      <c r="C112" s="3"/>
      <c r="D112" s="3"/>
      <c r="E112" s="43"/>
      <c r="F112" s="6"/>
      <c r="G112" s="7"/>
    </row>
    <row r="113" spans="1:7" x14ac:dyDescent="0.25">
      <c r="A113" s="185"/>
      <c r="B113" s="75" t="s">
        <v>11</v>
      </c>
      <c r="C113" s="3"/>
      <c r="D113" s="3"/>
      <c r="E113" s="43"/>
      <c r="F113" s="6"/>
      <c r="G113" s="7"/>
    </row>
    <row r="114" spans="1:7" x14ac:dyDescent="0.25">
      <c r="A114" s="185"/>
      <c r="B114" s="75" t="s">
        <v>13</v>
      </c>
      <c r="C114" s="3"/>
      <c r="D114" s="3"/>
      <c r="E114" s="43"/>
      <c r="F114" s="6"/>
      <c r="G114" s="7"/>
    </row>
    <row r="115" spans="1:7" x14ac:dyDescent="0.25">
      <c r="A115" s="185"/>
      <c r="B115" s="74" t="s">
        <v>4</v>
      </c>
      <c r="C115" s="3"/>
      <c r="D115" s="3"/>
      <c r="E115" s="43"/>
      <c r="F115" s="6"/>
      <c r="G115" s="7"/>
    </row>
    <row r="116" spans="1:7" x14ac:dyDescent="0.25">
      <c r="A116" s="185"/>
      <c r="B116" s="75" t="s">
        <v>11</v>
      </c>
      <c r="C116" s="3"/>
      <c r="D116" s="3"/>
      <c r="E116" s="43"/>
      <c r="F116" s="6"/>
      <c r="G116" s="7"/>
    </row>
    <row r="117" spans="1:7" x14ac:dyDescent="0.25">
      <c r="A117" s="185"/>
      <c r="B117" s="75" t="s">
        <v>13</v>
      </c>
      <c r="C117" s="3"/>
      <c r="D117" s="3"/>
      <c r="E117" s="43"/>
      <c r="F117" s="6"/>
      <c r="G117" s="7"/>
    </row>
    <row r="118" spans="1:7" x14ac:dyDescent="0.25">
      <c r="A118" s="185"/>
      <c r="B118" s="76" t="s">
        <v>15</v>
      </c>
      <c r="C118" s="57">
        <f>C101+C105+C102+C109</f>
        <v>180000</v>
      </c>
      <c r="D118" s="57">
        <f>D101+D105+D102+D109</f>
        <v>180000</v>
      </c>
      <c r="E118" s="43"/>
      <c r="F118" s="57">
        <f>+F101+F105+F102+F109</f>
        <v>5116</v>
      </c>
      <c r="G118" s="57">
        <f>+G101+G105+G102+G109</f>
        <v>5116</v>
      </c>
    </row>
    <row r="119" spans="1:7" x14ac:dyDescent="0.25">
      <c r="A119" s="185"/>
      <c r="B119" s="77" t="s">
        <v>16</v>
      </c>
      <c r="C119" s="57">
        <f>C115-C112</f>
        <v>0</v>
      </c>
      <c r="D119" s="57">
        <f>D115-D112</f>
        <v>0</v>
      </c>
      <c r="E119" s="43"/>
      <c r="F119" s="57">
        <f>F115-F112</f>
        <v>0</v>
      </c>
      <c r="G119" s="57">
        <f>G115-G112</f>
        <v>0</v>
      </c>
    </row>
    <row r="120" spans="1:7" ht="15.75" thickBot="1" x14ac:dyDescent="0.3">
      <c r="A120" s="186"/>
      <c r="B120" s="78" t="s">
        <v>17</v>
      </c>
      <c r="C120" s="58">
        <f>C118+C119</f>
        <v>180000</v>
      </c>
      <c r="D120" s="58">
        <f>D118+D119</f>
        <v>180000</v>
      </c>
      <c r="E120" s="71"/>
      <c r="F120" s="58">
        <f>F118+F119</f>
        <v>5116</v>
      </c>
      <c r="G120" s="58">
        <f>G118+G119</f>
        <v>5116</v>
      </c>
    </row>
  </sheetData>
  <autoFilter ref="A1:G120" xr:uid="{62270AD9-3A24-4523-B7E0-609B0537C076}"/>
  <mergeCells count="6">
    <mergeCell ref="A101:A120"/>
    <mergeCell ref="A2:A20"/>
    <mergeCell ref="A21:A40"/>
    <mergeCell ref="A41:A60"/>
    <mergeCell ref="A61:A80"/>
    <mergeCell ref="A81:A100"/>
  </mergeCells>
  <pageMargins left="0.7" right="0.7" top="0.75" bottom="0.75" header="0.3" footer="0.3"/>
  <pageSetup paperSize="9" scale="80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30BE6-3F8B-48CA-B60B-B1A10EB83E8C}">
  <sheetPr codeName="Sheet4" filterMode="1"/>
  <dimension ref="A1:AZ206"/>
  <sheetViews>
    <sheetView tabSelected="1" topLeftCell="O1" workbookViewId="0">
      <selection activeCell="O2" sqref="O2"/>
    </sheetView>
  </sheetViews>
  <sheetFormatPr defaultColWidth="8.85546875" defaultRowHeight="15" x14ac:dyDescent="0.25"/>
  <cols>
    <col min="1" max="1" width="9" style="117" bestFit="1" customWidth="1"/>
    <col min="2" max="2" width="38.28515625" style="152" bestFit="1" customWidth="1"/>
    <col min="3" max="3" width="10.28515625" style="140" bestFit="1" customWidth="1"/>
    <col min="4" max="4" width="15" style="141" customWidth="1"/>
    <col min="5" max="5" width="10.28515625" style="117" bestFit="1" customWidth="1"/>
    <col min="6" max="6" width="10.28515625" style="117" customWidth="1"/>
    <col min="7" max="7" width="11.5703125" style="121" bestFit="1" customWidth="1"/>
    <col min="8" max="8" width="10.28515625" style="121" bestFit="1" customWidth="1"/>
    <col min="9" max="9" width="8.85546875" style="117"/>
    <col min="10" max="10" width="10.28515625" style="152" bestFit="1" customWidth="1"/>
    <col min="11" max="11" width="15.140625" style="152" bestFit="1" customWidth="1"/>
    <col min="12" max="12" width="15.140625" style="152" customWidth="1"/>
    <col min="13" max="13" width="8.85546875" style="117"/>
    <col min="14" max="14" width="54.140625" style="117" bestFit="1" customWidth="1"/>
    <col min="15" max="15" width="54.140625" style="117" customWidth="1"/>
    <col min="16" max="16" width="38.28515625" style="117" bestFit="1" customWidth="1"/>
    <col min="17" max="17" width="54.140625" style="117" bestFit="1" customWidth="1"/>
    <col min="18" max="18" width="9.5703125" style="117" bestFit="1" customWidth="1"/>
    <col min="19" max="19" width="17.42578125" style="117" bestFit="1" customWidth="1"/>
    <col min="20" max="20" width="34.28515625" style="121" bestFit="1" customWidth="1"/>
    <col min="21" max="21" width="11.28515625" style="117" customWidth="1"/>
    <col min="22" max="23" width="8.85546875" style="117"/>
    <col min="24" max="24" width="15.7109375" style="141" bestFit="1" customWidth="1"/>
    <col min="25" max="25" width="14.28515625" style="117" bestFit="1" customWidth="1"/>
    <col min="26" max="26" width="17.42578125" style="117" bestFit="1" customWidth="1"/>
    <col min="27" max="27" width="54.140625" style="117" bestFit="1" customWidth="1"/>
    <col min="28" max="28" width="22.28515625" style="117" bestFit="1" customWidth="1"/>
    <col min="29" max="29" width="54.140625" style="117" bestFit="1" customWidth="1"/>
    <col min="30" max="37" width="8.85546875" style="117"/>
    <col min="38" max="38" width="9" style="117" bestFit="1" customWidth="1"/>
    <col min="39" max="39" width="17.42578125" style="117" bestFit="1" customWidth="1"/>
    <col min="40" max="40" width="30.28515625" style="117" bestFit="1" customWidth="1"/>
    <col min="41" max="41" width="11.28515625" style="117" customWidth="1"/>
    <col min="42" max="42" width="8.85546875" style="117"/>
    <col min="43" max="44" width="9" style="117" bestFit="1" customWidth="1"/>
    <col min="45" max="45" width="8.85546875" style="117"/>
    <col min="46" max="46" width="16.85546875" style="117" bestFit="1" customWidth="1"/>
    <col min="47" max="47" width="22.85546875" style="117" bestFit="1" customWidth="1"/>
    <col min="48" max="48" width="14.28515625" style="117" bestFit="1" customWidth="1"/>
    <col min="49" max="49" width="8.85546875" style="117"/>
    <col min="50" max="50" width="37.7109375" style="117" bestFit="1" customWidth="1"/>
    <col min="51" max="16384" width="8.85546875" style="117"/>
  </cols>
  <sheetData>
    <row r="1" spans="1:52" s="121" customFormat="1" ht="15.75" thickBot="1" x14ac:dyDescent="0.3">
      <c r="A1" s="121" t="s">
        <v>64</v>
      </c>
      <c r="B1" s="150" t="s">
        <v>63</v>
      </c>
      <c r="C1" s="122" t="s">
        <v>65</v>
      </c>
      <c r="D1" s="141" t="s">
        <v>66</v>
      </c>
      <c r="E1" s="121" t="s">
        <v>67</v>
      </c>
      <c r="F1" s="121" t="s">
        <v>98</v>
      </c>
      <c r="G1" s="121" t="s">
        <v>8</v>
      </c>
      <c r="H1" s="121" t="s">
        <v>75</v>
      </c>
      <c r="I1" s="121" t="s">
        <v>79</v>
      </c>
      <c r="J1" s="150" t="s">
        <v>81</v>
      </c>
      <c r="K1" s="150" t="s">
        <v>84</v>
      </c>
      <c r="L1" s="150" t="s">
        <v>86</v>
      </c>
      <c r="N1" s="114" t="s">
        <v>47</v>
      </c>
      <c r="O1" s="187" t="s">
        <v>91</v>
      </c>
      <c r="P1" s="114" t="s">
        <v>48</v>
      </c>
      <c r="Q1" s="114" t="s">
        <v>49</v>
      </c>
      <c r="R1" s="114" t="s">
        <v>50</v>
      </c>
      <c r="S1" s="114" t="s">
        <v>58</v>
      </c>
      <c r="T1" s="114" t="s">
        <v>52</v>
      </c>
      <c r="U1" s="114" t="s">
        <v>53</v>
      </c>
      <c r="V1" s="114" t="s">
        <v>54</v>
      </c>
      <c r="W1" s="114" t="s">
        <v>55</v>
      </c>
      <c r="X1" s="188" t="s">
        <v>92</v>
      </c>
      <c r="Y1" s="114" t="s">
        <v>57</v>
      </c>
      <c r="Z1" s="114" t="s">
        <v>93</v>
      </c>
      <c r="AA1" s="114" t="s">
        <v>59</v>
      </c>
      <c r="AB1" s="115" t="s">
        <v>60</v>
      </c>
      <c r="AC1" s="115" t="s">
        <v>70</v>
      </c>
      <c r="AD1" s="187" t="s">
        <v>95</v>
      </c>
      <c r="AE1" s="121" t="s">
        <v>97</v>
      </c>
      <c r="AI1" s="123" t="s">
        <v>47</v>
      </c>
      <c r="AJ1" s="123" t="s">
        <v>48</v>
      </c>
      <c r="AK1" s="123" t="s">
        <v>49</v>
      </c>
      <c r="AL1" s="123" t="s">
        <v>50</v>
      </c>
      <c r="AM1" s="123" t="s">
        <v>51</v>
      </c>
      <c r="AN1" s="123" t="s">
        <v>52</v>
      </c>
      <c r="AO1" s="123" t="s">
        <v>53</v>
      </c>
      <c r="AP1" s="123" t="s">
        <v>54</v>
      </c>
      <c r="AQ1" s="123" t="s">
        <v>8</v>
      </c>
      <c r="AR1" s="123" t="s">
        <v>55</v>
      </c>
      <c r="AS1" s="123" t="s">
        <v>72</v>
      </c>
      <c r="AT1" s="123" t="s">
        <v>56</v>
      </c>
      <c r="AU1" s="123" t="s">
        <v>73</v>
      </c>
      <c r="AV1" s="123" t="s">
        <v>57</v>
      </c>
      <c r="AW1" s="123" t="s">
        <v>58</v>
      </c>
      <c r="AX1" s="123" t="s">
        <v>59</v>
      </c>
      <c r="AY1" s="124" t="s">
        <v>60</v>
      </c>
      <c r="AZ1" s="124" t="s">
        <v>70</v>
      </c>
    </row>
    <row r="2" spans="1:52" s="121" customFormat="1" x14ac:dyDescent="0.25">
      <c r="A2" s="119">
        <f>Instructions!A3</f>
        <v>0.33333333333333331</v>
      </c>
      <c r="B2" s="150" t="s">
        <v>68</v>
      </c>
      <c r="C2" s="125" t="s">
        <v>9</v>
      </c>
      <c r="D2" s="143">
        <v>40000</v>
      </c>
      <c r="E2" s="121" t="s">
        <v>69</v>
      </c>
      <c r="F2" s="121">
        <f>IF(E2="RECEIVE",D2,0-D2)</f>
        <v>40000</v>
      </c>
      <c r="I2" s="121" t="s">
        <v>80</v>
      </c>
      <c r="J2" s="150" t="str">
        <f>I2</f>
        <v>BDB</v>
      </c>
      <c r="K2" s="150" t="s">
        <v>85</v>
      </c>
      <c r="L2" s="150" t="s">
        <v>87</v>
      </c>
      <c r="N2" s="116" t="str">
        <f ca="1">LOWER(CONCATENATE(DEC2HEX(RANDBETWEEN(0,4294967295),8),"-",DEC2HEX(RANDBETWEEN(0,42949),4),"-",DEC2HEX(RANDBETWEEN(0,42949),4),"-",DEC2HEX(RANDBETWEEN(0,42949),4),"-",DEC2HEX(RANDBETWEEN(0,4294967295),8),DEC2HEX(RANDBETWEEN(0,42949),4)))&amp;"-"&amp;TEXT(ROW(),"000")</f>
        <v>3289fc26-1fe0-6ad8-1a10-8ec90993533d-002</v>
      </c>
      <c r="O2" s="116" t="str">
        <f>LEFT(LEFT(W2,3)&amp;"."&amp;SUBSTITUTE(Y2,"-","")&amp;"."&amp;U2&amp;"0000000000000",20)</f>
        <v>USD.CASHTXF.BDB00000</v>
      </c>
      <c r="P2" s="117" t="str">
        <f t="shared" ref="P2:P33" si="0">B2</f>
        <v>Cash Transfer</v>
      </c>
      <c r="Q2" s="116" t="str">
        <f ca="1">N2</f>
        <v>3289fc26-1fe0-6ad8-1a10-8ec90993533d-002</v>
      </c>
      <c r="R2" s="117">
        <v>0</v>
      </c>
      <c r="S2" s="118">
        <f ca="1">TODAY()</f>
        <v>43726</v>
      </c>
      <c r="T2" s="119" t="str">
        <f ca="1">"ext-u1-"&amp;TEXT(A2,"HHMM-")&amp;LOWER(DEC2HEX(TEXT(TODAY(),"YmMD")))&amp;"-"&amp;TEXT(ROW(),"0000")</f>
        <v>ext-u1-0800-2e9c6-0002</v>
      </c>
      <c r="U2" s="117" t="str">
        <f>J2</f>
        <v>BDB</v>
      </c>
      <c r="V2" s="117" t="str">
        <f>E2</f>
        <v>RECEIVE</v>
      </c>
      <c r="W2" s="117" t="str">
        <f>C2</f>
        <v>USD</v>
      </c>
      <c r="X2" s="141">
        <f>F2</f>
        <v>40000</v>
      </c>
      <c r="Y2" s="117" t="str">
        <f>L2&amp;"-"&amp;LEFT(K2,1)</f>
        <v>CASHTX-F</v>
      </c>
      <c r="Z2" s="118" t="s">
        <v>94</v>
      </c>
      <c r="AA2" s="117" t="str">
        <f>"[UC1]"&amp;P2&amp;REPT(" ",28-LEN(P2))&amp;" ["&amp;TEXT(A2,"HH:MM")&amp;"]"</f>
        <v>[UC1]Cash Transfer                [08:00]</v>
      </c>
      <c r="AB2" s="121" t="s">
        <v>90</v>
      </c>
      <c r="AC2" s="116" t="str">
        <f ca="1">UPPER(LEFT(U2&amp;SUBSTITUTE(N2,"-",""),20))</f>
        <v>BDB3289FC261FE06AD81</v>
      </c>
      <c r="AD2" s="121" t="s">
        <v>96</v>
      </c>
      <c r="AE2" s="121" t="str">
        <f>IF(RIGHT(Y2,1)="A","ACTUAL","FORECAST")</f>
        <v>FORECAST</v>
      </c>
      <c r="AI2" s="116" t="str">
        <f ca="1">N2</f>
        <v>3289fc26-1fe0-6ad8-1a10-8ec90993533d-002</v>
      </c>
      <c r="AJ2" s="117" t="s">
        <v>76</v>
      </c>
      <c r="AK2" s="116" t="str">
        <f ca="1">Q2</f>
        <v>3289fc26-1fe0-6ad8-1a10-8ec90993533d-002</v>
      </c>
      <c r="AL2" s="117">
        <f>R2</f>
        <v>0</v>
      </c>
      <c r="AM2" s="118">
        <f ca="1">S2</f>
        <v>43726</v>
      </c>
      <c r="AN2" s="119" t="str">
        <f ca="1">T2</f>
        <v>ext-u1-0800-2e9c6-0002</v>
      </c>
      <c r="AO2" s="117" t="str">
        <f>U2</f>
        <v>BDB</v>
      </c>
      <c r="AP2" s="117" t="s">
        <v>78</v>
      </c>
      <c r="AQ2" s="117">
        <f>G2</f>
        <v>0</v>
      </c>
      <c r="AR2" s="117">
        <f>H2</f>
        <v>0</v>
      </c>
      <c r="AS2" s="117" t="str">
        <f>W2</f>
        <v>USD</v>
      </c>
      <c r="AT2" s="120">
        <f>D2*G2</f>
        <v>0</v>
      </c>
      <c r="AU2" s="117"/>
      <c r="AV2" s="117" t="str">
        <f>Y2</f>
        <v>CASHTX-F</v>
      </c>
      <c r="AW2" s="117"/>
      <c r="AX2" s="117" t="str">
        <f>AA2</f>
        <v>[UC1]Cash Transfer                [08:00]</v>
      </c>
      <c r="AY2" s="117" t="s">
        <v>90</v>
      </c>
      <c r="AZ2" s="116" t="str">
        <f t="shared" ref="AZ2:AZ23" ca="1" si="1">AC2</f>
        <v>BDB3289FC261FE06AD81</v>
      </c>
    </row>
    <row r="3" spans="1:52" x14ac:dyDescent="0.25">
      <c r="A3" s="126">
        <v>0.375</v>
      </c>
      <c r="B3" s="150" t="s">
        <v>68</v>
      </c>
      <c r="C3" s="127" t="s">
        <v>9</v>
      </c>
      <c r="D3" s="144">
        <v>25000</v>
      </c>
      <c r="E3" s="121" t="s">
        <v>69</v>
      </c>
      <c r="F3" s="121">
        <f t="shared" ref="F3:F66" si="2">IF(E3="RECEIVE",D3,0-D3)</f>
        <v>25000</v>
      </c>
      <c r="I3" s="121" t="s">
        <v>80</v>
      </c>
      <c r="J3" s="150" t="str">
        <f t="shared" ref="J3:J23" si="3">I3</f>
        <v>BDB</v>
      </c>
      <c r="K3" s="150" t="s">
        <v>85</v>
      </c>
      <c r="L3" s="150" t="s">
        <v>87</v>
      </c>
      <c r="N3" s="116" t="str">
        <f t="shared" ref="N3:N67" ca="1" si="4">LOWER(CONCATENATE(DEC2HEX(RANDBETWEEN(0,4294967295),8),"-",DEC2HEX(RANDBETWEEN(0,42949),4),"-",DEC2HEX(RANDBETWEEN(0,42949),4),"-",DEC2HEX(RANDBETWEEN(0,42949),4),"-",DEC2HEX(RANDBETWEEN(0,4294967295),8),DEC2HEX(RANDBETWEEN(0,42949),4)))&amp;"-"&amp;TEXT(ROW(),"000")</f>
        <v>a0be0661-6b23-95e1-5753-832544d45ca5-003</v>
      </c>
      <c r="O3" s="116" t="str">
        <f t="shared" ref="O3:O23" si="5">LEFT(LEFT(W3,3)&amp;"."&amp;SUBSTITUTE(Y3,"-","")&amp;"."&amp;U3&amp;"0000000000000",20)</f>
        <v>USD.CASHTXF.BDB00000</v>
      </c>
      <c r="P3" s="117" t="str">
        <f t="shared" si="0"/>
        <v>Cash Transfer</v>
      </c>
      <c r="Q3" s="116" t="str">
        <f t="shared" ref="Q3:Q51" ca="1" si="6">N3</f>
        <v>a0be0661-6b23-95e1-5753-832544d45ca5-003</v>
      </c>
      <c r="R3" s="117">
        <f>R$2</f>
        <v>0</v>
      </c>
      <c r="S3" s="118">
        <f t="shared" ref="S3:S67" ca="1" si="7">TODAY()</f>
        <v>43726</v>
      </c>
      <c r="T3" s="119" t="str">
        <f t="shared" ref="T3:T51" ca="1" si="8">"ext-u1-"&amp;TEXT(A3,"HHMM-")&amp;LOWER(DEC2HEX(TEXT(TODAY(),"YmMD")))&amp;"-"&amp;TEXT(ROW(),"0000")</f>
        <v>ext-u1-0900-2e9c6-0003</v>
      </c>
      <c r="U3" s="117" t="str">
        <f>J3</f>
        <v>BDB</v>
      </c>
      <c r="V3" s="117" t="str">
        <f>E3</f>
        <v>RECEIVE</v>
      </c>
      <c r="W3" s="117" t="str">
        <f>C3</f>
        <v>USD</v>
      </c>
      <c r="X3" s="141">
        <f t="shared" ref="X3:X66" si="9">F3</f>
        <v>25000</v>
      </c>
      <c r="Y3" s="117" t="str">
        <f>L3&amp;"-"&amp;LEFT(K3,1)</f>
        <v>CASHTX-F</v>
      </c>
      <c r="Z3" s="118" t="str">
        <f>Z2</f>
        <v>Fixed</v>
      </c>
      <c r="AA3" s="117" t="str">
        <f>"[UC1]"&amp;P3&amp;REPT(" ",28-LEN(P3))&amp;" ["&amp;TEXT(A3,"HH:MM")&amp;"]"</f>
        <v>[UC1]Cash Transfer                [09:00]</v>
      </c>
      <c r="AB3" s="121" t="str">
        <f>AB2</f>
        <v>DEFAULT</v>
      </c>
      <c r="AC3" s="116" t="str">
        <f ca="1">UPPER(LEFT(U3&amp;SUBSTITUTE(N3,"-",""),20))</f>
        <v>BDBA0BE06616B2395E15</v>
      </c>
      <c r="AD3" s="117" t="str">
        <f>AD$2</f>
        <v>N</v>
      </c>
      <c r="AE3" s="121" t="str">
        <f t="shared" ref="AE3:AE66" si="10">IF(RIGHT(Y3,1)="A","ACTUAL","FORECAST")</f>
        <v>FORECAST</v>
      </c>
      <c r="AI3" s="116" t="str">
        <f ca="1">N3</f>
        <v>a0be0661-6b23-95e1-5753-832544d45ca5-003</v>
      </c>
      <c r="AJ3" s="117" t="s">
        <v>76</v>
      </c>
      <c r="AK3" s="116" t="str">
        <f ca="1">Q3</f>
        <v>a0be0661-6b23-95e1-5753-832544d45ca5-003</v>
      </c>
      <c r="AL3" s="117">
        <f>R3</f>
        <v>0</v>
      </c>
      <c r="AM3" s="118">
        <f ca="1">S3</f>
        <v>43726</v>
      </c>
      <c r="AN3" s="119" t="str">
        <f ca="1">T3</f>
        <v>ext-u1-0900-2e9c6-0003</v>
      </c>
      <c r="AO3" s="117" t="str">
        <f>U3</f>
        <v>BDB</v>
      </c>
      <c r="AP3" s="117" t="s">
        <v>78</v>
      </c>
      <c r="AQ3" s="117">
        <f>G3</f>
        <v>0</v>
      </c>
      <c r="AR3" s="117">
        <f>H3</f>
        <v>0</v>
      </c>
      <c r="AS3" s="117" t="str">
        <f>W3</f>
        <v>USD</v>
      </c>
      <c r="AT3" s="120">
        <f>D3*G3</f>
        <v>0</v>
      </c>
      <c r="AV3" s="117" t="str">
        <f>Y3</f>
        <v>CASHTX-F</v>
      </c>
      <c r="AX3" s="117" t="str">
        <f t="shared" ref="AX3:AX23" si="11">AA3</f>
        <v>[UC1]Cash Transfer                [09:00]</v>
      </c>
      <c r="AY3" s="117" t="s">
        <v>90</v>
      </c>
      <c r="AZ3" s="116" t="str">
        <f t="shared" ca="1" si="1"/>
        <v>BDBA0BE06616B2395E15</v>
      </c>
    </row>
    <row r="4" spans="1:52" x14ac:dyDescent="0.25">
      <c r="A4" s="128">
        <v>0.41666666666666669</v>
      </c>
      <c r="B4" s="150" t="s">
        <v>68</v>
      </c>
      <c r="C4" s="129" t="s">
        <v>9</v>
      </c>
      <c r="D4" s="145">
        <v>75000</v>
      </c>
      <c r="E4" s="121" t="s">
        <v>69</v>
      </c>
      <c r="F4" s="121">
        <f t="shared" si="2"/>
        <v>75000</v>
      </c>
      <c r="I4" s="121" t="s">
        <v>80</v>
      </c>
      <c r="J4" s="150" t="str">
        <f t="shared" si="3"/>
        <v>BDB</v>
      </c>
      <c r="K4" s="150" t="s">
        <v>85</v>
      </c>
      <c r="L4" s="150" t="s">
        <v>87</v>
      </c>
      <c r="N4" s="116" t="str">
        <f t="shared" ca="1" si="4"/>
        <v>0fd5ba66-7554-373a-7cb4-a0d617c160da-004</v>
      </c>
      <c r="O4" s="116" t="str">
        <f t="shared" si="5"/>
        <v>USD.CASHTXF.BDB00000</v>
      </c>
      <c r="P4" s="117" t="str">
        <f t="shared" si="0"/>
        <v>Cash Transfer</v>
      </c>
      <c r="Q4" s="116" t="str">
        <f t="shared" ca="1" si="6"/>
        <v>0fd5ba66-7554-373a-7cb4-a0d617c160da-004</v>
      </c>
      <c r="R4" s="117">
        <f t="shared" ref="R4:R67" si="12">R$2</f>
        <v>0</v>
      </c>
      <c r="S4" s="118">
        <f t="shared" ca="1" si="7"/>
        <v>43726</v>
      </c>
      <c r="T4" s="119" t="str">
        <f t="shared" ca="1" si="8"/>
        <v>ext-u1-1000-2e9c6-0004</v>
      </c>
      <c r="U4" s="117" t="str">
        <f>J4</f>
        <v>BDB</v>
      </c>
      <c r="V4" s="117" t="str">
        <f>E4</f>
        <v>RECEIVE</v>
      </c>
      <c r="W4" s="117" t="str">
        <f>C4</f>
        <v>USD</v>
      </c>
      <c r="X4" s="141">
        <f t="shared" si="9"/>
        <v>75000</v>
      </c>
      <c r="Y4" s="117" t="str">
        <f>L4&amp;"-"&amp;LEFT(K4,1)</f>
        <v>CASHTX-F</v>
      </c>
      <c r="Z4" s="118" t="str">
        <f t="shared" ref="Z4:Z68" si="13">Z3</f>
        <v>Fixed</v>
      </c>
      <c r="AA4" s="117" t="str">
        <f>"[UC1]"&amp;P4&amp;REPT(" ",28-LEN(P4))&amp;" ["&amp;TEXT(A4,"HH:MM")&amp;"]"</f>
        <v>[UC1]Cash Transfer                [10:00]</v>
      </c>
      <c r="AB4" s="121" t="str">
        <f t="shared" ref="AB4:AB68" si="14">AB3</f>
        <v>DEFAULT</v>
      </c>
      <c r="AC4" s="116" t="str">
        <f ca="1">UPPER(LEFT(U4&amp;SUBSTITUTE(N4,"-",""),20))</f>
        <v>BDB0FD5BA667554373A7</v>
      </c>
      <c r="AD4" s="117" t="str">
        <f t="shared" ref="AD4:AD67" si="15">AD$2</f>
        <v>N</v>
      </c>
      <c r="AE4" s="121" t="str">
        <f t="shared" si="10"/>
        <v>FORECAST</v>
      </c>
      <c r="AI4" s="116" t="str">
        <f ca="1">N4</f>
        <v>0fd5ba66-7554-373a-7cb4-a0d617c160da-004</v>
      </c>
      <c r="AJ4" s="117" t="s">
        <v>76</v>
      </c>
      <c r="AK4" s="116" t="str">
        <f ca="1">Q4</f>
        <v>0fd5ba66-7554-373a-7cb4-a0d617c160da-004</v>
      </c>
      <c r="AL4" s="117">
        <f>R4</f>
        <v>0</v>
      </c>
      <c r="AM4" s="118">
        <f ca="1">S4</f>
        <v>43726</v>
      </c>
      <c r="AN4" s="119" t="str">
        <f ca="1">T4</f>
        <v>ext-u1-1000-2e9c6-0004</v>
      </c>
      <c r="AO4" s="117" t="str">
        <f>U4</f>
        <v>BDB</v>
      </c>
      <c r="AP4" s="117" t="s">
        <v>78</v>
      </c>
      <c r="AQ4" s="117">
        <f>G4</f>
        <v>0</v>
      </c>
      <c r="AR4" s="117">
        <f>H4</f>
        <v>0</v>
      </c>
      <c r="AS4" s="117" t="str">
        <f>W4</f>
        <v>USD</v>
      </c>
      <c r="AT4" s="120">
        <f>D4*G4</f>
        <v>0</v>
      </c>
      <c r="AV4" s="117" t="str">
        <f>Y4</f>
        <v>CASHTX-F</v>
      </c>
      <c r="AX4" s="117" t="str">
        <f t="shared" si="11"/>
        <v>[UC1]Cash Transfer                [10:00]</v>
      </c>
      <c r="AY4" s="117" t="s">
        <v>90</v>
      </c>
      <c r="AZ4" s="116" t="str">
        <f t="shared" ca="1" si="1"/>
        <v>BDB0FD5BA667554373A7</v>
      </c>
    </row>
    <row r="5" spans="1:52" x14ac:dyDescent="0.25">
      <c r="A5" s="128">
        <v>0.41666666666666669</v>
      </c>
      <c r="B5" s="150" t="s">
        <v>68</v>
      </c>
      <c r="C5" s="129" t="s">
        <v>9</v>
      </c>
      <c r="D5" s="145">
        <v>40000</v>
      </c>
      <c r="E5" s="121" t="s">
        <v>69</v>
      </c>
      <c r="F5" s="121">
        <f t="shared" si="2"/>
        <v>40000</v>
      </c>
      <c r="I5" s="121" t="s">
        <v>80</v>
      </c>
      <c r="J5" s="150" t="str">
        <f t="shared" si="3"/>
        <v>BDB</v>
      </c>
      <c r="K5" s="150" t="s">
        <v>85</v>
      </c>
      <c r="L5" s="150" t="s">
        <v>87</v>
      </c>
      <c r="N5" s="116" t="str">
        <f t="shared" ca="1" si="4"/>
        <v>04032803-33d6-4abf-a179-5ed4c19a3444-005</v>
      </c>
      <c r="O5" s="116" t="str">
        <f t="shared" si="5"/>
        <v>USD.CASHTXF.BDB00000</v>
      </c>
      <c r="P5" s="117" t="str">
        <f t="shared" si="0"/>
        <v>Cash Transfer</v>
      </c>
      <c r="Q5" s="116" t="str">
        <f t="shared" ca="1" si="6"/>
        <v>04032803-33d6-4abf-a179-5ed4c19a3444-005</v>
      </c>
      <c r="R5" s="117">
        <f t="shared" si="12"/>
        <v>0</v>
      </c>
      <c r="S5" s="118">
        <f t="shared" ca="1" si="7"/>
        <v>43726</v>
      </c>
      <c r="T5" s="119" t="str">
        <f t="shared" ca="1" si="8"/>
        <v>ext-u1-1000-2e9c6-0005</v>
      </c>
      <c r="U5" s="117" t="str">
        <f>J5</f>
        <v>BDB</v>
      </c>
      <c r="V5" s="117" t="str">
        <f>E5</f>
        <v>RECEIVE</v>
      </c>
      <c r="W5" s="117" t="str">
        <f>C5</f>
        <v>USD</v>
      </c>
      <c r="X5" s="141">
        <f t="shared" si="9"/>
        <v>40000</v>
      </c>
      <c r="Y5" s="117" t="str">
        <f>L5&amp;"-"&amp;LEFT(K5,1)</f>
        <v>CASHTX-F</v>
      </c>
      <c r="Z5" s="118" t="str">
        <f t="shared" si="13"/>
        <v>Fixed</v>
      </c>
      <c r="AA5" s="117" t="str">
        <f>"[UC1]"&amp;P5&amp;REPT(" ",28-LEN(P5))&amp;" ["&amp;TEXT(A5,"HH:MM")&amp;"]"</f>
        <v>[UC1]Cash Transfer                [10:00]</v>
      </c>
      <c r="AB5" s="121" t="str">
        <f t="shared" si="14"/>
        <v>DEFAULT</v>
      </c>
      <c r="AC5" s="116" t="str">
        <f ca="1">UPPER(LEFT(U5&amp;SUBSTITUTE(N5,"-",""),20))</f>
        <v>BDB0403280333D64ABFA</v>
      </c>
      <c r="AD5" s="117" t="str">
        <f t="shared" si="15"/>
        <v>N</v>
      </c>
      <c r="AE5" s="121" t="str">
        <f t="shared" si="10"/>
        <v>FORECAST</v>
      </c>
      <c r="AI5" s="116" t="str">
        <f ca="1">N5</f>
        <v>04032803-33d6-4abf-a179-5ed4c19a3444-005</v>
      </c>
      <c r="AJ5" s="117" t="s">
        <v>76</v>
      </c>
      <c r="AK5" s="116" t="str">
        <f ca="1">Q5</f>
        <v>04032803-33d6-4abf-a179-5ed4c19a3444-005</v>
      </c>
      <c r="AL5" s="117">
        <f>R5</f>
        <v>0</v>
      </c>
      <c r="AM5" s="118">
        <f ca="1">S5</f>
        <v>43726</v>
      </c>
      <c r="AN5" s="119" t="str">
        <f ca="1">T5</f>
        <v>ext-u1-1000-2e9c6-0005</v>
      </c>
      <c r="AO5" s="117" t="str">
        <f>U5</f>
        <v>BDB</v>
      </c>
      <c r="AP5" s="117" t="s">
        <v>78</v>
      </c>
      <c r="AQ5" s="117">
        <f>G5</f>
        <v>0</v>
      </c>
      <c r="AR5" s="117">
        <f>H5</f>
        <v>0</v>
      </c>
      <c r="AS5" s="117" t="str">
        <f>W5</f>
        <v>USD</v>
      </c>
      <c r="AT5" s="120">
        <f>D5*G5</f>
        <v>0</v>
      </c>
      <c r="AV5" s="117" t="str">
        <f>Y5</f>
        <v>CASHTX-F</v>
      </c>
      <c r="AX5" s="117" t="str">
        <f t="shared" si="11"/>
        <v>[UC1]Cash Transfer                [10:00]</v>
      </c>
      <c r="AY5" s="117" t="s">
        <v>90</v>
      </c>
      <c r="AZ5" s="116" t="str">
        <f t="shared" ca="1" si="1"/>
        <v>BDB0403280333D64ABFA</v>
      </c>
    </row>
    <row r="6" spans="1:52" x14ac:dyDescent="0.25">
      <c r="A6" s="128">
        <v>0.41666666666666669</v>
      </c>
      <c r="B6" s="150" t="s">
        <v>68</v>
      </c>
      <c r="C6" s="129" t="s">
        <v>9</v>
      </c>
      <c r="D6" s="145">
        <v>10000</v>
      </c>
      <c r="E6" s="121" t="s">
        <v>69</v>
      </c>
      <c r="F6" s="121">
        <f t="shared" si="2"/>
        <v>10000</v>
      </c>
      <c r="I6" s="121" t="s">
        <v>80</v>
      </c>
      <c r="J6" s="150" t="str">
        <f t="shared" si="3"/>
        <v>BDB</v>
      </c>
      <c r="K6" s="150" t="s">
        <v>85</v>
      </c>
      <c r="L6" s="150" t="s">
        <v>87</v>
      </c>
      <c r="N6" s="116" t="str">
        <f t="shared" ca="1" si="4"/>
        <v>a52b4e88-5d6e-96cf-733f-962645d6629c-006</v>
      </c>
      <c r="O6" s="116" t="str">
        <f t="shared" si="5"/>
        <v>USD.CASHTXF.BDB00000</v>
      </c>
      <c r="P6" s="117" t="str">
        <f t="shared" si="0"/>
        <v>Cash Transfer</v>
      </c>
      <c r="Q6" s="116" t="str">
        <f t="shared" ca="1" si="6"/>
        <v>a52b4e88-5d6e-96cf-733f-962645d6629c-006</v>
      </c>
      <c r="R6" s="117">
        <f t="shared" si="12"/>
        <v>0</v>
      </c>
      <c r="S6" s="118">
        <f t="shared" ca="1" si="7"/>
        <v>43726</v>
      </c>
      <c r="T6" s="119" t="str">
        <f t="shared" ca="1" si="8"/>
        <v>ext-u1-1000-2e9c6-0006</v>
      </c>
      <c r="U6" s="117" t="str">
        <f>J6</f>
        <v>BDB</v>
      </c>
      <c r="V6" s="117" t="str">
        <f>E6</f>
        <v>RECEIVE</v>
      </c>
      <c r="W6" s="117" t="str">
        <f>C6</f>
        <v>USD</v>
      </c>
      <c r="X6" s="141">
        <f t="shared" si="9"/>
        <v>10000</v>
      </c>
      <c r="Y6" s="117" t="str">
        <f>L6&amp;"-"&amp;LEFT(K6,1)</f>
        <v>CASHTX-F</v>
      </c>
      <c r="Z6" s="118" t="str">
        <f t="shared" si="13"/>
        <v>Fixed</v>
      </c>
      <c r="AA6" s="117" t="str">
        <f>"[UC1]"&amp;P6&amp;REPT(" ",28-LEN(P6))&amp;" ["&amp;TEXT(A6,"HH:MM")&amp;"]"</f>
        <v>[UC1]Cash Transfer                [10:00]</v>
      </c>
      <c r="AB6" s="121" t="str">
        <f t="shared" si="14"/>
        <v>DEFAULT</v>
      </c>
      <c r="AC6" s="116" t="str">
        <f ca="1">UPPER(LEFT(U6&amp;SUBSTITUTE(N6,"-",""),20))</f>
        <v>BDBA52B4E885D6E96CF7</v>
      </c>
      <c r="AD6" s="117" t="str">
        <f t="shared" si="15"/>
        <v>N</v>
      </c>
      <c r="AE6" s="121" t="str">
        <f t="shared" si="10"/>
        <v>FORECAST</v>
      </c>
      <c r="AI6" s="116" t="str">
        <f ca="1">N6</f>
        <v>a52b4e88-5d6e-96cf-733f-962645d6629c-006</v>
      </c>
      <c r="AJ6" s="117" t="s">
        <v>76</v>
      </c>
      <c r="AK6" s="116" t="str">
        <f ca="1">Q6</f>
        <v>a52b4e88-5d6e-96cf-733f-962645d6629c-006</v>
      </c>
      <c r="AL6" s="117">
        <f>R6</f>
        <v>0</v>
      </c>
      <c r="AM6" s="118">
        <f ca="1">S6</f>
        <v>43726</v>
      </c>
      <c r="AN6" s="119" t="str">
        <f ca="1">T6</f>
        <v>ext-u1-1000-2e9c6-0006</v>
      </c>
      <c r="AO6" s="117" t="str">
        <f>U6</f>
        <v>BDB</v>
      </c>
      <c r="AP6" s="117" t="s">
        <v>78</v>
      </c>
      <c r="AQ6" s="117">
        <f>G6</f>
        <v>0</v>
      </c>
      <c r="AR6" s="117">
        <f>H6</f>
        <v>0</v>
      </c>
      <c r="AS6" s="117" t="str">
        <f>W6</f>
        <v>USD</v>
      </c>
      <c r="AT6" s="120">
        <f>D6*G6</f>
        <v>0</v>
      </c>
      <c r="AV6" s="117" t="str">
        <f>Y6</f>
        <v>CASHTX-F</v>
      </c>
      <c r="AX6" s="117" t="str">
        <f t="shared" si="11"/>
        <v>[UC1]Cash Transfer                [10:00]</v>
      </c>
      <c r="AY6" s="117" t="s">
        <v>90</v>
      </c>
      <c r="AZ6" s="116" t="str">
        <f t="shared" ca="1" si="1"/>
        <v>BDBA52B4E885D6E96CF7</v>
      </c>
    </row>
    <row r="7" spans="1:52" x14ac:dyDescent="0.25">
      <c r="A7" s="128">
        <v>0.41666666666666669</v>
      </c>
      <c r="B7" s="150" t="s">
        <v>61</v>
      </c>
      <c r="C7" s="130" t="s">
        <v>10</v>
      </c>
      <c r="D7" s="145">
        <v>152</v>
      </c>
      <c r="E7" s="121" t="s">
        <v>62</v>
      </c>
      <c r="F7" s="121">
        <f t="shared" si="2"/>
        <v>-152</v>
      </c>
      <c r="G7" s="121">
        <v>4.1111310000000003</v>
      </c>
      <c r="H7" s="121" t="s">
        <v>9</v>
      </c>
      <c r="I7" s="121" t="s">
        <v>80</v>
      </c>
      <c r="J7" s="150" t="str">
        <f t="shared" si="3"/>
        <v>BDB</v>
      </c>
      <c r="K7" s="150" t="s">
        <v>85</v>
      </c>
      <c r="L7" s="150" t="s">
        <v>88</v>
      </c>
      <c r="N7" s="116" t="str">
        <f t="shared" ca="1" si="4"/>
        <v>9f2afdea-5655-8a9f-050d-83deee58a5d9-007</v>
      </c>
      <c r="O7" s="116" t="str">
        <f t="shared" si="5"/>
        <v>BRL.CUSTINSTF.BDB000</v>
      </c>
      <c r="P7" s="117" t="str">
        <f t="shared" si="0"/>
        <v>Customer Payment Instruction</v>
      </c>
      <c r="Q7" s="116" t="str">
        <f t="shared" ca="1" si="6"/>
        <v>9f2afdea-5655-8a9f-050d-83deee58a5d9-007</v>
      </c>
      <c r="R7" s="117">
        <f t="shared" si="12"/>
        <v>0</v>
      </c>
      <c r="S7" s="118">
        <f t="shared" ca="1" si="7"/>
        <v>43726</v>
      </c>
      <c r="T7" s="119" t="str">
        <f t="shared" ca="1" si="8"/>
        <v>ext-u1-1000-2e9c6-0007</v>
      </c>
      <c r="U7" s="117" t="str">
        <f>J7</f>
        <v>BDB</v>
      </c>
      <c r="V7" s="117" t="str">
        <f>E7</f>
        <v>PAY</v>
      </c>
      <c r="W7" s="117" t="str">
        <f>C7</f>
        <v>BRL</v>
      </c>
      <c r="X7" s="141">
        <f t="shared" si="9"/>
        <v>-152</v>
      </c>
      <c r="Y7" s="117" t="str">
        <f>L7&amp;"-"&amp;LEFT(K7,1)</f>
        <v>CUSTINST-F</v>
      </c>
      <c r="Z7" s="118" t="str">
        <f t="shared" si="13"/>
        <v>Fixed</v>
      </c>
      <c r="AA7" s="117" t="str">
        <f>"[UC1]"&amp;P7&amp;REPT(" ",28-LEN(P7))&amp;" ["&amp;TEXT(A7,"HH:MM")&amp;"]"</f>
        <v>[UC1]Customer Payment Instruction [10:00]</v>
      </c>
      <c r="AB7" s="121" t="str">
        <f t="shared" si="14"/>
        <v>DEFAULT</v>
      </c>
      <c r="AC7" s="116" t="str">
        <f ca="1">UPPER(LEFT(U7&amp;SUBSTITUTE(N7,"-",""),20))</f>
        <v>BDB9F2AFDEA56558A9F0</v>
      </c>
      <c r="AD7" s="117" t="str">
        <f t="shared" si="15"/>
        <v>N</v>
      </c>
      <c r="AE7" s="121" t="str">
        <f t="shared" si="10"/>
        <v>FORECAST</v>
      </c>
      <c r="AI7" s="116" t="str">
        <f ca="1">N7</f>
        <v>9f2afdea-5655-8a9f-050d-83deee58a5d9-007</v>
      </c>
      <c r="AJ7" s="117" t="s">
        <v>76</v>
      </c>
      <c r="AK7" s="116" t="str">
        <f ca="1">Q7</f>
        <v>9f2afdea-5655-8a9f-050d-83deee58a5d9-007</v>
      </c>
      <c r="AL7" s="117">
        <f>R7</f>
        <v>0</v>
      </c>
      <c r="AM7" s="118">
        <f ca="1">S7</f>
        <v>43726</v>
      </c>
      <c r="AN7" s="119" t="str">
        <f ca="1">T7</f>
        <v>ext-u1-1000-2e9c6-0007</v>
      </c>
      <c r="AO7" s="117" t="str">
        <f>U7</f>
        <v>BDB</v>
      </c>
      <c r="AP7" s="117" t="s">
        <v>78</v>
      </c>
      <c r="AQ7" s="117">
        <f>G7</f>
        <v>4.1111310000000003</v>
      </c>
      <c r="AR7" s="117" t="s">
        <v>10</v>
      </c>
      <c r="AS7" s="117" t="s">
        <v>9</v>
      </c>
      <c r="AT7" s="120">
        <f>X7</f>
        <v>-152</v>
      </c>
      <c r="AU7" s="120">
        <f>AT7/AQ7</f>
        <v>-36.972794104590683</v>
      </c>
      <c r="AV7" s="117" t="str">
        <f>Y7</f>
        <v>CUSTINST-F</v>
      </c>
      <c r="AX7" s="117" t="str">
        <f t="shared" si="11"/>
        <v>[UC1]Customer Payment Instruction [10:00]</v>
      </c>
      <c r="AY7" s="117" t="s">
        <v>90</v>
      </c>
      <c r="AZ7" s="116" t="str">
        <f t="shared" ca="1" si="1"/>
        <v>BDB9F2AFDEA56558A9F0</v>
      </c>
    </row>
    <row r="8" spans="1:52" x14ac:dyDescent="0.25">
      <c r="A8" s="128">
        <v>0.41666666666666669</v>
      </c>
      <c r="B8" s="150" t="s">
        <v>61</v>
      </c>
      <c r="C8" s="130" t="s">
        <v>10</v>
      </c>
      <c r="D8" s="145">
        <v>278</v>
      </c>
      <c r="E8" s="121" t="s">
        <v>62</v>
      </c>
      <c r="F8" s="121">
        <f t="shared" si="2"/>
        <v>-278</v>
      </c>
      <c r="G8" s="121">
        <v>4.111523</v>
      </c>
      <c r="H8" s="121" t="s">
        <v>9</v>
      </c>
      <c r="I8" s="121" t="s">
        <v>80</v>
      </c>
      <c r="J8" s="150" t="str">
        <f t="shared" si="3"/>
        <v>BDB</v>
      </c>
      <c r="K8" s="150" t="s">
        <v>85</v>
      </c>
      <c r="L8" s="150" t="s">
        <v>88</v>
      </c>
      <c r="N8" s="116" t="str">
        <f t="shared" ca="1" si="4"/>
        <v>3ff865aa-6cba-60a8-4f01-57a1f9221998-008</v>
      </c>
      <c r="O8" s="116" t="str">
        <f t="shared" si="5"/>
        <v>BRL.CUSTINSTF.BDB000</v>
      </c>
      <c r="P8" s="117" t="str">
        <f t="shared" si="0"/>
        <v>Customer Payment Instruction</v>
      </c>
      <c r="Q8" s="116" t="str">
        <f t="shared" ca="1" si="6"/>
        <v>3ff865aa-6cba-60a8-4f01-57a1f9221998-008</v>
      </c>
      <c r="R8" s="117">
        <f t="shared" si="12"/>
        <v>0</v>
      </c>
      <c r="S8" s="118">
        <f t="shared" ca="1" si="7"/>
        <v>43726</v>
      </c>
      <c r="T8" s="119" t="str">
        <f t="shared" ca="1" si="8"/>
        <v>ext-u1-1000-2e9c6-0008</v>
      </c>
      <c r="U8" s="117" t="str">
        <f>J8</f>
        <v>BDB</v>
      </c>
      <c r="V8" s="117" t="str">
        <f>E8</f>
        <v>PAY</v>
      </c>
      <c r="W8" s="117" t="str">
        <f>C8</f>
        <v>BRL</v>
      </c>
      <c r="X8" s="141">
        <f t="shared" si="9"/>
        <v>-278</v>
      </c>
      <c r="Y8" s="117" t="str">
        <f>L8&amp;"-"&amp;LEFT(K8,1)</f>
        <v>CUSTINST-F</v>
      </c>
      <c r="Z8" s="118" t="str">
        <f t="shared" si="13"/>
        <v>Fixed</v>
      </c>
      <c r="AA8" s="117" t="str">
        <f>"[UC1]"&amp;P8&amp;REPT(" ",28-LEN(P8))&amp;" ["&amp;TEXT(A8,"HH:MM")&amp;"]"</f>
        <v>[UC1]Customer Payment Instruction [10:00]</v>
      </c>
      <c r="AB8" s="121" t="str">
        <f t="shared" si="14"/>
        <v>DEFAULT</v>
      </c>
      <c r="AC8" s="116" t="str">
        <f ca="1">UPPER(LEFT(U8&amp;SUBSTITUTE(N8,"-",""),20))</f>
        <v>BDB3FF865AA6CBA60A84</v>
      </c>
      <c r="AD8" s="117" t="str">
        <f t="shared" si="15"/>
        <v>N</v>
      </c>
      <c r="AE8" s="121" t="str">
        <f t="shared" si="10"/>
        <v>FORECAST</v>
      </c>
      <c r="AI8" s="116" t="str">
        <f ca="1">N8</f>
        <v>3ff865aa-6cba-60a8-4f01-57a1f9221998-008</v>
      </c>
      <c r="AJ8" s="117" t="s">
        <v>76</v>
      </c>
      <c r="AK8" s="116" t="str">
        <f ca="1">Q8</f>
        <v>3ff865aa-6cba-60a8-4f01-57a1f9221998-008</v>
      </c>
      <c r="AL8" s="117">
        <f>R8</f>
        <v>0</v>
      </c>
      <c r="AM8" s="118">
        <f ca="1">S8</f>
        <v>43726</v>
      </c>
      <c r="AN8" s="119" t="str">
        <f ca="1">T8</f>
        <v>ext-u1-1000-2e9c6-0008</v>
      </c>
      <c r="AO8" s="117" t="str">
        <f>U8</f>
        <v>BDB</v>
      </c>
      <c r="AP8" s="117" t="s">
        <v>78</v>
      </c>
      <c r="AQ8" s="117">
        <f>G8</f>
        <v>4.111523</v>
      </c>
      <c r="AR8" s="117" t="str">
        <f>H8</f>
        <v>USD</v>
      </c>
      <c r="AS8" s="117" t="str">
        <f>W8</f>
        <v>BRL</v>
      </c>
      <c r="AT8" s="120">
        <f>D8*G8</f>
        <v>1143.0033940000001</v>
      </c>
      <c r="AU8" s="120">
        <f t="shared" ref="AU8:AU9" si="16">AT8/AQ8</f>
        <v>278</v>
      </c>
      <c r="AV8" s="117" t="str">
        <f>Y8</f>
        <v>CUSTINST-F</v>
      </c>
      <c r="AX8" s="117" t="str">
        <f t="shared" si="11"/>
        <v>[UC1]Customer Payment Instruction [10:00]</v>
      </c>
      <c r="AY8" s="117" t="s">
        <v>90</v>
      </c>
      <c r="AZ8" s="116" t="str">
        <f t="shared" ca="1" si="1"/>
        <v>BDB3FF865AA6CBA60A84</v>
      </c>
    </row>
    <row r="9" spans="1:52" x14ac:dyDescent="0.25">
      <c r="A9" s="128">
        <v>0.41666666666666669</v>
      </c>
      <c r="B9" s="150" t="s">
        <v>61</v>
      </c>
      <c r="C9" s="130" t="s">
        <v>10</v>
      </c>
      <c r="D9" s="145">
        <v>7996</v>
      </c>
      <c r="E9" s="121" t="s">
        <v>62</v>
      </c>
      <c r="F9" s="121">
        <f t="shared" si="2"/>
        <v>-7996</v>
      </c>
      <c r="G9" s="121">
        <v>4.1113670000000004</v>
      </c>
      <c r="H9" s="121" t="s">
        <v>9</v>
      </c>
      <c r="I9" s="121" t="s">
        <v>80</v>
      </c>
      <c r="J9" s="150" t="str">
        <f t="shared" si="3"/>
        <v>BDB</v>
      </c>
      <c r="K9" s="150" t="s">
        <v>85</v>
      </c>
      <c r="L9" s="150" t="s">
        <v>88</v>
      </c>
      <c r="N9" s="116" t="str">
        <f t="shared" ca="1" si="4"/>
        <v>f3958ac2-557b-7406-5cae-510de3ac1979-009</v>
      </c>
      <c r="O9" s="116" t="str">
        <f t="shared" si="5"/>
        <v>BRL.CUSTINSTF.BDB000</v>
      </c>
      <c r="P9" s="117" t="str">
        <f t="shared" si="0"/>
        <v>Customer Payment Instruction</v>
      </c>
      <c r="Q9" s="116" t="str">
        <f t="shared" ca="1" si="6"/>
        <v>f3958ac2-557b-7406-5cae-510de3ac1979-009</v>
      </c>
      <c r="R9" s="117">
        <f t="shared" si="12"/>
        <v>0</v>
      </c>
      <c r="S9" s="118">
        <f t="shared" ca="1" si="7"/>
        <v>43726</v>
      </c>
      <c r="T9" s="119" t="str">
        <f t="shared" ca="1" si="8"/>
        <v>ext-u1-1000-2e9c6-0009</v>
      </c>
      <c r="U9" s="117" t="str">
        <f>J9</f>
        <v>BDB</v>
      </c>
      <c r="V9" s="117" t="str">
        <f>E9</f>
        <v>PAY</v>
      </c>
      <c r="W9" s="117" t="str">
        <f>C9</f>
        <v>BRL</v>
      </c>
      <c r="X9" s="141">
        <f t="shared" si="9"/>
        <v>-7996</v>
      </c>
      <c r="Y9" s="117" t="str">
        <f>L9&amp;"-"&amp;LEFT(K9,1)</f>
        <v>CUSTINST-F</v>
      </c>
      <c r="Z9" s="118" t="str">
        <f t="shared" si="13"/>
        <v>Fixed</v>
      </c>
      <c r="AA9" s="117" t="str">
        <f>"[UC1]"&amp;P9&amp;REPT(" ",28-LEN(P9))&amp;" ["&amp;TEXT(A9,"HH:MM")&amp;"]"</f>
        <v>[UC1]Customer Payment Instruction [10:00]</v>
      </c>
      <c r="AB9" s="121" t="str">
        <f t="shared" si="14"/>
        <v>DEFAULT</v>
      </c>
      <c r="AC9" s="116" t="str">
        <f ca="1">UPPER(LEFT(U9&amp;SUBSTITUTE(N9,"-",""),20))</f>
        <v>BDBF3958AC2557B74065</v>
      </c>
      <c r="AD9" s="117" t="str">
        <f t="shared" si="15"/>
        <v>N</v>
      </c>
      <c r="AE9" s="121" t="str">
        <f t="shared" si="10"/>
        <v>FORECAST</v>
      </c>
      <c r="AI9" s="116" t="str">
        <f ca="1">N9</f>
        <v>f3958ac2-557b-7406-5cae-510de3ac1979-009</v>
      </c>
      <c r="AJ9" s="117" t="s">
        <v>76</v>
      </c>
      <c r="AK9" s="116" t="str">
        <f ca="1">Q9</f>
        <v>f3958ac2-557b-7406-5cae-510de3ac1979-009</v>
      </c>
      <c r="AL9" s="117">
        <f>R9</f>
        <v>0</v>
      </c>
      <c r="AM9" s="118">
        <f ca="1">S9</f>
        <v>43726</v>
      </c>
      <c r="AN9" s="119" t="str">
        <f ca="1">T9</f>
        <v>ext-u1-1000-2e9c6-0009</v>
      </c>
      <c r="AO9" s="117" t="str">
        <f>U9</f>
        <v>BDB</v>
      </c>
      <c r="AP9" s="117" t="s">
        <v>78</v>
      </c>
      <c r="AQ9" s="117">
        <f>G9</f>
        <v>4.1113670000000004</v>
      </c>
      <c r="AR9" s="117" t="str">
        <f>H9</f>
        <v>USD</v>
      </c>
      <c r="AS9" s="117" t="str">
        <f>W9</f>
        <v>BRL</v>
      </c>
      <c r="AT9" s="120">
        <f>D9*G9</f>
        <v>32874.490532000003</v>
      </c>
      <c r="AU9" s="120">
        <f t="shared" si="16"/>
        <v>7996</v>
      </c>
      <c r="AV9" s="117" t="str">
        <f>Y9</f>
        <v>CUSTINST-F</v>
      </c>
      <c r="AX9" s="117" t="str">
        <f t="shared" si="11"/>
        <v>[UC1]Customer Payment Instruction [10:00]</v>
      </c>
      <c r="AY9" s="117" t="s">
        <v>90</v>
      </c>
      <c r="AZ9" s="116" t="str">
        <f t="shared" ca="1" si="1"/>
        <v>BDBF3958AC2557B74065</v>
      </c>
    </row>
    <row r="10" spans="1:52" x14ac:dyDescent="0.25">
      <c r="A10" s="131">
        <v>0.4375</v>
      </c>
      <c r="B10" s="150" t="s">
        <v>68</v>
      </c>
      <c r="C10" s="132" t="s">
        <v>9</v>
      </c>
      <c r="D10" s="146">
        <v>15000</v>
      </c>
      <c r="E10" s="121" t="s">
        <v>69</v>
      </c>
      <c r="F10" s="121">
        <f t="shared" si="2"/>
        <v>15000</v>
      </c>
      <c r="I10" s="121" t="s">
        <v>80</v>
      </c>
      <c r="J10" s="150" t="str">
        <f t="shared" si="3"/>
        <v>BDB</v>
      </c>
      <c r="K10" s="150" t="s">
        <v>85</v>
      </c>
      <c r="L10" s="150" t="s">
        <v>87</v>
      </c>
      <c r="N10" s="116" t="str">
        <f t="shared" ca="1" si="4"/>
        <v>3b789494-37f8-427f-13d5-f48c457c93bc-010</v>
      </c>
      <c r="O10" s="116" t="str">
        <f t="shared" si="5"/>
        <v>USD.CASHTXF.BDB00000</v>
      </c>
      <c r="P10" s="117" t="str">
        <f t="shared" si="0"/>
        <v>Cash Transfer</v>
      </c>
      <c r="Q10" s="116" t="str">
        <f t="shared" ca="1" si="6"/>
        <v>3b789494-37f8-427f-13d5-f48c457c93bc-010</v>
      </c>
      <c r="R10" s="117">
        <f t="shared" si="12"/>
        <v>0</v>
      </c>
      <c r="S10" s="118">
        <f t="shared" ca="1" si="7"/>
        <v>43726</v>
      </c>
      <c r="T10" s="119" t="str">
        <f t="shared" ca="1" si="8"/>
        <v>ext-u1-1030-2e9c6-0010</v>
      </c>
      <c r="U10" s="117" t="str">
        <f>J10</f>
        <v>BDB</v>
      </c>
      <c r="V10" s="117" t="str">
        <f>E10</f>
        <v>RECEIVE</v>
      </c>
      <c r="W10" s="117" t="str">
        <f>C10</f>
        <v>USD</v>
      </c>
      <c r="X10" s="141">
        <f t="shared" si="9"/>
        <v>15000</v>
      </c>
      <c r="Y10" s="117" t="str">
        <f>L10&amp;"-"&amp;LEFT(K10,1)</f>
        <v>CASHTX-F</v>
      </c>
      <c r="Z10" s="118" t="str">
        <f t="shared" si="13"/>
        <v>Fixed</v>
      </c>
      <c r="AA10" s="117" t="str">
        <f>"[UC1]"&amp;P10&amp;REPT(" ",28-LEN(P10))&amp;" ["&amp;TEXT(A10,"HH:MM")&amp;"]"</f>
        <v>[UC1]Cash Transfer                [10:30]</v>
      </c>
      <c r="AB10" s="121" t="str">
        <f t="shared" si="14"/>
        <v>DEFAULT</v>
      </c>
      <c r="AC10" s="116" t="str">
        <f ca="1">UPPER(LEFT(U10&amp;SUBSTITUTE(N10,"-",""),20))</f>
        <v>BDB3B78949437F8427F1</v>
      </c>
      <c r="AD10" s="117" t="str">
        <f t="shared" si="15"/>
        <v>N</v>
      </c>
      <c r="AE10" s="121" t="str">
        <f t="shared" si="10"/>
        <v>FORECAST</v>
      </c>
      <c r="AI10" s="116" t="str">
        <f ca="1">N10</f>
        <v>3b789494-37f8-427f-13d5-f48c457c93bc-010</v>
      </c>
      <c r="AJ10" s="117" t="s">
        <v>76</v>
      </c>
      <c r="AK10" s="116" t="str">
        <f ca="1">Q10</f>
        <v>3b789494-37f8-427f-13d5-f48c457c93bc-010</v>
      </c>
      <c r="AL10" s="117">
        <f>R10</f>
        <v>0</v>
      </c>
      <c r="AM10" s="118">
        <f ca="1">S10</f>
        <v>43726</v>
      </c>
      <c r="AN10" s="119" t="str">
        <f ca="1">T10</f>
        <v>ext-u1-1030-2e9c6-0010</v>
      </c>
      <c r="AO10" s="117" t="str">
        <f>U10</f>
        <v>BDB</v>
      </c>
      <c r="AP10" s="117" t="s">
        <v>78</v>
      </c>
      <c r="AQ10" s="117">
        <f>G10</f>
        <v>0</v>
      </c>
      <c r="AR10" s="117">
        <f>H10</f>
        <v>0</v>
      </c>
      <c r="AS10" s="117" t="str">
        <f>W10</f>
        <v>USD</v>
      </c>
      <c r="AT10" s="120">
        <f>D10*G10</f>
        <v>0</v>
      </c>
      <c r="AV10" s="117" t="str">
        <f>Y10</f>
        <v>CASHTX-F</v>
      </c>
      <c r="AX10" s="117" t="str">
        <f t="shared" si="11"/>
        <v>[UC1]Cash Transfer                [10:30]</v>
      </c>
      <c r="AY10" s="117" t="s">
        <v>90</v>
      </c>
      <c r="AZ10" s="116" t="str">
        <f t="shared" ca="1" si="1"/>
        <v>BDB3B78949437F8427F1</v>
      </c>
    </row>
    <row r="11" spans="1:52" x14ac:dyDescent="0.25">
      <c r="A11" s="131">
        <v>0.4375</v>
      </c>
      <c r="B11" s="150" t="s">
        <v>61</v>
      </c>
      <c r="C11" s="133" t="s">
        <v>10</v>
      </c>
      <c r="D11" s="146">
        <v>2000</v>
      </c>
      <c r="E11" s="121" t="s">
        <v>62</v>
      </c>
      <c r="F11" s="121">
        <f t="shared" si="2"/>
        <v>-2000</v>
      </c>
      <c r="G11" s="121">
        <v>4.1117822999999998</v>
      </c>
      <c r="H11" s="121" t="s">
        <v>9</v>
      </c>
      <c r="I11" s="121" t="s">
        <v>80</v>
      </c>
      <c r="J11" s="150" t="str">
        <f t="shared" si="3"/>
        <v>BDB</v>
      </c>
      <c r="K11" s="150" t="s">
        <v>85</v>
      </c>
      <c r="L11" s="150" t="s">
        <v>88</v>
      </c>
      <c r="N11" s="116" t="str">
        <f t="shared" ca="1" si="4"/>
        <v>3f146d2c-810b-6da7-7dd6-cfc920743c6b-011</v>
      </c>
      <c r="O11" s="116" t="str">
        <f t="shared" si="5"/>
        <v>BRL.CUSTINSTF.BDB000</v>
      </c>
      <c r="P11" s="117" t="str">
        <f t="shared" si="0"/>
        <v>Customer Payment Instruction</v>
      </c>
      <c r="Q11" s="116" t="str">
        <f t="shared" ca="1" si="6"/>
        <v>3f146d2c-810b-6da7-7dd6-cfc920743c6b-011</v>
      </c>
      <c r="R11" s="117">
        <f t="shared" si="12"/>
        <v>0</v>
      </c>
      <c r="S11" s="118">
        <f t="shared" ca="1" si="7"/>
        <v>43726</v>
      </c>
      <c r="T11" s="119" t="str">
        <f t="shared" ca="1" si="8"/>
        <v>ext-u1-1030-2e9c6-0011</v>
      </c>
      <c r="U11" s="117" t="str">
        <f>J11</f>
        <v>BDB</v>
      </c>
      <c r="V11" s="117" t="str">
        <f>E11</f>
        <v>PAY</v>
      </c>
      <c r="W11" s="117" t="str">
        <f>C11</f>
        <v>BRL</v>
      </c>
      <c r="X11" s="141">
        <f t="shared" si="9"/>
        <v>-2000</v>
      </c>
      <c r="Y11" s="117" t="str">
        <f>L11&amp;"-"&amp;LEFT(K11,1)</f>
        <v>CUSTINST-F</v>
      </c>
      <c r="Z11" s="118" t="str">
        <f t="shared" si="13"/>
        <v>Fixed</v>
      </c>
      <c r="AA11" s="117" t="str">
        <f>"[UC1]"&amp;P11&amp;REPT(" ",28-LEN(P11))&amp;" ["&amp;TEXT(A11,"HH:MM")&amp;"]"</f>
        <v>[UC1]Customer Payment Instruction [10:30]</v>
      </c>
      <c r="AB11" s="121" t="str">
        <f t="shared" si="14"/>
        <v>DEFAULT</v>
      </c>
      <c r="AC11" s="116" t="str">
        <f ca="1">UPPER(LEFT(U11&amp;SUBSTITUTE(N11,"-",""),20))</f>
        <v>BDB3F146D2C810B6DA77</v>
      </c>
      <c r="AD11" s="117" t="str">
        <f t="shared" si="15"/>
        <v>N</v>
      </c>
      <c r="AE11" s="121" t="str">
        <f t="shared" si="10"/>
        <v>FORECAST</v>
      </c>
      <c r="AI11" s="116" t="str">
        <f ca="1">N11</f>
        <v>3f146d2c-810b-6da7-7dd6-cfc920743c6b-011</v>
      </c>
      <c r="AJ11" s="117" t="s">
        <v>76</v>
      </c>
      <c r="AK11" s="116" t="str">
        <f ca="1">Q11</f>
        <v>3f146d2c-810b-6da7-7dd6-cfc920743c6b-011</v>
      </c>
      <c r="AL11" s="117">
        <f>R11</f>
        <v>0</v>
      </c>
      <c r="AM11" s="118">
        <f ca="1">S11</f>
        <v>43726</v>
      </c>
      <c r="AN11" s="119" t="str">
        <f ca="1">T11</f>
        <v>ext-u1-1030-2e9c6-0011</v>
      </c>
      <c r="AO11" s="117" t="str">
        <f>U11</f>
        <v>BDB</v>
      </c>
      <c r="AP11" s="117" t="s">
        <v>78</v>
      </c>
      <c r="AQ11" s="117">
        <f>G11</f>
        <v>4.1117822999999998</v>
      </c>
      <c r="AR11" s="117" t="str">
        <f>H11</f>
        <v>USD</v>
      </c>
      <c r="AS11" s="117" t="str">
        <f>W11</f>
        <v>BRL</v>
      </c>
      <c r="AT11" s="120">
        <f>D11*G11</f>
        <v>8223.5645999999997</v>
      </c>
      <c r="AU11" s="120">
        <f>AT11/AQ11</f>
        <v>2000</v>
      </c>
      <c r="AV11" s="117" t="str">
        <f>Y11</f>
        <v>CUSTINST-F</v>
      </c>
      <c r="AX11" s="117" t="str">
        <f t="shared" si="11"/>
        <v>[UC1]Customer Payment Instruction [10:30]</v>
      </c>
      <c r="AY11" s="117" t="s">
        <v>90</v>
      </c>
      <c r="AZ11" s="116" t="str">
        <f t="shared" ca="1" si="1"/>
        <v>BDB3F146D2C810B6DA77</v>
      </c>
    </row>
    <row r="12" spans="1:52" x14ac:dyDescent="0.25">
      <c r="A12" s="134">
        <v>0.4381944444444445</v>
      </c>
      <c r="B12" s="150" t="s">
        <v>68</v>
      </c>
      <c r="C12" s="135" t="s">
        <v>9</v>
      </c>
      <c r="D12" s="147">
        <v>20000</v>
      </c>
      <c r="E12" s="121" t="s">
        <v>69</v>
      </c>
      <c r="F12" s="121">
        <f t="shared" si="2"/>
        <v>20000</v>
      </c>
      <c r="I12" s="121" t="s">
        <v>80</v>
      </c>
      <c r="J12" s="150" t="str">
        <f t="shared" si="3"/>
        <v>BDB</v>
      </c>
      <c r="K12" s="150" t="s">
        <v>85</v>
      </c>
      <c r="L12" s="150" t="s">
        <v>87</v>
      </c>
      <c r="N12" s="116" t="str">
        <f t="shared" ca="1" si="4"/>
        <v>e622efa9-10f4-17bf-283d-5c5ff9c04243-012</v>
      </c>
      <c r="O12" s="116" t="str">
        <f t="shared" si="5"/>
        <v>USD.CASHTXF.BDB00000</v>
      </c>
      <c r="P12" s="117" t="str">
        <f t="shared" si="0"/>
        <v>Cash Transfer</v>
      </c>
      <c r="Q12" s="116" t="str">
        <f t="shared" ca="1" si="6"/>
        <v>e622efa9-10f4-17bf-283d-5c5ff9c04243-012</v>
      </c>
      <c r="R12" s="117">
        <f t="shared" si="12"/>
        <v>0</v>
      </c>
      <c r="S12" s="118">
        <f t="shared" ca="1" si="7"/>
        <v>43726</v>
      </c>
      <c r="T12" s="119" t="str">
        <f t="shared" ca="1" si="8"/>
        <v>ext-u1-1031-2e9c6-0012</v>
      </c>
      <c r="U12" s="117" t="str">
        <f>J12</f>
        <v>BDB</v>
      </c>
      <c r="V12" s="117" t="str">
        <f>E12</f>
        <v>RECEIVE</v>
      </c>
      <c r="W12" s="117" t="str">
        <f>C12</f>
        <v>USD</v>
      </c>
      <c r="X12" s="141">
        <f t="shared" si="9"/>
        <v>20000</v>
      </c>
      <c r="Y12" s="117" t="str">
        <f>L12&amp;"-"&amp;LEFT(K12,1)</f>
        <v>CASHTX-F</v>
      </c>
      <c r="Z12" s="118" t="str">
        <f t="shared" si="13"/>
        <v>Fixed</v>
      </c>
      <c r="AA12" s="117" t="str">
        <f>"[UC1]"&amp;P12&amp;REPT(" ",28-LEN(P12))&amp;" ["&amp;TEXT(A12,"HH:MM")&amp;"]"</f>
        <v>[UC1]Cash Transfer                [10:31]</v>
      </c>
      <c r="AB12" s="121" t="str">
        <f t="shared" si="14"/>
        <v>DEFAULT</v>
      </c>
      <c r="AC12" s="116" t="str">
        <f ca="1">UPPER(LEFT(U12&amp;SUBSTITUTE(N12,"-",""),20))</f>
        <v>BDBE622EFA910F417BF2</v>
      </c>
      <c r="AD12" s="117" t="str">
        <f t="shared" si="15"/>
        <v>N</v>
      </c>
      <c r="AE12" s="121" t="str">
        <f t="shared" si="10"/>
        <v>FORECAST</v>
      </c>
      <c r="AI12" s="116" t="str">
        <f ca="1">N12</f>
        <v>e622efa9-10f4-17bf-283d-5c5ff9c04243-012</v>
      </c>
      <c r="AJ12" s="117" t="s">
        <v>76</v>
      </c>
      <c r="AK12" s="116" t="str">
        <f ca="1">Q12</f>
        <v>e622efa9-10f4-17bf-283d-5c5ff9c04243-012</v>
      </c>
      <c r="AL12" s="117">
        <f>R12</f>
        <v>0</v>
      </c>
      <c r="AM12" s="118">
        <f ca="1">S12</f>
        <v>43726</v>
      </c>
      <c r="AN12" s="119" t="str">
        <f ca="1">T12</f>
        <v>ext-u1-1031-2e9c6-0012</v>
      </c>
      <c r="AO12" s="117" t="str">
        <f>U12</f>
        <v>BDB</v>
      </c>
      <c r="AP12" s="117" t="s">
        <v>78</v>
      </c>
      <c r="AQ12" s="117">
        <f>G12</f>
        <v>0</v>
      </c>
      <c r="AR12" s="117">
        <f>H12</f>
        <v>0</v>
      </c>
      <c r="AS12" s="117" t="str">
        <f>W12</f>
        <v>USD</v>
      </c>
      <c r="AT12" s="120">
        <f>D12*G12</f>
        <v>0</v>
      </c>
      <c r="AV12" s="117" t="str">
        <f>Y12</f>
        <v>CASHTX-F</v>
      </c>
      <c r="AX12" s="117" t="str">
        <f t="shared" si="11"/>
        <v>[UC1]Cash Transfer                [10:31]</v>
      </c>
      <c r="AY12" s="117" t="s">
        <v>90</v>
      </c>
      <c r="AZ12" s="116" t="str">
        <f t="shared" ca="1" si="1"/>
        <v>BDBE622EFA910F417BF2</v>
      </c>
    </row>
    <row r="13" spans="1:52" x14ac:dyDescent="0.25">
      <c r="A13" s="134">
        <v>0.4381944444444445</v>
      </c>
      <c r="B13" s="150" t="s">
        <v>68</v>
      </c>
      <c r="C13" s="135" t="s">
        <v>9</v>
      </c>
      <c r="D13" s="147">
        <v>15000</v>
      </c>
      <c r="E13" s="121" t="s">
        <v>69</v>
      </c>
      <c r="F13" s="121">
        <f t="shared" si="2"/>
        <v>15000</v>
      </c>
      <c r="I13" s="121" t="s">
        <v>80</v>
      </c>
      <c r="J13" s="150" t="str">
        <f t="shared" si="3"/>
        <v>BDB</v>
      </c>
      <c r="K13" s="150" t="s">
        <v>85</v>
      </c>
      <c r="L13" s="150" t="s">
        <v>87</v>
      </c>
      <c r="N13" s="116" t="str">
        <f t="shared" ca="1" si="4"/>
        <v>759796d1-37c5-24c8-6460-bd178b742ff3-013</v>
      </c>
      <c r="O13" s="116" t="str">
        <f t="shared" si="5"/>
        <v>USD.CASHTXF.BDB00000</v>
      </c>
      <c r="P13" s="117" t="str">
        <f t="shared" si="0"/>
        <v>Cash Transfer</v>
      </c>
      <c r="Q13" s="116" t="str">
        <f t="shared" ca="1" si="6"/>
        <v>759796d1-37c5-24c8-6460-bd178b742ff3-013</v>
      </c>
      <c r="R13" s="117">
        <f t="shared" si="12"/>
        <v>0</v>
      </c>
      <c r="S13" s="118">
        <f t="shared" ca="1" si="7"/>
        <v>43726</v>
      </c>
      <c r="T13" s="119" t="str">
        <f t="shared" ca="1" si="8"/>
        <v>ext-u1-1031-2e9c6-0013</v>
      </c>
      <c r="U13" s="117" t="str">
        <f>J13</f>
        <v>BDB</v>
      </c>
      <c r="V13" s="117" t="str">
        <f>E13</f>
        <v>RECEIVE</v>
      </c>
      <c r="W13" s="117" t="str">
        <f>C13</f>
        <v>USD</v>
      </c>
      <c r="X13" s="141">
        <f t="shared" si="9"/>
        <v>15000</v>
      </c>
      <c r="Y13" s="117" t="str">
        <f>L13&amp;"-"&amp;LEFT(K13,1)</f>
        <v>CASHTX-F</v>
      </c>
      <c r="Z13" s="118" t="str">
        <f t="shared" si="13"/>
        <v>Fixed</v>
      </c>
      <c r="AA13" s="117" t="str">
        <f>"[UC1]"&amp;P13&amp;REPT(" ",28-LEN(P13))&amp;" ["&amp;TEXT(A13,"HH:MM")&amp;"]"</f>
        <v>[UC1]Cash Transfer                [10:31]</v>
      </c>
      <c r="AB13" s="121" t="str">
        <f t="shared" si="14"/>
        <v>DEFAULT</v>
      </c>
      <c r="AC13" s="116" t="str">
        <f ca="1">UPPER(LEFT(U13&amp;SUBSTITUTE(N13,"-",""),20))</f>
        <v>BDB759796D137C524C86</v>
      </c>
      <c r="AD13" s="117" t="str">
        <f t="shared" si="15"/>
        <v>N</v>
      </c>
      <c r="AE13" s="121" t="str">
        <f t="shared" si="10"/>
        <v>FORECAST</v>
      </c>
      <c r="AI13" s="116" t="str">
        <f ca="1">N13</f>
        <v>759796d1-37c5-24c8-6460-bd178b742ff3-013</v>
      </c>
      <c r="AJ13" s="117" t="s">
        <v>76</v>
      </c>
      <c r="AK13" s="116" t="str">
        <f ca="1">Q13</f>
        <v>759796d1-37c5-24c8-6460-bd178b742ff3-013</v>
      </c>
      <c r="AL13" s="117">
        <f>R13</f>
        <v>0</v>
      </c>
      <c r="AM13" s="118">
        <f ca="1">S13</f>
        <v>43726</v>
      </c>
      <c r="AN13" s="119" t="str">
        <f ca="1">T13</f>
        <v>ext-u1-1031-2e9c6-0013</v>
      </c>
      <c r="AO13" s="117" t="str">
        <f>U13</f>
        <v>BDB</v>
      </c>
      <c r="AP13" s="117" t="s">
        <v>78</v>
      </c>
      <c r="AQ13" s="117">
        <f>G13</f>
        <v>0</v>
      </c>
      <c r="AR13" s="117">
        <f>H13</f>
        <v>0</v>
      </c>
      <c r="AS13" s="117" t="str">
        <f>W13</f>
        <v>USD</v>
      </c>
      <c r="AT13" s="120">
        <f>D13*G13</f>
        <v>0</v>
      </c>
      <c r="AV13" s="117" t="str">
        <f>Y13</f>
        <v>CASHTX-F</v>
      </c>
      <c r="AX13" s="117" t="str">
        <f t="shared" si="11"/>
        <v>[UC1]Cash Transfer                [10:31]</v>
      </c>
      <c r="AY13" s="117" t="s">
        <v>90</v>
      </c>
      <c r="AZ13" s="116" t="str">
        <f t="shared" ca="1" si="1"/>
        <v>BDB759796D137C524C86</v>
      </c>
    </row>
    <row r="14" spans="1:52" x14ac:dyDescent="0.25">
      <c r="A14" s="134">
        <v>0.4381944444444445</v>
      </c>
      <c r="B14" s="150" t="s">
        <v>61</v>
      </c>
      <c r="C14" s="136" t="s">
        <v>10</v>
      </c>
      <c r="D14" s="147">
        <v>1542</v>
      </c>
      <c r="E14" s="121" t="s">
        <v>62</v>
      </c>
      <c r="F14" s="121">
        <f t="shared" si="2"/>
        <v>-1542</v>
      </c>
      <c r="G14" s="121">
        <v>4.1121350000000003</v>
      </c>
      <c r="H14" s="121" t="s">
        <v>9</v>
      </c>
      <c r="I14" s="121" t="s">
        <v>80</v>
      </c>
      <c r="J14" s="150" t="str">
        <f t="shared" si="3"/>
        <v>BDB</v>
      </c>
      <c r="K14" s="150" t="s">
        <v>85</v>
      </c>
      <c r="L14" s="150" t="s">
        <v>88</v>
      </c>
      <c r="N14" s="116" t="str">
        <f t="shared" ca="1" si="4"/>
        <v>6b982f08-707b-26c5-a365-bab065089566-014</v>
      </c>
      <c r="O14" s="116" t="str">
        <f t="shared" si="5"/>
        <v>BRL.CUSTINSTF.BDB000</v>
      </c>
      <c r="P14" s="117" t="str">
        <f t="shared" si="0"/>
        <v>Customer Payment Instruction</v>
      </c>
      <c r="Q14" s="116" t="str">
        <f t="shared" ca="1" si="6"/>
        <v>6b982f08-707b-26c5-a365-bab065089566-014</v>
      </c>
      <c r="R14" s="117">
        <f t="shared" si="12"/>
        <v>0</v>
      </c>
      <c r="S14" s="118">
        <f t="shared" ca="1" si="7"/>
        <v>43726</v>
      </c>
      <c r="T14" s="119" t="str">
        <f t="shared" ca="1" si="8"/>
        <v>ext-u1-1031-2e9c6-0014</v>
      </c>
      <c r="U14" s="117" t="str">
        <f>J14</f>
        <v>BDB</v>
      </c>
      <c r="V14" s="117" t="str">
        <f>E14</f>
        <v>PAY</v>
      </c>
      <c r="W14" s="117" t="str">
        <f>C14</f>
        <v>BRL</v>
      </c>
      <c r="X14" s="141">
        <f t="shared" si="9"/>
        <v>-1542</v>
      </c>
      <c r="Y14" s="117" t="str">
        <f>L14&amp;"-"&amp;LEFT(K14,1)</f>
        <v>CUSTINST-F</v>
      </c>
      <c r="Z14" s="118" t="str">
        <f t="shared" si="13"/>
        <v>Fixed</v>
      </c>
      <c r="AA14" s="117" t="str">
        <f>"[UC1]"&amp;P14&amp;REPT(" ",28-LEN(P14))&amp;" ["&amp;TEXT(A14,"HH:MM")&amp;"]"</f>
        <v>[UC1]Customer Payment Instruction [10:31]</v>
      </c>
      <c r="AB14" s="121" t="str">
        <f t="shared" si="14"/>
        <v>DEFAULT</v>
      </c>
      <c r="AC14" s="116" t="str">
        <f ca="1">UPPER(LEFT(U14&amp;SUBSTITUTE(N14,"-",""),20))</f>
        <v>BDB6B982F08707B26C5A</v>
      </c>
      <c r="AD14" s="117" t="str">
        <f t="shared" si="15"/>
        <v>N</v>
      </c>
      <c r="AE14" s="121" t="str">
        <f t="shared" si="10"/>
        <v>FORECAST</v>
      </c>
      <c r="AI14" s="116" t="str">
        <f ca="1">N14</f>
        <v>6b982f08-707b-26c5-a365-bab065089566-014</v>
      </c>
      <c r="AJ14" s="117" t="s">
        <v>76</v>
      </c>
      <c r="AK14" s="116" t="str">
        <f ca="1">Q14</f>
        <v>6b982f08-707b-26c5-a365-bab065089566-014</v>
      </c>
      <c r="AL14" s="117">
        <f>R14</f>
        <v>0</v>
      </c>
      <c r="AM14" s="118">
        <f ca="1">S14</f>
        <v>43726</v>
      </c>
      <c r="AN14" s="119" t="str">
        <f ca="1">T14</f>
        <v>ext-u1-1031-2e9c6-0014</v>
      </c>
      <c r="AO14" s="117" t="str">
        <f>U14</f>
        <v>BDB</v>
      </c>
      <c r="AP14" s="117" t="s">
        <v>78</v>
      </c>
      <c r="AQ14" s="117">
        <f>G14</f>
        <v>4.1121350000000003</v>
      </c>
      <c r="AR14" s="117" t="str">
        <f>H14</f>
        <v>USD</v>
      </c>
      <c r="AS14" s="117" t="str">
        <f>W14</f>
        <v>BRL</v>
      </c>
      <c r="AT14" s="120">
        <f>D14*G14</f>
        <v>6340.9121700000005</v>
      </c>
      <c r="AU14" s="120">
        <f t="shared" ref="AU14:AU50" si="17">AT14/AQ14</f>
        <v>1542</v>
      </c>
      <c r="AV14" s="117" t="str">
        <f>Y14</f>
        <v>CUSTINST-F</v>
      </c>
      <c r="AX14" s="117" t="str">
        <f t="shared" si="11"/>
        <v>[UC1]Customer Payment Instruction [10:31]</v>
      </c>
      <c r="AY14" s="117" t="s">
        <v>90</v>
      </c>
      <c r="AZ14" s="116" t="str">
        <f t="shared" ca="1" si="1"/>
        <v>BDB6B982F08707B26C5A</v>
      </c>
    </row>
    <row r="15" spans="1:52" x14ac:dyDescent="0.25">
      <c r="A15" s="134">
        <v>0.4381944444444445</v>
      </c>
      <c r="B15" s="150" t="s">
        <v>61</v>
      </c>
      <c r="C15" s="136" t="s">
        <v>10</v>
      </c>
      <c r="D15" s="147">
        <v>3744.2</v>
      </c>
      <c r="E15" s="121" t="s">
        <v>62</v>
      </c>
      <c r="F15" s="121">
        <f t="shared" si="2"/>
        <v>-3744.2</v>
      </c>
      <c r="G15" s="121">
        <v>4.1123111000000003</v>
      </c>
      <c r="H15" s="121" t="s">
        <v>9</v>
      </c>
      <c r="I15" s="121" t="s">
        <v>80</v>
      </c>
      <c r="J15" s="150" t="str">
        <f t="shared" si="3"/>
        <v>BDB</v>
      </c>
      <c r="K15" s="150" t="s">
        <v>85</v>
      </c>
      <c r="L15" s="150" t="s">
        <v>88</v>
      </c>
      <c r="N15" s="116" t="str">
        <f t="shared" ca="1" si="4"/>
        <v>3af83d47-782c-4588-67bd-bcd96b0927e9-015</v>
      </c>
      <c r="O15" s="116" t="str">
        <f t="shared" si="5"/>
        <v>BRL.CUSTINSTF.BDB000</v>
      </c>
      <c r="P15" s="117" t="str">
        <f t="shared" si="0"/>
        <v>Customer Payment Instruction</v>
      </c>
      <c r="Q15" s="116" t="str">
        <f t="shared" ca="1" si="6"/>
        <v>3af83d47-782c-4588-67bd-bcd96b0927e9-015</v>
      </c>
      <c r="R15" s="117">
        <f t="shared" si="12"/>
        <v>0</v>
      </c>
      <c r="S15" s="118">
        <f t="shared" ca="1" si="7"/>
        <v>43726</v>
      </c>
      <c r="T15" s="119" t="str">
        <f t="shared" ca="1" si="8"/>
        <v>ext-u1-1031-2e9c6-0015</v>
      </c>
      <c r="U15" s="117" t="str">
        <f>J15</f>
        <v>BDB</v>
      </c>
      <c r="V15" s="117" t="str">
        <f>E15</f>
        <v>PAY</v>
      </c>
      <c r="W15" s="117" t="str">
        <f>C15</f>
        <v>BRL</v>
      </c>
      <c r="X15" s="141">
        <f t="shared" si="9"/>
        <v>-3744.2</v>
      </c>
      <c r="Y15" s="117" t="str">
        <f>L15&amp;"-"&amp;LEFT(K15,1)</f>
        <v>CUSTINST-F</v>
      </c>
      <c r="Z15" s="118" t="str">
        <f t="shared" si="13"/>
        <v>Fixed</v>
      </c>
      <c r="AA15" s="117" t="str">
        <f>"[UC1]"&amp;P15&amp;REPT(" ",28-LEN(P15))&amp;" ["&amp;TEXT(A15,"HH:MM")&amp;"]"</f>
        <v>[UC1]Customer Payment Instruction [10:31]</v>
      </c>
      <c r="AB15" s="121" t="str">
        <f t="shared" si="14"/>
        <v>DEFAULT</v>
      </c>
      <c r="AC15" s="116" t="str">
        <f ca="1">UPPER(LEFT(U15&amp;SUBSTITUTE(N15,"-",""),20))</f>
        <v>BDB3AF83D47782C45886</v>
      </c>
      <c r="AD15" s="117" t="str">
        <f t="shared" si="15"/>
        <v>N</v>
      </c>
      <c r="AE15" s="121" t="str">
        <f t="shared" si="10"/>
        <v>FORECAST</v>
      </c>
      <c r="AI15" s="116" t="str">
        <f ca="1">N15</f>
        <v>3af83d47-782c-4588-67bd-bcd96b0927e9-015</v>
      </c>
      <c r="AJ15" s="117" t="s">
        <v>76</v>
      </c>
      <c r="AK15" s="116" t="str">
        <f ca="1">Q15</f>
        <v>3af83d47-782c-4588-67bd-bcd96b0927e9-015</v>
      </c>
      <c r="AL15" s="117">
        <f>R15</f>
        <v>0</v>
      </c>
      <c r="AM15" s="118">
        <f ca="1">S15</f>
        <v>43726</v>
      </c>
      <c r="AN15" s="119" t="str">
        <f ca="1">T15</f>
        <v>ext-u1-1031-2e9c6-0015</v>
      </c>
      <c r="AO15" s="117" t="str">
        <f>U15</f>
        <v>BDB</v>
      </c>
      <c r="AP15" s="117" t="s">
        <v>78</v>
      </c>
      <c r="AQ15" s="117">
        <f>G15</f>
        <v>4.1123111000000003</v>
      </c>
      <c r="AR15" s="117" t="str">
        <f>H15</f>
        <v>USD</v>
      </c>
      <c r="AS15" s="117" t="str">
        <f>W15</f>
        <v>BRL</v>
      </c>
      <c r="AT15" s="120">
        <f>D15*G15</f>
        <v>15397.315220620001</v>
      </c>
      <c r="AU15" s="120">
        <f t="shared" si="17"/>
        <v>3744.2</v>
      </c>
      <c r="AV15" s="117" t="str">
        <f>Y15</f>
        <v>CUSTINST-F</v>
      </c>
      <c r="AX15" s="117" t="str">
        <f t="shared" si="11"/>
        <v>[UC1]Customer Payment Instruction [10:31]</v>
      </c>
      <c r="AY15" s="117" t="s">
        <v>90</v>
      </c>
      <c r="AZ15" s="116" t="str">
        <f t="shared" ca="1" si="1"/>
        <v>BDB3AF83D47782C45886</v>
      </c>
    </row>
    <row r="16" spans="1:52" x14ac:dyDescent="0.25">
      <c r="A16" s="134">
        <v>0.4381944444444445</v>
      </c>
      <c r="B16" s="150" t="s">
        <v>61</v>
      </c>
      <c r="C16" s="136" t="s">
        <v>10</v>
      </c>
      <c r="D16" s="147">
        <v>4194.3999999999996</v>
      </c>
      <c r="E16" s="121" t="s">
        <v>62</v>
      </c>
      <c r="F16" s="121">
        <f t="shared" si="2"/>
        <v>-4194.3999999999996</v>
      </c>
      <c r="G16" s="121">
        <v>4.1125234133333297</v>
      </c>
      <c r="H16" s="121" t="s">
        <v>9</v>
      </c>
      <c r="I16" s="121" t="s">
        <v>80</v>
      </c>
      <c r="J16" s="150" t="str">
        <f t="shared" si="3"/>
        <v>BDB</v>
      </c>
      <c r="K16" s="150" t="s">
        <v>85</v>
      </c>
      <c r="L16" s="150" t="s">
        <v>88</v>
      </c>
      <c r="N16" s="116" t="str">
        <f t="shared" ca="1" si="4"/>
        <v>ef036307-9801-156c-4ff5-ba22be090997-016</v>
      </c>
      <c r="O16" s="116" t="str">
        <f t="shared" si="5"/>
        <v>BRL.CUSTINSTF.BDB000</v>
      </c>
      <c r="P16" s="117" t="str">
        <f t="shared" si="0"/>
        <v>Customer Payment Instruction</v>
      </c>
      <c r="Q16" s="116" t="str">
        <f t="shared" ca="1" si="6"/>
        <v>ef036307-9801-156c-4ff5-ba22be090997-016</v>
      </c>
      <c r="R16" s="117">
        <f t="shared" si="12"/>
        <v>0</v>
      </c>
      <c r="S16" s="118">
        <f t="shared" ca="1" si="7"/>
        <v>43726</v>
      </c>
      <c r="T16" s="119" t="str">
        <f t="shared" ca="1" si="8"/>
        <v>ext-u1-1031-2e9c6-0016</v>
      </c>
      <c r="U16" s="117" t="str">
        <f>J16</f>
        <v>BDB</v>
      </c>
      <c r="V16" s="117" t="str">
        <f>E16</f>
        <v>PAY</v>
      </c>
      <c r="W16" s="117" t="str">
        <f>C16</f>
        <v>BRL</v>
      </c>
      <c r="X16" s="141">
        <f t="shared" si="9"/>
        <v>-4194.3999999999996</v>
      </c>
      <c r="Y16" s="117" t="str">
        <f>L16&amp;"-"&amp;LEFT(K16,1)</f>
        <v>CUSTINST-F</v>
      </c>
      <c r="Z16" s="118" t="str">
        <f t="shared" si="13"/>
        <v>Fixed</v>
      </c>
      <c r="AA16" s="117" t="str">
        <f>"[UC1]"&amp;P16&amp;REPT(" ",28-LEN(P16))&amp;" ["&amp;TEXT(A16,"HH:MM")&amp;"]"</f>
        <v>[UC1]Customer Payment Instruction [10:31]</v>
      </c>
      <c r="AB16" s="121" t="str">
        <f t="shared" si="14"/>
        <v>DEFAULT</v>
      </c>
      <c r="AC16" s="116" t="str">
        <f ca="1">UPPER(LEFT(U16&amp;SUBSTITUTE(N16,"-",""),20))</f>
        <v>BDBEF0363079801156C4</v>
      </c>
      <c r="AD16" s="117" t="str">
        <f t="shared" si="15"/>
        <v>N</v>
      </c>
      <c r="AE16" s="121" t="str">
        <f t="shared" si="10"/>
        <v>FORECAST</v>
      </c>
      <c r="AI16" s="116" t="str">
        <f ca="1">N16</f>
        <v>ef036307-9801-156c-4ff5-ba22be090997-016</v>
      </c>
      <c r="AJ16" s="117" t="s">
        <v>76</v>
      </c>
      <c r="AK16" s="116" t="str">
        <f ca="1">Q16</f>
        <v>ef036307-9801-156c-4ff5-ba22be090997-016</v>
      </c>
      <c r="AL16" s="117">
        <f>R16</f>
        <v>0</v>
      </c>
      <c r="AM16" s="118">
        <f ca="1">S16</f>
        <v>43726</v>
      </c>
      <c r="AN16" s="119" t="str">
        <f ca="1">T16</f>
        <v>ext-u1-1031-2e9c6-0016</v>
      </c>
      <c r="AO16" s="117" t="str">
        <f>U16</f>
        <v>BDB</v>
      </c>
      <c r="AP16" s="117" t="s">
        <v>78</v>
      </c>
      <c r="AQ16" s="117">
        <f>G16</f>
        <v>4.1125234133333297</v>
      </c>
      <c r="AR16" s="117" t="str">
        <f>H16</f>
        <v>USD</v>
      </c>
      <c r="AS16" s="117" t="str">
        <f>W16</f>
        <v>BRL</v>
      </c>
      <c r="AT16" s="120">
        <f>D16*G16</f>
        <v>17249.568204885316</v>
      </c>
      <c r="AU16" s="120">
        <f t="shared" si="17"/>
        <v>4194.3999999999996</v>
      </c>
      <c r="AV16" s="117" t="str">
        <f>Y16</f>
        <v>CUSTINST-F</v>
      </c>
      <c r="AX16" s="117" t="str">
        <f t="shared" si="11"/>
        <v>[UC1]Customer Payment Instruction [10:31]</v>
      </c>
      <c r="AY16" s="117" t="s">
        <v>90</v>
      </c>
      <c r="AZ16" s="116" t="str">
        <f t="shared" ca="1" si="1"/>
        <v>BDBEF0363079801156C4</v>
      </c>
    </row>
    <row r="17" spans="1:52" x14ac:dyDescent="0.25">
      <c r="A17" s="134">
        <v>0.4381944444444445</v>
      </c>
      <c r="B17" s="150" t="s">
        <v>61</v>
      </c>
      <c r="C17" s="136" t="s">
        <v>10</v>
      </c>
      <c r="D17" s="147">
        <v>4644.6000000000004</v>
      </c>
      <c r="E17" s="121" t="s">
        <v>62</v>
      </c>
      <c r="F17" s="121">
        <f t="shared" si="2"/>
        <v>-4644.6000000000004</v>
      </c>
      <c r="G17" s="121">
        <v>4.1127563219047598</v>
      </c>
      <c r="H17" s="121" t="s">
        <v>9</v>
      </c>
      <c r="I17" s="121" t="s">
        <v>80</v>
      </c>
      <c r="J17" s="150" t="str">
        <f t="shared" si="3"/>
        <v>BDB</v>
      </c>
      <c r="K17" s="150" t="s">
        <v>85</v>
      </c>
      <c r="L17" s="150" t="s">
        <v>88</v>
      </c>
      <c r="N17" s="116" t="str">
        <f t="shared" ca="1" si="4"/>
        <v>23cfd5b5-0887-902a-2033-f487d5579ac4-017</v>
      </c>
      <c r="O17" s="116" t="str">
        <f t="shared" si="5"/>
        <v>BRL.CUSTINSTF.BDB000</v>
      </c>
      <c r="P17" s="117" t="str">
        <f t="shared" si="0"/>
        <v>Customer Payment Instruction</v>
      </c>
      <c r="Q17" s="116" t="str">
        <f t="shared" ca="1" si="6"/>
        <v>23cfd5b5-0887-902a-2033-f487d5579ac4-017</v>
      </c>
      <c r="R17" s="117">
        <f t="shared" si="12"/>
        <v>0</v>
      </c>
      <c r="S17" s="118">
        <f t="shared" ca="1" si="7"/>
        <v>43726</v>
      </c>
      <c r="T17" s="119" t="str">
        <f t="shared" ca="1" si="8"/>
        <v>ext-u1-1031-2e9c6-0017</v>
      </c>
      <c r="U17" s="117" t="str">
        <f>J17</f>
        <v>BDB</v>
      </c>
      <c r="V17" s="117" t="str">
        <f>E17</f>
        <v>PAY</v>
      </c>
      <c r="W17" s="117" t="str">
        <f>C17</f>
        <v>BRL</v>
      </c>
      <c r="X17" s="141">
        <f t="shared" si="9"/>
        <v>-4644.6000000000004</v>
      </c>
      <c r="Y17" s="117" t="str">
        <f>L17&amp;"-"&amp;LEFT(K17,1)</f>
        <v>CUSTINST-F</v>
      </c>
      <c r="Z17" s="118" t="str">
        <f t="shared" si="13"/>
        <v>Fixed</v>
      </c>
      <c r="AA17" s="117" t="str">
        <f>"[UC1]"&amp;P17&amp;REPT(" ",28-LEN(P17))&amp;" ["&amp;TEXT(A17,"HH:MM")&amp;"]"</f>
        <v>[UC1]Customer Payment Instruction [10:31]</v>
      </c>
      <c r="AB17" s="121" t="str">
        <f t="shared" si="14"/>
        <v>DEFAULT</v>
      </c>
      <c r="AC17" s="116" t="str">
        <f ca="1">UPPER(LEFT(U17&amp;SUBSTITUTE(N17,"-",""),20))</f>
        <v>BDB23CFD5B50887902A2</v>
      </c>
      <c r="AD17" s="117" t="str">
        <f t="shared" si="15"/>
        <v>N</v>
      </c>
      <c r="AE17" s="121" t="str">
        <f t="shared" si="10"/>
        <v>FORECAST</v>
      </c>
      <c r="AI17" s="116" t="str">
        <f ca="1">N17</f>
        <v>23cfd5b5-0887-902a-2033-f487d5579ac4-017</v>
      </c>
      <c r="AJ17" s="117" t="s">
        <v>76</v>
      </c>
      <c r="AK17" s="116" t="str">
        <f ca="1">Q17</f>
        <v>23cfd5b5-0887-902a-2033-f487d5579ac4-017</v>
      </c>
      <c r="AL17" s="117">
        <f>R17</f>
        <v>0</v>
      </c>
      <c r="AM17" s="118">
        <f ca="1">S17</f>
        <v>43726</v>
      </c>
      <c r="AN17" s="119" t="str">
        <f ca="1">T17</f>
        <v>ext-u1-1031-2e9c6-0017</v>
      </c>
      <c r="AO17" s="117" t="str">
        <f>U17</f>
        <v>BDB</v>
      </c>
      <c r="AP17" s="117" t="s">
        <v>78</v>
      </c>
      <c r="AQ17" s="117">
        <f>G17</f>
        <v>4.1127563219047598</v>
      </c>
      <c r="AR17" s="117" t="str">
        <f>H17</f>
        <v>USD</v>
      </c>
      <c r="AS17" s="117" t="str">
        <f>W17</f>
        <v>BRL</v>
      </c>
      <c r="AT17" s="120">
        <f>D17*G17</f>
        <v>19102.108012718851</v>
      </c>
      <c r="AU17" s="120">
        <f t="shared" si="17"/>
        <v>4644.6000000000004</v>
      </c>
      <c r="AV17" s="117" t="str">
        <f>Y17</f>
        <v>CUSTINST-F</v>
      </c>
      <c r="AX17" s="117" t="str">
        <f t="shared" si="11"/>
        <v>[UC1]Customer Payment Instruction [10:31]</v>
      </c>
      <c r="AY17" s="117" t="s">
        <v>90</v>
      </c>
      <c r="AZ17" s="116" t="str">
        <f t="shared" ca="1" si="1"/>
        <v>BDB23CFD5B50887902A2</v>
      </c>
    </row>
    <row r="18" spans="1:52" x14ac:dyDescent="0.25">
      <c r="A18" s="134">
        <v>0.4381944444444445</v>
      </c>
      <c r="B18" s="150" t="s">
        <v>61</v>
      </c>
      <c r="C18" s="136" t="s">
        <v>10</v>
      </c>
      <c r="D18" s="147">
        <v>5094.8</v>
      </c>
      <c r="E18" s="121" t="s">
        <v>62</v>
      </c>
      <c r="F18" s="121">
        <f t="shared" si="2"/>
        <v>-5094.8</v>
      </c>
      <c r="G18" s="121">
        <v>4.1129892304761899</v>
      </c>
      <c r="H18" s="121" t="s">
        <v>9</v>
      </c>
      <c r="I18" s="121" t="s">
        <v>80</v>
      </c>
      <c r="J18" s="150" t="str">
        <f t="shared" si="3"/>
        <v>BDB</v>
      </c>
      <c r="K18" s="150" t="s">
        <v>85</v>
      </c>
      <c r="L18" s="150" t="s">
        <v>88</v>
      </c>
      <c r="N18" s="116" t="str">
        <f t="shared" ca="1" si="4"/>
        <v>a8dd40e4-51f5-4edc-971e-40b0a78b8722-018</v>
      </c>
      <c r="O18" s="116" t="str">
        <f t="shared" si="5"/>
        <v>BRL.CUSTINSTF.BDB000</v>
      </c>
      <c r="P18" s="117" t="str">
        <f t="shared" si="0"/>
        <v>Customer Payment Instruction</v>
      </c>
      <c r="Q18" s="116" t="str">
        <f t="shared" ca="1" si="6"/>
        <v>a8dd40e4-51f5-4edc-971e-40b0a78b8722-018</v>
      </c>
      <c r="R18" s="117">
        <f t="shared" si="12"/>
        <v>0</v>
      </c>
      <c r="S18" s="118">
        <f t="shared" ca="1" si="7"/>
        <v>43726</v>
      </c>
      <c r="T18" s="119" t="str">
        <f t="shared" ca="1" si="8"/>
        <v>ext-u1-1031-2e9c6-0018</v>
      </c>
      <c r="U18" s="117" t="str">
        <f>J18</f>
        <v>BDB</v>
      </c>
      <c r="V18" s="117" t="str">
        <f>E18</f>
        <v>PAY</v>
      </c>
      <c r="W18" s="117" t="str">
        <f>C18</f>
        <v>BRL</v>
      </c>
      <c r="X18" s="141">
        <f t="shared" si="9"/>
        <v>-5094.8</v>
      </c>
      <c r="Y18" s="117" t="str">
        <f>L18&amp;"-"&amp;LEFT(K18,1)</f>
        <v>CUSTINST-F</v>
      </c>
      <c r="Z18" s="118" t="str">
        <f t="shared" si="13"/>
        <v>Fixed</v>
      </c>
      <c r="AA18" s="117" t="str">
        <f>"[UC1]"&amp;P18&amp;REPT(" ",28-LEN(P18))&amp;" ["&amp;TEXT(A18,"HH:MM")&amp;"]"</f>
        <v>[UC1]Customer Payment Instruction [10:31]</v>
      </c>
      <c r="AB18" s="121" t="str">
        <f t="shared" si="14"/>
        <v>DEFAULT</v>
      </c>
      <c r="AC18" s="116" t="str">
        <f ca="1">UPPER(LEFT(U18&amp;SUBSTITUTE(N18,"-",""),20))</f>
        <v>BDBA8DD40E451F54EDC9</v>
      </c>
      <c r="AD18" s="117" t="str">
        <f t="shared" si="15"/>
        <v>N</v>
      </c>
      <c r="AE18" s="121" t="str">
        <f t="shared" si="10"/>
        <v>FORECAST</v>
      </c>
      <c r="AI18" s="116" t="str">
        <f ca="1">N18</f>
        <v>a8dd40e4-51f5-4edc-971e-40b0a78b8722-018</v>
      </c>
      <c r="AJ18" s="117" t="s">
        <v>76</v>
      </c>
      <c r="AK18" s="116" t="str">
        <f ca="1">Q18</f>
        <v>a8dd40e4-51f5-4edc-971e-40b0a78b8722-018</v>
      </c>
      <c r="AL18" s="117">
        <f>R18</f>
        <v>0</v>
      </c>
      <c r="AM18" s="118">
        <f ca="1">S18</f>
        <v>43726</v>
      </c>
      <c r="AN18" s="119" t="str">
        <f ca="1">T18</f>
        <v>ext-u1-1031-2e9c6-0018</v>
      </c>
      <c r="AO18" s="117" t="str">
        <f>U18</f>
        <v>BDB</v>
      </c>
      <c r="AP18" s="117" t="s">
        <v>78</v>
      </c>
      <c r="AQ18" s="117">
        <f>G18</f>
        <v>4.1129892304761899</v>
      </c>
      <c r="AR18" s="117" t="str">
        <f>H18</f>
        <v>USD</v>
      </c>
      <c r="AS18" s="117" t="str">
        <f>W18</f>
        <v>BRL</v>
      </c>
      <c r="AT18" s="120">
        <f>D18*G18</f>
        <v>20954.857531430094</v>
      </c>
      <c r="AU18" s="120">
        <f t="shared" si="17"/>
        <v>5094.8</v>
      </c>
      <c r="AV18" s="117" t="str">
        <f>Y18</f>
        <v>CUSTINST-F</v>
      </c>
      <c r="AX18" s="117" t="str">
        <f t="shared" si="11"/>
        <v>[UC1]Customer Payment Instruction [10:31]</v>
      </c>
      <c r="AY18" s="117" t="s">
        <v>90</v>
      </c>
      <c r="AZ18" s="116" t="str">
        <f t="shared" ca="1" si="1"/>
        <v>BDBA8DD40E451F54EDC9</v>
      </c>
    </row>
    <row r="19" spans="1:52" x14ac:dyDescent="0.25">
      <c r="A19" s="134">
        <v>0.4381944444444445</v>
      </c>
      <c r="B19" s="150" t="s">
        <v>61</v>
      </c>
      <c r="C19" s="136" t="s">
        <v>10</v>
      </c>
      <c r="D19" s="147">
        <v>5545</v>
      </c>
      <c r="E19" s="121" t="s">
        <v>62</v>
      </c>
      <c r="F19" s="121">
        <f t="shared" si="2"/>
        <v>-5545</v>
      </c>
      <c r="G19" s="121">
        <v>4.11322213904762</v>
      </c>
      <c r="H19" s="121" t="s">
        <v>9</v>
      </c>
      <c r="I19" s="121" t="s">
        <v>80</v>
      </c>
      <c r="J19" s="150" t="str">
        <f t="shared" si="3"/>
        <v>BDB</v>
      </c>
      <c r="K19" s="150" t="s">
        <v>85</v>
      </c>
      <c r="L19" s="150" t="s">
        <v>88</v>
      </c>
      <c r="N19" s="116" t="str">
        <f t="shared" ca="1" si="4"/>
        <v>2d4b21fe-21ba-07fe-1639-ed17c5dc1666-019</v>
      </c>
      <c r="O19" s="116" t="str">
        <f t="shared" si="5"/>
        <v>BRL.CUSTINSTF.BDB000</v>
      </c>
      <c r="P19" s="117" t="str">
        <f t="shared" si="0"/>
        <v>Customer Payment Instruction</v>
      </c>
      <c r="Q19" s="116" t="str">
        <f t="shared" ca="1" si="6"/>
        <v>2d4b21fe-21ba-07fe-1639-ed17c5dc1666-019</v>
      </c>
      <c r="R19" s="117">
        <f t="shared" si="12"/>
        <v>0</v>
      </c>
      <c r="S19" s="118">
        <f t="shared" ca="1" si="7"/>
        <v>43726</v>
      </c>
      <c r="T19" s="119" t="str">
        <f t="shared" ca="1" si="8"/>
        <v>ext-u1-1031-2e9c6-0019</v>
      </c>
      <c r="U19" s="117" t="str">
        <f>J19</f>
        <v>BDB</v>
      </c>
      <c r="V19" s="117" t="str">
        <f>E19</f>
        <v>PAY</v>
      </c>
      <c r="W19" s="117" t="str">
        <f>C19</f>
        <v>BRL</v>
      </c>
      <c r="X19" s="141">
        <f t="shared" si="9"/>
        <v>-5545</v>
      </c>
      <c r="Y19" s="117" t="str">
        <f>L19&amp;"-"&amp;LEFT(K19,1)</f>
        <v>CUSTINST-F</v>
      </c>
      <c r="Z19" s="118" t="str">
        <f t="shared" si="13"/>
        <v>Fixed</v>
      </c>
      <c r="AA19" s="117" t="str">
        <f>"[UC1]"&amp;P19&amp;REPT(" ",28-LEN(P19))&amp;" ["&amp;TEXT(A19,"HH:MM")&amp;"]"</f>
        <v>[UC1]Customer Payment Instruction [10:31]</v>
      </c>
      <c r="AB19" s="121" t="str">
        <f t="shared" si="14"/>
        <v>DEFAULT</v>
      </c>
      <c r="AC19" s="116" t="str">
        <f ca="1">UPPER(LEFT(U19&amp;SUBSTITUTE(N19,"-",""),20))</f>
        <v>BDB2D4B21FE21BA07FE1</v>
      </c>
      <c r="AD19" s="117" t="str">
        <f t="shared" si="15"/>
        <v>N</v>
      </c>
      <c r="AE19" s="121" t="str">
        <f t="shared" si="10"/>
        <v>FORECAST</v>
      </c>
      <c r="AI19" s="116" t="str">
        <f ca="1">N19</f>
        <v>2d4b21fe-21ba-07fe-1639-ed17c5dc1666-019</v>
      </c>
      <c r="AJ19" s="117" t="s">
        <v>76</v>
      </c>
      <c r="AK19" s="116" t="str">
        <f ca="1">Q19</f>
        <v>2d4b21fe-21ba-07fe-1639-ed17c5dc1666-019</v>
      </c>
      <c r="AL19" s="117">
        <f>R19</f>
        <v>0</v>
      </c>
      <c r="AM19" s="118">
        <f ca="1">S19</f>
        <v>43726</v>
      </c>
      <c r="AN19" s="119" t="str">
        <f ca="1">T19</f>
        <v>ext-u1-1031-2e9c6-0019</v>
      </c>
      <c r="AO19" s="117" t="str">
        <f>U19</f>
        <v>BDB</v>
      </c>
      <c r="AP19" s="117" t="s">
        <v>78</v>
      </c>
      <c r="AQ19" s="117">
        <f>G19</f>
        <v>4.11322213904762</v>
      </c>
      <c r="AR19" s="117" t="str">
        <f>H19</f>
        <v>USD</v>
      </c>
      <c r="AS19" s="117" t="str">
        <f>W19</f>
        <v>BRL</v>
      </c>
      <c r="AT19" s="120">
        <f>D19*G19</f>
        <v>22807.816761019054</v>
      </c>
      <c r="AU19" s="120">
        <f t="shared" si="17"/>
        <v>5545</v>
      </c>
      <c r="AV19" s="117" t="str">
        <f>Y19</f>
        <v>CUSTINST-F</v>
      </c>
      <c r="AX19" s="117" t="str">
        <f t="shared" si="11"/>
        <v>[UC1]Customer Payment Instruction [10:31]</v>
      </c>
      <c r="AY19" s="117" t="s">
        <v>90</v>
      </c>
      <c r="AZ19" s="116" t="str">
        <f t="shared" ca="1" si="1"/>
        <v>BDB2D4B21FE21BA07FE1</v>
      </c>
    </row>
    <row r="20" spans="1:52" x14ac:dyDescent="0.25">
      <c r="A20" s="134">
        <v>0.4381944444444445</v>
      </c>
      <c r="B20" s="150" t="s">
        <v>61</v>
      </c>
      <c r="C20" s="136" t="s">
        <v>10</v>
      </c>
      <c r="D20" s="147">
        <v>5995.2</v>
      </c>
      <c r="E20" s="121" t="s">
        <v>62</v>
      </c>
      <c r="F20" s="121">
        <f t="shared" si="2"/>
        <v>-5995.2</v>
      </c>
      <c r="G20" s="121">
        <v>4.1134550476190501</v>
      </c>
      <c r="H20" s="121" t="s">
        <v>9</v>
      </c>
      <c r="I20" s="121" t="s">
        <v>80</v>
      </c>
      <c r="J20" s="150" t="str">
        <f t="shared" si="3"/>
        <v>BDB</v>
      </c>
      <c r="K20" s="150" t="s">
        <v>85</v>
      </c>
      <c r="L20" s="150" t="s">
        <v>88</v>
      </c>
      <c r="N20" s="116" t="str">
        <f t="shared" ca="1" si="4"/>
        <v>62b842f4-1839-0051-3cb2-7b1def8b1bca-020</v>
      </c>
      <c r="O20" s="116" t="str">
        <f t="shared" si="5"/>
        <v>BRL.CUSTINSTF.BDB000</v>
      </c>
      <c r="P20" s="117" t="str">
        <f t="shared" si="0"/>
        <v>Customer Payment Instruction</v>
      </c>
      <c r="Q20" s="116" t="str">
        <f t="shared" ca="1" si="6"/>
        <v>62b842f4-1839-0051-3cb2-7b1def8b1bca-020</v>
      </c>
      <c r="R20" s="117">
        <f t="shared" si="12"/>
        <v>0</v>
      </c>
      <c r="S20" s="118">
        <f t="shared" ca="1" si="7"/>
        <v>43726</v>
      </c>
      <c r="T20" s="119" t="str">
        <f t="shared" ca="1" si="8"/>
        <v>ext-u1-1031-2e9c6-0020</v>
      </c>
      <c r="U20" s="117" t="str">
        <f>J20</f>
        <v>BDB</v>
      </c>
      <c r="V20" s="117" t="str">
        <f>E20</f>
        <v>PAY</v>
      </c>
      <c r="W20" s="117" t="str">
        <f>C20</f>
        <v>BRL</v>
      </c>
      <c r="X20" s="141">
        <f t="shared" si="9"/>
        <v>-5995.2</v>
      </c>
      <c r="Y20" s="117" t="str">
        <f>L20&amp;"-"&amp;LEFT(K20,1)</f>
        <v>CUSTINST-F</v>
      </c>
      <c r="Z20" s="118" t="str">
        <f t="shared" si="13"/>
        <v>Fixed</v>
      </c>
      <c r="AA20" s="117" t="str">
        <f>"[UC1]"&amp;P20&amp;REPT(" ",28-LEN(P20))&amp;" ["&amp;TEXT(A20,"HH:MM")&amp;"]"</f>
        <v>[UC1]Customer Payment Instruction [10:31]</v>
      </c>
      <c r="AB20" s="121" t="str">
        <f t="shared" si="14"/>
        <v>DEFAULT</v>
      </c>
      <c r="AC20" s="116" t="str">
        <f ca="1">UPPER(LEFT(U20&amp;SUBSTITUTE(N20,"-",""),20))</f>
        <v>BDB62B842F4183900513</v>
      </c>
      <c r="AD20" s="117" t="str">
        <f t="shared" si="15"/>
        <v>N</v>
      </c>
      <c r="AE20" s="121" t="str">
        <f t="shared" si="10"/>
        <v>FORECAST</v>
      </c>
      <c r="AI20" s="116" t="str">
        <f ca="1">N20</f>
        <v>62b842f4-1839-0051-3cb2-7b1def8b1bca-020</v>
      </c>
      <c r="AJ20" s="117" t="s">
        <v>76</v>
      </c>
      <c r="AK20" s="116" t="str">
        <f ca="1">Q20</f>
        <v>62b842f4-1839-0051-3cb2-7b1def8b1bca-020</v>
      </c>
      <c r="AL20" s="117">
        <f>R20</f>
        <v>0</v>
      </c>
      <c r="AM20" s="118">
        <f ca="1">S20</f>
        <v>43726</v>
      </c>
      <c r="AN20" s="119" t="str">
        <f ca="1">T20</f>
        <v>ext-u1-1031-2e9c6-0020</v>
      </c>
      <c r="AO20" s="117" t="str">
        <f>U20</f>
        <v>BDB</v>
      </c>
      <c r="AP20" s="117" t="s">
        <v>78</v>
      </c>
      <c r="AQ20" s="117">
        <f>G20</f>
        <v>4.1134550476190501</v>
      </c>
      <c r="AR20" s="117" t="str">
        <f>H20</f>
        <v>USD</v>
      </c>
      <c r="AS20" s="117" t="str">
        <f>W20</f>
        <v>BRL</v>
      </c>
      <c r="AT20" s="120">
        <f>D20*G20</f>
        <v>24660.98570148573</v>
      </c>
      <c r="AU20" s="120">
        <f t="shared" si="17"/>
        <v>5995.2</v>
      </c>
      <c r="AV20" s="117" t="str">
        <f>Y20</f>
        <v>CUSTINST-F</v>
      </c>
      <c r="AX20" s="117" t="str">
        <f t="shared" si="11"/>
        <v>[UC1]Customer Payment Instruction [10:31]</v>
      </c>
      <c r="AY20" s="117" t="s">
        <v>90</v>
      </c>
      <c r="AZ20" s="116" t="str">
        <f t="shared" ca="1" si="1"/>
        <v>BDB62B842F4183900513</v>
      </c>
    </row>
    <row r="21" spans="1:52" x14ac:dyDescent="0.25">
      <c r="A21" s="134">
        <v>0.4381944444444445</v>
      </c>
      <c r="B21" s="150" t="s">
        <v>61</v>
      </c>
      <c r="C21" s="136" t="s">
        <v>10</v>
      </c>
      <c r="D21" s="147">
        <v>6445.4</v>
      </c>
      <c r="E21" s="121" t="s">
        <v>62</v>
      </c>
      <c r="F21" s="121">
        <f t="shared" si="2"/>
        <v>-6445.4</v>
      </c>
      <c r="G21" s="121">
        <v>4.1136879561904802</v>
      </c>
      <c r="H21" s="121" t="s">
        <v>9</v>
      </c>
      <c r="I21" s="121" t="s">
        <v>80</v>
      </c>
      <c r="J21" s="150" t="str">
        <f t="shared" si="3"/>
        <v>BDB</v>
      </c>
      <c r="K21" s="150" t="s">
        <v>85</v>
      </c>
      <c r="L21" s="150" t="s">
        <v>88</v>
      </c>
      <c r="N21" s="116" t="str">
        <f t="shared" ca="1" si="4"/>
        <v>848e4285-2f7a-97a6-944b-2e9d316e024c-021</v>
      </c>
      <c r="O21" s="116" t="str">
        <f t="shared" si="5"/>
        <v>BRL.CUSTINSTF.BDB000</v>
      </c>
      <c r="P21" s="117" t="str">
        <f t="shared" si="0"/>
        <v>Customer Payment Instruction</v>
      </c>
      <c r="Q21" s="116" t="str">
        <f t="shared" ca="1" si="6"/>
        <v>848e4285-2f7a-97a6-944b-2e9d316e024c-021</v>
      </c>
      <c r="R21" s="117">
        <f t="shared" si="12"/>
        <v>0</v>
      </c>
      <c r="S21" s="118">
        <f t="shared" ca="1" si="7"/>
        <v>43726</v>
      </c>
      <c r="T21" s="119" t="str">
        <f t="shared" ca="1" si="8"/>
        <v>ext-u1-1031-2e9c6-0021</v>
      </c>
      <c r="U21" s="117" t="str">
        <f>J21</f>
        <v>BDB</v>
      </c>
      <c r="V21" s="117" t="str">
        <f>E21</f>
        <v>PAY</v>
      </c>
      <c r="W21" s="117" t="str">
        <f>C21</f>
        <v>BRL</v>
      </c>
      <c r="X21" s="141">
        <f t="shared" si="9"/>
        <v>-6445.4</v>
      </c>
      <c r="Y21" s="117" t="str">
        <f>L21&amp;"-"&amp;LEFT(K21,1)</f>
        <v>CUSTINST-F</v>
      </c>
      <c r="Z21" s="118" t="str">
        <f t="shared" si="13"/>
        <v>Fixed</v>
      </c>
      <c r="AA21" s="117" t="str">
        <f>"[UC1]"&amp;P21&amp;REPT(" ",28-LEN(P21))&amp;" ["&amp;TEXT(A21,"HH:MM")&amp;"]"</f>
        <v>[UC1]Customer Payment Instruction [10:31]</v>
      </c>
      <c r="AB21" s="121" t="str">
        <f t="shared" si="14"/>
        <v>DEFAULT</v>
      </c>
      <c r="AC21" s="116" t="str">
        <f ca="1">UPPER(LEFT(U21&amp;SUBSTITUTE(N21,"-",""),20))</f>
        <v>BDB848E42852F7A97A69</v>
      </c>
      <c r="AD21" s="117" t="str">
        <f t="shared" si="15"/>
        <v>N</v>
      </c>
      <c r="AE21" s="121" t="str">
        <f t="shared" si="10"/>
        <v>FORECAST</v>
      </c>
      <c r="AI21" s="116" t="str">
        <f ca="1">N21</f>
        <v>848e4285-2f7a-97a6-944b-2e9d316e024c-021</v>
      </c>
      <c r="AJ21" s="117" t="s">
        <v>76</v>
      </c>
      <c r="AK21" s="116" t="str">
        <f ca="1">Q21</f>
        <v>848e4285-2f7a-97a6-944b-2e9d316e024c-021</v>
      </c>
      <c r="AL21" s="117">
        <f>R21</f>
        <v>0</v>
      </c>
      <c r="AM21" s="118">
        <f ca="1">S21</f>
        <v>43726</v>
      </c>
      <c r="AN21" s="119" t="str">
        <f ca="1">T21</f>
        <v>ext-u1-1031-2e9c6-0021</v>
      </c>
      <c r="AO21" s="117" t="str">
        <f>U21</f>
        <v>BDB</v>
      </c>
      <c r="AP21" s="117" t="s">
        <v>78</v>
      </c>
      <c r="AQ21" s="117">
        <f>G21</f>
        <v>4.1136879561904802</v>
      </c>
      <c r="AR21" s="117" t="str">
        <f>H21</f>
        <v>USD</v>
      </c>
      <c r="AS21" s="117" t="str">
        <f>W21</f>
        <v>BRL</v>
      </c>
      <c r="AT21" s="120">
        <f>D21*G21</f>
        <v>26514.364352830118</v>
      </c>
      <c r="AU21" s="120">
        <f t="shared" si="17"/>
        <v>6445.4</v>
      </c>
      <c r="AV21" s="117" t="str">
        <f>Y21</f>
        <v>CUSTINST-F</v>
      </c>
      <c r="AX21" s="117" t="str">
        <f t="shared" si="11"/>
        <v>[UC1]Customer Payment Instruction [10:31]</v>
      </c>
      <c r="AY21" s="117" t="s">
        <v>90</v>
      </c>
      <c r="AZ21" s="116" t="str">
        <f t="shared" ca="1" si="1"/>
        <v>BDB848E42852F7A97A69</v>
      </c>
    </row>
    <row r="22" spans="1:52" x14ac:dyDescent="0.25">
      <c r="A22" s="134">
        <v>0.4381944444444445</v>
      </c>
      <c r="B22" s="150" t="s">
        <v>61</v>
      </c>
      <c r="C22" s="136" t="s">
        <v>10</v>
      </c>
      <c r="D22" s="147">
        <v>6895.6</v>
      </c>
      <c r="E22" s="121" t="s">
        <v>62</v>
      </c>
      <c r="F22" s="121">
        <f t="shared" si="2"/>
        <v>-6895.6</v>
      </c>
      <c r="G22" s="121">
        <v>4.1139208647618997</v>
      </c>
      <c r="H22" s="121" t="s">
        <v>9</v>
      </c>
      <c r="I22" s="121" t="s">
        <v>80</v>
      </c>
      <c r="J22" s="150" t="str">
        <f t="shared" si="3"/>
        <v>BDB</v>
      </c>
      <c r="K22" s="150" t="s">
        <v>85</v>
      </c>
      <c r="L22" s="150" t="s">
        <v>88</v>
      </c>
      <c r="N22" s="116" t="str">
        <f t="shared" ca="1" si="4"/>
        <v>8a7a6b3e-4ccc-26de-626d-b0c45dfe73ec-022</v>
      </c>
      <c r="O22" s="116" t="str">
        <f t="shared" si="5"/>
        <v>BRL.CUSTINSTF.BDB000</v>
      </c>
      <c r="P22" s="117" t="str">
        <f t="shared" si="0"/>
        <v>Customer Payment Instruction</v>
      </c>
      <c r="Q22" s="116" t="str">
        <f t="shared" ca="1" si="6"/>
        <v>8a7a6b3e-4ccc-26de-626d-b0c45dfe73ec-022</v>
      </c>
      <c r="R22" s="117">
        <f t="shared" si="12"/>
        <v>0</v>
      </c>
      <c r="S22" s="118">
        <f t="shared" ca="1" si="7"/>
        <v>43726</v>
      </c>
      <c r="T22" s="119" t="str">
        <f t="shared" ca="1" si="8"/>
        <v>ext-u1-1031-2e9c6-0022</v>
      </c>
      <c r="U22" s="117" t="str">
        <f>J22</f>
        <v>BDB</v>
      </c>
      <c r="V22" s="117" t="str">
        <f>E22</f>
        <v>PAY</v>
      </c>
      <c r="W22" s="117" t="str">
        <f>C22</f>
        <v>BRL</v>
      </c>
      <c r="X22" s="141">
        <f t="shared" si="9"/>
        <v>-6895.6</v>
      </c>
      <c r="Y22" s="117" t="str">
        <f>L22&amp;"-"&amp;LEFT(K22,1)</f>
        <v>CUSTINST-F</v>
      </c>
      <c r="Z22" s="118" t="str">
        <f t="shared" si="13"/>
        <v>Fixed</v>
      </c>
      <c r="AA22" s="117" t="str">
        <f>"[UC1]"&amp;P22&amp;REPT(" ",28-LEN(P22))&amp;" ["&amp;TEXT(A22,"HH:MM")&amp;"]"</f>
        <v>[UC1]Customer Payment Instruction [10:31]</v>
      </c>
      <c r="AB22" s="121" t="str">
        <f t="shared" si="14"/>
        <v>DEFAULT</v>
      </c>
      <c r="AC22" s="116" t="str">
        <f ca="1">UPPER(LEFT(U22&amp;SUBSTITUTE(N22,"-",""),20))</f>
        <v>BDB8A7A6B3E4CCC26DE6</v>
      </c>
      <c r="AD22" s="117" t="str">
        <f t="shared" si="15"/>
        <v>N</v>
      </c>
      <c r="AE22" s="121" t="str">
        <f t="shared" si="10"/>
        <v>FORECAST</v>
      </c>
      <c r="AI22" s="116" t="str">
        <f ca="1">N22</f>
        <v>8a7a6b3e-4ccc-26de-626d-b0c45dfe73ec-022</v>
      </c>
      <c r="AJ22" s="117" t="s">
        <v>76</v>
      </c>
      <c r="AK22" s="116" t="str">
        <f ca="1">Q22</f>
        <v>8a7a6b3e-4ccc-26de-626d-b0c45dfe73ec-022</v>
      </c>
      <c r="AL22" s="117">
        <f>R22</f>
        <v>0</v>
      </c>
      <c r="AM22" s="118">
        <f ca="1">S22</f>
        <v>43726</v>
      </c>
      <c r="AN22" s="119" t="str">
        <f ca="1">T22</f>
        <v>ext-u1-1031-2e9c6-0022</v>
      </c>
      <c r="AO22" s="117" t="str">
        <f>U22</f>
        <v>BDB</v>
      </c>
      <c r="AP22" s="117" t="s">
        <v>78</v>
      </c>
      <c r="AQ22" s="117">
        <f>G22</f>
        <v>4.1139208647618997</v>
      </c>
      <c r="AR22" s="117" t="str">
        <f>H22</f>
        <v>USD</v>
      </c>
      <c r="AS22" s="117" t="str">
        <f>W22</f>
        <v>BRL</v>
      </c>
      <c r="AT22" s="120">
        <f>D22*G22</f>
        <v>28367.952715052157</v>
      </c>
      <c r="AU22" s="120">
        <f t="shared" si="17"/>
        <v>6895.6</v>
      </c>
      <c r="AV22" s="117" t="str">
        <f>Y22</f>
        <v>CUSTINST-F</v>
      </c>
      <c r="AX22" s="117" t="str">
        <f t="shared" si="11"/>
        <v>[UC1]Customer Payment Instruction [10:31]</v>
      </c>
      <c r="AY22" s="117" t="s">
        <v>90</v>
      </c>
      <c r="AZ22" s="116" t="str">
        <f t="shared" ca="1" si="1"/>
        <v>BDB8A7A6B3E4CCC26DE6</v>
      </c>
    </row>
    <row r="23" spans="1:52" x14ac:dyDescent="0.25">
      <c r="A23" s="134">
        <v>0.4381944444444445</v>
      </c>
      <c r="B23" s="150" t="s">
        <v>61</v>
      </c>
      <c r="C23" s="136" t="s">
        <v>10</v>
      </c>
      <c r="D23" s="147">
        <v>7345.8</v>
      </c>
      <c r="E23" s="121" t="s">
        <v>62</v>
      </c>
      <c r="F23" s="121">
        <f t="shared" si="2"/>
        <v>-7345.8</v>
      </c>
      <c r="G23" s="121">
        <v>4.1141537733333298</v>
      </c>
      <c r="H23" s="121" t="s">
        <v>9</v>
      </c>
      <c r="I23" s="121" t="s">
        <v>80</v>
      </c>
      <c r="J23" s="150" t="str">
        <f t="shared" si="3"/>
        <v>BDB</v>
      </c>
      <c r="K23" s="150" t="s">
        <v>85</v>
      </c>
      <c r="L23" s="150" t="s">
        <v>88</v>
      </c>
      <c r="N23" s="116" t="str">
        <f t="shared" ca="1" si="4"/>
        <v>61d08a98-52d7-8409-078b-966fc081925a-023</v>
      </c>
      <c r="O23" s="116" t="str">
        <f t="shared" si="5"/>
        <v>BRL.CUSTINSTF.BDB000</v>
      </c>
      <c r="P23" s="117" t="str">
        <f t="shared" si="0"/>
        <v>Customer Payment Instruction</v>
      </c>
      <c r="Q23" s="116" t="str">
        <f t="shared" ca="1" si="6"/>
        <v>61d08a98-52d7-8409-078b-966fc081925a-023</v>
      </c>
      <c r="R23" s="117">
        <f t="shared" si="12"/>
        <v>0</v>
      </c>
      <c r="S23" s="118">
        <f t="shared" ca="1" si="7"/>
        <v>43726</v>
      </c>
      <c r="T23" s="119" t="str">
        <f t="shared" ca="1" si="8"/>
        <v>ext-u1-1031-2e9c6-0023</v>
      </c>
      <c r="U23" s="117" t="str">
        <f>J23</f>
        <v>BDB</v>
      </c>
      <c r="V23" s="117" t="str">
        <f>E23</f>
        <v>PAY</v>
      </c>
      <c r="W23" s="117" t="str">
        <f>C23</f>
        <v>BRL</v>
      </c>
      <c r="X23" s="141">
        <f t="shared" si="9"/>
        <v>-7345.8</v>
      </c>
      <c r="Y23" s="117" t="str">
        <f>L23&amp;"-"&amp;LEFT(K23,1)</f>
        <v>CUSTINST-F</v>
      </c>
      <c r="Z23" s="118" t="str">
        <f t="shared" si="13"/>
        <v>Fixed</v>
      </c>
      <c r="AA23" s="117" t="str">
        <f>"[UC1]"&amp;P23&amp;REPT(" ",28-LEN(P23))&amp;" ["&amp;TEXT(A23,"HH:MM")&amp;"]"</f>
        <v>[UC1]Customer Payment Instruction [10:31]</v>
      </c>
      <c r="AB23" s="121" t="str">
        <f t="shared" si="14"/>
        <v>DEFAULT</v>
      </c>
      <c r="AC23" s="116" t="str">
        <f ca="1">UPPER(LEFT(U23&amp;SUBSTITUTE(N23,"-",""),20))</f>
        <v>BDB61D08A9852D784090</v>
      </c>
      <c r="AD23" s="117" t="str">
        <f t="shared" si="15"/>
        <v>N</v>
      </c>
      <c r="AE23" s="121" t="str">
        <f t="shared" si="10"/>
        <v>FORECAST</v>
      </c>
      <c r="AI23" s="116" t="str">
        <f ca="1">N23</f>
        <v>61d08a98-52d7-8409-078b-966fc081925a-023</v>
      </c>
      <c r="AJ23" s="117" t="s">
        <v>76</v>
      </c>
      <c r="AK23" s="116" t="str">
        <f ca="1">Q23</f>
        <v>61d08a98-52d7-8409-078b-966fc081925a-023</v>
      </c>
      <c r="AL23" s="117">
        <f>R23</f>
        <v>0</v>
      </c>
      <c r="AM23" s="118">
        <f ca="1">S23</f>
        <v>43726</v>
      </c>
      <c r="AN23" s="119" t="str">
        <f ca="1">T23</f>
        <v>ext-u1-1031-2e9c6-0023</v>
      </c>
      <c r="AO23" s="117" t="str">
        <f>U23</f>
        <v>BDB</v>
      </c>
      <c r="AP23" s="117" t="s">
        <v>78</v>
      </c>
      <c r="AQ23" s="117">
        <f>G23</f>
        <v>4.1141537733333298</v>
      </c>
      <c r="AR23" s="117" t="str">
        <f>H23</f>
        <v>USD</v>
      </c>
      <c r="AS23" s="117" t="str">
        <f>W23</f>
        <v>BRL</v>
      </c>
      <c r="AT23" s="120">
        <f>D23*G23</f>
        <v>30221.750788151974</v>
      </c>
      <c r="AU23" s="120">
        <f t="shared" si="17"/>
        <v>7345.8</v>
      </c>
      <c r="AV23" s="117" t="str">
        <f>Y23</f>
        <v>CUSTINST-F</v>
      </c>
      <c r="AX23" s="117" t="str">
        <f t="shared" si="11"/>
        <v>[UC1]Customer Payment Instruction [10:31]</v>
      </c>
      <c r="AY23" s="117" t="s">
        <v>90</v>
      </c>
      <c r="AZ23" s="116" t="str">
        <f t="shared" ca="1" si="1"/>
        <v>BDB61D08A9852D784090</v>
      </c>
    </row>
    <row r="24" spans="1:52" s="169" customFormat="1" hidden="1" x14ac:dyDescent="0.25">
      <c r="A24" s="164">
        <v>0.4381944444444445</v>
      </c>
      <c r="B24" s="165" t="s">
        <v>76</v>
      </c>
      <c r="C24" s="166" t="s">
        <v>9</v>
      </c>
      <c r="D24" s="167">
        <v>50000</v>
      </c>
      <c r="E24" s="168" t="s">
        <v>74</v>
      </c>
      <c r="F24" s="121">
        <f t="shared" si="2"/>
        <v>-50000</v>
      </c>
      <c r="G24" s="168">
        <v>4.12</v>
      </c>
      <c r="H24" s="174" t="s">
        <v>10</v>
      </c>
      <c r="I24" s="121" t="s">
        <v>80</v>
      </c>
      <c r="J24" s="165" t="s">
        <v>80</v>
      </c>
      <c r="K24" s="165" t="s">
        <v>85</v>
      </c>
      <c r="L24" s="165" t="s">
        <v>89</v>
      </c>
      <c r="N24" s="170" t="str">
        <f t="shared" ca="1" si="4"/>
        <v>e8b79423-2567-8ed5-1348-7e29ef088000-024</v>
      </c>
      <c r="O24" s="170"/>
      <c r="P24" s="169" t="str">
        <f t="shared" si="0"/>
        <v>FX Trade</v>
      </c>
      <c r="Q24" s="116" t="str">
        <f t="shared" ca="1" si="6"/>
        <v>e8b79423-2567-8ed5-1348-7e29ef088000-024</v>
      </c>
      <c r="R24" s="117">
        <f t="shared" si="12"/>
        <v>0</v>
      </c>
      <c r="S24" s="171">
        <f t="shared" ca="1" si="7"/>
        <v>43726</v>
      </c>
      <c r="T24" s="172" t="str">
        <f t="shared" ca="1" si="8"/>
        <v>ext-u1-1031-2e9c6-0024</v>
      </c>
      <c r="U24" s="169" t="str">
        <f>J24</f>
        <v>BDB</v>
      </c>
      <c r="V24" s="169" t="str">
        <f>E24</f>
        <v>BUY</v>
      </c>
      <c r="W24" s="169" t="str">
        <f>C24</f>
        <v>USD</v>
      </c>
      <c r="X24" s="141">
        <f t="shared" si="9"/>
        <v>-50000</v>
      </c>
      <c r="Y24" s="169" t="str">
        <f>L24&amp;"-"&amp;LEFT(K24,1)</f>
        <v>FX-F</v>
      </c>
      <c r="Z24" s="171" t="str">
        <f t="shared" si="13"/>
        <v>Fixed</v>
      </c>
      <c r="AA24" s="169" t="str">
        <f>"[UC1]"&amp;P24&amp;REPT(" ",28-LEN(P24))&amp;" ["&amp;TEXT(A24,"HH:MM")&amp;"]"</f>
        <v>[UC1]FX Trade                     [10:31]</v>
      </c>
      <c r="AB24" s="168" t="str">
        <f t="shared" si="14"/>
        <v>DEFAULT</v>
      </c>
      <c r="AC24" s="170" t="str">
        <f ca="1">UPPER(LEFT(U24&amp;SUBSTITUTE(N24,"-",""),20))</f>
        <v>BDBE8B7942325678ED51</v>
      </c>
      <c r="AD24" s="117" t="str">
        <f t="shared" si="15"/>
        <v>N</v>
      </c>
      <c r="AE24" s="121" t="str">
        <f t="shared" si="10"/>
        <v>FORECAST</v>
      </c>
      <c r="AI24" s="170" t="str">
        <f ca="1">N24</f>
        <v>e8b79423-2567-8ed5-1348-7e29ef088000-024</v>
      </c>
      <c r="AJ24" s="169" t="s">
        <v>76</v>
      </c>
      <c r="AK24" s="170" t="str">
        <f ca="1">Q25</f>
        <v>b49ced30-8b04-0dc4-5651-9fc580dd50eb-025</v>
      </c>
      <c r="AL24" s="169">
        <f>R24</f>
        <v>0</v>
      </c>
      <c r="AM24" s="171">
        <f ca="1">S24</f>
        <v>43726</v>
      </c>
      <c r="AN24" s="172" t="str">
        <f ca="1">T24</f>
        <v>ext-u1-1031-2e9c6-0024</v>
      </c>
      <c r="AO24" s="169" t="str">
        <f>U24</f>
        <v>BDB</v>
      </c>
      <c r="AP24" s="169" t="s">
        <v>78</v>
      </c>
      <c r="AQ24" s="169">
        <f>G24</f>
        <v>4.12</v>
      </c>
      <c r="AR24" s="169" t="s">
        <v>9</v>
      </c>
      <c r="AS24" s="169" t="s">
        <v>10</v>
      </c>
      <c r="AT24" s="173">
        <f>D24</f>
        <v>50000</v>
      </c>
      <c r="AV24" s="169" t="str">
        <f>Y24</f>
        <v>FX-F</v>
      </c>
      <c r="AX24" s="169" t="str">
        <f>AA24</f>
        <v>[UC1]FX Trade                     [10:31]</v>
      </c>
      <c r="AY24" s="169" t="s">
        <v>90</v>
      </c>
      <c r="AZ24" s="170" t="str">
        <f ca="1">AC24</f>
        <v>BDBE8B7942325678ED51</v>
      </c>
    </row>
    <row r="25" spans="1:52" s="169" customFormat="1" x14ac:dyDescent="0.25">
      <c r="A25" s="164">
        <v>0.45902777777777781</v>
      </c>
      <c r="B25" s="165" t="s">
        <v>61</v>
      </c>
      <c r="C25" s="166" t="s">
        <v>10</v>
      </c>
      <c r="D25" s="167">
        <v>7796</v>
      </c>
      <c r="E25" s="168" t="s">
        <v>62</v>
      </c>
      <c r="F25" s="121">
        <f t="shared" si="2"/>
        <v>-7796</v>
      </c>
      <c r="G25" s="168">
        <v>4.1143866819047599</v>
      </c>
      <c r="H25" s="174" t="s">
        <v>9</v>
      </c>
      <c r="I25" s="121" t="s">
        <v>80</v>
      </c>
      <c r="J25" s="150" t="str">
        <f t="shared" ref="J25:J50" si="18">I25</f>
        <v>BDB</v>
      </c>
      <c r="K25" s="165" t="s">
        <v>85</v>
      </c>
      <c r="L25" s="150" t="s">
        <v>88</v>
      </c>
      <c r="N25" s="170" t="str">
        <f t="shared" ca="1" si="4"/>
        <v>b49ced30-8b04-0dc4-5651-9fc580dd50eb-025</v>
      </c>
      <c r="O25" s="116" t="str">
        <f t="shared" ref="O25:O50" si="19">LEFT(LEFT(W25,3)&amp;"."&amp;SUBSTITUTE(Y25,"-","")&amp;"."&amp;U25&amp;"0000000000000",20)</f>
        <v>BRL.CUSTINSTF.BDB000</v>
      </c>
      <c r="P25" s="117" t="str">
        <f t="shared" si="0"/>
        <v>Customer Payment Instruction</v>
      </c>
      <c r="Q25" s="116" t="str">
        <f t="shared" ca="1" si="6"/>
        <v>b49ced30-8b04-0dc4-5651-9fc580dd50eb-025</v>
      </c>
      <c r="R25" s="117">
        <f t="shared" si="12"/>
        <v>0</v>
      </c>
      <c r="S25" s="171">
        <f t="shared" ca="1" si="7"/>
        <v>43726</v>
      </c>
      <c r="T25" s="172" t="str">
        <f t="shared" ref="T25" ca="1" si="20">"ext-u1-"&amp;TEXT(A25,"HHMM-")&amp;LOWER(DEC2HEX(TEXT(TODAY(),"YmMD")))&amp;"-"&amp;TEXT(ROW(),"0000")</f>
        <v>ext-u1-1101-2e9c6-0025</v>
      </c>
      <c r="U25" s="169" t="str">
        <f>J25</f>
        <v>BDB</v>
      </c>
      <c r="V25" s="169" t="str">
        <f>E25</f>
        <v>PAY</v>
      </c>
      <c r="W25" s="169" t="str">
        <f>C25</f>
        <v>BRL</v>
      </c>
      <c r="X25" s="141">
        <f t="shared" si="9"/>
        <v>-7796</v>
      </c>
      <c r="Y25" s="169" t="str">
        <f>L25&amp;"-"&amp;LEFT(K25,1)</f>
        <v>CUSTINST-F</v>
      </c>
      <c r="Z25" s="171" t="str">
        <f t="shared" si="13"/>
        <v>Fixed</v>
      </c>
      <c r="AA25" s="169" t="str">
        <f>"[UC1]"&amp;P25&amp;REPT(" ",28-LEN(P25))&amp;" ["&amp;TEXT(A25,"HH:MM")&amp;"]"</f>
        <v>[UC1]Customer Payment Instruction [11:01]</v>
      </c>
      <c r="AB25" s="168" t="str">
        <f t="shared" si="14"/>
        <v>DEFAULT</v>
      </c>
      <c r="AC25" s="170" t="str">
        <f ca="1">UPPER(LEFT(U25&amp;SUBSTITUTE(N25,"-",""),20))</f>
        <v>BDBB49CED308B040DC45</v>
      </c>
      <c r="AD25" s="117" t="str">
        <f t="shared" si="15"/>
        <v>N</v>
      </c>
      <c r="AE25" s="121" t="str">
        <f t="shared" si="10"/>
        <v>FORECAST</v>
      </c>
      <c r="AI25" s="170"/>
      <c r="AK25" s="170"/>
      <c r="AM25" s="171"/>
      <c r="AN25" s="172"/>
      <c r="AT25" s="173"/>
      <c r="AU25" s="120"/>
      <c r="AZ25" s="170"/>
    </row>
    <row r="26" spans="1:52" x14ac:dyDescent="0.25">
      <c r="A26" s="137">
        <v>0.54166666666666663</v>
      </c>
      <c r="B26" s="150" t="s">
        <v>61</v>
      </c>
      <c r="C26" s="138" t="s">
        <v>10</v>
      </c>
      <c r="D26" s="148">
        <v>8246.2000000000007</v>
      </c>
      <c r="E26" s="121" t="s">
        <v>62</v>
      </c>
      <c r="F26" s="121">
        <f t="shared" si="2"/>
        <v>-8246.2000000000007</v>
      </c>
      <c r="G26" s="121">
        <v>4.11461959047619</v>
      </c>
      <c r="H26" s="174" t="s">
        <v>9</v>
      </c>
      <c r="I26" s="121" t="s">
        <v>80</v>
      </c>
      <c r="J26" s="150" t="str">
        <f t="shared" si="18"/>
        <v>BDB</v>
      </c>
      <c r="K26" s="150" t="s">
        <v>85</v>
      </c>
      <c r="L26" s="150" t="s">
        <v>88</v>
      </c>
      <c r="N26" s="116" t="str">
        <f t="shared" ca="1" si="4"/>
        <v>a47d784b-3a3e-61a3-07de-ceaebde39299-026</v>
      </c>
      <c r="O26" s="116" t="str">
        <f t="shared" si="19"/>
        <v>BRL.CUSTINSTF.BDB000</v>
      </c>
      <c r="P26" s="117" t="str">
        <f t="shared" si="0"/>
        <v>Customer Payment Instruction</v>
      </c>
      <c r="Q26" s="116" t="str">
        <f t="shared" ca="1" si="6"/>
        <v>a47d784b-3a3e-61a3-07de-ceaebde39299-026</v>
      </c>
      <c r="R26" s="117">
        <f t="shared" si="12"/>
        <v>0</v>
      </c>
      <c r="S26" s="118">
        <f t="shared" ca="1" si="7"/>
        <v>43726</v>
      </c>
      <c r="T26" s="119" t="str">
        <f t="shared" ca="1" si="8"/>
        <v>ext-u1-1300-2e9c6-0026</v>
      </c>
      <c r="U26" s="117" t="str">
        <f>J26</f>
        <v>BDB</v>
      </c>
      <c r="V26" s="117" t="str">
        <f>E26</f>
        <v>PAY</v>
      </c>
      <c r="W26" s="117" t="str">
        <f>C26</f>
        <v>BRL</v>
      </c>
      <c r="X26" s="141">
        <f t="shared" si="9"/>
        <v>-8246.2000000000007</v>
      </c>
      <c r="Y26" s="117" t="str">
        <f>L26&amp;"-"&amp;LEFT(K26,1)</f>
        <v>CUSTINST-F</v>
      </c>
      <c r="Z26" s="118" t="str">
        <f>Z24</f>
        <v>Fixed</v>
      </c>
      <c r="AA26" s="117" t="str">
        <f>"[UC1]"&amp;P26&amp;REPT(" ",28-LEN(P26))&amp;" ["&amp;TEXT(A26,"HH:MM")&amp;"]"</f>
        <v>[UC1]Customer Payment Instruction [13:00]</v>
      </c>
      <c r="AB26" s="121" t="str">
        <f>AB24</f>
        <v>DEFAULT</v>
      </c>
      <c r="AC26" s="116" t="str">
        <f ca="1">UPPER(LEFT(U26&amp;SUBSTITUTE(N26,"-",""),20))</f>
        <v>BDBA47D784B3A3E61A30</v>
      </c>
      <c r="AD26" s="117" t="str">
        <f t="shared" si="15"/>
        <v>N</v>
      </c>
      <c r="AE26" s="121" t="str">
        <f t="shared" si="10"/>
        <v>FORECAST</v>
      </c>
      <c r="AI26" s="116" t="str">
        <f ca="1">N26</f>
        <v>a47d784b-3a3e-61a3-07de-ceaebde39299-026</v>
      </c>
      <c r="AJ26" s="117" t="s">
        <v>76</v>
      </c>
      <c r="AK26" s="116" t="str">
        <f ca="1">Q26</f>
        <v>a47d784b-3a3e-61a3-07de-ceaebde39299-026</v>
      </c>
      <c r="AL26" s="117">
        <f>R26</f>
        <v>0</v>
      </c>
      <c r="AM26" s="118">
        <f ca="1">S26</f>
        <v>43726</v>
      </c>
      <c r="AN26" s="119" t="str">
        <f ca="1">T26</f>
        <v>ext-u1-1300-2e9c6-0026</v>
      </c>
      <c r="AO26" s="117" t="str">
        <f>U26</f>
        <v>BDB</v>
      </c>
      <c r="AP26" s="117" t="s">
        <v>78</v>
      </c>
      <c r="AQ26" s="117">
        <f>G26</f>
        <v>4.11461959047619</v>
      </c>
      <c r="AR26" s="117" t="str">
        <f>H26</f>
        <v>USD</v>
      </c>
      <c r="AS26" s="117" t="str">
        <f>W26</f>
        <v>BRL</v>
      </c>
      <c r="AT26" s="120">
        <f>D26*G26</f>
        <v>33929.97606698476</v>
      </c>
      <c r="AU26" s="120">
        <f t="shared" si="17"/>
        <v>8246.2000000000007</v>
      </c>
      <c r="AV26" s="117" t="str">
        <f>Y26</f>
        <v>CUSTINST-F</v>
      </c>
      <c r="AX26" s="117" t="str">
        <f t="shared" ref="AX26:AX51" si="21">AA26</f>
        <v>[UC1]Customer Payment Instruction [13:00]</v>
      </c>
      <c r="AY26" s="117" t="s">
        <v>90</v>
      </c>
      <c r="AZ26" s="116" t="str">
        <f t="shared" ref="AZ26:AZ51" ca="1" si="22">AC26</f>
        <v>BDBA47D784B3A3E61A30</v>
      </c>
    </row>
    <row r="27" spans="1:52" x14ac:dyDescent="0.25">
      <c r="A27" s="137">
        <v>0.54166666666666663</v>
      </c>
      <c r="B27" s="150" t="s">
        <v>61</v>
      </c>
      <c r="C27" s="138" t="s">
        <v>10</v>
      </c>
      <c r="D27" s="148">
        <v>8696.4</v>
      </c>
      <c r="E27" s="121" t="s">
        <v>62</v>
      </c>
      <c r="F27" s="121">
        <f t="shared" si="2"/>
        <v>-8696.4</v>
      </c>
      <c r="G27" s="121">
        <v>4.1148524990476201</v>
      </c>
      <c r="H27" s="174" t="s">
        <v>9</v>
      </c>
      <c r="I27" s="121" t="s">
        <v>80</v>
      </c>
      <c r="J27" s="150" t="str">
        <f t="shared" si="18"/>
        <v>BDB</v>
      </c>
      <c r="K27" s="150" t="s">
        <v>85</v>
      </c>
      <c r="L27" s="150" t="s">
        <v>88</v>
      </c>
      <c r="N27" s="116" t="str">
        <f t="shared" ca="1" si="4"/>
        <v>036184c3-5226-8250-69e1-dc1a5da41bfc-027</v>
      </c>
      <c r="O27" s="116" t="str">
        <f t="shared" si="19"/>
        <v>BRL.CUSTINSTF.BDB000</v>
      </c>
      <c r="P27" s="117" t="str">
        <f t="shared" si="0"/>
        <v>Customer Payment Instruction</v>
      </c>
      <c r="Q27" s="116" t="str">
        <f t="shared" ca="1" si="6"/>
        <v>036184c3-5226-8250-69e1-dc1a5da41bfc-027</v>
      </c>
      <c r="R27" s="117">
        <f t="shared" si="12"/>
        <v>0</v>
      </c>
      <c r="S27" s="118">
        <f t="shared" ca="1" si="7"/>
        <v>43726</v>
      </c>
      <c r="T27" s="119" t="str">
        <f t="shared" ca="1" si="8"/>
        <v>ext-u1-1300-2e9c6-0027</v>
      </c>
      <c r="U27" s="117" t="str">
        <f>J27</f>
        <v>BDB</v>
      </c>
      <c r="V27" s="117" t="str">
        <f>E27</f>
        <v>PAY</v>
      </c>
      <c r="W27" s="117" t="str">
        <f>C27</f>
        <v>BRL</v>
      </c>
      <c r="X27" s="141">
        <f t="shared" si="9"/>
        <v>-8696.4</v>
      </c>
      <c r="Y27" s="117" t="str">
        <f>L27&amp;"-"&amp;LEFT(K27,1)</f>
        <v>CUSTINST-F</v>
      </c>
      <c r="Z27" s="118" t="str">
        <f t="shared" si="13"/>
        <v>Fixed</v>
      </c>
      <c r="AA27" s="117" t="str">
        <f>"[UC1]"&amp;P27&amp;REPT(" ",28-LEN(P27))&amp;" ["&amp;TEXT(A27,"HH:MM")&amp;"]"</f>
        <v>[UC1]Customer Payment Instruction [13:00]</v>
      </c>
      <c r="AB27" s="121" t="str">
        <f t="shared" si="14"/>
        <v>DEFAULT</v>
      </c>
      <c r="AC27" s="116" t="str">
        <f ca="1">UPPER(LEFT(U27&amp;SUBSTITUTE(N27,"-",""),20))</f>
        <v>BDB036184C3522682506</v>
      </c>
      <c r="AD27" s="117" t="str">
        <f t="shared" si="15"/>
        <v>N</v>
      </c>
      <c r="AE27" s="121" t="str">
        <f t="shared" si="10"/>
        <v>FORECAST</v>
      </c>
      <c r="AI27" s="116" t="str">
        <f ca="1">N27</f>
        <v>036184c3-5226-8250-69e1-dc1a5da41bfc-027</v>
      </c>
      <c r="AJ27" s="117" t="s">
        <v>76</v>
      </c>
      <c r="AK27" s="116" t="str">
        <f ca="1">Q27</f>
        <v>036184c3-5226-8250-69e1-dc1a5da41bfc-027</v>
      </c>
      <c r="AL27" s="117">
        <f>R27</f>
        <v>0</v>
      </c>
      <c r="AM27" s="118">
        <f ca="1">S27</f>
        <v>43726</v>
      </c>
      <c r="AN27" s="119" t="str">
        <f ca="1">T27</f>
        <v>ext-u1-1300-2e9c6-0027</v>
      </c>
      <c r="AO27" s="117" t="str">
        <f>U27</f>
        <v>BDB</v>
      </c>
      <c r="AP27" s="117" t="s">
        <v>78</v>
      </c>
      <c r="AQ27" s="117">
        <f>G27</f>
        <v>4.1148524990476201</v>
      </c>
      <c r="AR27" s="117" t="str">
        <f>H27</f>
        <v>USD</v>
      </c>
      <c r="AS27" s="117" t="str">
        <f>W27</f>
        <v>BRL</v>
      </c>
      <c r="AT27" s="120">
        <f>D27*G27</f>
        <v>35784.403272717718</v>
      </c>
      <c r="AU27" s="120">
        <f t="shared" si="17"/>
        <v>8696.4</v>
      </c>
      <c r="AV27" s="117" t="str">
        <f>Y27</f>
        <v>CUSTINST-F</v>
      </c>
      <c r="AX27" s="117" t="str">
        <f t="shared" si="21"/>
        <v>[UC1]Customer Payment Instruction [13:00]</v>
      </c>
      <c r="AY27" s="117" t="s">
        <v>90</v>
      </c>
      <c r="AZ27" s="116" t="str">
        <f t="shared" ca="1" si="22"/>
        <v>BDB036184C3522682506</v>
      </c>
    </row>
    <row r="28" spans="1:52" x14ac:dyDescent="0.25">
      <c r="A28" s="137">
        <v>0.54166666666666663</v>
      </c>
      <c r="B28" s="150" t="s">
        <v>61</v>
      </c>
      <c r="C28" s="138" t="s">
        <v>10</v>
      </c>
      <c r="D28" s="148">
        <v>946.6</v>
      </c>
      <c r="E28" s="121" t="s">
        <v>62</v>
      </c>
      <c r="F28" s="121">
        <f t="shared" si="2"/>
        <v>-946.6</v>
      </c>
      <c r="G28" s="121">
        <v>4.1150854076190502</v>
      </c>
      <c r="H28" s="174" t="s">
        <v>9</v>
      </c>
      <c r="I28" s="121" t="s">
        <v>80</v>
      </c>
      <c r="J28" s="150" t="str">
        <f t="shared" si="18"/>
        <v>BDB</v>
      </c>
      <c r="K28" s="150" t="s">
        <v>85</v>
      </c>
      <c r="L28" s="150" t="s">
        <v>88</v>
      </c>
      <c r="N28" s="116" t="str">
        <f t="shared" ca="1" si="4"/>
        <v>9474c400-2545-489b-7709-5bd5a69743b4-028</v>
      </c>
      <c r="O28" s="116" t="str">
        <f t="shared" si="19"/>
        <v>BRL.CUSTINSTF.BDB000</v>
      </c>
      <c r="P28" s="117" t="str">
        <f t="shared" si="0"/>
        <v>Customer Payment Instruction</v>
      </c>
      <c r="Q28" s="116" t="str">
        <f t="shared" ca="1" si="6"/>
        <v>9474c400-2545-489b-7709-5bd5a69743b4-028</v>
      </c>
      <c r="R28" s="117">
        <f t="shared" si="12"/>
        <v>0</v>
      </c>
      <c r="S28" s="118">
        <f t="shared" ca="1" si="7"/>
        <v>43726</v>
      </c>
      <c r="T28" s="119" t="str">
        <f t="shared" ca="1" si="8"/>
        <v>ext-u1-1300-2e9c6-0028</v>
      </c>
      <c r="U28" s="117" t="str">
        <f>J28</f>
        <v>BDB</v>
      </c>
      <c r="V28" s="117" t="str">
        <f>E28</f>
        <v>PAY</v>
      </c>
      <c r="W28" s="117" t="str">
        <f>C28</f>
        <v>BRL</v>
      </c>
      <c r="X28" s="141">
        <f t="shared" si="9"/>
        <v>-946.6</v>
      </c>
      <c r="Y28" s="117" t="str">
        <f>L28&amp;"-"&amp;LEFT(K28,1)</f>
        <v>CUSTINST-F</v>
      </c>
      <c r="Z28" s="118" t="str">
        <f t="shared" si="13"/>
        <v>Fixed</v>
      </c>
      <c r="AA28" s="117" t="str">
        <f>"[UC1]"&amp;P28&amp;REPT(" ",28-LEN(P28))&amp;" ["&amp;TEXT(A28,"HH:MM")&amp;"]"</f>
        <v>[UC1]Customer Payment Instruction [13:00]</v>
      </c>
      <c r="AB28" s="121" t="str">
        <f t="shared" si="14"/>
        <v>DEFAULT</v>
      </c>
      <c r="AC28" s="116" t="str">
        <f ca="1">UPPER(LEFT(U28&amp;SUBSTITUTE(N28,"-",""),20))</f>
        <v>BDB9474C4002545489B7</v>
      </c>
      <c r="AD28" s="117" t="str">
        <f t="shared" si="15"/>
        <v>N</v>
      </c>
      <c r="AE28" s="121" t="str">
        <f t="shared" si="10"/>
        <v>FORECAST</v>
      </c>
      <c r="AI28" s="116" t="str">
        <f ca="1">N28</f>
        <v>9474c400-2545-489b-7709-5bd5a69743b4-028</v>
      </c>
      <c r="AJ28" s="117" t="s">
        <v>76</v>
      </c>
      <c r="AK28" s="116" t="str">
        <f ca="1">Q28</f>
        <v>9474c400-2545-489b-7709-5bd5a69743b4-028</v>
      </c>
      <c r="AL28" s="117">
        <f>R28</f>
        <v>0</v>
      </c>
      <c r="AM28" s="118">
        <f ca="1">S28</f>
        <v>43726</v>
      </c>
      <c r="AN28" s="119" t="str">
        <f ca="1">T28</f>
        <v>ext-u1-1300-2e9c6-0028</v>
      </c>
      <c r="AO28" s="117" t="str">
        <f>U28</f>
        <v>BDB</v>
      </c>
      <c r="AP28" s="117" t="s">
        <v>78</v>
      </c>
      <c r="AQ28" s="117">
        <f>G28</f>
        <v>4.1150854076190502</v>
      </c>
      <c r="AR28" s="117" t="str">
        <f>H28</f>
        <v>USD</v>
      </c>
      <c r="AS28" s="117" t="str">
        <f>W28</f>
        <v>BRL</v>
      </c>
      <c r="AT28" s="120">
        <f>D28*G28</f>
        <v>3895.3398468521932</v>
      </c>
      <c r="AU28" s="120">
        <f t="shared" si="17"/>
        <v>946.6</v>
      </c>
      <c r="AV28" s="117" t="str">
        <f>Y28</f>
        <v>CUSTINST-F</v>
      </c>
      <c r="AX28" s="117" t="str">
        <f t="shared" si="21"/>
        <v>[UC1]Customer Payment Instruction [13:00]</v>
      </c>
      <c r="AY28" s="117" t="s">
        <v>90</v>
      </c>
      <c r="AZ28" s="116" t="str">
        <f t="shared" ca="1" si="22"/>
        <v>BDB9474C4002545489B7</v>
      </c>
    </row>
    <row r="29" spans="1:52" x14ac:dyDescent="0.25">
      <c r="A29" s="137">
        <v>0.54166666666666663</v>
      </c>
      <c r="B29" s="150" t="s">
        <v>61</v>
      </c>
      <c r="C29" s="138" t="s">
        <v>10</v>
      </c>
      <c r="D29" s="148">
        <v>596.79999999999995</v>
      </c>
      <c r="E29" s="121" t="s">
        <v>62</v>
      </c>
      <c r="F29" s="121">
        <f t="shared" si="2"/>
        <v>-596.79999999999995</v>
      </c>
      <c r="G29" s="121">
        <v>4.1153183161904803</v>
      </c>
      <c r="H29" s="174" t="s">
        <v>9</v>
      </c>
      <c r="I29" s="121" t="s">
        <v>80</v>
      </c>
      <c r="J29" s="150" t="str">
        <f t="shared" si="18"/>
        <v>BDB</v>
      </c>
      <c r="K29" s="150" t="s">
        <v>85</v>
      </c>
      <c r="L29" s="150" t="s">
        <v>88</v>
      </c>
      <c r="N29" s="116" t="str">
        <f t="shared" ca="1" si="4"/>
        <v>c9ea4d5f-3dc1-8503-8911-7af7949f0248-029</v>
      </c>
      <c r="O29" s="116" t="str">
        <f t="shared" si="19"/>
        <v>BRL.CUSTINSTF.BDB000</v>
      </c>
      <c r="P29" s="117" t="str">
        <f t="shared" si="0"/>
        <v>Customer Payment Instruction</v>
      </c>
      <c r="Q29" s="116" t="str">
        <f t="shared" ca="1" si="6"/>
        <v>c9ea4d5f-3dc1-8503-8911-7af7949f0248-029</v>
      </c>
      <c r="R29" s="117">
        <f t="shared" si="12"/>
        <v>0</v>
      </c>
      <c r="S29" s="118">
        <f t="shared" ca="1" si="7"/>
        <v>43726</v>
      </c>
      <c r="T29" s="119" t="str">
        <f t="shared" ca="1" si="8"/>
        <v>ext-u1-1300-2e9c6-0029</v>
      </c>
      <c r="U29" s="117" t="str">
        <f>J29</f>
        <v>BDB</v>
      </c>
      <c r="V29" s="117" t="str">
        <f>E29</f>
        <v>PAY</v>
      </c>
      <c r="W29" s="117" t="str">
        <f>C29</f>
        <v>BRL</v>
      </c>
      <c r="X29" s="141">
        <f t="shared" si="9"/>
        <v>-596.79999999999995</v>
      </c>
      <c r="Y29" s="117" t="str">
        <f>L29&amp;"-"&amp;LEFT(K29,1)</f>
        <v>CUSTINST-F</v>
      </c>
      <c r="Z29" s="118" t="str">
        <f t="shared" si="13"/>
        <v>Fixed</v>
      </c>
      <c r="AA29" s="117" t="str">
        <f>"[UC1]"&amp;P29&amp;REPT(" ",28-LEN(P29))&amp;" ["&amp;TEXT(A29,"HH:MM")&amp;"]"</f>
        <v>[UC1]Customer Payment Instruction [13:00]</v>
      </c>
      <c r="AB29" s="121" t="str">
        <f t="shared" si="14"/>
        <v>DEFAULT</v>
      </c>
      <c r="AC29" s="116" t="str">
        <f ca="1">UPPER(LEFT(U29&amp;SUBSTITUTE(N29,"-",""),20))</f>
        <v>BDBC9EA4D5F3DC185038</v>
      </c>
      <c r="AD29" s="117" t="str">
        <f t="shared" si="15"/>
        <v>N</v>
      </c>
      <c r="AE29" s="121" t="str">
        <f t="shared" si="10"/>
        <v>FORECAST</v>
      </c>
      <c r="AI29" s="116" t="str">
        <f ca="1">N29</f>
        <v>c9ea4d5f-3dc1-8503-8911-7af7949f0248-029</v>
      </c>
      <c r="AJ29" s="117" t="s">
        <v>76</v>
      </c>
      <c r="AK29" s="116" t="str">
        <f ca="1">Q29</f>
        <v>c9ea4d5f-3dc1-8503-8911-7af7949f0248-029</v>
      </c>
      <c r="AL29" s="117">
        <f>R29</f>
        <v>0</v>
      </c>
      <c r="AM29" s="118">
        <f ca="1">S29</f>
        <v>43726</v>
      </c>
      <c r="AN29" s="119" t="str">
        <f ca="1">T29</f>
        <v>ext-u1-1300-2e9c6-0029</v>
      </c>
      <c r="AO29" s="117" t="str">
        <f>U29</f>
        <v>BDB</v>
      </c>
      <c r="AP29" s="117" t="s">
        <v>78</v>
      </c>
      <c r="AQ29" s="117">
        <f>G29</f>
        <v>4.1153183161904803</v>
      </c>
      <c r="AR29" s="117" t="str">
        <f>H29</f>
        <v>USD</v>
      </c>
      <c r="AS29" s="117" t="str">
        <f>W29</f>
        <v>BRL</v>
      </c>
      <c r="AT29" s="120">
        <f>D29*G29</f>
        <v>2456.0219711024783</v>
      </c>
      <c r="AU29" s="120">
        <f t="shared" si="17"/>
        <v>596.79999999999995</v>
      </c>
      <c r="AV29" s="117" t="str">
        <f>Y29</f>
        <v>CUSTINST-F</v>
      </c>
      <c r="AX29" s="117" t="str">
        <f t="shared" si="21"/>
        <v>[UC1]Customer Payment Instruction [13:00]</v>
      </c>
      <c r="AY29" s="117" t="s">
        <v>90</v>
      </c>
      <c r="AZ29" s="116" t="str">
        <f t="shared" ca="1" si="22"/>
        <v>BDBC9EA4D5F3DC185038</v>
      </c>
    </row>
    <row r="30" spans="1:52" x14ac:dyDescent="0.25">
      <c r="A30" s="137">
        <v>0.54166666666666663</v>
      </c>
      <c r="B30" s="150" t="s">
        <v>61</v>
      </c>
      <c r="C30" s="138" t="s">
        <v>10</v>
      </c>
      <c r="D30" s="148">
        <v>147</v>
      </c>
      <c r="E30" s="121" t="s">
        <v>62</v>
      </c>
      <c r="F30" s="121">
        <f t="shared" si="2"/>
        <v>-147</v>
      </c>
      <c r="G30" s="121">
        <v>4.1155512247619104</v>
      </c>
      <c r="H30" s="174" t="s">
        <v>9</v>
      </c>
      <c r="I30" s="121" t="s">
        <v>80</v>
      </c>
      <c r="J30" s="150" t="str">
        <f t="shared" si="18"/>
        <v>BDB</v>
      </c>
      <c r="K30" s="150" t="s">
        <v>85</v>
      </c>
      <c r="L30" s="150" t="s">
        <v>88</v>
      </c>
      <c r="N30" s="116" t="str">
        <f t="shared" ca="1" si="4"/>
        <v>9174093c-7855-3383-1dd8-cdd485665924-030</v>
      </c>
      <c r="O30" s="116" t="str">
        <f t="shared" si="19"/>
        <v>BRL.CUSTINSTF.BDB000</v>
      </c>
      <c r="P30" s="117" t="str">
        <f t="shared" si="0"/>
        <v>Customer Payment Instruction</v>
      </c>
      <c r="Q30" s="116" t="str">
        <f t="shared" ca="1" si="6"/>
        <v>9174093c-7855-3383-1dd8-cdd485665924-030</v>
      </c>
      <c r="R30" s="117">
        <f t="shared" si="12"/>
        <v>0</v>
      </c>
      <c r="S30" s="118">
        <f t="shared" ca="1" si="7"/>
        <v>43726</v>
      </c>
      <c r="T30" s="119" t="str">
        <f t="shared" ca="1" si="8"/>
        <v>ext-u1-1300-2e9c6-0030</v>
      </c>
      <c r="U30" s="117" t="str">
        <f>J30</f>
        <v>BDB</v>
      </c>
      <c r="V30" s="117" t="str">
        <f>E30</f>
        <v>PAY</v>
      </c>
      <c r="W30" s="117" t="str">
        <f>C30</f>
        <v>BRL</v>
      </c>
      <c r="X30" s="141">
        <f t="shared" si="9"/>
        <v>-147</v>
      </c>
      <c r="Y30" s="117" t="str">
        <f>L30&amp;"-"&amp;LEFT(K30,1)</f>
        <v>CUSTINST-F</v>
      </c>
      <c r="Z30" s="118" t="str">
        <f t="shared" si="13"/>
        <v>Fixed</v>
      </c>
      <c r="AA30" s="117" t="str">
        <f>"[UC1]"&amp;P30&amp;REPT(" ",28-LEN(P30))&amp;" ["&amp;TEXT(A30,"HH:MM")&amp;"]"</f>
        <v>[UC1]Customer Payment Instruction [13:00]</v>
      </c>
      <c r="AB30" s="121" t="str">
        <f t="shared" si="14"/>
        <v>DEFAULT</v>
      </c>
      <c r="AC30" s="116" t="str">
        <f ca="1">UPPER(LEFT(U30&amp;SUBSTITUTE(N30,"-",""),20))</f>
        <v>BDB9174093C785533831</v>
      </c>
      <c r="AD30" s="117" t="str">
        <f t="shared" si="15"/>
        <v>N</v>
      </c>
      <c r="AE30" s="121" t="str">
        <f t="shared" si="10"/>
        <v>FORECAST</v>
      </c>
      <c r="AI30" s="116" t="str">
        <f ca="1">N30</f>
        <v>9174093c-7855-3383-1dd8-cdd485665924-030</v>
      </c>
      <c r="AJ30" s="117" t="s">
        <v>76</v>
      </c>
      <c r="AK30" s="116" t="str">
        <f ca="1">Q30</f>
        <v>9174093c-7855-3383-1dd8-cdd485665924-030</v>
      </c>
      <c r="AL30" s="117">
        <f>R30</f>
        <v>0</v>
      </c>
      <c r="AM30" s="118">
        <f ca="1">S30</f>
        <v>43726</v>
      </c>
      <c r="AN30" s="119" t="str">
        <f ca="1">T30</f>
        <v>ext-u1-1300-2e9c6-0030</v>
      </c>
      <c r="AO30" s="117" t="str">
        <f>U30</f>
        <v>BDB</v>
      </c>
      <c r="AP30" s="117" t="s">
        <v>78</v>
      </c>
      <c r="AQ30" s="117">
        <f>G30</f>
        <v>4.1155512247619104</v>
      </c>
      <c r="AR30" s="117" t="str">
        <f>H30</f>
        <v>USD</v>
      </c>
      <c r="AS30" s="117" t="str">
        <f>W30</f>
        <v>BRL</v>
      </c>
      <c r="AT30" s="120">
        <f>D30*G30</f>
        <v>604.98603004000086</v>
      </c>
      <c r="AU30" s="120">
        <f t="shared" si="17"/>
        <v>147</v>
      </c>
      <c r="AV30" s="117" t="str">
        <f>Y30</f>
        <v>CUSTINST-F</v>
      </c>
      <c r="AX30" s="117" t="str">
        <f t="shared" si="21"/>
        <v>[UC1]Customer Payment Instruction [13:00]</v>
      </c>
      <c r="AY30" s="117" t="s">
        <v>90</v>
      </c>
      <c r="AZ30" s="116" t="str">
        <f t="shared" ca="1" si="22"/>
        <v>BDB9174093C785533831</v>
      </c>
    </row>
    <row r="31" spans="1:52" x14ac:dyDescent="0.25">
      <c r="A31" s="137">
        <v>0.54166666666666663</v>
      </c>
      <c r="B31" s="150" t="s">
        <v>61</v>
      </c>
      <c r="C31" s="138" t="s">
        <v>10</v>
      </c>
      <c r="D31" s="148">
        <v>10497.2</v>
      </c>
      <c r="E31" s="121" t="s">
        <v>62</v>
      </c>
      <c r="F31" s="121">
        <f t="shared" si="2"/>
        <v>-10497.2</v>
      </c>
      <c r="G31" s="121">
        <v>4.1157841333333298</v>
      </c>
      <c r="H31" s="174" t="s">
        <v>9</v>
      </c>
      <c r="I31" s="121" t="s">
        <v>80</v>
      </c>
      <c r="J31" s="150" t="str">
        <f t="shared" si="18"/>
        <v>BDB</v>
      </c>
      <c r="K31" s="150" t="s">
        <v>85</v>
      </c>
      <c r="L31" s="150" t="s">
        <v>88</v>
      </c>
      <c r="N31" s="116" t="str">
        <f t="shared" ca="1" si="4"/>
        <v>4d21735e-43df-6462-315f-5b3064459241-031</v>
      </c>
      <c r="O31" s="116" t="str">
        <f t="shared" si="19"/>
        <v>BRL.CUSTINSTF.BDB000</v>
      </c>
      <c r="P31" s="117" t="str">
        <f t="shared" si="0"/>
        <v>Customer Payment Instruction</v>
      </c>
      <c r="Q31" s="116" t="str">
        <f t="shared" ca="1" si="6"/>
        <v>4d21735e-43df-6462-315f-5b3064459241-031</v>
      </c>
      <c r="R31" s="117">
        <f t="shared" si="12"/>
        <v>0</v>
      </c>
      <c r="S31" s="118">
        <f t="shared" ca="1" si="7"/>
        <v>43726</v>
      </c>
      <c r="T31" s="119" t="str">
        <f t="shared" ca="1" si="8"/>
        <v>ext-u1-1300-2e9c6-0031</v>
      </c>
      <c r="U31" s="117" t="str">
        <f>J31</f>
        <v>BDB</v>
      </c>
      <c r="V31" s="117" t="str">
        <f>E31</f>
        <v>PAY</v>
      </c>
      <c r="W31" s="117" t="str">
        <f>C31</f>
        <v>BRL</v>
      </c>
      <c r="X31" s="141">
        <f t="shared" si="9"/>
        <v>-10497.2</v>
      </c>
      <c r="Y31" s="117" t="str">
        <f>L31&amp;"-"&amp;LEFT(K31,1)</f>
        <v>CUSTINST-F</v>
      </c>
      <c r="Z31" s="118" t="str">
        <f t="shared" si="13"/>
        <v>Fixed</v>
      </c>
      <c r="AA31" s="117" t="str">
        <f>"[UC1]"&amp;P31&amp;REPT(" ",28-LEN(P31))&amp;" ["&amp;TEXT(A31,"HH:MM")&amp;"]"</f>
        <v>[UC1]Customer Payment Instruction [13:00]</v>
      </c>
      <c r="AB31" s="121" t="str">
        <f t="shared" si="14"/>
        <v>DEFAULT</v>
      </c>
      <c r="AC31" s="116" t="str">
        <f ca="1">UPPER(LEFT(U31&amp;SUBSTITUTE(N31,"-",""),20))</f>
        <v>BDB4D21735E43DF64623</v>
      </c>
      <c r="AD31" s="117" t="str">
        <f t="shared" si="15"/>
        <v>N</v>
      </c>
      <c r="AE31" s="121" t="str">
        <f t="shared" si="10"/>
        <v>FORECAST</v>
      </c>
      <c r="AI31" s="116" t="str">
        <f ca="1">N31</f>
        <v>4d21735e-43df-6462-315f-5b3064459241-031</v>
      </c>
      <c r="AJ31" s="117" t="s">
        <v>76</v>
      </c>
      <c r="AK31" s="116" t="str">
        <f ca="1">Q31</f>
        <v>4d21735e-43df-6462-315f-5b3064459241-031</v>
      </c>
      <c r="AL31" s="117">
        <f>R31</f>
        <v>0</v>
      </c>
      <c r="AM31" s="118">
        <f ca="1">S31</f>
        <v>43726</v>
      </c>
      <c r="AN31" s="119" t="str">
        <f ca="1">T31</f>
        <v>ext-u1-1300-2e9c6-0031</v>
      </c>
      <c r="AO31" s="117" t="str">
        <f>U31</f>
        <v>BDB</v>
      </c>
      <c r="AP31" s="117" t="s">
        <v>78</v>
      </c>
      <c r="AQ31" s="117">
        <f>G31</f>
        <v>4.1157841333333298</v>
      </c>
      <c r="AR31" s="117" t="str">
        <f>H31</f>
        <v>USD</v>
      </c>
      <c r="AS31" s="117" t="str">
        <f>W31</f>
        <v>BRL</v>
      </c>
      <c r="AT31" s="120">
        <f>D31*G31</f>
        <v>43204.209204426632</v>
      </c>
      <c r="AU31" s="120">
        <f t="shared" si="17"/>
        <v>10497.2</v>
      </c>
      <c r="AV31" s="117" t="str">
        <f>Y31</f>
        <v>CUSTINST-F</v>
      </c>
      <c r="AX31" s="117" t="str">
        <f t="shared" si="21"/>
        <v>[UC1]Customer Payment Instruction [13:00]</v>
      </c>
      <c r="AY31" s="117" t="s">
        <v>90</v>
      </c>
      <c r="AZ31" s="116" t="str">
        <f t="shared" ca="1" si="22"/>
        <v>BDB4D21735E43DF64623</v>
      </c>
    </row>
    <row r="32" spans="1:52" x14ac:dyDescent="0.25">
      <c r="A32" s="137">
        <v>0.54166666666666663</v>
      </c>
      <c r="B32" s="150" t="s">
        <v>61</v>
      </c>
      <c r="C32" s="138" t="s">
        <v>10</v>
      </c>
      <c r="D32" s="148">
        <v>5017.3999999999996</v>
      </c>
      <c r="E32" s="121" t="s">
        <v>62</v>
      </c>
      <c r="F32" s="121">
        <f t="shared" si="2"/>
        <v>-5017.3999999999996</v>
      </c>
      <c r="G32" s="121">
        <v>4.1160170419047599</v>
      </c>
      <c r="H32" s="174" t="s">
        <v>9</v>
      </c>
      <c r="I32" s="121" t="s">
        <v>80</v>
      </c>
      <c r="J32" s="150" t="str">
        <f t="shared" si="18"/>
        <v>BDB</v>
      </c>
      <c r="K32" s="150" t="s">
        <v>85</v>
      </c>
      <c r="L32" s="150" t="s">
        <v>88</v>
      </c>
      <c r="N32" s="116" t="str">
        <f t="shared" ca="1" si="4"/>
        <v>38184260-272e-11c1-0195-5250b8232644-032</v>
      </c>
      <c r="O32" s="116" t="str">
        <f t="shared" si="19"/>
        <v>BRL.CUSTINSTF.BDB000</v>
      </c>
      <c r="P32" s="117" t="str">
        <f t="shared" si="0"/>
        <v>Customer Payment Instruction</v>
      </c>
      <c r="Q32" s="116" t="str">
        <f t="shared" ca="1" si="6"/>
        <v>38184260-272e-11c1-0195-5250b8232644-032</v>
      </c>
      <c r="R32" s="117">
        <f t="shared" si="12"/>
        <v>0</v>
      </c>
      <c r="S32" s="118">
        <f t="shared" ca="1" si="7"/>
        <v>43726</v>
      </c>
      <c r="T32" s="119" t="str">
        <f t="shared" ca="1" si="8"/>
        <v>ext-u1-1300-2e9c6-0032</v>
      </c>
      <c r="U32" s="117" t="str">
        <f>J32</f>
        <v>BDB</v>
      </c>
      <c r="V32" s="117" t="str">
        <f>E32</f>
        <v>PAY</v>
      </c>
      <c r="W32" s="117" t="str">
        <f>C32</f>
        <v>BRL</v>
      </c>
      <c r="X32" s="141">
        <f t="shared" si="9"/>
        <v>-5017.3999999999996</v>
      </c>
      <c r="Y32" s="117" t="str">
        <f>L32&amp;"-"&amp;LEFT(K32,1)</f>
        <v>CUSTINST-F</v>
      </c>
      <c r="Z32" s="118" t="str">
        <f t="shared" si="13"/>
        <v>Fixed</v>
      </c>
      <c r="AA32" s="117" t="str">
        <f>"[UC1]"&amp;P32&amp;REPT(" ",28-LEN(P32))&amp;" ["&amp;TEXT(A32,"HH:MM")&amp;"]"</f>
        <v>[UC1]Customer Payment Instruction [13:00]</v>
      </c>
      <c r="AB32" s="121" t="str">
        <f t="shared" si="14"/>
        <v>DEFAULT</v>
      </c>
      <c r="AC32" s="116" t="str">
        <f ca="1">UPPER(LEFT(U32&amp;SUBSTITUTE(N32,"-",""),20))</f>
        <v>BDB38184260272E11C10</v>
      </c>
      <c r="AD32" s="117" t="str">
        <f t="shared" si="15"/>
        <v>N</v>
      </c>
      <c r="AE32" s="121" t="str">
        <f t="shared" si="10"/>
        <v>FORECAST</v>
      </c>
      <c r="AI32" s="116" t="str">
        <f ca="1">N32</f>
        <v>38184260-272e-11c1-0195-5250b8232644-032</v>
      </c>
      <c r="AJ32" s="117" t="s">
        <v>76</v>
      </c>
      <c r="AK32" s="116" t="str">
        <f ca="1">Q32</f>
        <v>38184260-272e-11c1-0195-5250b8232644-032</v>
      </c>
      <c r="AL32" s="117">
        <f>R32</f>
        <v>0</v>
      </c>
      <c r="AM32" s="118">
        <f ca="1">S32</f>
        <v>43726</v>
      </c>
      <c r="AN32" s="119" t="str">
        <f ca="1">T32</f>
        <v>ext-u1-1300-2e9c6-0032</v>
      </c>
      <c r="AO32" s="117" t="str">
        <f>U32</f>
        <v>BDB</v>
      </c>
      <c r="AP32" s="117" t="s">
        <v>78</v>
      </c>
      <c r="AQ32" s="117">
        <f>G32</f>
        <v>4.1160170419047599</v>
      </c>
      <c r="AR32" s="117" t="str">
        <f>H32</f>
        <v>USD</v>
      </c>
      <c r="AS32" s="117" t="str">
        <f>W32</f>
        <v>BRL</v>
      </c>
      <c r="AT32" s="120">
        <f>D32*G32</f>
        <v>20651.703906052942</v>
      </c>
      <c r="AU32" s="120">
        <f t="shared" si="17"/>
        <v>5017.3999999999996</v>
      </c>
      <c r="AV32" s="117" t="str">
        <f>Y32</f>
        <v>CUSTINST-F</v>
      </c>
      <c r="AX32" s="117" t="str">
        <f t="shared" si="21"/>
        <v>[UC1]Customer Payment Instruction [13:00]</v>
      </c>
      <c r="AY32" s="117" t="s">
        <v>90</v>
      </c>
      <c r="AZ32" s="116" t="str">
        <f t="shared" ca="1" si="22"/>
        <v>BDB38184260272E11C10</v>
      </c>
    </row>
    <row r="33" spans="1:52" x14ac:dyDescent="0.25">
      <c r="A33" s="137">
        <v>0.54166666666666663</v>
      </c>
      <c r="B33" s="150" t="s">
        <v>61</v>
      </c>
      <c r="C33" s="138" t="s">
        <v>10</v>
      </c>
      <c r="D33" s="148">
        <v>5297.6</v>
      </c>
      <c r="E33" s="121" t="s">
        <v>62</v>
      </c>
      <c r="F33" s="121">
        <f t="shared" si="2"/>
        <v>-5297.6</v>
      </c>
      <c r="G33" s="121">
        <v>4.11624995047619</v>
      </c>
      <c r="H33" s="174" t="s">
        <v>9</v>
      </c>
      <c r="I33" s="121" t="s">
        <v>80</v>
      </c>
      <c r="J33" s="150" t="str">
        <f t="shared" si="18"/>
        <v>BDB</v>
      </c>
      <c r="K33" s="150" t="s">
        <v>85</v>
      </c>
      <c r="L33" s="150" t="s">
        <v>88</v>
      </c>
      <c r="N33" s="116" t="str">
        <f t="shared" ca="1" si="4"/>
        <v>080d0544-0862-566b-4ef5-9c7dc35b3df5-033</v>
      </c>
      <c r="O33" s="116" t="str">
        <f t="shared" si="19"/>
        <v>BRL.CUSTINSTF.BDB000</v>
      </c>
      <c r="P33" s="117" t="str">
        <f t="shared" si="0"/>
        <v>Customer Payment Instruction</v>
      </c>
      <c r="Q33" s="116" t="str">
        <f t="shared" ca="1" si="6"/>
        <v>080d0544-0862-566b-4ef5-9c7dc35b3df5-033</v>
      </c>
      <c r="R33" s="117">
        <f t="shared" si="12"/>
        <v>0</v>
      </c>
      <c r="S33" s="118">
        <f t="shared" ca="1" si="7"/>
        <v>43726</v>
      </c>
      <c r="T33" s="119" t="str">
        <f t="shared" ca="1" si="8"/>
        <v>ext-u1-1300-2e9c6-0033</v>
      </c>
      <c r="U33" s="117" t="str">
        <f>J33</f>
        <v>BDB</v>
      </c>
      <c r="V33" s="117" t="str">
        <f>E33</f>
        <v>PAY</v>
      </c>
      <c r="W33" s="117" t="str">
        <f>C33</f>
        <v>BRL</v>
      </c>
      <c r="X33" s="141">
        <f t="shared" si="9"/>
        <v>-5297.6</v>
      </c>
      <c r="Y33" s="117" t="str">
        <f>L33&amp;"-"&amp;LEFT(K33,1)</f>
        <v>CUSTINST-F</v>
      </c>
      <c r="Z33" s="118" t="str">
        <f t="shared" si="13"/>
        <v>Fixed</v>
      </c>
      <c r="AA33" s="117" t="str">
        <f>"[UC1]"&amp;P33&amp;REPT(" ",28-LEN(P33))&amp;" ["&amp;TEXT(A33,"HH:MM")&amp;"]"</f>
        <v>[UC1]Customer Payment Instruction [13:00]</v>
      </c>
      <c r="AB33" s="121" t="str">
        <f t="shared" si="14"/>
        <v>DEFAULT</v>
      </c>
      <c r="AC33" s="116" t="str">
        <f ca="1">UPPER(LEFT(U33&amp;SUBSTITUTE(N33,"-",""),20))</f>
        <v>BDB080D05440862566B4</v>
      </c>
      <c r="AD33" s="117" t="str">
        <f t="shared" si="15"/>
        <v>N</v>
      </c>
      <c r="AE33" s="121" t="str">
        <f t="shared" si="10"/>
        <v>FORECAST</v>
      </c>
      <c r="AI33" s="116" t="str">
        <f ca="1">N33</f>
        <v>080d0544-0862-566b-4ef5-9c7dc35b3df5-033</v>
      </c>
      <c r="AJ33" s="117" t="s">
        <v>76</v>
      </c>
      <c r="AK33" s="116" t="str">
        <f ca="1">Q33</f>
        <v>080d0544-0862-566b-4ef5-9c7dc35b3df5-033</v>
      </c>
      <c r="AL33" s="117">
        <f>R33</f>
        <v>0</v>
      </c>
      <c r="AM33" s="118">
        <f ca="1">S33</f>
        <v>43726</v>
      </c>
      <c r="AN33" s="119" t="str">
        <f ca="1">T33</f>
        <v>ext-u1-1300-2e9c6-0033</v>
      </c>
      <c r="AO33" s="117" t="str">
        <f>U33</f>
        <v>BDB</v>
      </c>
      <c r="AP33" s="117" t="s">
        <v>78</v>
      </c>
      <c r="AQ33" s="117">
        <f>G33</f>
        <v>4.11624995047619</v>
      </c>
      <c r="AR33" s="117" t="str">
        <f>H33</f>
        <v>USD</v>
      </c>
      <c r="AS33" s="117" t="str">
        <f>W33</f>
        <v>BRL</v>
      </c>
      <c r="AT33" s="120">
        <f>D33*G33</f>
        <v>21806.245737642665</v>
      </c>
      <c r="AU33" s="120">
        <f t="shared" si="17"/>
        <v>5297.6</v>
      </c>
      <c r="AV33" s="117" t="str">
        <f>Y33</f>
        <v>CUSTINST-F</v>
      </c>
      <c r="AX33" s="117" t="str">
        <f t="shared" si="21"/>
        <v>[UC1]Customer Payment Instruction [13:00]</v>
      </c>
      <c r="AY33" s="117" t="s">
        <v>90</v>
      </c>
      <c r="AZ33" s="116" t="str">
        <f t="shared" ca="1" si="22"/>
        <v>BDB080D05440862566B4</v>
      </c>
    </row>
    <row r="34" spans="1:52" x14ac:dyDescent="0.25">
      <c r="A34" s="137">
        <v>0.54166666666666663</v>
      </c>
      <c r="B34" s="150" t="s">
        <v>61</v>
      </c>
      <c r="C34" s="138" t="s">
        <v>10</v>
      </c>
      <c r="D34" s="148">
        <v>5577.8</v>
      </c>
      <c r="E34" s="121" t="s">
        <v>62</v>
      </c>
      <c r="F34" s="121">
        <f t="shared" si="2"/>
        <v>-5577.8</v>
      </c>
      <c r="G34" s="121">
        <v>4.1164828590476201</v>
      </c>
      <c r="H34" s="174" t="s">
        <v>9</v>
      </c>
      <c r="I34" s="121" t="s">
        <v>80</v>
      </c>
      <c r="J34" s="150" t="str">
        <f t="shared" si="18"/>
        <v>BDB</v>
      </c>
      <c r="K34" s="150" t="s">
        <v>85</v>
      </c>
      <c r="L34" s="150" t="s">
        <v>88</v>
      </c>
      <c r="N34" s="116" t="str">
        <f t="shared" ca="1" si="4"/>
        <v>bd0c04e9-293a-08ce-a7bb-c57d88994ff7-034</v>
      </c>
      <c r="O34" s="116" t="str">
        <f t="shared" si="19"/>
        <v>BRL.CUSTINSTF.BDB000</v>
      </c>
      <c r="P34" s="117" t="str">
        <f t="shared" ref="P34:P51" si="23">B34</f>
        <v>Customer Payment Instruction</v>
      </c>
      <c r="Q34" s="116" t="str">
        <f t="shared" ca="1" si="6"/>
        <v>bd0c04e9-293a-08ce-a7bb-c57d88994ff7-034</v>
      </c>
      <c r="R34" s="117">
        <f t="shared" si="12"/>
        <v>0</v>
      </c>
      <c r="S34" s="118">
        <f t="shared" ca="1" si="7"/>
        <v>43726</v>
      </c>
      <c r="T34" s="119" t="str">
        <f t="shared" ca="1" si="8"/>
        <v>ext-u1-1300-2e9c6-0034</v>
      </c>
      <c r="U34" s="117" t="str">
        <f>J34</f>
        <v>BDB</v>
      </c>
      <c r="V34" s="117" t="str">
        <f>E34</f>
        <v>PAY</v>
      </c>
      <c r="W34" s="117" t="str">
        <f>C34</f>
        <v>BRL</v>
      </c>
      <c r="X34" s="141">
        <f t="shared" si="9"/>
        <v>-5577.8</v>
      </c>
      <c r="Y34" s="117" t="str">
        <f>L34&amp;"-"&amp;LEFT(K34,1)</f>
        <v>CUSTINST-F</v>
      </c>
      <c r="Z34" s="118" t="str">
        <f t="shared" si="13"/>
        <v>Fixed</v>
      </c>
      <c r="AA34" s="117" t="str">
        <f>"[UC1]"&amp;P34&amp;REPT(" ",28-LEN(P34))&amp;" ["&amp;TEXT(A34,"HH:MM")&amp;"]"</f>
        <v>[UC1]Customer Payment Instruction [13:00]</v>
      </c>
      <c r="AB34" s="121" t="str">
        <f t="shared" si="14"/>
        <v>DEFAULT</v>
      </c>
      <c r="AC34" s="116" t="str">
        <f ca="1">UPPER(LEFT(U34&amp;SUBSTITUTE(N34,"-",""),20))</f>
        <v>BDBBD0C04E9293A08CEA</v>
      </c>
      <c r="AD34" s="117" t="str">
        <f t="shared" si="15"/>
        <v>N</v>
      </c>
      <c r="AE34" s="121" t="str">
        <f t="shared" si="10"/>
        <v>FORECAST</v>
      </c>
      <c r="AI34" s="116" t="str">
        <f ca="1">N34</f>
        <v>bd0c04e9-293a-08ce-a7bb-c57d88994ff7-034</v>
      </c>
      <c r="AJ34" s="117" t="s">
        <v>76</v>
      </c>
      <c r="AK34" s="116" t="str">
        <f ca="1">Q34</f>
        <v>bd0c04e9-293a-08ce-a7bb-c57d88994ff7-034</v>
      </c>
      <c r="AL34" s="117">
        <f>R34</f>
        <v>0</v>
      </c>
      <c r="AM34" s="118">
        <f ca="1">S34</f>
        <v>43726</v>
      </c>
      <c r="AN34" s="119" t="str">
        <f ca="1">T34</f>
        <v>ext-u1-1300-2e9c6-0034</v>
      </c>
      <c r="AO34" s="117" t="str">
        <f>U34</f>
        <v>BDB</v>
      </c>
      <c r="AP34" s="117" t="s">
        <v>78</v>
      </c>
      <c r="AQ34" s="117">
        <f>G34</f>
        <v>4.1164828590476201</v>
      </c>
      <c r="AR34" s="117" t="str">
        <f>H34</f>
        <v>USD</v>
      </c>
      <c r="AS34" s="117" t="str">
        <f>W34</f>
        <v>BRL</v>
      </c>
      <c r="AT34" s="120">
        <f>D34*G34</f>
        <v>22960.918091195817</v>
      </c>
      <c r="AU34" s="120">
        <f t="shared" si="17"/>
        <v>5577.8</v>
      </c>
      <c r="AV34" s="117" t="str">
        <f>Y34</f>
        <v>CUSTINST-F</v>
      </c>
      <c r="AX34" s="117" t="str">
        <f t="shared" si="21"/>
        <v>[UC1]Customer Payment Instruction [13:00]</v>
      </c>
      <c r="AY34" s="117" t="s">
        <v>90</v>
      </c>
      <c r="AZ34" s="116" t="str">
        <f t="shared" ca="1" si="22"/>
        <v>BDBBD0C04E9293A08CEA</v>
      </c>
    </row>
    <row r="35" spans="1:52" x14ac:dyDescent="0.25">
      <c r="A35" s="137">
        <v>0.54166666666666663</v>
      </c>
      <c r="B35" s="150" t="s">
        <v>61</v>
      </c>
      <c r="C35" s="138" t="s">
        <v>10</v>
      </c>
      <c r="D35" s="148">
        <v>5858</v>
      </c>
      <c r="E35" s="121" t="s">
        <v>62</v>
      </c>
      <c r="F35" s="121">
        <f t="shared" si="2"/>
        <v>-5858</v>
      </c>
      <c r="G35" s="121">
        <v>4.1167157676190502</v>
      </c>
      <c r="H35" s="174" t="s">
        <v>9</v>
      </c>
      <c r="I35" s="121" t="s">
        <v>80</v>
      </c>
      <c r="J35" s="150" t="str">
        <f t="shared" si="18"/>
        <v>BDB</v>
      </c>
      <c r="K35" s="150" t="s">
        <v>85</v>
      </c>
      <c r="L35" s="150" t="s">
        <v>88</v>
      </c>
      <c r="N35" s="116" t="str">
        <f t="shared" ca="1" si="4"/>
        <v>09100913-4dac-4c50-9299-1b4e84424948-035</v>
      </c>
      <c r="O35" s="116" t="str">
        <f t="shared" si="19"/>
        <v>BRL.CUSTINSTF.BDB000</v>
      </c>
      <c r="P35" s="117" t="str">
        <f t="shared" si="23"/>
        <v>Customer Payment Instruction</v>
      </c>
      <c r="Q35" s="116" t="str">
        <f t="shared" ca="1" si="6"/>
        <v>09100913-4dac-4c50-9299-1b4e84424948-035</v>
      </c>
      <c r="R35" s="117">
        <f t="shared" si="12"/>
        <v>0</v>
      </c>
      <c r="S35" s="118">
        <f t="shared" ca="1" si="7"/>
        <v>43726</v>
      </c>
      <c r="T35" s="119" t="str">
        <f t="shared" ca="1" si="8"/>
        <v>ext-u1-1300-2e9c6-0035</v>
      </c>
      <c r="U35" s="117" t="str">
        <f>J35</f>
        <v>BDB</v>
      </c>
      <c r="V35" s="117" t="str">
        <f>E35</f>
        <v>PAY</v>
      </c>
      <c r="W35" s="117" t="str">
        <f>C35</f>
        <v>BRL</v>
      </c>
      <c r="X35" s="141">
        <f t="shared" si="9"/>
        <v>-5858</v>
      </c>
      <c r="Y35" s="117" t="str">
        <f>L35&amp;"-"&amp;LEFT(K35,1)</f>
        <v>CUSTINST-F</v>
      </c>
      <c r="Z35" s="118" t="str">
        <f t="shared" si="13"/>
        <v>Fixed</v>
      </c>
      <c r="AA35" s="117" t="str">
        <f>"[UC1]"&amp;P35&amp;REPT(" ",28-LEN(P35))&amp;" ["&amp;TEXT(A35,"HH:MM")&amp;"]"</f>
        <v>[UC1]Customer Payment Instruction [13:00]</v>
      </c>
      <c r="AB35" s="121" t="str">
        <f t="shared" si="14"/>
        <v>DEFAULT</v>
      </c>
      <c r="AC35" s="116" t="str">
        <f ca="1">UPPER(LEFT(U35&amp;SUBSTITUTE(N35,"-",""),20))</f>
        <v>BDB091009134DAC4C509</v>
      </c>
      <c r="AD35" s="117" t="str">
        <f t="shared" si="15"/>
        <v>N</v>
      </c>
      <c r="AE35" s="121" t="str">
        <f t="shared" si="10"/>
        <v>FORECAST</v>
      </c>
      <c r="AI35" s="116" t="str">
        <f ca="1">N35</f>
        <v>09100913-4dac-4c50-9299-1b4e84424948-035</v>
      </c>
      <c r="AJ35" s="117" t="s">
        <v>76</v>
      </c>
      <c r="AK35" s="116" t="str">
        <f ca="1">Q35</f>
        <v>09100913-4dac-4c50-9299-1b4e84424948-035</v>
      </c>
      <c r="AL35" s="117">
        <f>R35</f>
        <v>0</v>
      </c>
      <c r="AM35" s="118">
        <f ca="1">S35</f>
        <v>43726</v>
      </c>
      <c r="AN35" s="119" t="str">
        <f ca="1">T35</f>
        <v>ext-u1-1300-2e9c6-0035</v>
      </c>
      <c r="AO35" s="117" t="str">
        <f>U35</f>
        <v>BDB</v>
      </c>
      <c r="AP35" s="117" t="s">
        <v>78</v>
      </c>
      <c r="AQ35" s="117">
        <f>G35</f>
        <v>4.1167157676190502</v>
      </c>
      <c r="AR35" s="117" t="str">
        <f>H35</f>
        <v>USD</v>
      </c>
      <c r="AS35" s="117" t="str">
        <f>W35</f>
        <v>BRL</v>
      </c>
      <c r="AT35" s="120">
        <f>D35*G35</f>
        <v>24115.720966712397</v>
      </c>
      <c r="AU35" s="120">
        <f t="shared" si="17"/>
        <v>5858</v>
      </c>
      <c r="AV35" s="117" t="str">
        <f>Y35</f>
        <v>CUSTINST-F</v>
      </c>
      <c r="AX35" s="117" t="str">
        <f t="shared" si="21"/>
        <v>[UC1]Customer Payment Instruction [13:00]</v>
      </c>
      <c r="AY35" s="117" t="s">
        <v>90</v>
      </c>
      <c r="AZ35" s="116" t="str">
        <f t="shared" ca="1" si="22"/>
        <v>BDB091009134DAC4C509</v>
      </c>
    </row>
    <row r="36" spans="1:52" x14ac:dyDescent="0.25">
      <c r="A36" s="137">
        <v>0.54166666666666663</v>
      </c>
      <c r="B36" s="150" t="s">
        <v>61</v>
      </c>
      <c r="C36" s="138" t="s">
        <v>10</v>
      </c>
      <c r="D36" s="148">
        <v>6138.2</v>
      </c>
      <c r="E36" s="121" t="s">
        <v>62</v>
      </c>
      <c r="F36" s="121">
        <f t="shared" si="2"/>
        <v>-6138.2</v>
      </c>
      <c r="G36" s="121">
        <v>4.1169486761904803</v>
      </c>
      <c r="H36" s="174" t="s">
        <v>9</v>
      </c>
      <c r="I36" s="121" t="s">
        <v>80</v>
      </c>
      <c r="J36" s="150" t="str">
        <f t="shared" si="18"/>
        <v>BDB</v>
      </c>
      <c r="K36" s="150" t="s">
        <v>85</v>
      </c>
      <c r="L36" s="150" t="s">
        <v>88</v>
      </c>
      <c r="N36" s="116" t="str">
        <f t="shared" ca="1" si="4"/>
        <v>ccdad7eb-58f6-92e0-694a-ec76d52b40c4-036</v>
      </c>
      <c r="O36" s="116" t="str">
        <f t="shared" si="19"/>
        <v>BRL.CUSTINSTF.BDB000</v>
      </c>
      <c r="P36" s="117" t="str">
        <f t="shared" si="23"/>
        <v>Customer Payment Instruction</v>
      </c>
      <c r="Q36" s="116" t="str">
        <f t="shared" ca="1" si="6"/>
        <v>ccdad7eb-58f6-92e0-694a-ec76d52b40c4-036</v>
      </c>
      <c r="R36" s="117">
        <f t="shared" si="12"/>
        <v>0</v>
      </c>
      <c r="S36" s="118">
        <f t="shared" ca="1" si="7"/>
        <v>43726</v>
      </c>
      <c r="T36" s="119" t="str">
        <f t="shared" ca="1" si="8"/>
        <v>ext-u1-1300-2e9c6-0036</v>
      </c>
      <c r="U36" s="117" t="str">
        <f>J36</f>
        <v>BDB</v>
      </c>
      <c r="V36" s="117" t="str">
        <f>E36</f>
        <v>PAY</v>
      </c>
      <c r="W36" s="117" t="str">
        <f>C36</f>
        <v>BRL</v>
      </c>
      <c r="X36" s="141">
        <f t="shared" si="9"/>
        <v>-6138.2</v>
      </c>
      <c r="Y36" s="117" t="str">
        <f>L36&amp;"-"&amp;LEFT(K36,1)</f>
        <v>CUSTINST-F</v>
      </c>
      <c r="Z36" s="118" t="str">
        <f t="shared" si="13"/>
        <v>Fixed</v>
      </c>
      <c r="AA36" s="117" t="str">
        <f>"[UC1]"&amp;P36&amp;REPT(" ",28-LEN(P36))&amp;" ["&amp;TEXT(A36,"HH:MM")&amp;"]"</f>
        <v>[UC1]Customer Payment Instruction [13:00]</v>
      </c>
      <c r="AB36" s="121" t="str">
        <f t="shared" si="14"/>
        <v>DEFAULT</v>
      </c>
      <c r="AC36" s="116" t="str">
        <f ca="1">UPPER(LEFT(U36&amp;SUBSTITUTE(N36,"-",""),20))</f>
        <v>BDBCCDAD7EB58F692E06</v>
      </c>
      <c r="AD36" s="117" t="str">
        <f t="shared" si="15"/>
        <v>N</v>
      </c>
      <c r="AE36" s="121" t="str">
        <f t="shared" si="10"/>
        <v>FORECAST</v>
      </c>
      <c r="AI36" s="116" t="str">
        <f ca="1">N36</f>
        <v>ccdad7eb-58f6-92e0-694a-ec76d52b40c4-036</v>
      </c>
      <c r="AJ36" s="117" t="s">
        <v>76</v>
      </c>
      <c r="AK36" s="116" t="str">
        <f ca="1">Q36</f>
        <v>ccdad7eb-58f6-92e0-694a-ec76d52b40c4-036</v>
      </c>
      <c r="AL36" s="117">
        <f>R36</f>
        <v>0</v>
      </c>
      <c r="AM36" s="118">
        <f ca="1">S36</f>
        <v>43726</v>
      </c>
      <c r="AN36" s="119" t="str">
        <f ca="1">T36</f>
        <v>ext-u1-1300-2e9c6-0036</v>
      </c>
      <c r="AO36" s="117" t="str">
        <f>U36</f>
        <v>BDB</v>
      </c>
      <c r="AP36" s="117" t="s">
        <v>78</v>
      </c>
      <c r="AQ36" s="117">
        <f>G36</f>
        <v>4.1169486761904803</v>
      </c>
      <c r="AR36" s="117" t="str">
        <f>H36</f>
        <v>USD</v>
      </c>
      <c r="AS36" s="117" t="str">
        <f>W36</f>
        <v>BRL</v>
      </c>
      <c r="AT36" s="120">
        <f>D36*G36</f>
        <v>25270.654364192407</v>
      </c>
      <c r="AU36" s="120">
        <f t="shared" si="17"/>
        <v>6138.2</v>
      </c>
      <c r="AV36" s="117" t="str">
        <f>Y36</f>
        <v>CUSTINST-F</v>
      </c>
      <c r="AX36" s="117" t="str">
        <f t="shared" si="21"/>
        <v>[UC1]Customer Payment Instruction [13:00]</v>
      </c>
      <c r="AY36" s="117" t="s">
        <v>90</v>
      </c>
      <c r="AZ36" s="116" t="str">
        <f t="shared" ca="1" si="22"/>
        <v>BDBCCDAD7EB58F692E06</v>
      </c>
    </row>
    <row r="37" spans="1:52" x14ac:dyDescent="0.25">
      <c r="A37" s="137">
        <v>0.54166666666666663</v>
      </c>
      <c r="B37" s="150" t="s">
        <v>61</v>
      </c>
      <c r="C37" s="138" t="s">
        <v>10</v>
      </c>
      <c r="D37" s="148">
        <v>6418.4</v>
      </c>
      <c r="E37" s="121" t="s">
        <v>62</v>
      </c>
      <c r="F37" s="121">
        <f t="shared" si="2"/>
        <v>-6418.4</v>
      </c>
      <c r="G37" s="121">
        <v>4.1171815847619104</v>
      </c>
      <c r="H37" s="174" t="s">
        <v>9</v>
      </c>
      <c r="I37" s="121" t="s">
        <v>80</v>
      </c>
      <c r="J37" s="150" t="str">
        <f t="shared" si="18"/>
        <v>BDB</v>
      </c>
      <c r="K37" s="150" t="s">
        <v>85</v>
      </c>
      <c r="L37" s="150" t="s">
        <v>88</v>
      </c>
      <c r="N37" s="116" t="str">
        <f t="shared" ca="1" si="4"/>
        <v>9c866e93-2e57-2cf7-3a48-e9beff7d12dd-037</v>
      </c>
      <c r="O37" s="116" t="str">
        <f t="shared" si="19"/>
        <v>BRL.CUSTINSTF.BDB000</v>
      </c>
      <c r="P37" s="117" t="str">
        <f t="shared" si="23"/>
        <v>Customer Payment Instruction</v>
      </c>
      <c r="Q37" s="116" t="str">
        <f t="shared" ca="1" si="6"/>
        <v>9c866e93-2e57-2cf7-3a48-e9beff7d12dd-037</v>
      </c>
      <c r="R37" s="117">
        <f t="shared" si="12"/>
        <v>0</v>
      </c>
      <c r="S37" s="118">
        <f t="shared" ca="1" si="7"/>
        <v>43726</v>
      </c>
      <c r="T37" s="119" t="str">
        <f t="shared" ca="1" si="8"/>
        <v>ext-u1-1300-2e9c6-0037</v>
      </c>
      <c r="U37" s="117" t="str">
        <f>J37</f>
        <v>BDB</v>
      </c>
      <c r="V37" s="117" t="str">
        <f>E37</f>
        <v>PAY</v>
      </c>
      <c r="W37" s="117" t="str">
        <f>C37</f>
        <v>BRL</v>
      </c>
      <c r="X37" s="141">
        <f t="shared" si="9"/>
        <v>-6418.4</v>
      </c>
      <c r="Y37" s="117" t="str">
        <f>L37&amp;"-"&amp;LEFT(K37,1)</f>
        <v>CUSTINST-F</v>
      </c>
      <c r="Z37" s="118" t="str">
        <f t="shared" si="13"/>
        <v>Fixed</v>
      </c>
      <c r="AA37" s="117" t="str">
        <f>"[UC1]"&amp;P37&amp;REPT(" ",28-LEN(P37))&amp;" ["&amp;TEXT(A37,"HH:MM")&amp;"]"</f>
        <v>[UC1]Customer Payment Instruction [13:00]</v>
      </c>
      <c r="AB37" s="121" t="str">
        <f t="shared" si="14"/>
        <v>DEFAULT</v>
      </c>
      <c r="AC37" s="116" t="str">
        <f ca="1">UPPER(LEFT(U37&amp;SUBSTITUTE(N37,"-",""),20))</f>
        <v>BDB9C866E932E572CF73</v>
      </c>
      <c r="AD37" s="117" t="str">
        <f t="shared" si="15"/>
        <v>N</v>
      </c>
      <c r="AE37" s="121" t="str">
        <f t="shared" si="10"/>
        <v>FORECAST</v>
      </c>
      <c r="AI37" s="116" t="str">
        <f ca="1">N37</f>
        <v>9c866e93-2e57-2cf7-3a48-e9beff7d12dd-037</v>
      </c>
      <c r="AJ37" s="117" t="s">
        <v>76</v>
      </c>
      <c r="AK37" s="116" t="str">
        <f ca="1">Q37</f>
        <v>9c866e93-2e57-2cf7-3a48-e9beff7d12dd-037</v>
      </c>
      <c r="AL37" s="117">
        <f>R37</f>
        <v>0</v>
      </c>
      <c r="AM37" s="118">
        <f ca="1">S37</f>
        <v>43726</v>
      </c>
      <c r="AN37" s="119" t="str">
        <f ca="1">T37</f>
        <v>ext-u1-1300-2e9c6-0037</v>
      </c>
      <c r="AO37" s="117" t="str">
        <f>U37</f>
        <v>BDB</v>
      </c>
      <c r="AP37" s="117" t="s">
        <v>78</v>
      </c>
      <c r="AQ37" s="117">
        <f>G37</f>
        <v>4.1171815847619104</v>
      </c>
      <c r="AR37" s="117" t="str">
        <f>H37</f>
        <v>USD</v>
      </c>
      <c r="AS37" s="117" t="str">
        <f>W37</f>
        <v>BRL</v>
      </c>
      <c r="AT37" s="120">
        <f>D37*G37</f>
        <v>26425.718283635844</v>
      </c>
      <c r="AU37" s="120">
        <f t="shared" si="17"/>
        <v>6418.4</v>
      </c>
      <c r="AV37" s="117" t="str">
        <f>Y37</f>
        <v>CUSTINST-F</v>
      </c>
      <c r="AX37" s="117" t="str">
        <f t="shared" si="21"/>
        <v>[UC1]Customer Payment Instruction [13:00]</v>
      </c>
      <c r="AY37" s="117" t="s">
        <v>90</v>
      </c>
      <c r="AZ37" s="116" t="str">
        <f t="shared" ca="1" si="22"/>
        <v>BDB9C866E932E572CF73</v>
      </c>
    </row>
    <row r="38" spans="1:52" x14ac:dyDescent="0.25">
      <c r="A38" s="137">
        <v>0.54166666666666663</v>
      </c>
      <c r="B38" s="150" t="s">
        <v>61</v>
      </c>
      <c r="C38" s="138" t="s">
        <v>10</v>
      </c>
      <c r="D38" s="148">
        <v>6698.6</v>
      </c>
      <c r="E38" s="121" t="s">
        <v>62</v>
      </c>
      <c r="F38" s="121">
        <f t="shared" si="2"/>
        <v>-6698.6</v>
      </c>
      <c r="G38" s="121">
        <v>4.1174144933333299</v>
      </c>
      <c r="H38" s="174" t="s">
        <v>9</v>
      </c>
      <c r="I38" s="121" t="s">
        <v>80</v>
      </c>
      <c r="J38" s="150" t="str">
        <f t="shared" si="18"/>
        <v>BDB</v>
      </c>
      <c r="K38" s="150" t="s">
        <v>85</v>
      </c>
      <c r="L38" s="150" t="s">
        <v>88</v>
      </c>
      <c r="N38" s="116" t="str">
        <f t="shared" ca="1" si="4"/>
        <v>41ee2dd3-15c4-435e-40ae-40e928ea8370-038</v>
      </c>
      <c r="O38" s="116" t="str">
        <f t="shared" si="19"/>
        <v>BRL.CUSTINSTF.BDB000</v>
      </c>
      <c r="P38" s="117" t="str">
        <f t="shared" si="23"/>
        <v>Customer Payment Instruction</v>
      </c>
      <c r="Q38" s="116" t="str">
        <f t="shared" ca="1" si="6"/>
        <v>41ee2dd3-15c4-435e-40ae-40e928ea8370-038</v>
      </c>
      <c r="R38" s="117">
        <f t="shared" si="12"/>
        <v>0</v>
      </c>
      <c r="S38" s="118">
        <f t="shared" ca="1" si="7"/>
        <v>43726</v>
      </c>
      <c r="T38" s="119" t="str">
        <f t="shared" ca="1" si="8"/>
        <v>ext-u1-1300-2e9c6-0038</v>
      </c>
      <c r="U38" s="117" t="str">
        <f>J38</f>
        <v>BDB</v>
      </c>
      <c r="V38" s="117" t="str">
        <f>E38</f>
        <v>PAY</v>
      </c>
      <c r="W38" s="117" t="str">
        <f>C38</f>
        <v>BRL</v>
      </c>
      <c r="X38" s="141">
        <f t="shared" si="9"/>
        <v>-6698.6</v>
      </c>
      <c r="Y38" s="117" t="str">
        <f>L38&amp;"-"&amp;LEFT(K38,1)</f>
        <v>CUSTINST-F</v>
      </c>
      <c r="Z38" s="118" t="str">
        <f t="shared" si="13"/>
        <v>Fixed</v>
      </c>
      <c r="AA38" s="117" t="str">
        <f>"[UC1]"&amp;P38&amp;REPT(" ",28-LEN(P38))&amp;" ["&amp;TEXT(A38,"HH:MM")&amp;"]"</f>
        <v>[UC1]Customer Payment Instruction [13:00]</v>
      </c>
      <c r="AB38" s="121" t="str">
        <f t="shared" si="14"/>
        <v>DEFAULT</v>
      </c>
      <c r="AC38" s="116" t="str">
        <f ca="1">UPPER(LEFT(U38&amp;SUBSTITUTE(N38,"-",""),20))</f>
        <v>BDB41EE2DD315C4435E4</v>
      </c>
      <c r="AD38" s="117" t="str">
        <f t="shared" si="15"/>
        <v>N</v>
      </c>
      <c r="AE38" s="121" t="str">
        <f t="shared" si="10"/>
        <v>FORECAST</v>
      </c>
      <c r="AI38" s="116" t="str">
        <f ca="1">N38</f>
        <v>41ee2dd3-15c4-435e-40ae-40e928ea8370-038</v>
      </c>
      <c r="AJ38" s="117" t="s">
        <v>76</v>
      </c>
      <c r="AK38" s="116" t="str">
        <f ca="1">Q38</f>
        <v>41ee2dd3-15c4-435e-40ae-40e928ea8370-038</v>
      </c>
      <c r="AL38" s="117">
        <f>R38</f>
        <v>0</v>
      </c>
      <c r="AM38" s="118">
        <f ca="1">S38</f>
        <v>43726</v>
      </c>
      <c r="AN38" s="119" t="str">
        <f ca="1">T38</f>
        <v>ext-u1-1300-2e9c6-0038</v>
      </c>
      <c r="AO38" s="117" t="str">
        <f>U38</f>
        <v>BDB</v>
      </c>
      <c r="AP38" s="117" t="s">
        <v>78</v>
      </c>
      <c r="AQ38" s="117">
        <f>G38</f>
        <v>4.1174144933333299</v>
      </c>
      <c r="AR38" s="117" t="str">
        <f>H38</f>
        <v>USD</v>
      </c>
      <c r="AS38" s="117" t="str">
        <f>W38</f>
        <v>BRL</v>
      </c>
      <c r="AT38" s="120">
        <f>D38*G38</f>
        <v>27580.912725042646</v>
      </c>
      <c r="AU38" s="120">
        <f t="shared" si="17"/>
        <v>6698.6</v>
      </c>
      <c r="AV38" s="117" t="str">
        <f>Y38</f>
        <v>CUSTINST-F</v>
      </c>
      <c r="AX38" s="117" t="str">
        <f t="shared" si="21"/>
        <v>[UC1]Customer Payment Instruction [13:00]</v>
      </c>
      <c r="AY38" s="117" t="s">
        <v>90</v>
      </c>
      <c r="AZ38" s="116" t="str">
        <f t="shared" ca="1" si="22"/>
        <v>BDB41EE2DD315C4435E4</v>
      </c>
    </row>
    <row r="39" spans="1:52" x14ac:dyDescent="0.25">
      <c r="A39" s="137">
        <v>0.54166666666666663</v>
      </c>
      <c r="B39" s="150" t="s">
        <v>61</v>
      </c>
      <c r="C39" s="138" t="s">
        <v>10</v>
      </c>
      <c r="D39" s="148">
        <v>6978.8</v>
      </c>
      <c r="E39" s="121" t="s">
        <v>62</v>
      </c>
      <c r="F39" s="121">
        <f t="shared" si="2"/>
        <v>-6978.8</v>
      </c>
      <c r="G39" s="121">
        <v>4.11764740190476</v>
      </c>
      <c r="H39" s="174" t="s">
        <v>9</v>
      </c>
      <c r="I39" s="121" t="s">
        <v>80</v>
      </c>
      <c r="J39" s="150" t="str">
        <f t="shared" si="18"/>
        <v>BDB</v>
      </c>
      <c r="K39" s="150" t="s">
        <v>85</v>
      </c>
      <c r="L39" s="150" t="s">
        <v>88</v>
      </c>
      <c r="N39" s="116" t="str">
        <f t="shared" ca="1" si="4"/>
        <v>bebc01ca-7b0a-6d9b-7d32-27e3304a8875-039</v>
      </c>
      <c r="O39" s="116" t="str">
        <f t="shared" si="19"/>
        <v>BRL.CUSTINSTF.BDB000</v>
      </c>
      <c r="P39" s="117" t="str">
        <f t="shared" si="23"/>
        <v>Customer Payment Instruction</v>
      </c>
      <c r="Q39" s="116" t="str">
        <f t="shared" ca="1" si="6"/>
        <v>bebc01ca-7b0a-6d9b-7d32-27e3304a8875-039</v>
      </c>
      <c r="R39" s="117">
        <f t="shared" si="12"/>
        <v>0</v>
      </c>
      <c r="S39" s="118">
        <f t="shared" ca="1" si="7"/>
        <v>43726</v>
      </c>
      <c r="T39" s="119" t="str">
        <f t="shared" ca="1" si="8"/>
        <v>ext-u1-1300-2e9c6-0039</v>
      </c>
      <c r="U39" s="117" t="str">
        <f>J39</f>
        <v>BDB</v>
      </c>
      <c r="V39" s="117" t="str">
        <f>E39</f>
        <v>PAY</v>
      </c>
      <c r="W39" s="117" t="str">
        <f>C39</f>
        <v>BRL</v>
      </c>
      <c r="X39" s="141">
        <f t="shared" si="9"/>
        <v>-6978.8</v>
      </c>
      <c r="Y39" s="117" t="str">
        <f>L39&amp;"-"&amp;LEFT(K39,1)</f>
        <v>CUSTINST-F</v>
      </c>
      <c r="Z39" s="118" t="str">
        <f t="shared" si="13"/>
        <v>Fixed</v>
      </c>
      <c r="AA39" s="117" t="str">
        <f>"[UC1]"&amp;P39&amp;REPT(" ",28-LEN(P39))&amp;" ["&amp;TEXT(A39,"HH:MM")&amp;"]"</f>
        <v>[UC1]Customer Payment Instruction [13:00]</v>
      </c>
      <c r="AB39" s="121" t="str">
        <f t="shared" si="14"/>
        <v>DEFAULT</v>
      </c>
      <c r="AC39" s="116" t="str">
        <f ca="1">UPPER(LEFT(U39&amp;SUBSTITUTE(N39,"-",""),20))</f>
        <v>BDBBEBC01CA7B0A6D9B7</v>
      </c>
      <c r="AD39" s="117" t="str">
        <f t="shared" si="15"/>
        <v>N</v>
      </c>
      <c r="AE39" s="121" t="str">
        <f t="shared" si="10"/>
        <v>FORECAST</v>
      </c>
      <c r="AI39" s="116" t="str">
        <f ca="1">N39</f>
        <v>bebc01ca-7b0a-6d9b-7d32-27e3304a8875-039</v>
      </c>
      <c r="AJ39" s="117" t="s">
        <v>76</v>
      </c>
      <c r="AK39" s="116" t="str">
        <f ca="1">Q39</f>
        <v>bebc01ca-7b0a-6d9b-7d32-27e3304a8875-039</v>
      </c>
      <c r="AL39" s="117">
        <f>R39</f>
        <v>0</v>
      </c>
      <c r="AM39" s="118">
        <f ca="1">S39</f>
        <v>43726</v>
      </c>
      <c r="AN39" s="119" t="str">
        <f ca="1">T39</f>
        <v>ext-u1-1300-2e9c6-0039</v>
      </c>
      <c r="AO39" s="117" t="str">
        <f>U39</f>
        <v>BDB</v>
      </c>
      <c r="AP39" s="117" t="s">
        <v>78</v>
      </c>
      <c r="AQ39" s="117">
        <f>G39</f>
        <v>4.11764740190476</v>
      </c>
      <c r="AR39" s="117" t="str">
        <f>H39</f>
        <v>USD</v>
      </c>
      <c r="AS39" s="117" t="str">
        <f>W39</f>
        <v>BRL</v>
      </c>
      <c r="AT39" s="120">
        <f>D39*G39</f>
        <v>28736.237688412941</v>
      </c>
      <c r="AU39" s="120">
        <f t="shared" si="17"/>
        <v>6978.8</v>
      </c>
      <c r="AV39" s="117" t="str">
        <f>Y39</f>
        <v>CUSTINST-F</v>
      </c>
      <c r="AX39" s="117" t="str">
        <f t="shared" si="21"/>
        <v>[UC1]Customer Payment Instruction [13:00]</v>
      </c>
      <c r="AY39" s="117" t="s">
        <v>90</v>
      </c>
      <c r="AZ39" s="116" t="str">
        <f t="shared" ca="1" si="22"/>
        <v>BDBBEBC01CA7B0A6D9B7</v>
      </c>
    </row>
    <row r="40" spans="1:52" x14ac:dyDescent="0.25">
      <c r="A40" s="137">
        <v>0.54166666666666663</v>
      </c>
      <c r="B40" s="150" t="s">
        <v>61</v>
      </c>
      <c r="C40" s="138" t="s">
        <v>10</v>
      </c>
      <c r="D40" s="148">
        <v>7259</v>
      </c>
      <c r="E40" s="121" t="s">
        <v>62</v>
      </c>
      <c r="F40" s="121">
        <f t="shared" si="2"/>
        <v>-7259</v>
      </c>
      <c r="G40" s="121">
        <v>4.1178803104761901</v>
      </c>
      <c r="H40" s="174" t="s">
        <v>9</v>
      </c>
      <c r="I40" s="121" t="s">
        <v>80</v>
      </c>
      <c r="J40" s="150" t="str">
        <f t="shared" si="18"/>
        <v>BDB</v>
      </c>
      <c r="K40" s="150" t="s">
        <v>85</v>
      </c>
      <c r="L40" s="150" t="s">
        <v>88</v>
      </c>
      <c r="N40" s="116" t="str">
        <f t="shared" ca="1" si="4"/>
        <v>c58d21ea-3a06-1fc1-3cc3-947578d32507-040</v>
      </c>
      <c r="O40" s="116" t="str">
        <f t="shared" si="19"/>
        <v>BRL.CUSTINSTF.BDB000</v>
      </c>
      <c r="P40" s="117" t="str">
        <f t="shared" si="23"/>
        <v>Customer Payment Instruction</v>
      </c>
      <c r="Q40" s="116" t="str">
        <f t="shared" ca="1" si="6"/>
        <v>c58d21ea-3a06-1fc1-3cc3-947578d32507-040</v>
      </c>
      <c r="R40" s="117">
        <f t="shared" si="12"/>
        <v>0</v>
      </c>
      <c r="S40" s="118">
        <f t="shared" ca="1" si="7"/>
        <v>43726</v>
      </c>
      <c r="T40" s="119" t="str">
        <f t="shared" ca="1" si="8"/>
        <v>ext-u1-1300-2e9c6-0040</v>
      </c>
      <c r="U40" s="117" t="str">
        <f>J40</f>
        <v>BDB</v>
      </c>
      <c r="V40" s="117" t="str">
        <f>E40</f>
        <v>PAY</v>
      </c>
      <c r="W40" s="117" t="str">
        <f>C40</f>
        <v>BRL</v>
      </c>
      <c r="X40" s="141">
        <f t="shared" si="9"/>
        <v>-7259</v>
      </c>
      <c r="Y40" s="117" t="str">
        <f>L40&amp;"-"&amp;LEFT(K40,1)</f>
        <v>CUSTINST-F</v>
      </c>
      <c r="Z40" s="118" t="str">
        <f t="shared" si="13"/>
        <v>Fixed</v>
      </c>
      <c r="AA40" s="117" t="str">
        <f>"[UC1]"&amp;P40&amp;REPT(" ",28-LEN(P40))&amp;" ["&amp;TEXT(A40,"HH:MM")&amp;"]"</f>
        <v>[UC1]Customer Payment Instruction [13:00]</v>
      </c>
      <c r="AB40" s="121" t="str">
        <f t="shared" si="14"/>
        <v>DEFAULT</v>
      </c>
      <c r="AC40" s="116" t="str">
        <f ca="1">UPPER(LEFT(U40&amp;SUBSTITUTE(N40,"-",""),20))</f>
        <v>BDBC58D21EA3A061FC13</v>
      </c>
      <c r="AD40" s="117" t="str">
        <f t="shared" si="15"/>
        <v>N</v>
      </c>
      <c r="AE40" s="121" t="str">
        <f t="shared" si="10"/>
        <v>FORECAST</v>
      </c>
      <c r="AI40" s="116" t="str">
        <f ca="1">N40</f>
        <v>c58d21ea-3a06-1fc1-3cc3-947578d32507-040</v>
      </c>
      <c r="AJ40" s="117" t="s">
        <v>76</v>
      </c>
      <c r="AK40" s="116" t="str">
        <f ca="1">Q40</f>
        <v>c58d21ea-3a06-1fc1-3cc3-947578d32507-040</v>
      </c>
      <c r="AL40" s="117">
        <f>R40</f>
        <v>0</v>
      </c>
      <c r="AM40" s="118">
        <f ca="1">S40</f>
        <v>43726</v>
      </c>
      <c r="AN40" s="119" t="str">
        <f ca="1">T40</f>
        <v>ext-u1-1300-2e9c6-0040</v>
      </c>
      <c r="AO40" s="117" t="str">
        <f>U40</f>
        <v>BDB</v>
      </c>
      <c r="AP40" s="117" t="s">
        <v>78</v>
      </c>
      <c r="AQ40" s="117">
        <f>G40</f>
        <v>4.1178803104761901</v>
      </c>
      <c r="AR40" s="117" t="str">
        <f>H40</f>
        <v>USD</v>
      </c>
      <c r="AS40" s="117" t="str">
        <f>W40</f>
        <v>BRL</v>
      </c>
      <c r="AT40" s="120">
        <f>D40*G40</f>
        <v>29891.693173746662</v>
      </c>
      <c r="AU40" s="120">
        <f t="shared" si="17"/>
        <v>7259</v>
      </c>
      <c r="AV40" s="117" t="str">
        <f>Y40</f>
        <v>CUSTINST-F</v>
      </c>
      <c r="AX40" s="117" t="str">
        <f t="shared" si="21"/>
        <v>[UC1]Customer Payment Instruction [13:00]</v>
      </c>
      <c r="AY40" s="117" t="s">
        <v>90</v>
      </c>
      <c r="AZ40" s="116" t="str">
        <f t="shared" ca="1" si="22"/>
        <v>BDBC58D21EA3A061FC13</v>
      </c>
    </row>
    <row r="41" spans="1:52" x14ac:dyDescent="0.25">
      <c r="A41" s="137">
        <v>0.54166666666666663</v>
      </c>
      <c r="B41" s="150" t="s">
        <v>61</v>
      </c>
      <c r="C41" s="138" t="s">
        <v>10</v>
      </c>
      <c r="D41" s="148">
        <v>7539.2</v>
      </c>
      <c r="E41" s="121" t="s">
        <v>62</v>
      </c>
      <c r="F41" s="121">
        <f t="shared" si="2"/>
        <v>-7539.2</v>
      </c>
      <c r="G41" s="121">
        <v>4.1181132190476202</v>
      </c>
      <c r="H41" s="174" t="s">
        <v>9</v>
      </c>
      <c r="I41" s="121" t="s">
        <v>80</v>
      </c>
      <c r="J41" s="150" t="str">
        <f t="shared" si="18"/>
        <v>BDB</v>
      </c>
      <c r="K41" s="150" t="s">
        <v>85</v>
      </c>
      <c r="L41" s="150" t="s">
        <v>88</v>
      </c>
      <c r="N41" s="116" t="str">
        <f t="shared" ca="1" si="4"/>
        <v>c794696b-0229-3dd1-13b1-a8fc8dd399ec-041</v>
      </c>
      <c r="O41" s="116" t="str">
        <f t="shared" si="19"/>
        <v>BRL.CUSTINSTF.BDB000</v>
      </c>
      <c r="P41" s="117" t="str">
        <f t="shared" si="23"/>
        <v>Customer Payment Instruction</v>
      </c>
      <c r="Q41" s="116" t="str">
        <f t="shared" ca="1" si="6"/>
        <v>c794696b-0229-3dd1-13b1-a8fc8dd399ec-041</v>
      </c>
      <c r="R41" s="117">
        <f t="shared" si="12"/>
        <v>0</v>
      </c>
      <c r="S41" s="118">
        <f t="shared" ca="1" si="7"/>
        <v>43726</v>
      </c>
      <c r="T41" s="119" t="str">
        <f t="shared" ca="1" si="8"/>
        <v>ext-u1-1300-2e9c6-0041</v>
      </c>
      <c r="U41" s="117" t="str">
        <f>J41</f>
        <v>BDB</v>
      </c>
      <c r="V41" s="117" t="str">
        <f>E41</f>
        <v>PAY</v>
      </c>
      <c r="W41" s="117" t="str">
        <f>C41</f>
        <v>BRL</v>
      </c>
      <c r="X41" s="141">
        <f t="shared" si="9"/>
        <v>-7539.2</v>
      </c>
      <c r="Y41" s="117" t="str">
        <f>L41&amp;"-"&amp;LEFT(K41,1)</f>
        <v>CUSTINST-F</v>
      </c>
      <c r="Z41" s="118" t="str">
        <f t="shared" si="13"/>
        <v>Fixed</v>
      </c>
      <c r="AA41" s="117" t="str">
        <f>"[UC1]"&amp;P41&amp;REPT(" ",28-LEN(P41))&amp;" ["&amp;TEXT(A41,"HH:MM")&amp;"]"</f>
        <v>[UC1]Customer Payment Instruction [13:00]</v>
      </c>
      <c r="AB41" s="121" t="str">
        <f t="shared" si="14"/>
        <v>DEFAULT</v>
      </c>
      <c r="AC41" s="116" t="str">
        <f ca="1">UPPER(LEFT(U41&amp;SUBSTITUTE(N41,"-",""),20))</f>
        <v>BDBC794696B02293DD11</v>
      </c>
      <c r="AD41" s="117" t="str">
        <f t="shared" si="15"/>
        <v>N</v>
      </c>
      <c r="AE41" s="121" t="str">
        <f t="shared" si="10"/>
        <v>FORECAST</v>
      </c>
      <c r="AI41" s="116" t="str">
        <f ca="1">N41</f>
        <v>c794696b-0229-3dd1-13b1-a8fc8dd399ec-041</v>
      </c>
      <c r="AJ41" s="117" t="s">
        <v>76</v>
      </c>
      <c r="AK41" s="116" t="str">
        <f ca="1">Q41</f>
        <v>c794696b-0229-3dd1-13b1-a8fc8dd399ec-041</v>
      </c>
      <c r="AL41" s="117">
        <f>R41</f>
        <v>0</v>
      </c>
      <c r="AM41" s="118">
        <f ca="1">S41</f>
        <v>43726</v>
      </c>
      <c r="AN41" s="119" t="str">
        <f ca="1">T41</f>
        <v>ext-u1-1300-2e9c6-0041</v>
      </c>
      <c r="AO41" s="117" t="str">
        <f>U41</f>
        <v>BDB</v>
      </c>
      <c r="AP41" s="117" t="s">
        <v>78</v>
      </c>
      <c r="AQ41" s="117">
        <f>G41</f>
        <v>4.1181132190476202</v>
      </c>
      <c r="AR41" s="117" t="str">
        <f>H41</f>
        <v>USD</v>
      </c>
      <c r="AS41" s="117" t="str">
        <f>W41</f>
        <v>BRL</v>
      </c>
      <c r="AT41" s="120">
        <f>D41*G41</f>
        <v>31047.279181043818</v>
      </c>
      <c r="AU41" s="120">
        <f t="shared" si="17"/>
        <v>7539.2</v>
      </c>
      <c r="AV41" s="117" t="str">
        <f>Y41</f>
        <v>CUSTINST-F</v>
      </c>
      <c r="AX41" s="117" t="str">
        <f t="shared" si="21"/>
        <v>[UC1]Customer Payment Instruction [13:00]</v>
      </c>
      <c r="AY41" s="117" t="s">
        <v>90</v>
      </c>
      <c r="AZ41" s="116" t="str">
        <f t="shared" ca="1" si="22"/>
        <v>BDBC794696B02293DD11</v>
      </c>
    </row>
    <row r="42" spans="1:52" x14ac:dyDescent="0.25">
      <c r="A42" s="137">
        <v>0.54166666666666663</v>
      </c>
      <c r="B42" s="150" t="s">
        <v>61</v>
      </c>
      <c r="C42" s="138" t="s">
        <v>10</v>
      </c>
      <c r="D42" s="148">
        <v>7819.4</v>
      </c>
      <c r="E42" s="121" t="s">
        <v>62</v>
      </c>
      <c r="F42" s="121">
        <f t="shared" si="2"/>
        <v>-7819.4</v>
      </c>
      <c r="G42" s="121">
        <v>4.1183461276190503</v>
      </c>
      <c r="H42" s="174" t="s">
        <v>9</v>
      </c>
      <c r="I42" s="121" t="s">
        <v>80</v>
      </c>
      <c r="J42" s="150" t="str">
        <f t="shared" si="18"/>
        <v>BDB</v>
      </c>
      <c r="K42" s="150" t="s">
        <v>85</v>
      </c>
      <c r="L42" s="150" t="s">
        <v>88</v>
      </c>
      <c r="N42" s="116" t="str">
        <f t="shared" ca="1" si="4"/>
        <v>8ea450a4-109b-0563-849a-861d20f74727-042</v>
      </c>
      <c r="O42" s="116" t="str">
        <f t="shared" si="19"/>
        <v>BRL.CUSTINSTF.BDB000</v>
      </c>
      <c r="P42" s="117" t="str">
        <f t="shared" si="23"/>
        <v>Customer Payment Instruction</v>
      </c>
      <c r="Q42" s="116" t="str">
        <f t="shared" ca="1" si="6"/>
        <v>8ea450a4-109b-0563-849a-861d20f74727-042</v>
      </c>
      <c r="R42" s="117">
        <f t="shared" si="12"/>
        <v>0</v>
      </c>
      <c r="S42" s="118">
        <f t="shared" ca="1" si="7"/>
        <v>43726</v>
      </c>
      <c r="T42" s="119" t="str">
        <f t="shared" ca="1" si="8"/>
        <v>ext-u1-1300-2e9c6-0042</v>
      </c>
      <c r="U42" s="117" t="str">
        <f>J42</f>
        <v>BDB</v>
      </c>
      <c r="V42" s="117" t="str">
        <f>E42</f>
        <v>PAY</v>
      </c>
      <c r="W42" s="117" t="str">
        <f>C42</f>
        <v>BRL</v>
      </c>
      <c r="X42" s="141">
        <f t="shared" si="9"/>
        <v>-7819.4</v>
      </c>
      <c r="Y42" s="117" t="str">
        <f>L42&amp;"-"&amp;LEFT(K42,1)</f>
        <v>CUSTINST-F</v>
      </c>
      <c r="Z42" s="118" t="str">
        <f t="shared" si="13"/>
        <v>Fixed</v>
      </c>
      <c r="AA42" s="117" t="str">
        <f>"[UC1]"&amp;P42&amp;REPT(" ",28-LEN(P42))&amp;" ["&amp;TEXT(A42,"HH:MM")&amp;"]"</f>
        <v>[UC1]Customer Payment Instruction [13:00]</v>
      </c>
      <c r="AB42" s="121" t="str">
        <f t="shared" si="14"/>
        <v>DEFAULT</v>
      </c>
      <c r="AC42" s="116" t="str">
        <f ca="1">UPPER(LEFT(U42&amp;SUBSTITUTE(N42,"-",""),20))</f>
        <v>BDB8EA450A4109B05638</v>
      </c>
      <c r="AD42" s="117" t="str">
        <f t="shared" si="15"/>
        <v>N</v>
      </c>
      <c r="AE42" s="121" t="str">
        <f t="shared" si="10"/>
        <v>FORECAST</v>
      </c>
      <c r="AI42" s="116" t="str">
        <f ca="1">N42</f>
        <v>8ea450a4-109b-0563-849a-861d20f74727-042</v>
      </c>
      <c r="AJ42" s="117" t="s">
        <v>76</v>
      </c>
      <c r="AK42" s="116" t="str">
        <f ca="1">Q42</f>
        <v>8ea450a4-109b-0563-849a-861d20f74727-042</v>
      </c>
      <c r="AL42" s="117">
        <f>R42</f>
        <v>0</v>
      </c>
      <c r="AM42" s="118">
        <f ca="1">S42</f>
        <v>43726</v>
      </c>
      <c r="AN42" s="119" t="str">
        <f ca="1">T42</f>
        <v>ext-u1-1300-2e9c6-0042</v>
      </c>
      <c r="AO42" s="117" t="str">
        <f>U42</f>
        <v>BDB</v>
      </c>
      <c r="AP42" s="117" t="s">
        <v>78</v>
      </c>
      <c r="AQ42" s="117">
        <f>G42</f>
        <v>4.1183461276190503</v>
      </c>
      <c r="AR42" s="117" t="str">
        <f>H42</f>
        <v>USD</v>
      </c>
      <c r="AS42" s="117" t="str">
        <f>W42</f>
        <v>BRL</v>
      </c>
      <c r="AT42" s="120">
        <f>D42*G42</f>
        <v>32202.9957103044</v>
      </c>
      <c r="AU42" s="120">
        <f t="shared" si="17"/>
        <v>7819.4</v>
      </c>
      <c r="AV42" s="117" t="str">
        <f>Y42</f>
        <v>CUSTINST-F</v>
      </c>
      <c r="AX42" s="117" t="str">
        <f t="shared" si="21"/>
        <v>[UC1]Customer Payment Instruction [13:00]</v>
      </c>
      <c r="AY42" s="117" t="s">
        <v>90</v>
      </c>
      <c r="AZ42" s="116" t="str">
        <f t="shared" ca="1" si="22"/>
        <v>BDB8EA450A4109B05638</v>
      </c>
    </row>
    <row r="43" spans="1:52" x14ac:dyDescent="0.25">
      <c r="A43" s="137">
        <v>0.54166666666666663</v>
      </c>
      <c r="B43" s="150" t="s">
        <v>61</v>
      </c>
      <c r="C43" s="138" t="s">
        <v>10</v>
      </c>
      <c r="D43" s="148">
        <v>8099.6</v>
      </c>
      <c r="E43" s="121" t="s">
        <v>62</v>
      </c>
      <c r="F43" s="121">
        <f t="shared" si="2"/>
        <v>-8099.6</v>
      </c>
      <c r="G43" s="121">
        <v>4.1185790361904804</v>
      </c>
      <c r="H43" s="174" t="s">
        <v>9</v>
      </c>
      <c r="I43" s="121" t="s">
        <v>80</v>
      </c>
      <c r="J43" s="150" t="str">
        <f t="shared" si="18"/>
        <v>BDB</v>
      </c>
      <c r="K43" s="150" t="s">
        <v>85</v>
      </c>
      <c r="L43" s="150" t="s">
        <v>88</v>
      </c>
      <c r="N43" s="116" t="str">
        <f t="shared" ca="1" si="4"/>
        <v>e064ceea-7de6-3d11-30ab-2a87b2784682-043</v>
      </c>
      <c r="O43" s="116" t="str">
        <f t="shared" si="19"/>
        <v>BRL.CUSTINSTF.BDB000</v>
      </c>
      <c r="P43" s="117" t="str">
        <f t="shared" si="23"/>
        <v>Customer Payment Instruction</v>
      </c>
      <c r="Q43" s="116" t="str">
        <f t="shared" ca="1" si="6"/>
        <v>e064ceea-7de6-3d11-30ab-2a87b2784682-043</v>
      </c>
      <c r="R43" s="117">
        <f t="shared" si="12"/>
        <v>0</v>
      </c>
      <c r="S43" s="118">
        <f t="shared" ca="1" si="7"/>
        <v>43726</v>
      </c>
      <c r="T43" s="119" t="str">
        <f t="shared" ca="1" si="8"/>
        <v>ext-u1-1300-2e9c6-0043</v>
      </c>
      <c r="U43" s="117" t="str">
        <f>J43</f>
        <v>BDB</v>
      </c>
      <c r="V43" s="117" t="str">
        <f>E43</f>
        <v>PAY</v>
      </c>
      <c r="W43" s="117" t="str">
        <f>C43</f>
        <v>BRL</v>
      </c>
      <c r="X43" s="141">
        <f t="shared" si="9"/>
        <v>-8099.6</v>
      </c>
      <c r="Y43" s="117" t="str">
        <f>L43&amp;"-"&amp;LEFT(K43,1)</f>
        <v>CUSTINST-F</v>
      </c>
      <c r="Z43" s="118" t="str">
        <f t="shared" si="13"/>
        <v>Fixed</v>
      </c>
      <c r="AA43" s="117" t="str">
        <f>"[UC1]"&amp;P43&amp;REPT(" ",28-LEN(P43))&amp;" ["&amp;TEXT(A43,"HH:MM")&amp;"]"</f>
        <v>[UC1]Customer Payment Instruction [13:00]</v>
      </c>
      <c r="AB43" s="121" t="str">
        <f t="shared" si="14"/>
        <v>DEFAULT</v>
      </c>
      <c r="AC43" s="116" t="str">
        <f ca="1">UPPER(LEFT(U43&amp;SUBSTITUTE(N43,"-",""),20))</f>
        <v>BDBE064CEEA7DE63D113</v>
      </c>
      <c r="AD43" s="117" t="str">
        <f t="shared" si="15"/>
        <v>N</v>
      </c>
      <c r="AE43" s="121" t="str">
        <f t="shared" si="10"/>
        <v>FORECAST</v>
      </c>
      <c r="AI43" s="116" t="str">
        <f ca="1">N43</f>
        <v>e064ceea-7de6-3d11-30ab-2a87b2784682-043</v>
      </c>
      <c r="AJ43" s="117" t="s">
        <v>76</v>
      </c>
      <c r="AK43" s="116" t="str">
        <f ca="1">Q43</f>
        <v>e064ceea-7de6-3d11-30ab-2a87b2784682-043</v>
      </c>
      <c r="AL43" s="117">
        <f>R43</f>
        <v>0</v>
      </c>
      <c r="AM43" s="118">
        <f ca="1">S43</f>
        <v>43726</v>
      </c>
      <c r="AN43" s="119" t="str">
        <f ca="1">T43</f>
        <v>ext-u1-1300-2e9c6-0043</v>
      </c>
      <c r="AO43" s="117" t="str">
        <f>U43</f>
        <v>BDB</v>
      </c>
      <c r="AP43" s="117" t="s">
        <v>78</v>
      </c>
      <c r="AQ43" s="117">
        <f>G43</f>
        <v>4.1185790361904804</v>
      </c>
      <c r="AR43" s="117" t="str">
        <f>H43</f>
        <v>USD</v>
      </c>
      <c r="AS43" s="117" t="str">
        <f>W43</f>
        <v>BRL</v>
      </c>
      <c r="AT43" s="120">
        <f>D43*G43</f>
        <v>33358.842761528416</v>
      </c>
      <c r="AU43" s="120">
        <f t="shared" si="17"/>
        <v>8099.6</v>
      </c>
      <c r="AV43" s="117" t="str">
        <f>Y43</f>
        <v>CUSTINST-F</v>
      </c>
      <c r="AX43" s="117" t="str">
        <f t="shared" si="21"/>
        <v>[UC1]Customer Payment Instruction [13:00]</v>
      </c>
      <c r="AY43" s="117" t="s">
        <v>90</v>
      </c>
      <c r="AZ43" s="116" t="str">
        <f t="shared" ca="1" si="22"/>
        <v>BDBE064CEEA7DE63D113</v>
      </c>
    </row>
    <row r="44" spans="1:52" x14ac:dyDescent="0.25">
      <c r="A44" s="137">
        <v>0.54166666666666663</v>
      </c>
      <c r="B44" s="150" t="s">
        <v>61</v>
      </c>
      <c r="C44" s="138" t="s">
        <v>10</v>
      </c>
      <c r="D44" s="148">
        <v>8379.7999999999993</v>
      </c>
      <c r="E44" s="121" t="s">
        <v>62</v>
      </c>
      <c r="F44" s="121">
        <f t="shared" si="2"/>
        <v>-8379.7999999999993</v>
      </c>
      <c r="G44" s="121">
        <v>4.1188119447619096</v>
      </c>
      <c r="H44" s="174" t="s">
        <v>9</v>
      </c>
      <c r="I44" s="121" t="s">
        <v>80</v>
      </c>
      <c r="J44" s="150" t="str">
        <f t="shared" si="18"/>
        <v>BDB</v>
      </c>
      <c r="K44" s="150" t="s">
        <v>85</v>
      </c>
      <c r="L44" s="150" t="s">
        <v>88</v>
      </c>
      <c r="N44" s="116" t="str">
        <f t="shared" ca="1" si="4"/>
        <v>704e3f49-1b0e-2b48-2317-c55397ba4434-044</v>
      </c>
      <c r="O44" s="116" t="str">
        <f t="shared" si="19"/>
        <v>BRL.CUSTINSTF.BDB000</v>
      </c>
      <c r="P44" s="117" t="str">
        <f t="shared" si="23"/>
        <v>Customer Payment Instruction</v>
      </c>
      <c r="Q44" s="116" t="str">
        <f t="shared" ca="1" si="6"/>
        <v>704e3f49-1b0e-2b48-2317-c55397ba4434-044</v>
      </c>
      <c r="R44" s="117">
        <f t="shared" si="12"/>
        <v>0</v>
      </c>
      <c r="S44" s="118">
        <f t="shared" ca="1" si="7"/>
        <v>43726</v>
      </c>
      <c r="T44" s="119" t="str">
        <f t="shared" ca="1" si="8"/>
        <v>ext-u1-1300-2e9c6-0044</v>
      </c>
      <c r="U44" s="117" t="str">
        <f>J44</f>
        <v>BDB</v>
      </c>
      <c r="V44" s="117" t="str">
        <f>E44</f>
        <v>PAY</v>
      </c>
      <c r="W44" s="117" t="str">
        <f>C44</f>
        <v>BRL</v>
      </c>
      <c r="X44" s="141">
        <f t="shared" si="9"/>
        <v>-8379.7999999999993</v>
      </c>
      <c r="Y44" s="117" t="str">
        <f>L44&amp;"-"&amp;LEFT(K44,1)</f>
        <v>CUSTINST-F</v>
      </c>
      <c r="Z44" s="118" t="str">
        <f t="shared" si="13"/>
        <v>Fixed</v>
      </c>
      <c r="AA44" s="117" t="str">
        <f>"[UC1]"&amp;P44&amp;REPT(" ",28-LEN(P44))&amp;" ["&amp;TEXT(A44,"HH:MM")&amp;"]"</f>
        <v>[UC1]Customer Payment Instruction [13:00]</v>
      </c>
      <c r="AB44" s="121" t="str">
        <f t="shared" si="14"/>
        <v>DEFAULT</v>
      </c>
      <c r="AC44" s="116" t="str">
        <f ca="1">UPPER(LEFT(U44&amp;SUBSTITUTE(N44,"-",""),20))</f>
        <v>BDB704E3F491B0E2B482</v>
      </c>
      <c r="AD44" s="117" t="str">
        <f t="shared" si="15"/>
        <v>N</v>
      </c>
      <c r="AE44" s="121" t="str">
        <f t="shared" si="10"/>
        <v>FORECAST</v>
      </c>
      <c r="AI44" s="116" t="str">
        <f ca="1">N44</f>
        <v>704e3f49-1b0e-2b48-2317-c55397ba4434-044</v>
      </c>
      <c r="AJ44" s="117" t="s">
        <v>76</v>
      </c>
      <c r="AK44" s="116" t="str">
        <f ca="1">Q44</f>
        <v>704e3f49-1b0e-2b48-2317-c55397ba4434-044</v>
      </c>
      <c r="AL44" s="117">
        <f>R44</f>
        <v>0</v>
      </c>
      <c r="AM44" s="118">
        <f ca="1">S44</f>
        <v>43726</v>
      </c>
      <c r="AN44" s="119" t="str">
        <f ca="1">T44</f>
        <v>ext-u1-1300-2e9c6-0044</v>
      </c>
      <c r="AO44" s="117" t="str">
        <f>U44</f>
        <v>BDB</v>
      </c>
      <c r="AP44" s="117" t="s">
        <v>78</v>
      </c>
      <c r="AQ44" s="117">
        <f>G44</f>
        <v>4.1188119447619096</v>
      </c>
      <c r="AR44" s="117" t="str">
        <f>H44</f>
        <v>USD</v>
      </c>
      <c r="AS44" s="117" t="str">
        <f>W44</f>
        <v>BRL</v>
      </c>
      <c r="AT44" s="120">
        <f>D44*G44</f>
        <v>34514.820334715849</v>
      </c>
      <c r="AU44" s="120">
        <f t="shared" si="17"/>
        <v>8379.7999999999993</v>
      </c>
      <c r="AV44" s="117" t="str">
        <f>Y44</f>
        <v>CUSTINST-F</v>
      </c>
      <c r="AX44" s="117" t="str">
        <f t="shared" si="21"/>
        <v>[UC1]Customer Payment Instruction [13:00]</v>
      </c>
      <c r="AY44" s="117" t="s">
        <v>90</v>
      </c>
      <c r="AZ44" s="116" t="str">
        <f t="shared" ca="1" si="22"/>
        <v>BDB704E3F491B0E2B482</v>
      </c>
    </row>
    <row r="45" spans="1:52" x14ac:dyDescent="0.25">
      <c r="A45" s="137">
        <v>0.54166666666666663</v>
      </c>
      <c r="B45" s="150" t="s">
        <v>61</v>
      </c>
      <c r="C45" s="138" t="s">
        <v>10</v>
      </c>
      <c r="D45" s="148">
        <v>8660</v>
      </c>
      <c r="E45" s="121" t="s">
        <v>62</v>
      </c>
      <c r="F45" s="121">
        <f t="shared" si="2"/>
        <v>-8660</v>
      </c>
      <c r="G45" s="121">
        <v>4.1190448533333299</v>
      </c>
      <c r="H45" s="174" t="s">
        <v>9</v>
      </c>
      <c r="I45" s="121" t="s">
        <v>80</v>
      </c>
      <c r="J45" s="150" t="str">
        <f t="shared" si="18"/>
        <v>BDB</v>
      </c>
      <c r="K45" s="150" t="s">
        <v>85</v>
      </c>
      <c r="L45" s="150" t="s">
        <v>88</v>
      </c>
      <c r="N45" s="116" t="str">
        <f t="shared" ca="1" si="4"/>
        <v>2ca95c19-4512-a122-3683-974ab8851d06-045</v>
      </c>
      <c r="O45" s="116" t="str">
        <f t="shared" si="19"/>
        <v>BRL.CUSTINSTF.BDB000</v>
      </c>
      <c r="P45" s="117" t="str">
        <f t="shared" si="23"/>
        <v>Customer Payment Instruction</v>
      </c>
      <c r="Q45" s="116" t="str">
        <f t="shared" ca="1" si="6"/>
        <v>2ca95c19-4512-a122-3683-974ab8851d06-045</v>
      </c>
      <c r="R45" s="117">
        <f t="shared" si="12"/>
        <v>0</v>
      </c>
      <c r="S45" s="118">
        <f t="shared" ca="1" si="7"/>
        <v>43726</v>
      </c>
      <c r="T45" s="119" t="str">
        <f t="shared" ca="1" si="8"/>
        <v>ext-u1-1300-2e9c6-0045</v>
      </c>
      <c r="U45" s="117" t="str">
        <f>J45</f>
        <v>BDB</v>
      </c>
      <c r="V45" s="117" t="str">
        <f>E45</f>
        <v>PAY</v>
      </c>
      <c r="W45" s="117" t="str">
        <f>C45</f>
        <v>BRL</v>
      </c>
      <c r="X45" s="141">
        <f t="shared" si="9"/>
        <v>-8660</v>
      </c>
      <c r="Y45" s="117" t="str">
        <f>L45&amp;"-"&amp;LEFT(K45,1)</f>
        <v>CUSTINST-F</v>
      </c>
      <c r="Z45" s="118" t="str">
        <f t="shared" si="13"/>
        <v>Fixed</v>
      </c>
      <c r="AA45" s="117" t="str">
        <f>"[UC1]"&amp;P45&amp;REPT(" ",28-LEN(P45))&amp;" ["&amp;TEXT(A45,"HH:MM")&amp;"]"</f>
        <v>[UC1]Customer Payment Instruction [13:00]</v>
      </c>
      <c r="AB45" s="121" t="str">
        <f t="shared" si="14"/>
        <v>DEFAULT</v>
      </c>
      <c r="AC45" s="116" t="str">
        <f ca="1">UPPER(LEFT(U45&amp;SUBSTITUTE(N45,"-",""),20))</f>
        <v>BDB2CA95C194512A1223</v>
      </c>
      <c r="AD45" s="117" t="str">
        <f t="shared" si="15"/>
        <v>N</v>
      </c>
      <c r="AE45" s="121" t="str">
        <f t="shared" si="10"/>
        <v>FORECAST</v>
      </c>
      <c r="AI45" s="116" t="str">
        <f ca="1">N45</f>
        <v>2ca95c19-4512-a122-3683-974ab8851d06-045</v>
      </c>
      <c r="AJ45" s="117" t="s">
        <v>76</v>
      </c>
      <c r="AK45" s="116" t="str">
        <f ca="1">Q45</f>
        <v>2ca95c19-4512-a122-3683-974ab8851d06-045</v>
      </c>
      <c r="AL45" s="117">
        <f>R45</f>
        <v>0</v>
      </c>
      <c r="AM45" s="118">
        <f ca="1">S45</f>
        <v>43726</v>
      </c>
      <c r="AN45" s="119" t="str">
        <f ca="1">T45</f>
        <v>ext-u1-1300-2e9c6-0045</v>
      </c>
      <c r="AO45" s="117" t="str">
        <f>U45</f>
        <v>BDB</v>
      </c>
      <c r="AP45" s="117" t="s">
        <v>78</v>
      </c>
      <c r="AQ45" s="117">
        <f>G45</f>
        <v>4.1190448533333299</v>
      </c>
      <c r="AR45" s="117" t="str">
        <f>H45</f>
        <v>USD</v>
      </c>
      <c r="AS45" s="117" t="str">
        <f>W45</f>
        <v>BRL</v>
      </c>
      <c r="AT45" s="120">
        <f>D45*G45</f>
        <v>35670.928429866639</v>
      </c>
      <c r="AU45" s="120">
        <f t="shared" si="17"/>
        <v>8660</v>
      </c>
      <c r="AV45" s="117" t="str">
        <f>Y45</f>
        <v>CUSTINST-F</v>
      </c>
      <c r="AX45" s="117" t="str">
        <f t="shared" si="21"/>
        <v>[UC1]Customer Payment Instruction [13:00]</v>
      </c>
      <c r="AY45" s="117" t="s">
        <v>90</v>
      </c>
      <c r="AZ45" s="116" t="str">
        <f t="shared" ca="1" si="22"/>
        <v>BDB2CA95C194512A1223</v>
      </c>
    </row>
    <row r="46" spans="1:52" x14ac:dyDescent="0.25">
      <c r="A46" s="137">
        <v>0.54166666666666663</v>
      </c>
      <c r="B46" s="150" t="s">
        <v>61</v>
      </c>
      <c r="C46" s="138" t="s">
        <v>10</v>
      </c>
      <c r="D46" s="148">
        <v>8940.2000000000007</v>
      </c>
      <c r="E46" s="121" t="s">
        <v>62</v>
      </c>
      <c r="F46" s="121">
        <f t="shared" si="2"/>
        <v>-8940.2000000000007</v>
      </c>
      <c r="G46" s="121">
        <v>4.11927776190476</v>
      </c>
      <c r="H46" s="174" t="s">
        <v>9</v>
      </c>
      <c r="I46" s="121" t="s">
        <v>80</v>
      </c>
      <c r="J46" s="150" t="str">
        <f t="shared" si="18"/>
        <v>BDB</v>
      </c>
      <c r="K46" s="150" t="s">
        <v>85</v>
      </c>
      <c r="L46" s="150" t="s">
        <v>88</v>
      </c>
      <c r="N46" s="116" t="str">
        <f t="shared" ca="1" si="4"/>
        <v>d5e352d3-67db-6de3-6161-9dfaa9687318-046</v>
      </c>
      <c r="O46" s="116" t="str">
        <f t="shared" si="19"/>
        <v>BRL.CUSTINSTF.BDB000</v>
      </c>
      <c r="P46" s="117" t="str">
        <f t="shared" si="23"/>
        <v>Customer Payment Instruction</v>
      </c>
      <c r="Q46" s="116" t="str">
        <f t="shared" ca="1" si="6"/>
        <v>d5e352d3-67db-6de3-6161-9dfaa9687318-046</v>
      </c>
      <c r="R46" s="117">
        <f t="shared" si="12"/>
        <v>0</v>
      </c>
      <c r="S46" s="118">
        <f t="shared" ca="1" si="7"/>
        <v>43726</v>
      </c>
      <c r="T46" s="119" t="str">
        <f t="shared" ca="1" si="8"/>
        <v>ext-u1-1300-2e9c6-0046</v>
      </c>
      <c r="U46" s="117" t="str">
        <f>J46</f>
        <v>BDB</v>
      </c>
      <c r="V46" s="117" t="str">
        <f>E46</f>
        <v>PAY</v>
      </c>
      <c r="W46" s="117" t="str">
        <f>C46</f>
        <v>BRL</v>
      </c>
      <c r="X46" s="141">
        <f t="shared" si="9"/>
        <v>-8940.2000000000007</v>
      </c>
      <c r="Y46" s="117" t="str">
        <f>L46&amp;"-"&amp;LEFT(K46,1)</f>
        <v>CUSTINST-F</v>
      </c>
      <c r="Z46" s="118" t="str">
        <f t="shared" si="13"/>
        <v>Fixed</v>
      </c>
      <c r="AA46" s="117" t="str">
        <f>"[UC1]"&amp;P46&amp;REPT(" ",28-LEN(P46))&amp;" ["&amp;TEXT(A46,"HH:MM")&amp;"]"</f>
        <v>[UC1]Customer Payment Instruction [13:00]</v>
      </c>
      <c r="AB46" s="121" t="str">
        <f t="shared" si="14"/>
        <v>DEFAULT</v>
      </c>
      <c r="AC46" s="116" t="str">
        <f ca="1">UPPER(LEFT(U46&amp;SUBSTITUTE(N46,"-",""),20))</f>
        <v>BDBD5E352D367DB6DE36</v>
      </c>
      <c r="AD46" s="117" t="str">
        <f t="shared" si="15"/>
        <v>N</v>
      </c>
      <c r="AE46" s="121" t="str">
        <f t="shared" si="10"/>
        <v>FORECAST</v>
      </c>
      <c r="AI46" s="116" t="str">
        <f ca="1">N46</f>
        <v>d5e352d3-67db-6de3-6161-9dfaa9687318-046</v>
      </c>
      <c r="AJ46" s="117" t="s">
        <v>76</v>
      </c>
      <c r="AK46" s="116" t="str">
        <f ca="1">Q46</f>
        <v>d5e352d3-67db-6de3-6161-9dfaa9687318-046</v>
      </c>
      <c r="AL46" s="117">
        <f>R46</f>
        <v>0</v>
      </c>
      <c r="AM46" s="118">
        <f ca="1">S46</f>
        <v>43726</v>
      </c>
      <c r="AN46" s="119" t="str">
        <f ca="1">T46</f>
        <v>ext-u1-1300-2e9c6-0046</v>
      </c>
      <c r="AO46" s="117" t="str">
        <f>U46</f>
        <v>BDB</v>
      </c>
      <c r="AP46" s="117" t="s">
        <v>78</v>
      </c>
      <c r="AQ46" s="117">
        <f>G46</f>
        <v>4.11927776190476</v>
      </c>
      <c r="AR46" s="117" t="str">
        <f>H46</f>
        <v>USD</v>
      </c>
      <c r="AS46" s="117" t="str">
        <f>W46</f>
        <v>BRL</v>
      </c>
      <c r="AT46" s="120">
        <f>D46*G46</f>
        <v>36827.16704698094</v>
      </c>
      <c r="AU46" s="120">
        <f t="shared" si="17"/>
        <v>8940.2000000000007</v>
      </c>
      <c r="AV46" s="117" t="str">
        <f>Y46</f>
        <v>CUSTINST-F</v>
      </c>
      <c r="AX46" s="117" t="str">
        <f t="shared" si="21"/>
        <v>[UC1]Customer Payment Instruction [13:00]</v>
      </c>
      <c r="AY46" s="117" t="s">
        <v>90</v>
      </c>
      <c r="AZ46" s="116" t="str">
        <f t="shared" ca="1" si="22"/>
        <v>BDBD5E352D367DB6DE36</v>
      </c>
    </row>
    <row r="47" spans="1:52" x14ac:dyDescent="0.25">
      <c r="A47" s="137">
        <v>0.54166666666666663</v>
      </c>
      <c r="B47" s="150" t="s">
        <v>61</v>
      </c>
      <c r="C47" s="138" t="s">
        <v>10</v>
      </c>
      <c r="D47" s="148">
        <v>9220.4</v>
      </c>
      <c r="E47" s="121" t="s">
        <v>62</v>
      </c>
      <c r="F47" s="121">
        <f t="shared" si="2"/>
        <v>-9220.4</v>
      </c>
      <c r="G47" s="121">
        <v>4.1195106704761901</v>
      </c>
      <c r="H47" s="174" t="s">
        <v>9</v>
      </c>
      <c r="I47" s="121" t="s">
        <v>80</v>
      </c>
      <c r="J47" s="150" t="str">
        <f t="shared" si="18"/>
        <v>BDB</v>
      </c>
      <c r="K47" s="150" t="s">
        <v>85</v>
      </c>
      <c r="L47" s="150" t="s">
        <v>88</v>
      </c>
      <c r="N47" s="116" t="str">
        <f t="shared" ca="1" si="4"/>
        <v>1a281e9c-0d39-1dfc-898a-bd99c7869156-047</v>
      </c>
      <c r="O47" s="116" t="str">
        <f t="shared" si="19"/>
        <v>BRL.CUSTINSTF.BDB000</v>
      </c>
      <c r="P47" s="117" t="str">
        <f t="shared" si="23"/>
        <v>Customer Payment Instruction</v>
      </c>
      <c r="Q47" s="116" t="str">
        <f t="shared" ca="1" si="6"/>
        <v>1a281e9c-0d39-1dfc-898a-bd99c7869156-047</v>
      </c>
      <c r="R47" s="117">
        <f t="shared" si="12"/>
        <v>0</v>
      </c>
      <c r="S47" s="118">
        <f t="shared" ca="1" si="7"/>
        <v>43726</v>
      </c>
      <c r="T47" s="119" t="str">
        <f t="shared" ca="1" si="8"/>
        <v>ext-u1-1300-2e9c6-0047</v>
      </c>
      <c r="U47" s="117" t="str">
        <f>J47</f>
        <v>BDB</v>
      </c>
      <c r="V47" s="117" t="str">
        <f>E47</f>
        <v>PAY</v>
      </c>
      <c r="W47" s="117" t="str">
        <f>C47</f>
        <v>BRL</v>
      </c>
      <c r="X47" s="141">
        <f t="shared" si="9"/>
        <v>-9220.4</v>
      </c>
      <c r="Y47" s="117" t="str">
        <f>L47&amp;"-"&amp;LEFT(K47,1)</f>
        <v>CUSTINST-F</v>
      </c>
      <c r="Z47" s="118" t="str">
        <f t="shared" si="13"/>
        <v>Fixed</v>
      </c>
      <c r="AA47" s="117" t="str">
        <f>"[UC1]"&amp;P47&amp;REPT(" ",28-LEN(P47))&amp;" ["&amp;TEXT(A47,"HH:MM")&amp;"]"</f>
        <v>[UC1]Customer Payment Instruction [13:00]</v>
      </c>
      <c r="AB47" s="121" t="str">
        <f t="shared" si="14"/>
        <v>DEFAULT</v>
      </c>
      <c r="AC47" s="116" t="str">
        <f ca="1">UPPER(LEFT(U47&amp;SUBSTITUTE(N47,"-",""),20))</f>
        <v>BDB1A281E9C0D391DFC8</v>
      </c>
      <c r="AD47" s="117" t="str">
        <f t="shared" si="15"/>
        <v>N</v>
      </c>
      <c r="AE47" s="121" t="str">
        <f t="shared" si="10"/>
        <v>FORECAST</v>
      </c>
      <c r="AI47" s="116" t="str">
        <f ca="1">N47</f>
        <v>1a281e9c-0d39-1dfc-898a-bd99c7869156-047</v>
      </c>
      <c r="AJ47" s="117" t="s">
        <v>76</v>
      </c>
      <c r="AK47" s="116" t="str">
        <f ca="1">Q47</f>
        <v>1a281e9c-0d39-1dfc-898a-bd99c7869156-047</v>
      </c>
      <c r="AL47" s="117">
        <f>R47</f>
        <v>0</v>
      </c>
      <c r="AM47" s="118">
        <f ca="1">S47</f>
        <v>43726</v>
      </c>
      <c r="AN47" s="119" t="str">
        <f ca="1">T47</f>
        <v>ext-u1-1300-2e9c6-0047</v>
      </c>
      <c r="AO47" s="117" t="str">
        <f>U47</f>
        <v>BDB</v>
      </c>
      <c r="AP47" s="117" t="s">
        <v>78</v>
      </c>
      <c r="AQ47" s="117">
        <f>G47</f>
        <v>4.1195106704761901</v>
      </c>
      <c r="AR47" s="117" t="str">
        <f>H47</f>
        <v>USD</v>
      </c>
      <c r="AS47" s="117" t="str">
        <f>W47</f>
        <v>BRL</v>
      </c>
      <c r="AT47" s="120">
        <f>D47*G47</f>
        <v>37983.536186058664</v>
      </c>
      <c r="AU47" s="120">
        <f t="shared" si="17"/>
        <v>9220.4</v>
      </c>
      <c r="AV47" s="117" t="str">
        <f>Y47</f>
        <v>CUSTINST-F</v>
      </c>
      <c r="AX47" s="117" t="str">
        <f t="shared" si="21"/>
        <v>[UC1]Customer Payment Instruction [13:00]</v>
      </c>
      <c r="AY47" s="117" t="s">
        <v>90</v>
      </c>
      <c r="AZ47" s="116" t="str">
        <f t="shared" ca="1" si="22"/>
        <v>BDB1A281E9C0D391DFC8</v>
      </c>
    </row>
    <row r="48" spans="1:52" x14ac:dyDescent="0.25">
      <c r="A48" s="137">
        <v>0.54166666666666663</v>
      </c>
      <c r="B48" s="150" t="s">
        <v>61</v>
      </c>
      <c r="C48" s="138" t="s">
        <v>10</v>
      </c>
      <c r="D48" s="148">
        <v>9500.6</v>
      </c>
      <c r="E48" s="121" t="s">
        <v>62</v>
      </c>
      <c r="F48" s="121">
        <f t="shared" si="2"/>
        <v>-9500.6</v>
      </c>
      <c r="G48" s="121">
        <v>4.1197435790476202</v>
      </c>
      <c r="H48" s="174" t="s">
        <v>9</v>
      </c>
      <c r="I48" s="121" t="s">
        <v>80</v>
      </c>
      <c r="J48" s="150" t="str">
        <f t="shared" si="18"/>
        <v>BDB</v>
      </c>
      <c r="K48" s="150" t="s">
        <v>85</v>
      </c>
      <c r="L48" s="150" t="s">
        <v>88</v>
      </c>
      <c r="N48" s="116" t="str">
        <f t="shared" ca="1" si="4"/>
        <v>6a76c6ec-a737-0b12-3c8f-12a0dd0b8186-048</v>
      </c>
      <c r="O48" s="116" t="str">
        <f t="shared" si="19"/>
        <v>BRL.CUSTINSTF.BDB000</v>
      </c>
      <c r="P48" s="117" t="str">
        <f t="shared" si="23"/>
        <v>Customer Payment Instruction</v>
      </c>
      <c r="Q48" s="116" t="str">
        <f t="shared" ca="1" si="6"/>
        <v>6a76c6ec-a737-0b12-3c8f-12a0dd0b8186-048</v>
      </c>
      <c r="R48" s="117">
        <f t="shared" si="12"/>
        <v>0</v>
      </c>
      <c r="S48" s="118">
        <f t="shared" ca="1" si="7"/>
        <v>43726</v>
      </c>
      <c r="T48" s="119" t="str">
        <f t="shared" ca="1" si="8"/>
        <v>ext-u1-1300-2e9c6-0048</v>
      </c>
      <c r="U48" s="117" t="str">
        <f>J48</f>
        <v>BDB</v>
      </c>
      <c r="V48" s="117" t="str">
        <f>E48</f>
        <v>PAY</v>
      </c>
      <c r="W48" s="117" t="str">
        <f>C48</f>
        <v>BRL</v>
      </c>
      <c r="X48" s="141">
        <f t="shared" si="9"/>
        <v>-9500.6</v>
      </c>
      <c r="Y48" s="117" t="str">
        <f>L48&amp;"-"&amp;LEFT(K48,1)</f>
        <v>CUSTINST-F</v>
      </c>
      <c r="Z48" s="118" t="str">
        <f t="shared" si="13"/>
        <v>Fixed</v>
      </c>
      <c r="AA48" s="117" t="str">
        <f>"[UC1]"&amp;P48&amp;REPT(" ",28-LEN(P48))&amp;" ["&amp;TEXT(A48,"HH:MM")&amp;"]"</f>
        <v>[UC1]Customer Payment Instruction [13:00]</v>
      </c>
      <c r="AB48" s="121" t="str">
        <f t="shared" si="14"/>
        <v>DEFAULT</v>
      </c>
      <c r="AC48" s="116" t="str">
        <f ca="1">UPPER(LEFT(U48&amp;SUBSTITUTE(N48,"-",""),20))</f>
        <v>BDB6A76C6ECA7370B123</v>
      </c>
      <c r="AD48" s="117" t="str">
        <f t="shared" si="15"/>
        <v>N</v>
      </c>
      <c r="AE48" s="121" t="str">
        <f t="shared" si="10"/>
        <v>FORECAST</v>
      </c>
      <c r="AI48" s="116" t="str">
        <f ca="1">N48</f>
        <v>6a76c6ec-a737-0b12-3c8f-12a0dd0b8186-048</v>
      </c>
      <c r="AJ48" s="117" t="s">
        <v>76</v>
      </c>
      <c r="AK48" s="116" t="str">
        <f ca="1">Q48</f>
        <v>6a76c6ec-a737-0b12-3c8f-12a0dd0b8186-048</v>
      </c>
      <c r="AL48" s="117">
        <f>R48</f>
        <v>0</v>
      </c>
      <c r="AM48" s="118">
        <f ca="1">S48</f>
        <v>43726</v>
      </c>
      <c r="AN48" s="119" t="str">
        <f ca="1">T48</f>
        <v>ext-u1-1300-2e9c6-0048</v>
      </c>
      <c r="AO48" s="117" t="str">
        <f>U48</f>
        <v>BDB</v>
      </c>
      <c r="AP48" s="117" t="s">
        <v>78</v>
      </c>
      <c r="AQ48" s="117">
        <f>G48</f>
        <v>4.1197435790476202</v>
      </c>
      <c r="AR48" s="117" t="str">
        <f>H48</f>
        <v>USD</v>
      </c>
      <c r="AS48" s="117" t="str">
        <f>W48</f>
        <v>BRL</v>
      </c>
      <c r="AT48" s="120">
        <f>D48*G48</f>
        <v>39140.035847099825</v>
      </c>
      <c r="AU48" s="120">
        <f t="shared" si="17"/>
        <v>9500.6</v>
      </c>
      <c r="AV48" s="117" t="str">
        <f>Y48</f>
        <v>CUSTINST-F</v>
      </c>
      <c r="AX48" s="117" t="str">
        <f t="shared" si="21"/>
        <v>[UC1]Customer Payment Instruction [13:00]</v>
      </c>
      <c r="AY48" s="117" t="s">
        <v>90</v>
      </c>
      <c r="AZ48" s="116" t="str">
        <f t="shared" ca="1" si="22"/>
        <v>BDB6A76C6ECA7370B123</v>
      </c>
    </row>
    <row r="49" spans="1:52" x14ac:dyDescent="0.25">
      <c r="A49" s="137">
        <v>0.54166666666666663</v>
      </c>
      <c r="B49" s="150" t="s">
        <v>61</v>
      </c>
      <c r="C49" s="138" t="s">
        <v>10</v>
      </c>
      <c r="D49" s="148">
        <v>9780.7999999999993</v>
      </c>
      <c r="E49" s="121" t="s">
        <v>62</v>
      </c>
      <c r="F49" s="121">
        <f t="shared" si="2"/>
        <v>-9780.7999999999993</v>
      </c>
      <c r="G49" s="121">
        <v>4.1199764876190503</v>
      </c>
      <c r="H49" s="174" t="s">
        <v>9</v>
      </c>
      <c r="I49" s="121" t="s">
        <v>80</v>
      </c>
      <c r="J49" s="150" t="str">
        <f t="shared" si="18"/>
        <v>BDB</v>
      </c>
      <c r="K49" s="150" t="s">
        <v>85</v>
      </c>
      <c r="L49" s="150" t="s">
        <v>88</v>
      </c>
      <c r="N49" s="116" t="str">
        <f t="shared" ca="1" si="4"/>
        <v>86c92675-5798-2f60-473d-24f309af1eb6-049</v>
      </c>
      <c r="O49" s="116" t="str">
        <f t="shared" si="19"/>
        <v>BRL.CUSTINSTF.BDB000</v>
      </c>
      <c r="P49" s="117" t="str">
        <f t="shared" si="23"/>
        <v>Customer Payment Instruction</v>
      </c>
      <c r="Q49" s="116" t="str">
        <f t="shared" ca="1" si="6"/>
        <v>86c92675-5798-2f60-473d-24f309af1eb6-049</v>
      </c>
      <c r="R49" s="117">
        <f t="shared" si="12"/>
        <v>0</v>
      </c>
      <c r="S49" s="118">
        <f t="shared" ca="1" si="7"/>
        <v>43726</v>
      </c>
      <c r="T49" s="119" t="str">
        <f t="shared" ca="1" si="8"/>
        <v>ext-u1-1300-2e9c6-0049</v>
      </c>
      <c r="U49" s="117" t="str">
        <f>J49</f>
        <v>BDB</v>
      </c>
      <c r="V49" s="117" t="str">
        <f>E49</f>
        <v>PAY</v>
      </c>
      <c r="W49" s="117" t="str">
        <f>C49</f>
        <v>BRL</v>
      </c>
      <c r="X49" s="141">
        <f t="shared" si="9"/>
        <v>-9780.7999999999993</v>
      </c>
      <c r="Y49" s="117" t="str">
        <f>L49&amp;"-"&amp;LEFT(K49,1)</f>
        <v>CUSTINST-F</v>
      </c>
      <c r="Z49" s="118" t="str">
        <f t="shared" si="13"/>
        <v>Fixed</v>
      </c>
      <c r="AA49" s="117" t="str">
        <f>"[UC1]"&amp;P49&amp;REPT(" ",28-LEN(P49))&amp;" ["&amp;TEXT(A49,"HH:MM")&amp;"]"</f>
        <v>[UC1]Customer Payment Instruction [13:00]</v>
      </c>
      <c r="AB49" s="121" t="str">
        <f t="shared" si="14"/>
        <v>DEFAULT</v>
      </c>
      <c r="AC49" s="116" t="str">
        <f ca="1">UPPER(LEFT(U49&amp;SUBSTITUTE(N49,"-",""),20))</f>
        <v>BDB86C9267557982F604</v>
      </c>
      <c r="AD49" s="117" t="str">
        <f t="shared" si="15"/>
        <v>N</v>
      </c>
      <c r="AE49" s="121" t="str">
        <f t="shared" si="10"/>
        <v>FORECAST</v>
      </c>
      <c r="AI49" s="116" t="str">
        <f ca="1">N49</f>
        <v>86c92675-5798-2f60-473d-24f309af1eb6-049</v>
      </c>
      <c r="AJ49" s="117" t="s">
        <v>76</v>
      </c>
      <c r="AK49" s="116" t="str">
        <f ca="1">Q49</f>
        <v>86c92675-5798-2f60-473d-24f309af1eb6-049</v>
      </c>
      <c r="AL49" s="117">
        <f>R49</f>
        <v>0</v>
      </c>
      <c r="AM49" s="118">
        <f ca="1">S49</f>
        <v>43726</v>
      </c>
      <c r="AN49" s="119" t="str">
        <f ca="1">T49</f>
        <v>ext-u1-1300-2e9c6-0049</v>
      </c>
      <c r="AO49" s="117" t="str">
        <f>U49</f>
        <v>BDB</v>
      </c>
      <c r="AP49" s="117" t="s">
        <v>78</v>
      </c>
      <c r="AQ49" s="117">
        <f>G49</f>
        <v>4.1199764876190503</v>
      </c>
      <c r="AR49" s="117" t="str">
        <f>H49</f>
        <v>USD</v>
      </c>
      <c r="AS49" s="117" t="str">
        <f>W49</f>
        <v>BRL</v>
      </c>
      <c r="AT49" s="120">
        <f>D49*G49</f>
        <v>40296.666030104403</v>
      </c>
      <c r="AU49" s="120">
        <f t="shared" si="17"/>
        <v>9780.7999999999993</v>
      </c>
      <c r="AV49" s="117" t="str">
        <f>Y49</f>
        <v>CUSTINST-F</v>
      </c>
      <c r="AX49" s="117" t="str">
        <f t="shared" si="21"/>
        <v>[UC1]Customer Payment Instruction [13:00]</v>
      </c>
      <c r="AY49" s="117" t="s">
        <v>90</v>
      </c>
      <c r="AZ49" s="116" t="str">
        <f t="shared" ca="1" si="22"/>
        <v>BDB86C9267557982F604</v>
      </c>
    </row>
    <row r="50" spans="1:52" ht="15.75" thickBot="1" x14ac:dyDescent="0.3">
      <c r="A50" s="137">
        <v>0.54166666666666663</v>
      </c>
      <c r="B50" s="150" t="s">
        <v>61</v>
      </c>
      <c r="C50" s="139" t="s">
        <v>10</v>
      </c>
      <c r="D50" s="149">
        <v>10061</v>
      </c>
      <c r="E50" s="121" t="s">
        <v>62</v>
      </c>
      <c r="F50" s="121">
        <f t="shared" si="2"/>
        <v>-10061</v>
      </c>
      <c r="G50" s="121">
        <v>4.1202093961904804</v>
      </c>
      <c r="H50" s="174" t="s">
        <v>9</v>
      </c>
      <c r="I50" s="121" t="s">
        <v>80</v>
      </c>
      <c r="J50" s="150" t="str">
        <f t="shared" si="18"/>
        <v>BDB</v>
      </c>
      <c r="K50" s="150" t="s">
        <v>85</v>
      </c>
      <c r="L50" s="150" t="s">
        <v>88</v>
      </c>
      <c r="N50" s="116" t="str">
        <f t="shared" ca="1" si="4"/>
        <v>44b4f030-97dc-0cfd-1bfc-19c3660090a3-050</v>
      </c>
      <c r="O50" s="116" t="str">
        <f t="shared" si="19"/>
        <v>BRL.CUSTINSTF.BDB000</v>
      </c>
      <c r="P50" s="117" t="str">
        <f t="shared" si="23"/>
        <v>Customer Payment Instruction</v>
      </c>
      <c r="Q50" s="116" t="str">
        <f t="shared" ca="1" si="6"/>
        <v>44b4f030-97dc-0cfd-1bfc-19c3660090a3-050</v>
      </c>
      <c r="R50" s="117">
        <f t="shared" si="12"/>
        <v>0</v>
      </c>
      <c r="S50" s="118">
        <f t="shared" ca="1" si="7"/>
        <v>43726</v>
      </c>
      <c r="T50" s="119" t="str">
        <f t="shared" ca="1" si="8"/>
        <v>ext-u1-1300-2e9c6-0050</v>
      </c>
      <c r="U50" s="117" t="str">
        <f>J50</f>
        <v>BDB</v>
      </c>
      <c r="V50" s="117" t="str">
        <f>E50</f>
        <v>PAY</v>
      </c>
      <c r="W50" s="117" t="str">
        <f>C50</f>
        <v>BRL</v>
      </c>
      <c r="X50" s="141">
        <f t="shared" si="9"/>
        <v>-10061</v>
      </c>
      <c r="Y50" s="117" t="str">
        <f>L50&amp;"-"&amp;LEFT(K50,1)</f>
        <v>CUSTINST-F</v>
      </c>
      <c r="Z50" s="118" t="str">
        <f t="shared" si="13"/>
        <v>Fixed</v>
      </c>
      <c r="AA50" s="117" t="str">
        <f>"[UC1]"&amp;P50&amp;REPT(" ",28-LEN(P50))&amp;" ["&amp;TEXT(A50,"HH:MM")&amp;"]"</f>
        <v>[UC1]Customer Payment Instruction [13:00]</v>
      </c>
      <c r="AB50" s="121" t="str">
        <f t="shared" si="14"/>
        <v>DEFAULT</v>
      </c>
      <c r="AC50" s="116" t="str">
        <f ca="1">UPPER(LEFT(U50&amp;SUBSTITUTE(N50,"-",""),20))</f>
        <v>BDB44B4F03097DC0CFD1</v>
      </c>
      <c r="AD50" s="117" t="str">
        <f t="shared" si="15"/>
        <v>N</v>
      </c>
      <c r="AE50" s="121" t="str">
        <f t="shared" si="10"/>
        <v>FORECAST</v>
      </c>
      <c r="AI50" s="116" t="str">
        <f ca="1">N50</f>
        <v>44b4f030-97dc-0cfd-1bfc-19c3660090a3-050</v>
      </c>
      <c r="AJ50" s="117" t="s">
        <v>76</v>
      </c>
      <c r="AK50" s="116" t="str">
        <f ca="1">Q50</f>
        <v>44b4f030-97dc-0cfd-1bfc-19c3660090a3-050</v>
      </c>
      <c r="AL50" s="117">
        <f>R50</f>
        <v>0</v>
      </c>
      <c r="AM50" s="118">
        <f ca="1">S50</f>
        <v>43726</v>
      </c>
      <c r="AN50" s="119" t="str">
        <f ca="1">T50</f>
        <v>ext-u1-1300-2e9c6-0050</v>
      </c>
      <c r="AO50" s="117" t="str">
        <f>U50</f>
        <v>BDB</v>
      </c>
      <c r="AP50" s="117" t="s">
        <v>78</v>
      </c>
      <c r="AQ50" s="117">
        <f>G50</f>
        <v>4.1202093961904804</v>
      </c>
      <c r="AR50" s="117" t="str">
        <f>H50</f>
        <v>USD</v>
      </c>
      <c r="AS50" s="117" t="str">
        <f>W50</f>
        <v>BRL</v>
      </c>
      <c r="AT50" s="120">
        <f>D50*G50</f>
        <v>41453.426735072426</v>
      </c>
      <c r="AU50" s="120">
        <f t="shared" si="17"/>
        <v>10061</v>
      </c>
      <c r="AV50" s="117" t="str">
        <f>Y50</f>
        <v>CUSTINST-F</v>
      </c>
      <c r="AX50" s="117" t="str">
        <f t="shared" si="21"/>
        <v>[UC1]Customer Payment Instruction [13:00]</v>
      </c>
      <c r="AY50" s="117" t="s">
        <v>90</v>
      </c>
      <c r="AZ50" s="116" t="str">
        <f t="shared" ca="1" si="22"/>
        <v>BDB44B4F03097DC0CFD1</v>
      </c>
    </row>
    <row r="51" spans="1:52" hidden="1" x14ac:dyDescent="0.25">
      <c r="A51" s="137">
        <v>0.54166666666666663</v>
      </c>
      <c r="B51" s="150" t="s">
        <v>76</v>
      </c>
      <c r="C51" s="138" t="s">
        <v>9</v>
      </c>
      <c r="D51" s="141">
        <v>10000</v>
      </c>
      <c r="E51" s="117" t="s">
        <v>74</v>
      </c>
      <c r="F51" s="121">
        <f t="shared" si="2"/>
        <v>-10000</v>
      </c>
      <c r="G51" s="121">
        <v>4.1159999999999997</v>
      </c>
      <c r="H51" s="175" t="s">
        <v>10</v>
      </c>
      <c r="I51" s="121" t="s">
        <v>80</v>
      </c>
      <c r="J51" s="165" t="s">
        <v>80</v>
      </c>
      <c r="K51" s="150" t="s">
        <v>85</v>
      </c>
      <c r="L51" s="150" t="s">
        <v>89</v>
      </c>
      <c r="N51" s="116" t="str">
        <f t="shared" ca="1" si="4"/>
        <v>1d658b83-a119-9e97-0582-37fca25258f9-051</v>
      </c>
      <c r="O51" s="116"/>
      <c r="P51" s="117" t="str">
        <f t="shared" si="23"/>
        <v>FX Trade</v>
      </c>
      <c r="Q51" s="116" t="str">
        <f t="shared" ca="1" si="6"/>
        <v>1d658b83-a119-9e97-0582-37fca25258f9-051</v>
      </c>
      <c r="R51" s="117">
        <f t="shared" si="12"/>
        <v>0</v>
      </c>
      <c r="S51" s="118">
        <f t="shared" ca="1" si="7"/>
        <v>43726</v>
      </c>
      <c r="T51" s="119" t="str">
        <f t="shared" ca="1" si="8"/>
        <v>ext-u1-1300-2e9c6-0051</v>
      </c>
      <c r="U51" s="117" t="str">
        <f>J51</f>
        <v>BDB</v>
      </c>
      <c r="V51" s="117" t="str">
        <f>E51</f>
        <v>BUY</v>
      </c>
      <c r="W51" s="117" t="str">
        <f>C51</f>
        <v>USD</v>
      </c>
      <c r="X51" s="141">
        <f t="shared" si="9"/>
        <v>-10000</v>
      </c>
      <c r="Y51" s="117" t="str">
        <f>L51&amp;"-"&amp;LEFT(K51,1)</f>
        <v>FX-F</v>
      </c>
      <c r="Z51" s="118" t="str">
        <f t="shared" si="13"/>
        <v>Fixed</v>
      </c>
      <c r="AA51" s="117" t="str">
        <f>"[UC1]"&amp;P51&amp;REPT(" ",28-LEN(P51))&amp;" ["&amp;TEXT(A51,"HH:MM")&amp;"]"</f>
        <v>[UC1]FX Trade                     [13:00]</v>
      </c>
      <c r="AB51" s="121" t="str">
        <f t="shared" si="14"/>
        <v>DEFAULT</v>
      </c>
      <c r="AC51" s="116" t="str">
        <f ca="1">UPPER(LEFT(U51&amp;SUBSTITUTE(N51,"-",""),20))</f>
        <v>BDB1D658B83A1199E970</v>
      </c>
      <c r="AD51" s="117" t="str">
        <f t="shared" si="15"/>
        <v>N</v>
      </c>
      <c r="AE51" s="121" t="str">
        <f t="shared" si="10"/>
        <v>FORECAST</v>
      </c>
      <c r="AI51" s="116" t="str">
        <f ca="1">N51</f>
        <v>1d658b83-a119-9e97-0582-37fca25258f9-051</v>
      </c>
      <c r="AJ51" s="117" t="s">
        <v>76</v>
      </c>
      <c r="AK51" s="116" t="str">
        <f ca="1">Q51</f>
        <v>1d658b83-a119-9e97-0582-37fca25258f9-051</v>
      </c>
      <c r="AL51" s="117">
        <f>R51</f>
        <v>0</v>
      </c>
      <c r="AM51" s="118">
        <f ca="1">S51</f>
        <v>43726</v>
      </c>
      <c r="AN51" s="119" t="str">
        <f ca="1">T51</f>
        <v>ext-u1-1300-2e9c6-0051</v>
      </c>
      <c r="AO51" s="117" t="str">
        <f>U51</f>
        <v>BDB</v>
      </c>
      <c r="AP51" s="117" t="s">
        <v>78</v>
      </c>
      <c r="AQ51" s="117">
        <f>G51</f>
        <v>4.1159999999999997</v>
      </c>
      <c r="AR51" s="169" t="s">
        <v>9</v>
      </c>
      <c r="AS51" s="169" t="s">
        <v>10</v>
      </c>
      <c r="AT51" s="173">
        <f>D51</f>
        <v>10000</v>
      </c>
      <c r="AV51" s="117" t="str">
        <f>Y51</f>
        <v>FX-F</v>
      </c>
      <c r="AX51" s="117" t="str">
        <f t="shared" si="21"/>
        <v>[UC1]FX Trade                     [13:00]</v>
      </c>
      <c r="AY51" s="117" t="s">
        <v>90</v>
      </c>
      <c r="AZ51" s="116" t="str">
        <f t="shared" ca="1" si="22"/>
        <v>BDB1D658B83A1199E970</v>
      </c>
    </row>
    <row r="52" spans="1:52" s="157" customFormat="1" ht="15.75" hidden="1" x14ac:dyDescent="0.3">
      <c r="A52" s="153" t="s">
        <v>83</v>
      </c>
      <c r="B52" s="158" t="s">
        <v>82</v>
      </c>
      <c r="C52" s="155" t="s">
        <v>83</v>
      </c>
      <c r="D52" s="156">
        <v>0</v>
      </c>
      <c r="E52" s="157" t="s">
        <v>83</v>
      </c>
      <c r="F52" s="121">
        <f t="shared" si="2"/>
        <v>0</v>
      </c>
      <c r="G52" s="154">
        <v>0</v>
      </c>
      <c r="H52" s="176" t="s">
        <v>83</v>
      </c>
      <c r="I52" s="121" t="s">
        <v>80</v>
      </c>
      <c r="J52" s="158" t="str">
        <f>I52&amp;C52</f>
        <v>BDBACT</v>
      </c>
      <c r="K52" s="158"/>
      <c r="L52" s="158"/>
      <c r="N52" s="159" t="str">
        <f t="shared" ca="1" si="4"/>
        <v>4315806f-3a77-9975-4c9c-713f935b1727-052</v>
      </c>
      <c r="O52" s="159"/>
      <c r="P52" s="157" t="str">
        <f t="shared" ref="P52:P62" si="24">B52</f>
        <v>ACTUALS</v>
      </c>
      <c r="Q52" s="159" t="str">
        <f t="shared" ref="Q52:Q62" ca="1" si="25">N52</f>
        <v>4315806f-3a77-9975-4c9c-713f935b1727-052</v>
      </c>
      <c r="R52" s="117">
        <f t="shared" si="12"/>
        <v>0</v>
      </c>
      <c r="S52" s="160">
        <f t="shared" ca="1" si="7"/>
        <v>43726</v>
      </c>
      <c r="T52" s="161" t="str">
        <f t="shared" ref="T52:T62" ca="1" si="26">"ext-u1-"&amp;TEXT(A52,"HHMM-")&amp;LOWER(DEC2HEX(TEXT(TODAY(),"YmMD")))&amp;"-"&amp;TEXT(ROW(),"0000")</f>
        <v>ext-u1-ACT2e9c6-0052</v>
      </c>
      <c r="U52" s="117" t="str">
        <f>J52</f>
        <v>BDBACT</v>
      </c>
      <c r="V52" s="157" t="str">
        <f>E52</f>
        <v>ACT</v>
      </c>
      <c r="W52" s="157" t="str">
        <f>C52</f>
        <v>ACT</v>
      </c>
      <c r="X52" s="141">
        <f t="shared" si="9"/>
        <v>0</v>
      </c>
      <c r="Y52" s="117" t="str">
        <f>L52&amp;"-"&amp;LEFT(K52,1)</f>
        <v>-</v>
      </c>
      <c r="Z52" s="160" t="str">
        <f t="shared" si="13"/>
        <v>Fixed</v>
      </c>
      <c r="AA52" s="157" t="str">
        <f>"[UC1]"&amp;P52&amp;REPT(" ",28-LEN(P52))&amp;" ["&amp;TEXT(A52,"HH:MM")&amp;"]"</f>
        <v>[UC1]ACTUALS                      [ACT]</v>
      </c>
      <c r="AB52" s="154" t="str">
        <f t="shared" si="14"/>
        <v>DEFAULT</v>
      </c>
      <c r="AC52" s="159" t="str">
        <f ca="1">UPPER(LEFT(U52&amp;SUBSTITUTE(N52,"-",""),20))</f>
        <v>BDBACT4315806F3A7799</v>
      </c>
      <c r="AD52" s="117" t="str">
        <f t="shared" si="15"/>
        <v>N</v>
      </c>
      <c r="AE52" s="121" t="str">
        <f t="shared" si="10"/>
        <v>FORECAST</v>
      </c>
      <c r="AI52" s="159" t="str">
        <f ca="1">N52</f>
        <v>4315806f-3a77-9975-4c9c-713f935b1727-052</v>
      </c>
      <c r="AJ52" s="157" t="s">
        <v>76</v>
      </c>
      <c r="AK52" s="159" t="str">
        <f ca="1">Q52</f>
        <v>4315806f-3a77-9975-4c9c-713f935b1727-052</v>
      </c>
      <c r="AL52" s="157">
        <f>AL51</f>
        <v>0</v>
      </c>
      <c r="AM52" s="160">
        <f ca="1">S52</f>
        <v>43726</v>
      </c>
      <c r="AN52" s="161" t="str">
        <f ca="1">T52</f>
        <v>ext-u1-ACT2e9c6-0052</v>
      </c>
      <c r="AO52" s="117" t="str">
        <f>U52</f>
        <v>BDBACT</v>
      </c>
      <c r="AP52" s="157" t="s">
        <v>78</v>
      </c>
      <c r="AQ52" s="157">
        <f>G52</f>
        <v>0</v>
      </c>
      <c r="AR52" s="157" t="str">
        <f>H52</f>
        <v>ACT</v>
      </c>
      <c r="AS52" s="157" t="str">
        <f>W52</f>
        <v>ACT</v>
      </c>
      <c r="AT52" s="162">
        <f>D52*G52</f>
        <v>0</v>
      </c>
      <c r="AV52" s="157" t="str">
        <f>Y52</f>
        <v>-</v>
      </c>
      <c r="AX52" s="157" t="str">
        <f t="shared" ref="AX52:AX102" si="27">AA52</f>
        <v>[UC1]ACTUALS                      [ACT]</v>
      </c>
      <c r="AY52" s="117" t="s">
        <v>90</v>
      </c>
      <c r="AZ52" s="159" t="str">
        <f t="shared" ref="AZ52:AZ102" ca="1" si="28">AC52</f>
        <v>BDBACT4315806F3A7799</v>
      </c>
    </row>
    <row r="53" spans="1:52" x14ac:dyDescent="0.25">
      <c r="A53" s="137">
        <f>A2</f>
        <v>0.33333333333333331</v>
      </c>
      <c r="B53" s="151" t="str">
        <f t="shared" ref="B53:J53" si="29">B2</f>
        <v>Cash Transfer</v>
      </c>
      <c r="C53" s="137" t="str">
        <f t="shared" si="29"/>
        <v>USD</v>
      </c>
      <c r="D53" s="142">
        <f t="shared" si="29"/>
        <v>40000</v>
      </c>
      <c r="E53" s="137" t="str">
        <f t="shared" si="29"/>
        <v>RECEIVE</v>
      </c>
      <c r="F53" s="121">
        <f t="shared" si="2"/>
        <v>40000</v>
      </c>
      <c r="G53" s="177" t="str">
        <f>IF(G2&lt;&gt;"",G2,"")</f>
        <v/>
      </c>
      <c r="H53" s="177" t="str">
        <f>IF(H2&lt;&gt;"",H2,"")</f>
        <v/>
      </c>
      <c r="I53" s="121" t="s">
        <v>80</v>
      </c>
      <c r="J53" s="150" t="str">
        <f t="shared" ref="J53:J74" si="30">I53</f>
        <v>BDB</v>
      </c>
      <c r="K53" s="163" t="s">
        <v>77</v>
      </c>
      <c r="L53" s="150" t="s">
        <v>87</v>
      </c>
      <c r="N53" s="116" t="str">
        <f t="shared" ca="1" si="4"/>
        <v>cebc915c-1abd-740d-4d17-7f633b55a29f-053</v>
      </c>
      <c r="O53" s="116" t="str">
        <f t="shared" ref="O53:O74" si="31">LEFT(LEFT(W53,3)&amp;"."&amp;SUBSTITUTE(Y53,"-","")&amp;"."&amp;U53&amp;"0000000000000",20)</f>
        <v>USD.CASHTXA.BDB00000</v>
      </c>
      <c r="P53" s="117" t="str">
        <f t="shared" si="24"/>
        <v>Cash Transfer</v>
      </c>
      <c r="Q53" s="116" t="str">
        <f t="shared" ca="1" si="25"/>
        <v>cebc915c-1abd-740d-4d17-7f633b55a29f-053</v>
      </c>
      <c r="R53" s="117">
        <f t="shared" si="12"/>
        <v>0</v>
      </c>
      <c r="S53" s="118">
        <f t="shared" ca="1" si="7"/>
        <v>43726</v>
      </c>
      <c r="T53" s="119" t="str">
        <f t="shared" ca="1" si="26"/>
        <v>ext-u1-0800-2e9c6-0053</v>
      </c>
      <c r="U53" s="117" t="str">
        <f>J53</f>
        <v>BDB</v>
      </c>
      <c r="V53" s="117" t="str">
        <f>E53</f>
        <v>RECEIVE</v>
      </c>
      <c r="W53" s="117" t="str">
        <f>C53</f>
        <v>USD</v>
      </c>
      <c r="X53" s="141">
        <f t="shared" si="9"/>
        <v>40000</v>
      </c>
      <c r="Y53" s="117" t="str">
        <f>L53&amp;"-"&amp;LEFT(K53,1)</f>
        <v>CASHTX-A</v>
      </c>
      <c r="Z53" s="118" t="str">
        <f t="shared" si="13"/>
        <v>Fixed</v>
      </c>
      <c r="AA53" s="117" t="str">
        <f>"[UC1]"&amp;P53&amp;REPT(" ",28-LEN(P53))&amp;" ["&amp;TEXT(A53,"HH:MM")&amp;"]"</f>
        <v>[UC1]Cash Transfer                [08:00]</v>
      </c>
      <c r="AB53" s="121" t="str">
        <f t="shared" si="14"/>
        <v>DEFAULT</v>
      </c>
      <c r="AC53" s="116" t="str">
        <f ca="1">UPPER(LEFT(U53&amp;SUBSTITUTE(N53,"-",""),20))</f>
        <v>BDBCEBC915C1ABD740D4</v>
      </c>
      <c r="AD53" s="117" t="str">
        <f t="shared" si="15"/>
        <v>N</v>
      </c>
      <c r="AE53" s="121" t="str">
        <f t="shared" si="10"/>
        <v>ACTUAL</v>
      </c>
      <c r="AI53" s="116" t="str">
        <f ca="1">N53</f>
        <v>cebc915c-1abd-740d-4d17-7f633b55a29f-053</v>
      </c>
      <c r="AJ53" s="117" t="s">
        <v>76</v>
      </c>
      <c r="AK53" s="116" t="str">
        <f ca="1">Q53</f>
        <v>cebc915c-1abd-740d-4d17-7f633b55a29f-053</v>
      </c>
      <c r="AL53" s="117">
        <f t="shared" ref="AL53:AL102" si="32">AL52</f>
        <v>0</v>
      </c>
      <c r="AM53" s="118">
        <f ca="1">S53</f>
        <v>43726</v>
      </c>
      <c r="AN53" s="119" t="str">
        <f ca="1">T53</f>
        <v>ext-u1-0800-2e9c6-0053</v>
      </c>
      <c r="AO53" s="117" t="str">
        <f>U53</f>
        <v>BDB</v>
      </c>
      <c r="AP53" s="117" t="s">
        <v>78</v>
      </c>
      <c r="AQ53" s="117" t="str">
        <f>G53</f>
        <v/>
      </c>
      <c r="AR53" s="117" t="str">
        <f>H53</f>
        <v/>
      </c>
      <c r="AS53" s="117" t="str">
        <f>W53</f>
        <v>USD</v>
      </c>
      <c r="AT53" s="120" t="str">
        <f>IFERROR(D53*G53,"")</f>
        <v/>
      </c>
      <c r="AV53" s="117" t="str">
        <f>Y53</f>
        <v>CASHTX-A</v>
      </c>
      <c r="AX53" s="117" t="str">
        <f t="shared" si="27"/>
        <v>[UC1]Cash Transfer                [08:00]</v>
      </c>
      <c r="AY53" s="117" t="s">
        <v>90</v>
      </c>
      <c r="AZ53" s="116" t="str">
        <f t="shared" ca="1" si="28"/>
        <v>BDBCEBC915C1ABD740D4</v>
      </c>
    </row>
    <row r="54" spans="1:52" x14ac:dyDescent="0.25">
      <c r="A54" s="137">
        <f t="shared" ref="A54:J54" si="33">A3</f>
        <v>0.375</v>
      </c>
      <c r="B54" s="151" t="str">
        <f t="shared" si="33"/>
        <v>Cash Transfer</v>
      </c>
      <c r="C54" s="137" t="str">
        <f t="shared" si="33"/>
        <v>USD</v>
      </c>
      <c r="D54" s="142">
        <f t="shared" si="33"/>
        <v>25000</v>
      </c>
      <c r="E54" s="137" t="str">
        <f t="shared" si="33"/>
        <v>RECEIVE</v>
      </c>
      <c r="F54" s="121">
        <f t="shared" si="2"/>
        <v>25000</v>
      </c>
      <c r="G54" s="177" t="str">
        <f t="shared" ref="G54:H102" si="34">IF(G3&lt;&gt;"",G3,"")</f>
        <v/>
      </c>
      <c r="H54" s="177" t="str">
        <f t="shared" si="34"/>
        <v/>
      </c>
      <c r="I54" s="121" t="s">
        <v>80</v>
      </c>
      <c r="J54" s="150" t="str">
        <f t="shared" si="30"/>
        <v>BDB</v>
      </c>
      <c r="K54" s="163" t="s">
        <v>77</v>
      </c>
      <c r="L54" s="150" t="s">
        <v>87</v>
      </c>
      <c r="N54" s="116" t="str">
        <f t="shared" ca="1" si="4"/>
        <v>ff0401ad-6ccf-7d96-3a39-0ddb8dd71a0e-054</v>
      </c>
      <c r="O54" s="116" t="str">
        <f t="shared" si="31"/>
        <v>USD.CASHTXA.BDB00000</v>
      </c>
      <c r="P54" s="117" t="str">
        <f t="shared" si="24"/>
        <v>Cash Transfer</v>
      </c>
      <c r="Q54" s="116" t="str">
        <f t="shared" ca="1" si="25"/>
        <v>ff0401ad-6ccf-7d96-3a39-0ddb8dd71a0e-054</v>
      </c>
      <c r="R54" s="117">
        <f t="shared" si="12"/>
        <v>0</v>
      </c>
      <c r="S54" s="118">
        <f t="shared" ca="1" si="7"/>
        <v>43726</v>
      </c>
      <c r="T54" s="119" t="str">
        <f t="shared" ca="1" si="26"/>
        <v>ext-u1-0900-2e9c6-0054</v>
      </c>
      <c r="U54" s="117" t="str">
        <f>J54</f>
        <v>BDB</v>
      </c>
      <c r="V54" s="117" t="str">
        <f>E54</f>
        <v>RECEIVE</v>
      </c>
      <c r="W54" s="117" t="str">
        <f>C54</f>
        <v>USD</v>
      </c>
      <c r="X54" s="141">
        <f t="shared" si="9"/>
        <v>25000</v>
      </c>
      <c r="Y54" s="117" t="str">
        <f>L54&amp;"-"&amp;LEFT(K54,1)</f>
        <v>CASHTX-A</v>
      </c>
      <c r="Z54" s="118" t="str">
        <f t="shared" si="13"/>
        <v>Fixed</v>
      </c>
      <c r="AA54" s="117" t="str">
        <f>"[UC1]"&amp;P54&amp;REPT(" ",28-LEN(P54))&amp;" ["&amp;TEXT(A54,"HH:MM")&amp;"]"</f>
        <v>[UC1]Cash Transfer                [09:00]</v>
      </c>
      <c r="AB54" s="121" t="str">
        <f t="shared" si="14"/>
        <v>DEFAULT</v>
      </c>
      <c r="AC54" s="116" t="str">
        <f ca="1">UPPER(LEFT(U54&amp;SUBSTITUTE(N54,"-",""),20))</f>
        <v>BDBFF0401AD6CCF7D963</v>
      </c>
      <c r="AD54" s="117" t="str">
        <f t="shared" si="15"/>
        <v>N</v>
      </c>
      <c r="AE54" s="121" t="str">
        <f t="shared" si="10"/>
        <v>ACTUAL</v>
      </c>
      <c r="AI54" s="116" t="str">
        <f ca="1">N54</f>
        <v>ff0401ad-6ccf-7d96-3a39-0ddb8dd71a0e-054</v>
      </c>
      <c r="AJ54" s="117" t="s">
        <v>76</v>
      </c>
      <c r="AK54" s="116" t="str">
        <f ca="1">Q54</f>
        <v>ff0401ad-6ccf-7d96-3a39-0ddb8dd71a0e-054</v>
      </c>
      <c r="AL54" s="117">
        <f t="shared" si="32"/>
        <v>0</v>
      </c>
      <c r="AM54" s="118">
        <f ca="1">S54</f>
        <v>43726</v>
      </c>
      <c r="AN54" s="119" t="str">
        <f ca="1">T54</f>
        <v>ext-u1-0900-2e9c6-0054</v>
      </c>
      <c r="AO54" s="117" t="str">
        <f>U54</f>
        <v>BDB</v>
      </c>
      <c r="AP54" s="117" t="s">
        <v>78</v>
      </c>
      <c r="AQ54" s="117" t="str">
        <f>G54</f>
        <v/>
      </c>
      <c r="AR54" s="117" t="str">
        <f>H54</f>
        <v/>
      </c>
      <c r="AS54" s="117" t="str">
        <f>W54</f>
        <v>USD</v>
      </c>
      <c r="AT54" s="120" t="str">
        <f>IFERROR(D54*G54,"")</f>
        <v/>
      </c>
      <c r="AV54" s="117" t="str">
        <f>Y54</f>
        <v>CASHTX-A</v>
      </c>
      <c r="AX54" s="117" t="str">
        <f t="shared" si="27"/>
        <v>[UC1]Cash Transfer                [09:00]</v>
      </c>
      <c r="AY54" s="117" t="s">
        <v>90</v>
      </c>
      <c r="AZ54" s="116" t="str">
        <f t="shared" ca="1" si="28"/>
        <v>BDBFF0401AD6CCF7D963</v>
      </c>
    </row>
    <row r="55" spans="1:52" x14ac:dyDescent="0.25">
      <c r="A55" s="137">
        <f t="shared" ref="A55:J55" si="35">A4</f>
        <v>0.41666666666666669</v>
      </c>
      <c r="B55" s="151" t="str">
        <f t="shared" si="35"/>
        <v>Cash Transfer</v>
      </c>
      <c r="C55" s="137" t="str">
        <f t="shared" si="35"/>
        <v>USD</v>
      </c>
      <c r="D55" s="142">
        <f t="shared" si="35"/>
        <v>75000</v>
      </c>
      <c r="E55" s="137" t="str">
        <f t="shared" si="35"/>
        <v>RECEIVE</v>
      </c>
      <c r="F55" s="121">
        <f t="shared" si="2"/>
        <v>75000</v>
      </c>
      <c r="G55" s="177" t="str">
        <f t="shared" si="34"/>
        <v/>
      </c>
      <c r="H55" s="177" t="str">
        <f t="shared" si="34"/>
        <v/>
      </c>
      <c r="I55" s="121" t="s">
        <v>80</v>
      </c>
      <c r="J55" s="150" t="str">
        <f t="shared" si="30"/>
        <v>BDB</v>
      </c>
      <c r="K55" s="163" t="s">
        <v>77</v>
      </c>
      <c r="L55" s="150" t="s">
        <v>87</v>
      </c>
      <c r="N55" s="116" t="str">
        <f t="shared" ca="1" si="4"/>
        <v>85b89a19-0e9c-3587-5b99-3993e8a55ff1-055</v>
      </c>
      <c r="O55" s="116" t="str">
        <f t="shared" si="31"/>
        <v>USD.CASHTXA.BDB00000</v>
      </c>
      <c r="P55" s="117" t="str">
        <f t="shared" si="24"/>
        <v>Cash Transfer</v>
      </c>
      <c r="Q55" s="116" t="str">
        <f t="shared" ca="1" si="25"/>
        <v>85b89a19-0e9c-3587-5b99-3993e8a55ff1-055</v>
      </c>
      <c r="R55" s="117">
        <f t="shared" si="12"/>
        <v>0</v>
      </c>
      <c r="S55" s="118">
        <f t="shared" ca="1" si="7"/>
        <v>43726</v>
      </c>
      <c r="T55" s="119" t="str">
        <f t="shared" ca="1" si="26"/>
        <v>ext-u1-1000-2e9c6-0055</v>
      </c>
      <c r="U55" s="117" t="str">
        <f>J55</f>
        <v>BDB</v>
      </c>
      <c r="V55" s="117" t="str">
        <f>E55</f>
        <v>RECEIVE</v>
      </c>
      <c r="W55" s="117" t="str">
        <f>C55</f>
        <v>USD</v>
      </c>
      <c r="X55" s="141">
        <f t="shared" si="9"/>
        <v>75000</v>
      </c>
      <c r="Y55" s="117" t="str">
        <f>L55&amp;"-"&amp;LEFT(K55,1)</f>
        <v>CASHTX-A</v>
      </c>
      <c r="Z55" s="118" t="str">
        <f t="shared" si="13"/>
        <v>Fixed</v>
      </c>
      <c r="AA55" s="117" t="str">
        <f>"[UC1]"&amp;P55&amp;REPT(" ",28-LEN(P55))&amp;" ["&amp;TEXT(A55,"HH:MM")&amp;"]"</f>
        <v>[UC1]Cash Transfer                [10:00]</v>
      </c>
      <c r="AB55" s="121" t="str">
        <f t="shared" si="14"/>
        <v>DEFAULT</v>
      </c>
      <c r="AC55" s="116" t="str">
        <f ca="1">UPPER(LEFT(U55&amp;SUBSTITUTE(N55,"-",""),20))</f>
        <v>BDB85B89A190E9C35875</v>
      </c>
      <c r="AD55" s="117" t="str">
        <f t="shared" si="15"/>
        <v>N</v>
      </c>
      <c r="AE55" s="121" t="str">
        <f t="shared" si="10"/>
        <v>ACTUAL</v>
      </c>
      <c r="AI55" s="116" t="str">
        <f ca="1">N55</f>
        <v>85b89a19-0e9c-3587-5b99-3993e8a55ff1-055</v>
      </c>
      <c r="AJ55" s="117" t="s">
        <v>76</v>
      </c>
      <c r="AK55" s="116" t="str">
        <f ca="1">Q55</f>
        <v>85b89a19-0e9c-3587-5b99-3993e8a55ff1-055</v>
      </c>
      <c r="AL55" s="117">
        <f t="shared" si="32"/>
        <v>0</v>
      </c>
      <c r="AM55" s="118">
        <f ca="1">S55</f>
        <v>43726</v>
      </c>
      <c r="AN55" s="119" t="str">
        <f ca="1">T55</f>
        <v>ext-u1-1000-2e9c6-0055</v>
      </c>
      <c r="AO55" s="117" t="str">
        <f>U55</f>
        <v>BDB</v>
      </c>
      <c r="AP55" s="117" t="s">
        <v>78</v>
      </c>
      <c r="AQ55" s="117" t="str">
        <f>G55</f>
        <v/>
      </c>
      <c r="AR55" s="117" t="str">
        <f>H55</f>
        <v/>
      </c>
      <c r="AS55" s="117" t="str">
        <f>W55</f>
        <v>USD</v>
      </c>
      <c r="AT55" s="120" t="str">
        <f>IFERROR(D55*G55,"")</f>
        <v/>
      </c>
      <c r="AV55" s="117" t="str">
        <f>Y55</f>
        <v>CASHTX-A</v>
      </c>
      <c r="AX55" s="117" t="str">
        <f t="shared" si="27"/>
        <v>[UC1]Cash Transfer                [10:00]</v>
      </c>
      <c r="AY55" s="117" t="s">
        <v>90</v>
      </c>
      <c r="AZ55" s="116" t="str">
        <f t="shared" ca="1" si="28"/>
        <v>BDB85B89A190E9C35875</v>
      </c>
    </row>
    <row r="56" spans="1:52" x14ac:dyDescent="0.25">
      <c r="A56" s="137">
        <f t="shared" ref="A56:J56" si="36">A5</f>
        <v>0.41666666666666669</v>
      </c>
      <c r="B56" s="151" t="str">
        <f t="shared" si="36"/>
        <v>Cash Transfer</v>
      </c>
      <c r="C56" s="137" t="str">
        <f t="shared" si="36"/>
        <v>USD</v>
      </c>
      <c r="D56" s="142">
        <f t="shared" si="36"/>
        <v>40000</v>
      </c>
      <c r="E56" s="137" t="str">
        <f t="shared" si="36"/>
        <v>RECEIVE</v>
      </c>
      <c r="F56" s="121">
        <f t="shared" si="2"/>
        <v>40000</v>
      </c>
      <c r="G56" s="177" t="str">
        <f t="shared" si="34"/>
        <v/>
      </c>
      <c r="H56" s="177" t="str">
        <f t="shared" si="34"/>
        <v/>
      </c>
      <c r="I56" s="121" t="s">
        <v>80</v>
      </c>
      <c r="J56" s="150" t="str">
        <f t="shared" si="30"/>
        <v>BDB</v>
      </c>
      <c r="K56" s="163" t="s">
        <v>77</v>
      </c>
      <c r="L56" s="150" t="s">
        <v>87</v>
      </c>
      <c r="N56" s="116" t="str">
        <f t="shared" ca="1" si="4"/>
        <v>2908ddf4-9f78-3898-1b8b-128f0d008aa6-056</v>
      </c>
      <c r="O56" s="116" t="str">
        <f t="shared" si="31"/>
        <v>USD.CASHTXA.BDB00000</v>
      </c>
      <c r="P56" s="117" t="str">
        <f t="shared" si="24"/>
        <v>Cash Transfer</v>
      </c>
      <c r="Q56" s="116" t="str">
        <f t="shared" ca="1" si="25"/>
        <v>2908ddf4-9f78-3898-1b8b-128f0d008aa6-056</v>
      </c>
      <c r="R56" s="117">
        <f t="shared" si="12"/>
        <v>0</v>
      </c>
      <c r="S56" s="118">
        <f t="shared" ca="1" si="7"/>
        <v>43726</v>
      </c>
      <c r="T56" s="119" t="str">
        <f t="shared" ca="1" si="26"/>
        <v>ext-u1-1000-2e9c6-0056</v>
      </c>
      <c r="U56" s="117" t="str">
        <f>J56</f>
        <v>BDB</v>
      </c>
      <c r="V56" s="117" t="str">
        <f>E56</f>
        <v>RECEIVE</v>
      </c>
      <c r="W56" s="117" t="str">
        <f>C56</f>
        <v>USD</v>
      </c>
      <c r="X56" s="141">
        <f t="shared" si="9"/>
        <v>40000</v>
      </c>
      <c r="Y56" s="117" t="str">
        <f>L56&amp;"-"&amp;LEFT(K56,1)</f>
        <v>CASHTX-A</v>
      </c>
      <c r="Z56" s="118" t="str">
        <f t="shared" si="13"/>
        <v>Fixed</v>
      </c>
      <c r="AA56" s="117" t="str">
        <f>"[UC1]"&amp;P56&amp;REPT(" ",28-LEN(P56))&amp;" ["&amp;TEXT(A56,"HH:MM")&amp;"]"</f>
        <v>[UC1]Cash Transfer                [10:00]</v>
      </c>
      <c r="AB56" s="121" t="str">
        <f t="shared" si="14"/>
        <v>DEFAULT</v>
      </c>
      <c r="AC56" s="116" t="str">
        <f ca="1">UPPER(LEFT(U56&amp;SUBSTITUTE(N56,"-",""),20))</f>
        <v>BDB2908DDF49F7838981</v>
      </c>
      <c r="AD56" s="117" t="str">
        <f t="shared" si="15"/>
        <v>N</v>
      </c>
      <c r="AE56" s="121" t="str">
        <f t="shared" si="10"/>
        <v>ACTUAL</v>
      </c>
      <c r="AI56" s="116" t="str">
        <f ca="1">N56</f>
        <v>2908ddf4-9f78-3898-1b8b-128f0d008aa6-056</v>
      </c>
      <c r="AJ56" s="117" t="s">
        <v>76</v>
      </c>
      <c r="AK56" s="116" t="str">
        <f ca="1">Q56</f>
        <v>2908ddf4-9f78-3898-1b8b-128f0d008aa6-056</v>
      </c>
      <c r="AL56" s="117">
        <f t="shared" si="32"/>
        <v>0</v>
      </c>
      <c r="AM56" s="118">
        <f ca="1">S56</f>
        <v>43726</v>
      </c>
      <c r="AN56" s="119" t="str">
        <f ca="1">T56</f>
        <v>ext-u1-1000-2e9c6-0056</v>
      </c>
      <c r="AO56" s="117" t="str">
        <f>U56</f>
        <v>BDB</v>
      </c>
      <c r="AP56" s="117" t="s">
        <v>78</v>
      </c>
      <c r="AQ56" s="117" t="str">
        <f>G56</f>
        <v/>
      </c>
      <c r="AR56" s="117" t="str">
        <f>H56</f>
        <v/>
      </c>
      <c r="AS56" s="117" t="str">
        <f>W56</f>
        <v>USD</v>
      </c>
      <c r="AT56" s="120" t="str">
        <f>IFERROR(D56*G56,"")</f>
        <v/>
      </c>
      <c r="AV56" s="117" t="str">
        <f>Y56</f>
        <v>CASHTX-A</v>
      </c>
      <c r="AX56" s="117" t="str">
        <f t="shared" si="27"/>
        <v>[UC1]Cash Transfer                [10:00]</v>
      </c>
      <c r="AY56" s="117" t="s">
        <v>90</v>
      </c>
      <c r="AZ56" s="116" t="str">
        <f t="shared" ca="1" si="28"/>
        <v>BDB2908DDF49F7838981</v>
      </c>
    </row>
    <row r="57" spans="1:52" x14ac:dyDescent="0.25">
      <c r="A57" s="137">
        <f t="shared" ref="A57:J57" si="37">A6</f>
        <v>0.41666666666666669</v>
      </c>
      <c r="B57" s="151" t="str">
        <f t="shared" si="37"/>
        <v>Cash Transfer</v>
      </c>
      <c r="C57" s="137" t="str">
        <f t="shared" si="37"/>
        <v>USD</v>
      </c>
      <c r="D57" s="142">
        <f t="shared" si="37"/>
        <v>10000</v>
      </c>
      <c r="E57" s="137" t="str">
        <f t="shared" si="37"/>
        <v>RECEIVE</v>
      </c>
      <c r="F57" s="121">
        <f t="shared" si="2"/>
        <v>10000</v>
      </c>
      <c r="G57" s="177" t="str">
        <f t="shared" si="34"/>
        <v/>
      </c>
      <c r="H57" s="177" t="str">
        <f t="shared" si="34"/>
        <v/>
      </c>
      <c r="I57" s="121" t="s">
        <v>80</v>
      </c>
      <c r="J57" s="150" t="str">
        <f t="shared" si="30"/>
        <v>BDB</v>
      </c>
      <c r="K57" s="163" t="s">
        <v>77</v>
      </c>
      <c r="L57" s="150" t="s">
        <v>87</v>
      </c>
      <c r="N57" s="116" t="str">
        <f t="shared" ca="1" si="4"/>
        <v>416565d9-212d-a031-5569-1def64504285-057</v>
      </c>
      <c r="O57" s="116" t="str">
        <f t="shared" si="31"/>
        <v>USD.CASHTXA.BDB00000</v>
      </c>
      <c r="P57" s="117" t="str">
        <f t="shared" si="24"/>
        <v>Cash Transfer</v>
      </c>
      <c r="Q57" s="116" t="str">
        <f t="shared" ca="1" si="25"/>
        <v>416565d9-212d-a031-5569-1def64504285-057</v>
      </c>
      <c r="R57" s="117">
        <f t="shared" si="12"/>
        <v>0</v>
      </c>
      <c r="S57" s="118">
        <f t="shared" ca="1" si="7"/>
        <v>43726</v>
      </c>
      <c r="T57" s="119" t="str">
        <f t="shared" ca="1" si="26"/>
        <v>ext-u1-1000-2e9c6-0057</v>
      </c>
      <c r="U57" s="117" t="str">
        <f>J57</f>
        <v>BDB</v>
      </c>
      <c r="V57" s="117" t="str">
        <f>E57</f>
        <v>RECEIVE</v>
      </c>
      <c r="W57" s="117" t="str">
        <f>C57</f>
        <v>USD</v>
      </c>
      <c r="X57" s="141">
        <f t="shared" si="9"/>
        <v>10000</v>
      </c>
      <c r="Y57" s="117" t="str">
        <f>L57&amp;"-"&amp;LEFT(K57,1)</f>
        <v>CASHTX-A</v>
      </c>
      <c r="Z57" s="118" t="str">
        <f t="shared" si="13"/>
        <v>Fixed</v>
      </c>
      <c r="AA57" s="117" t="str">
        <f>"[UC1]"&amp;P57&amp;REPT(" ",28-LEN(P57))&amp;" ["&amp;TEXT(A57,"HH:MM")&amp;"]"</f>
        <v>[UC1]Cash Transfer                [10:00]</v>
      </c>
      <c r="AB57" s="121" t="str">
        <f t="shared" si="14"/>
        <v>DEFAULT</v>
      </c>
      <c r="AC57" s="116" t="str">
        <f ca="1">UPPER(LEFT(U57&amp;SUBSTITUTE(N57,"-",""),20))</f>
        <v>BDB416565D9212DA0315</v>
      </c>
      <c r="AD57" s="117" t="str">
        <f t="shared" si="15"/>
        <v>N</v>
      </c>
      <c r="AE57" s="121" t="str">
        <f t="shared" si="10"/>
        <v>ACTUAL</v>
      </c>
      <c r="AI57" s="116" t="str">
        <f ca="1">N57</f>
        <v>416565d9-212d-a031-5569-1def64504285-057</v>
      </c>
      <c r="AJ57" s="117" t="s">
        <v>76</v>
      </c>
      <c r="AK57" s="116" t="str">
        <f ca="1">Q57</f>
        <v>416565d9-212d-a031-5569-1def64504285-057</v>
      </c>
      <c r="AL57" s="117">
        <f t="shared" si="32"/>
        <v>0</v>
      </c>
      <c r="AM57" s="118">
        <f ca="1">S57</f>
        <v>43726</v>
      </c>
      <c r="AN57" s="119" t="str">
        <f ca="1">T57</f>
        <v>ext-u1-1000-2e9c6-0057</v>
      </c>
      <c r="AO57" s="117" t="str">
        <f>U57</f>
        <v>BDB</v>
      </c>
      <c r="AP57" s="117" t="s">
        <v>78</v>
      </c>
      <c r="AQ57" s="117" t="str">
        <f>G57</f>
        <v/>
      </c>
      <c r="AR57" s="117" t="str">
        <f>H57</f>
        <v/>
      </c>
      <c r="AS57" s="117" t="str">
        <f>W57</f>
        <v>USD</v>
      </c>
      <c r="AT57" s="120" t="str">
        <f>IFERROR(D57*G57,"")</f>
        <v/>
      </c>
      <c r="AV57" s="117" t="str">
        <f>Y57</f>
        <v>CASHTX-A</v>
      </c>
      <c r="AX57" s="117" t="str">
        <f t="shared" si="27"/>
        <v>[UC1]Cash Transfer                [10:00]</v>
      </c>
      <c r="AY57" s="117" t="s">
        <v>90</v>
      </c>
      <c r="AZ57" s="116" t="str">
        <f t="shared" ca="1" si="28"/>
        <v>BDB416565D9212DA0315</v>
      </c>
    </row>
    <row r="58" spans="1:52" x14ac:dyDescent="0.25">
      <c r="A58" s="137">
        <v>0.45763888888888887</v>
      </c>
      <c r="B58" s="151" t="str">
        <f t="shared" ref="B58:J58" si="38">B7</f>
        <v>Customer Payment Instruction</v>
      </c>
      <c r="C58" s="137" t="str">
        <f t="shared" si="38"/>
        <v>BRL</v>
      </c>
      <c r="D58" s="142">
        <f t="shared" si="38"/>
        <v>152</v>
      </c>
      <c r="E58" s="137" t="str">
        <f t="shared" si="38"/>
        <v>PAY</v>
      </c>
      <c r="F58" s="121">
        <f t="shared" si="2"/>
        <v>-152</v>
      </c>
      <c r="G58" s="177">
        <f t="shared" si="34"/>
        <v>4.1111310000000003</v>
      </c>
      <c r="H58" s="177" t="str">
        <f t="shared" si="34"/>
        <v>USD</v>
      </c>
      <c r="I58" s="121" t="s">
        <v>80</v>
      </c>
      <c r="J58" s="150" t="str">
        <f t="shared" si="30"/>
        <v>BDB</v>
      </c>
      <c r="K58" s="163" t="s">
        <v>77</v>
      </c>
      <c r="L58" s="150" t="s">
        <v>88</v>
      </c>
      <c r="N58" s="116" t="str">
        <f t="shared" ca="1" si="4"/>
        <v>f3acd31a-6e18-44e4-12f7-f3a11575a290-058</v>
      </c>
      <c r="O58" s="116" t="str">
        <f t="shared" si="31"/>
        <v>BRL.CUSTINSTA.BDB000</v>
      </c>
      <c r="P58" s="117" t="str">
        <f t="shared" si="24"/>
        <v>Customer Payment Instruction</v>
      </c>
      <c r="Q58" s="116" t="str">
        <f t="shared" ca="1" si="25"/>
        <v>f3acd31a-6e18-44e4-12f7-f3a11575a290-058</v>
      </c>
      <c r="R58" s="117">
        <f t="shared" si="12"/>
        <v>0</v>
      </c>
      <c r="S58" s="118">
        <f t="shared" ca="1" si="7"/>
        <v>43726</v>
      </c>
      <c r="T58" s="119" t="str">
        <f t="shared" ca="1" si="26"/>
        <v>ext-u1-1059-2e9c6-0058</v>
      </c>
      <c r="U58" s="117" t="str">
        <f>J58</f>
        <v>BDB</v>
      </c>
      <c r="V58" s="117" t="str">
        <f>E58</f>
        <v>PAY</v>
      </c>
      <c r="W58" s="117" t="str">
        <f>C58</f>
        <v>BRL</v>
      </c>
      <c r="X58" s="141">
        <f t="shared" si="9"/>
        <v>-152</v>
      </c>
      <c r="Y58" s="117" t="str">
        <f>L58&amp;"-"&amp;LEFT(K58,1)</f>
        <v>CUSTINST-A</v>
      </c>
      <c r="Z58" s="118" t="str">
        <f t="shared" si="13"/>
        <v>Fixed</v>
      </c>
      <c r="AA58" s="117" t="str">
        <f>"[UC1]"&amp;P58&amp;REPT(" ",28-LEN(P58))&amp;" ["&amp;TEXT(A58,"HH:MM")&amp;"]"</f>
        <v>[UC1]Customer Payment Instruction [10:59]</v>
      </c>
      <c r="AB58" s="121" t="str">
        <f t="shared" si="14"/>
        <v>DEFAULT</v>
      </c>
      <c r="AC58" s="116" t="str">
        <f ca="1">UPPER(LEFT(U58&amp;SUBSTITUTE(N58,"-",""),20))</f>
        <v>BDBF3ACD31A6E1844E41</v>
      </c>
      <c r="AD58" s="117" t="str">
        <f t="shared" si="15"/>
        <v>N</v>
      </c>
      <c r="AE58" s="121" t="str">
        <f t="shared" si="10"/>
        <v>ACTUAL</v>
      </c>
      <c r="AI58" s="116" t="str">
        <f ca="1">N58</f>
        <v>f3acd31a-6e18-44e4-12f7-f3a11575a290-058</v>
      </c>
      <c r="AJ58" s="117" t="s">
        <v>76</v>
      </c>
      <c r="AK58" s="116" t="str">
        <f ca="1">Q58</f>
        <v>f3acd31a-6e18-44e4-12f7-f3a11575a290-058</v>
      </c>
      <c r="AL58" s="117">
        <f t="shared" si="32"/>
        <v>0</v>
      </c>
      <c r="AM58" s="118">
        <f ca="1">S58</f>
        <v>43726</v>
      </c>
      <c r="AN58" s="119" t="str">
        <f ca="1">T58</f>
        <v>ext-u1-1059-2e9c6-0058</v>
      </c>
      <c r="AO58" s="117" t="str">
        <f>U58</f>
        <v>BDB</v>
      </c>
      <c r="AP58" s="117" t="s">
        <v>78</v>
      </c>
      <c r="AQ58" s="117">
        <f>G58</f>
        <v>4.1111310000000003</v>
      </c>
      <c r="AR58" s="117" t="str">
        <f>H58</f>
        <v>USD</v>
      </c>
      <c r="AS58" s="117" t="str">
        <f>W58</f>
        <v>BRL</v>
      </c>
      <c r="AT58" s="120">
        <f>IFERROR(D58*G58,"")</f>
        <v>624.89191200000005</v>
      </c>
      <c r="AU58" s="120">
        <f t="shared" ref="AU58:AU60" si="39">AT58/AQ58</f>
        <v>152</v>
      </c>
      <c r="AV58" s="117" t="str">
        <f>Y58</f>
        <v>CUSTINST-A</v>
      </c>
      <c r="AX58" s="117" t="str">
        <f t="shared" si="27"/>
        <v>[UC1]Customer Payment Instruction [10:59]</v>
      </c>
      <c r="AY58" s="117" t="s">
        <v>90</v>
      </c>
      <c r="AZ58" s="116" t="str">
        <f t="shared" ca="1" si="28"/>
        <v>BDBF3ACD31A6E1844E41</v>
      </c>
    </row>
    <row r="59" spans="1:52" x14ac:dyDescent="0.25">
      <c r="A59" s="137">
        <v>0.45763888888888887</v>
      </c>
      <c r="B59" s="151" t="str">
        <f t="shared" ref="B59:J59" si="40">B8</f>
        <v>Customer Payment Instruction</v>
      </c>
      <c r="C59" s="137" t="str">
        <f t="shared" si="40"/>
        <v>BRL</v>
      </c>
      <c r="D59" s="142">
        <f t="shared" si="40"/>
        <v>278</v>
      </c>
      <c r="E59" s="137" t="str">
        <f t="shared" si="40"/>
        <v>PAY</v>
      </c>
      <c r="F59" s="121">
        <f t="shared" si="2"/>
        <v>-278</v>
      </c>
      <c r="G59" s="177">
        <f t="shared" si="34"/>
        <v>4.111523</v>
      </c>
      <c r="H59" s="177" t="str">
        <f t="shared" si="34"/>
        <v>USD</v>
      </c>
      <c r="I59" s="121" t="s">
        <v>80</v>
      </c>
      <c r="J59" s="150" t="str">
        <f t="shared" si="30"/>
        <v>BDB</v>
      </c>
      <c r="K59" s="163" t="s">
        <v>77</v>
      </c>
      <c r="L59" s="150" t="s">
        <v>88</v>
      </c>
      <c r="N59" s="116" t="str">
        <f t="shared" ca="1" si="4"/>
        <v>d855d94f-2aae-6796-433f-ffd8bbfa2370-059</v>
      </c>
      <c r="O59" s="116" t="str">
        <f t="shared" si="31"/>
        <v>BRL.CUSTINSTA.BDB000</v>
      </c>
      <c r="P59" s="117" t="str">
        <f t="shared" si="24"/>
        <v>Customer Payment Instruction</v>
      </c>
      <c r="Q59" s="116" t="str">
        <f t="shared" ca="1" si="25"/>
        <v>d855d94f-2aae-6796-433f-ffd8bbfa2370-059</v>
      </c>
      <c r="R59" s="117">
        <f t="shared" si="12"/>
        <v>0</v>
      </c>
      <c r="S59" s="118">
        <f t="shared" ca="1" si="7"/>
        <v>43726</v>
      </c>
      <c r="T59" s="119" t="str">
        <f t="shared" ca="1" si="26"/>
        <v>ext-u1-1059-2e9c6-0059</v>
      </c>
      <c r="U59" s="117" t="str">
        <f>J59</f>
        <v>BDB</v>
      </c>
      <c r="V59" s="117" t="str">
        <f>E59</f>
        <v>PAY</v>
      </c>
      <c r="W59" s="117" t="str">
        <f>C59</f>
        <v>BRL</v>
      </c>
      <c r="X59" s="141">
        <f t="shared" si="9"/>
        <v>-278</v>
      </c>
      <c r="Y59" s="117" t="str">
        <f>L59&amp;"-"&amp;LEFT(K59,1)</f>
        <v>CUSTINST-A</v>
      </c>
      <c r="Z59" s="118" t="str">
        <f t="shared" si="13"/>
        <v>Fixed</v>
      </c>
      <c r="AA59" s="117" t="str">
        <f>"[UC1]"&amp;P59&amp;REPT(" ",28-LEN(P59))&amp;" ["&amp;TEXT(A59,"HH:MM")&amp;"]"</f>
        <v>[UC1]Customer Payment Instruction [10:59]</v>
      </c>
      <c r="AB59" s="121" t="str">
        <f t="shared" si="14"/>
        <v>DEFAULT</v>
      </c>
      <c r="AC59" s="116" t="str">
        <f ca="1">UPPER(LEFT(U59&amp;SUBSTITUTE(N59,"-",""),20))</f>
        <v>BDBD855D94F2AAE67964</v>
      </c>
      <c r="AD59" s="117" t="str">
        <f t="shared" si="15"/>
        <v>N</v>
      </c>
      <c r="AE59" s="121" t="str">
        <f t="shared" si="10"/>
        <v>ACTUAL</v>
      </c>
      <c r="AI59" s="116" t="str">
        <f ca="1">N59</f>
        <v>d855d94f-2aae-6796-433f-ffd8bbfa2370-059</v>
      </c>
      <c r="AJ59" s="117" t="s">
        <v>76</v>
      </c>
      <c r="AK59" s="116" t="str">
        <f ca="1">Q59</f>
        <v>d855d94f-2aae-6796-433f-ffd8bbfa2370-059</v>
      </c>
      <c r="AL59" s="117">
        <f t="shared" si="32"/>
        <v>0</v>
      </c>
      <c r="AM59" s="118">
        <f ca="1">S59</f>
        <v>43726</v>
      </c>
      <c r="AN59" s="119" t="str">
        <f ca="1">T59</f>
        <v>ext-u1-1059-2e9c6-0059</v>
      </c>
      <c r="AO59" s="117" t="str">
        <f>U59</f>
        <v>BDB</v>
      </c>
      <c r="AP59" s="117" t="s">
        <v>78</v>
      </c>
      <c r="AQ59" s="117">
        <f>G59</f>
        <v>4.111523</v>
      </c>
      <c r="AR59" s="117" t="str">
        <f>H59</f>
        <v>USD</v>
      </c>
      <c r="AS59" s="117" t="str">
        <f>W59</f>
        <v>BRL</v>
      </c>
      <c r="AT59" s="120">
        <f>IFERROR(D59*G59,"")</f>
        <v>1143.0033940000001</v>
      </c>
      <c r="AU59" s="120">
        <f t="shared" si="39"/>
        <v>278</v>
      </c>
      <c r="AV59" s="117" t="str">
        <f>Y59</f>
        <v>CUSTINST-A</v>
      </c>
      <c r="AX59" s="117" t="str">
        <f t="shared" si="27"/>
        <v>[UC1]Customer Payment Instruction [10:59]</v>
      </c>
      <c r="AY59" s="117" t="s">
        <v>90</v>
      </c>
      <c r="AZ59" s="116" t="str">
        <f t="shared" ca="1" si="28"/>
        <v>BDBD855D94F2AAE67964</v>
      </c>
    </row>
    <row r="60" spans="1:52" x14ac:dyDescent="0.25">
      <c r="A60" s="137">
        <v>0.45763888888888887</v>
      </c>
      <c r="B60" s="151" t="str">
        <f t="shared" ref="B60:J60" si="41">B9</f>
        <v>Customer Payment Instruction</v>
      </c>
      <c r="C60" s="137" t="str">
        <f t="shared" si="41"/>
        <v>BRL</v>
      </c>
      <c r="D60" s="142">
        <f t="shared" si="41"/>
        <v>7996</v>
      </c>
      <c r="E60" s="137" t="str">
        <f t="shared" si="41"/>
        <v>PAY</v>
      </c>
      <c r="F60" s="121">
        <f t="shared" si="2"/>
        <v>-7996</v>
      </c>
      <c r="G60" s="177">
        <f t="shared" si="34"/>
        <v>4.1113670000000004</v>
      </c>
      <c r="H60" s="177" t="str">
        <f t="shared" si="34"/>
        <v>USD</v>
      </c>
      <c r="I60" s="121" t="s">
        <v>80</v>
      </c>
      <c r="J60" s="150" t="str">
        <f t="shared" si="30"/>
        <v>BDB</v>
      </c>
      <c r="K60" s="163" t="s">
        <v>77</v>
      </c>
      <c r="L60" s="150" t="s">
        <v>88</v>
      </c>
      <c r="N60" s="116" t="str">
        <f t="shared" ca="1" si="4"/>
        <v>8724278e-9fa0-29b1-63d2-4b6cdd81652f-060</v>
      </c>
      <c r="O60" s="116" t="str">
        <f t="shared" si="31"/>
        <v>BRL.CUSTINSTA.BDB000</v>
      </c>
      <c r="P60" s="117" t="str">
        <f t="shared" si="24"/>
        <v>Customer Payment Instruction</v>
      </c>
      <c r="Q60" s="116" t="str">
        <f t="shared" ca="1" si="25"/>
        <v>8724278e-9fa0-29b1-63d2-4b6cdd81652f-060</v>
      </c>
      <c r="R60" s="117">
        <f t="shared" si="12"/>
        <v>0</v>
      </c>
      <c r="S60" s="118">
        <f t="shared" ca="1" si="7"/>
        <v>43726</v>
      </c>
      <c r="T60" s="119" t="str">
        <f t="shared" ca="1" si="26"/>
        <v>ext-u1-1059-2e9c6-0060</v>
      </c>
      <c r="U60" s="117" t="str">
        <f>J60</f>
        <v>BDB</v>
      </c>
      <c r="V60" s="117" t="str">
        <f>E60</f>
        <v>PAY</v>
      </c>
      <c r="W60" s="117" t="str">
        <f>C60</f>
        <v>BRL</v>
      </c>
      <c r="X60" s="141">
        <f t="shared" si="9"/>
        <v>-7996</v>
      </c>
      <c r="Y60" s="117" t="str">
        <f>L60&amp;"-"&amp;LEFT(K60,1)</f>
        <v>CUSTINST-A</v>
      </c>
      <c r="Z60" s="118" t="str">
        <f t="shared" si="13"/>
        <v>Fixed</v>
      </c>
      <c r="AA60" s="117" t="str">
        <f>"[UC1]"&amp;P60&amp;REPT(" ",28-LEN(P60))&amp;" ["&amp;TEXT(A60,"HH:MM")&amp;"]"</f>
        <v>[UC1]Customer Payment Instruction [10:59]</v>
      </c>
      <c r="AB60" s="121" t="str">
        <f t="shared" si="14"/>
        <v>DEFAULT</v>
      </c>
      <c r="AC60" s="116" t="str">
        <f ca="1">UPPER(LEFT(U60&amp;SUBSTITUTE(N60,"-",""),20))</f>
        <v>BDB8724278E9FA029B16</v>
      </c>
      <c r="AD60" s="117" t="str">
        <f t="shared" si="15"/>
        <v>N</v>
      </c>
      <c r="AE60" s="121" t="str">
        <f t="shared" si="10"/>
        <v>ACTUAL</v>
      </c>
      <c r="AI60" s="116" t="str">
        <f ca="1">N60</f>
        <v>8724278e-9fa0-29b1-63d2-4b6cdd81652f-060</v>
      </c>
      <c r="AJ60" s="117" t="s">
        <v>76</v>
      </c>
      <c r="AK60" s="116" t="str">
        <f ca="1">Q60</f>
        <v>8724278e-9fa0-29b1-63d2-4b6cdd81652f-060</v>
      </c>
      <c r="AL60" s="117">
        <f t="shared" si="32"/>
        <v>0</v>
      </c>
      <c r="AM60" s="118">
        <f ca="1">S60</f>
        <v>43726</v>
      </c>
      <c r="AN60" s="119" t="str">
        <f ca="1">T60</f>
        <v>ext-u1-1059-2e9c6-0060</v>
      </c>
      <c r="AO60" s="117" t="str">
        <f>U60</f>
        <v>BDB</v>
      </c>
      <c r="AP60" s="117" t="s">
        <v>78</v>
      </c>
      <c r="AQ60" s="117">
        <f>G60</f>
        <v>4.1113670000000004</v>
      </c>
      <c r="AR60" s="117" t="str">
        <f>H60</f>
        <v>USD</v>
      </c>
      <c r="AS60" s="117" t="str">
        <f>W60</f>
        <v>BRL</v>
      </c>
      <c r="AT60" s="120">
        <f>IFERROR(D60*G60,"")</f>
        <v>32874.490532000003</v>
      </c>
      <c r="AU60" s="120">
        <f t="shared" si="39"/>
        <v>7996</v>
      </c>
      <c r="AV60" s="117" t="str">
        <f>Y60</f>
        <v>CUSTINST-A</v>
      </c>
      <c r="AX60" s="117" t="str">
        <f t="shared" si="27"/>
        <v>[UC1]Customer Payment Instruction [10:59]</v>
      </c>
      <c r="AY60" s="117" t="s">
        <v>90</v>
      </c>
      <c r="AZ60" s="116" t="str">
        <f t="shared" ca="1" si="28"/>
        <v>BDB8724278E9FA029B16</v>
      </c>
    </row>
    <row r="61" spans="1:52" x14ac:dyDescent="0.25">
      <c r="A61" s="137">
        <f t="shared" ref="A61:J61" si="42">A10</f>
        <v>0.4375</v>
      </c>
      <c r="B61" s="151" t="str">
        <f t="shared" si="42"/>
        <v>Cash Transfer</v>
      </c>
      <c r="C61" s="137" t="str">
        <f t="shared" si="42"/>
        <v>USD</v>
      </c>
      <c r="D61" s="142">
        <f t="shared" si="42"/>
        <v>15000</v>
      </c>
      <c r="E61" s="137" t="str">
        <f t="shared" si="42"/>
        <v>RECEIVE</v>
      </c>
      <c r="F61" s="121">
        <f t="shared" si="2"/>
        <v>15000</v>
      </c>
      <c r="G61" s="177" t="str">
        <f t="shared" si="34"/>
        <v/>
      </c>
      <c r="H61" s="177" t="str">
        <f t="shared" si="34"/>
        <v/>
      </c>
      <c r="I61" s="121" t="s">
        <v>80</v>
      </c>
      <c r="J61" s="150" t="str">
        <f t="shared" si="30"/>
        <v>BDB</v>
      </c>
      <c r="K61" s="163" t="s">
        <v>77</v>
      </c>
      <c r="L61" s="150" t="s">
        <v>87</v>
      </c>
      <c r="N61" s="116" t="str">
        <f t="shared" ca="1" si="4"/>
        <v>92973ae7-50eb-09e5-1a2a-a3d54397168d-061</v>
      </c>
      <c r="O61" s="116" t="str">
        <f t="shared" si="31"/>
        <v>USD.CASHTXA.BDB00000</v>
      </c>
      <c r="P61" s="117" t="str">
        <f t="shared" si="24"/>
        <v>Cash Transfer</v>
      </c>
      <c r="Q61" s="116" t="str">
        <f t="shared" ca="1" si="25"/>
        <v>92973ae7-50eb-09e5-1a2a-a3d54397168d-061</v>
      </c>
      <c r="R61" s="117">
        <f t="shared" si="12"/>
        <v>0</v>
      </c>
      <c r="S61" s="118">
        <f t="shared" ca="1" si="7"/>
        <v>43726</v>
      </c>
      <c r="T61" s="119" t="str">
        <f t="shared" ca="1" si="26"/>
        <v>ext-u1-1030-2e9c6-0061</v>
      </c>
      <c r="U61" s="117" t="str">
        <f>J61</f>
        <v>BDB</v>
      </c>
      <c r="V61" s="117" t="str">
        <f>E61</f>
        <v>RECEIVE</v>
      </c>
      <c r="W61" s="117" t="str">
        <f>C61</f>
        <v>USD</v>
      </c>
      <c r="X61" s="141">
        <f t="shared" si="9"/>
        <v>15000</v>
      </c>
      <c r="Y61" s="117" t="str">
        <f>L61&amp;"-"&amp;LEFT(K61,1)</f>
        <v>CASHTX-A</v>
      </c>
      <c r="Z61" s="118" t="str">
        <f t="shared" si="13"/>
        <v>Fixed</v>
      </c>
      <c r="AA61" s="117" t="str">
        <f>"[UC1]"&amp;P61&amp;REPT(" ",28-LEN(P61))&amp;" ["&amp;TEXT(A61,"HH:MM")&amp;"]"</f>
        <v>[UC1]Cash Transfer                [10:30]</v>
      </c>
      <c r="AB61" s="121" t="str">
        <f t="shared" si="14"/>
        <v>DEFAULT</v>
      </c>
      <c r="AC61" s="116" t="str">
        <f ca="1">UPPER(LEFT(U61&amp;SUBSTITUTE(N61,"-",""),20))</f>
        <v>BDB92973AE750EB09E51</v>
      </c>
      <c r="AD61" s="117" t="str">
        <f t="shared" si="15"/>
        <v>N</v>
      </c>
      <c r="AE61" s="121" t="str">
        <f t="shared" si="10"/>
        <v>ACTUAL</v>
      </c>
      <c r="AI61" s="116" t="str">
        <f ca="1">N61</f>
        <v>92973ae7-50eb-09e5-1a2a-a3d54397168d-061</v>
      </c>
      <c r="AJ61" s="117" t="s">
        <v>76</v>
      </c>
      <c r="AK61" s="116" t="str">
        <f ca="1">Q61</f>
        <v>92973ae7-50eb-09e5-1a2a-a3d54397168d-061</v>
      </c>
      <c r="AL61" s="117">
        <f t="shared" si="32"/>
        <v>0</v>
      </c>
      <c r="AM61" s="118">
        <f ca="1">S61</f>
        <v>43726</v>
      </c>
      <c r="AN61" s="119" t="str">
        <f ca="1">T61</f>
        <v>ext-u1-1030-2e9c6-0061</v>
      </c>
      <c r="AO61" s="117" t="str">
        <f>U61</f>
        <v>BDB</v>
      </c>
      <c r="AP61" s="117" t="s">
        <v>78</v>
      </c>
      <c r="AQ61" s="117" t="str">
        <f>G61</f>
        <v/>
      </c>
      <c r="AR61" s="117" t="str">
        <f>H61</f>
        <v/>
      </c>
      <c r="AS61" s="117" t="str">
        <f>W61</f>
        <v>USD</v>
      </c>
      <c r="AT61" s="120" t="str">
        <f>IFERROR(D61*G61,"")</f>
        <v/>
      </c>
      <c r="AV61" s="117" t="str">
        <f>Y61</f>
        <v>CASHTX-A</v>
      </c>
      <c r="AX61" s="117" t="str">
        <f t="shared" si="27"/>
        <v>[UC1]Cash Transfer                [10:30]</v>
      </c>
      <c r="AY61" s="117" t="s">
        <v>90</v>
      </c>
      <c r="AZ61" s="116" t="str">
        <f t="shared" ca="1" si="28"/>
        <v>BDB92973AE750EB09E51</v>
      </c>
    </row>
    <row r="62" spans="1:52" x14ac:dyDescent="0.25">
      <c r="A62" s="137">
        <v>0.45763888888888887</v>
      </c>
      <c r="B62" s="151" t="str">
        <f t="shared" ref="B62:J62" si="43">B11</f>
        <v>Customer Payment Instruction</v>
      </c>
      <c r="C62" s="137" t="str">
        <f t="shared" si="43"/>
        <v>BRL</v>
      </c>
      <c r="D62" s="142">
        <f t="shared" si="43"/>
        <v>2000</v>
      </c>
      <c r="E62" s="137" t="str">
        <f t="shared" si="43"/>
        <v>PAY</v>
      </c>
      <c r="F62" s="121">
        <f t="shared" si="2"/>
        <v>-2000</v>
      </c>
      <c r="G62" s="177">
        <f t="shared" si="34"/>
        <v>4.1117822999999998</v>
      </c>
      <c r="H62" s="177" t="str">
        <f t="shared" si="34"/>
        <v>USD</v>
      </c>
      <c r="I62" s="121" t="s">
        <v>80</v>
      </c>
      <c r="J62" s="150" t="str">
        <f t="shared" si="30"/>
        <v>BDB</v>
      </c>
      <c r="K62" s="163" t="s">
        <v>77</v>
      </c>
      <c r="L62" s="150" t="s">
        <v>88</v>
      </c>
      <c r="N62" s="116" t="str">
        <f t="shared" ca="1" si="4"/>
        <v>1121ceab-9be3-9081-8b6e-6ea92c760704-062</v>
      </c>
      <c r="O62" s="116" t="str">
        <f t="shared" si="31"/>
        <v>BRL.CUSTINSTA.BDB000</v>
      </c>
      <c r="P62" s="117" t="str">
        <f t="shared" si="24"/>
        <v>Customer Payment Instruction</v>
      </c>
      <c r="Q62" s="116" t="str">
        <f t="shared" ca="1" si="25"/>
        <v>1121ceab-9be3-9081-8b6e-6ea92c760704-062</v>
      </c>
      <c r="R62" s="117">
        <f t="shared" si="12"/>
        <v>0</v>
      </c>
      <c r="S62" s="118">
        <f t="shared" ca="1" si="7"/>
        <v>43726</v>
      </c>
      <c r="T62" s="119" t="str">
        <f t="shared" ca="1" si="26"/>
        <v>ext-u1-1059-2e9c6-0062</v>
      </c>
      <c r="U62" s="117" t="str">
        <f>J62</f>
        <v>BDB</v>
      </c>
      <c r="V62" s="117" t="str">
        <f>E62</f>
        <v>PAY</v>
      </c>
      <c r="W62" s="117" t="str">
        <f>C62</f>
        <v>BRL</v>
      </c>
      <c r="X62" s="141">
        <f t="shared" si="9"/>
        <v>-2000</v>
      </c>
      <c r="Y62" s="117" t="str">
        <f>L62&amp;"-"&amp;LEFT(K62,1)</f>
        <v>CUSTINST-A</v>
      </c>
      <c r="Z62" s="118" t="str">
        <f t="shared" si="13"/>
        <v>Fixed</v>
      </c>
      <c r="AA62" s="117" t="str">
        <f>"[UC1]"&amp;P62&amp;REPT(" ",28-LEN(P62))&amp;" ["&amp;TEXT(A62,"HH:MM")&amp;"]"</f>
        <v>[UC1]Customer Payment Instruction [10:59]</v>
      </c>
      <c r="AB62" s="121" t="str">
        <f t="shared" si="14"/>
        <v>DEFAULT</v>
      </c>
      <c r="AC62" s="116" t="str">
        <f ca="1">UPPER(LEFT(U62&amp;SUBSTITUTE(N62,"-",""),20))</f>
        <v>BDB1121CEAB9BE390818</v>
      </c>
      <c r="AD62" s="117" t="str">
        <f t="shared" si="15"/>
        <v>N</v>
      </c>
      <c r="AE62" s="121" t="str">
        <f t="shared" si="10"/>
        <v>ACTUAL</v>
      </c>
      <c r="AI62" s="116" t="str">
        <f ca="1">N62</f>
        <v>1121ceab-9be3-9081-8b6e-6ea92c760704-062</v>
      </c>
      <c r="AJ62" s="117" t="s">
        <v>76</v>
      </c>
      <c r="AK62" s="116" t="str">
        <f ca="1">Q62</f>
        <v>1121ceab-9be3-9081-8b6e-6ea92c760704-062</v>
      </c>
      <c r="AL62" s="117">
        <f t="shared" si="32"/>
        <v>0</v>
      </c>
      <c r="AM62" s="118">
        <f ca="1">S62</f>
        <v>43726</v>
      </c>
      <c r="AN62" s="119" t="str">
        <f ca="1">T62</f>
        <v>ext-u1-1059-2e9c6-0062</v>
      </c>
      <c r="AO62" s="117" t="str">
        <f>U62</f>
        <v>BDB</v>
      </c>
      <c r="AP62" s="117" t="s">
        <v>78</v>
      </c>
      <c r="AQ62" s="117">
        <f>G62</f>
        <v>4.1117822999999998</v>
      </c>
      <c r="AR62" s="117" t="str">
        <f>H62</f>
        <v>USD</v>
      </c>
      <c r="AS62" s="117" t="str">
        <f>W62</f>
        <v>BRL</v>
      </c>
      <c r="AT62" s="120">
        <f>IFERROR(D62*G62,"")</f>
        <v>8223.5645999999997</v>
      </c>
      <c r="AU62" s="120">
        <f t="shared" ref="AU62" si="44">AT62/AQ62</f>
        <v>2000</v>
      </c>
      <c r="AV62" s="117" t="str">
        <f>Y62</f>
        <v>CUSTINST-A</v>
      </c>
      <c r="AX62" s="117" t="str">
        <f t="shared" si="27"/>
        <v>[UC1]Customer Payment Instruction [10:59]</v>
      </c>
      <c r="AY62" s="117" t="s">
        <v>90</v>
      </c>
      <c r="AZ62" s="116" t="str">
        <f t="shared" ca="1" si="28"/>
        <v>BDB1121CEAB9BE390818</v>
      </c>
    </row>
    <row r="63" spans="1:52" x14ac:dyDescent="0.25">
      <c r="A63" s="137">
        <f t="shared" ref="A63:J63" si="45">A12</f>
        <v>0.4381944444444445</v>
      </c>
      <c r="B63" s="151" t="str">
        <f t="shared" si="45"/>
        <v>Cash Transfer</v>
      </c>
      <c r="C63" s="137" t="str">
        <f t="shared" si="45"/>
        <v>USD</v>
      </c>
      <c r="D63" s="142">
        <f t="shared" si="45"/>
        <v>20000</v>
      </c>
      <c r="E63" s="137" t="str">
        <f t="shared" si="45"/>
        <v>RECEIVE</v>
      </c>
      <c r="F63" s="121">
        <f t="shared" si="2"/>
        <v>20000</v>
      </c>
      <c r="G63" s="177" t="str">
        <f t="shared" si="34"/>
        <v/>
      </c>
      <c r="H63" s="177" t="str">
        <f t="shared" si="34"/>
        <v/>
      </c>
      <c r="I63" s="121" t="s">
        <v>80</v>
      </c>
      <c r="J63" s="150" t="str">
        <f t="shared" si="30"/>
        <v>BDB</v>
      </c>
      <c r="K63" s="163" t="s">
        <v>77</v>
      </c>
      <c r="L63" s="150" t="s">
        <v>87</v>
      </c>
      <c r="N63" s="116" t="str">
        <f t="shared" ca="1" si="4"/>
        <v>5ed7513d-41a8-1878-47b8-46d447a485a5-063</v>
      </c>
      <c r="O63" s="116" t="str">
        <f t="shared" si="31"/>
        <v>USD.CASHTXA.BDB00000</v>
      </c>
      <c r="P63" s="117" t="str">
        <f t="shared" ref="P63:P102" si="46">B63</f>
        <v>Cash Transfer</v>
      </c>
      <c r="Q63" s="116" t="str">
        <f t="shared" ref="Q63:Q102" ca="1" si="47">N63</f>
        <v>5ed7513d-41a8-1878-47b8-46d447a485a5-063</v>
      </c>
      <c r="R63" s="117">
        <f t="shared" si="12"/>
        <v>0</v>
      </c>
      <c r="S63" s="118">
        <f t="shared" ca="1" si="7"/>
        <v>43726</v>
      </c>
      <c r="T63" s="119" t="str">
        <f t="shared" ref="T63:T102" ca="1" si="48">"ext-u1-"&amp;TEXT(A63,"HHMM-")&amp;LOWER(DEC2HEX(TEXT(TODAY(),"YmMD")))&amp;"-"&amp;TEXT(ROW(),"0000")</f>
        <v>ext-u1-1031-2e9c6-0063</v>
      </c>
      <c r="U63" s="117" t="str">
        <f>J63</f>
        <v>BDB</v>
      </c>
      <c r="V63" s="117" t="str">
        <f>E63</f>
        <v>RECEIVE</v>
      </c>
      <c r="W63" s="117" t="str">
        <f>C63</f>
        <v>USD</v>
      </c>
      <c r="X63" s="141">
        <f t="shared" si="9"/>
        <v>20000</v>
      </c>
      <c r="Y63" s="117" t="str">
        <f>L63&amp;"-"&amp;LEFT(K63,1)</f>
        <v>CASHTX-A</v>
      </c>
      <c r="Z63" s="118" t="str">
        <f t="shared" si="13"/>
        <v>Fixed</v>
      </c>
      <c r="AA63" s="117" t="str">
        <f>"[UC1]"&amp;P63&amp;REPT(" ",28-LEN(P63))&amp;" ["&amp;TEXT(A63,"HH:MM")&amp;"]"</f>
        <v>[UC1]Cash Transfer                [10:31]</v>
      </c>
      <c r="AB63" s="121" t="str">
        <f t="shared" si="14"/>
        <v>DEFAULT</v>
      </c>
      <c r="AC63" s="116" t="str">
        <f ca="1">UPPER(LEFT(U63&amp;SUBSTITUTE(N63,"-",""),20))</f>
        <v>BDB5ED7513D41A818784</v>
      </c>
      <c r="AD63" s="117" t="str">
        <f t="shared" si="15"/>
        <v>N</v>
      </c>
      <c r="AE63" s="121" t="str">
        <f t="shared" si="10"/>
        <v>ACTUAL</v>
      </c>
      <c r="AI63" s="116" t="str">
        <f ca="1">N63</f>
        <v>5ed7513d-41a8-1878-47b8-46d447a485a5-063</v>
      </c>
      <c r="AJ63" s="117" t="s">
        <v>76</v>
      </c>
      <c r="AK63" s="116" t="str">
        <f ca="1">Q63</f>
        <v>5ed7513d-41a8-1878-47b8-46d447a485a5-063</v>
      </c>
      <c r="AL63" s="117">
        <f t="shared" si="32"/>
        <v>0</v>
      </c>
      <c r="AM63" s="118">
        <f ca="1">S63</f>
        <v>43726</v>
      </c>
      <c r="AN63" s="119" t="str">
        <f ca="1">T63</f>
        <v>ext-u1-1031-2e9c6-0063</v>
      </c>
      <c r="AO63" s="117" t="str">
        <f>U63</f>
        <v>BDB</v>
      </c>
      <c r="AP63" s="117" t="s">
        <v>78</v>
      </c>
      <c r="AQ63" s="117" t="str">
        <f>G63</f>
        <v/>
      </c>
      <c r="AR63" s="117" t="str">
        <f>H63</f>
        <v/>
      </c>
      <c r="AS63" s="117" t="str">
        <f>W63</f>
        <v>USD</v>
      </c>
      <c r="AT63" s="120" t="str">
        <f>IFERROR(D63*G63,"")</f>
        <v/>
      </c>
      <c r="AV63" s="117" t="str">
        <f>Y63</f>
        <v>CASHTX-A</v>
      </c>
      <c r="AX63" s="117" t="str">
        <f t="shared" si="27"/>
        <v>[UC1]Cash Transfer                [10:31]</v>
      </c>
      <c r="AY63" s="117" t="s">
        <v>90</v>
      </c>
      <c r="AZ63" s="116" t="str">
        <f t="shared" ca="1" si="28"/>
        <v>BDB5ED7513D41A818784</v>
      </c>
    </row>
    <row r="64" spans="1:52" x14ac:dyDescent="0.25">
      <c r="A64" s="137">
        <f t="shared" ref="A64:J64" si="49">A13</f>
        <v>0.4381944444444445</v>
      </c>
      <c r="B64" s="151" t="str">
        <f t="shared" si="49"/>
        <v>Cash Transfer</v>
      </c>
      <c r="C64" s="137" t="str">
        <f t="shared" si="49"/>
        <v>USD</v>
      </c>
      <c r="D64" s="142">
        <f t="shared" si="49"/>
        <v>15000</v>
      </c>
      <c r="E64" s="137" t="str">
        <f t="shared" si="49"/>
        <v>RECEIVE</v>
      </c>
      <c r="F64" s="121">
        <f t="shared" si="2"/>
        <v>15000</v>
      </c>
      <c r="G64" s="177" t="str">
        <f t="shared" si="34"/>
        <v/>
      </c>
      <c r="H64" s="177" t="str">
        <f t="shared" si="34"/>
        <v/>
      </c>
      <c r="I64" s="121" t="s">
        <v>80</v>
      </c>
      <c r="J64" s="150" t="str">
        <f t="shared" si="30"/>
        <v>BDB</v>
      </c>
      <c r="K64" s="163" t="s">
        <v>77</v>
      </c>
      <c r="L64" s="150" t="s">
        <v>87</v>
      </c>
      <c r="N64" s="116" t="str">
        <f t="shared" ca="1" si="4"/>
        <v>b399cf4c-324f-1014-6620-ae3f19900351-064</v>
      </c>
      <c r="O64" s="116" t="str">
        <f t="shared" si="31"/>
        <v>USD.CASHTXA.BDB00000</v>
      </c>
      <c r="P64" s="117" t="str">
        <f t="shared" si="46"/>
        <v>Cash Transfer</v>
      </c>
      <c r="Q64" s="116" t="str">
        <f t="shared" ca="1" si="47"/>
        <v>b399cf4c-324f-1014-6620-ae3f19900351-064</v>
      </c>
      <c r="R64" s="117">
        <f t="shared" si="12"/>
        <v>0</v>
      </c>
      <c r="S64" s="118">
        <f t="shared" ca="1" si="7"/>
        <v>43726</v>
      </c>
      <c r="T64" s="119" t="str">
        <f t="shared" ca="1" si="48"/>
        <v>ext-u1-1031-2e9c6-0064</v>
      </c>
      <c r="U64" s="117" t="str">
        <f>J64</f>
        <v>BDB</v>
      </c>
      <c r="V64" s="117" t="str">
        <f>E64</f>
        <v>RECEIVE</v>
      </c>
      <c r="W64" s="117" t="str">
        <f>C64</f>
        <v>USD</v>
      </c>
      <c r="X64" s="141">
        <f t="shared" si="9"/>
        <v>15000</v>
      </c>
      <c r="Y64" s="117" t="str">
        <f>L64&amp;"-"&amp;LEFT(K64,1)</f>
        <v>CASHTX-A</v>
      </c>
      <c r="Z64" s="118" t="str">
        <f t="shared" si="13"/>
        <v>Fixed</v>
      </c>
      <c r="AA64" s="117" t="str">
        <f>"[UC1]"&amp;P64&amp;REPT(" ",28-LEN(P64))&amp;" ["&amp;TEXT(A64,"HH:MM")&amp;"]"</f>
        <v>[UC1]Cash Transfer                [10:31]</v>
      </c>
      <c r="AB64" s="121" t="str">
        <f t="shared" si="14"/>
        <v>DEFAULT</v>
      </c>
      <c r="AC64" s="116" t="str">
        <f ca="1">UPPER(LEFT(U64&amp;SUBSTITUTE(N64,"-",""),20))</f>
        <v>BDBB399CF4C324F10146</v>
      </c>
      <c r="AD64" s="117" t="str">
        <f t="shared" si="15"/>
        <v>N</v>
      </c>
      <c r="AE64" s="121" t="str">
        <f t="shared" si="10"/>
        <v>ACTUAL</v>
      </c>
      <c r="AI64" s="116" t="str">
        <f ca="1">N64</f>
        <v>b399cf4c-324f-1014-6620-ae3f19900351-064</v>
      </c>
      <c r="AJ64" s="117" t="s">
        <v>76</v>
      </c>
      <c r="AK64" s="116" t="str">
        <f ca="1">Q64</f>
        <v>b399cf4c-324f-1014-6620-ae3f19900351-064</v>
      </c>
      <c r="AL64" s="117">
        <f t="shared" si="32"/>
        <v>0</v>
      </c>
      <c r="AM64" s="118">
        <f ca="1">S64</f>
        <v>43726</v>
      </c>
      <c r="AN64" s="119" t="str">
        <f ca="1">T64</f>
        <v>ext-u1-1031-2e9c6-0064</v>
      </c>
      <c r="AO64" s="117" t="str">
        <f>U64</f>
        <v>BDB</v>
      </c>
      <c r="AP64" s="117" t="s">
        <v>78</v>
      </c>
      <c r="AQ64" s="117" t="str">
        <f>G64</f>
        <v/>
      </c>
      <c r="AR64" s="117" t="str">
        <f>H64</f>
        <v/>
      </c>
      <c r="AS64" s="117" t="str">
        <f>W64</f>
        <v>USD</v>
      </c>
      <c r="AT64" s="120" t="str">
        <f>IFERROR(D64*G64,"")</f>
        <v/>
      </c>
      <c r="AV64" s="117" t="str">
        <f>Y64</f>
        <v>CASHTX-A</v>
      </c>
      <c r="AX64" s="117" t="str">
        <f t="shared" si="27"/>
        <v>[UC1]Cash Transfer                [10:31]</v>
      </c>
      <c r="AY64" s="117" t="s">
        <v>90</v>
      </c>
      <c r="AZ64" s="116" t="str">
        <f t="shared" ca="1" si="28"/>
        <v>BDBB399CF4C324F10146</v>
      </c>
    </row>
    <row r="65" spans="1:52" x14ac:dyDescent="0.25">
      <c r="A65" s="137">
        <v>0.45763888888888887</v>
      </c>
      <c r="B65" s="151" t="str">
        <f t="shared" ref="B65:J65" si="50">B14</f>
        <v>Customer Payment Instruction</v>
      </c>
      <c r="C65" s="137" t="str">
        <f t="shared" si="50"/>
        <v>BRL</v>
      </c>
      <c r="D65" s="142">
        <f t="shared" si="50"/>
        <v>1542</v>
      </c>
      <c r="E65" s="137" t="str">
        <f t="shared" si="50"/>
        <v>PAY</v>
      </c>
      <c r="F65" s="121">
        <f t="shared" si="2"/>
        <v>-1542</v>
      </c>
      <c r="G65" s="177">
        <f t="shared" si="34"/>
        <v>4.1121350000000003</v>
      </c>
      <c r="H65" s="177" t="str">
        <f t="shared" si="34"/>
        <v>USD</v>
      </c>
      <c r="I65" s="121" t="s">
        <v>80</v>
      </c>
      <c r="J65" s="150" t="str">
        <f t="shared" si="30"/>
        <v>BDB</v>
      </c>
      <c r="K65" s="163" t="s">
        <v>77</v>
      </c>
      <c r="L65" s="150" t="s">
        <v>88</v>
      </c>
      <c r="N65" s="116" t="str">
        <f t="shared" ca="1" si="4"/>
        <v>43ecf45d-83ce-170a-8e9f-a0365c1012e0-065</v>
      </c>
      <c r="O65" s="116" t="str">
        <f t="shared" si="31"/>
        <v>BRL.CUSTINSTA.BDB000</v>
      </c>
      <c r="P65" s="117" t="str">
        <f t="shared" si="46"/>
        <v>Customer Payment Instruction</v>
      </c>
      <c r="Q65" s="116" t="str">
        <f t="shared" ca="1" si="47"/>
        <v>43ecf45d-83ce-170a-8e9f-a0365c1012e0-065</v>
      </c>
      <c r="R65" s="117">
        <f t="shared" si="12"/>
        <v>0</v>
      </c>
      <c r="S65" s="118">
        <f t="shared" ca="1" si="7"/>
        <v>43726</v>
      </c>
      <c r="T65" s="119" t="str">
        <f t="shared" ca="1" si="48"/>
        <v>ext-u1-1059-2e9c6-0065</v>
      </c>
      <c r="U65" s="117" t="str">
        <f>J65</f>
        <v>BDB</v>
      </c>
      <c r="V65" s="117" t="str">
        <f>E65</f>
        <v>PAY</v>
      </c>
      <c r="W65" s="117" t="str">
        <f>C65</f>
        <v>BRL</v>
      </c>
      <c r="X65" s="141">
        <f t="shared" si="9"/>
        <v>-1542</v>
      </c>
      <c r="Y65" s="117" t="str">
        <f>L65&amp;"-"&amp;LEFT(K65,1)</f>
        <v>CUSTINST-A</v>
      </c>
      <c r="Z65" s="118" t="str">
        <f t="shared" si="13"/>
        <v>Fixed</v>
      </c>
      <c r="AA65" s="117" t="str">
        <f>"[UC1]"&amp;P65&amp;REPT(" ",28-LEN(P65))&amp;" ["&amp;TEXT(A65,"HH:MM")&amp;"]"</f>
        <v>[UC1]Customer Payment Instruction [10:59]</v>
      </c>
      <c r="AB65" s="121" t="str">
        <f t="shared" si="14"/>
        <v>DEFAULT</v>
      </c>
      <c r="AC65" s="116" t="str">
        <f ca="1">UPPER(LEFT(U65&amp;SUBSTITUTE(N65,"-",""),20))</f>
        <v>BDB43ECF45D83CE170A8</v>
      </c>
      <c r="AD65" s="117" t="str">
        <f t="shared" si="15"/>
        <v>N</v>
      </c>
      <c r="AE65" s="121" t="str">
        <f t="shared" si="10"/>
        <v>ACTUAL</v>
      </c>
      <c r="AI65" s="116" t="str">
        <f ca="1">N65</f>
        <v>43ecf45d-83ce-170a-8e9f-a0365c1012e0-065</v>
      </c>
      <c r="AJ65" s="117" t="s">
        <v>76</v>
      </c>
      <c r="AK65" s="116" t="str">
        <f ca="1">Q65</f>
        <v>43ecf45d-83ce-170a-8e9f-a0365c1012e0-065</v>
      </c>
      <c r="AL65" s="117">
        <f t="shared" si="32"/>
        <v>0</v>
      </c>
      <c r="AM65" s="118">
        <f ca="1">S65</f>
        <v>43726</v>
      </c>
      <c r="AN65" s="119" t="str">
        <f ca="1">T65</f>
        <v>ext-u1-1059-2e9c6-0065</v>
      </c>
      <c r="AO65" s="117" t="str">
        <f>U65</f>
        <v>BDB</v>
      </c>
      <c r="AP65" s="117" t="s">
        <v>78</v>
      </c>
      <c r="AQ65" s="117">
        <f>G65</f>
        <v>4.1121350000000003</v>
      </c>
      <c r="AR65" s="117" t="str">
        <f>H65</f>
        <v>USD</v>
      </c>
      <c r="AS65" s="117" t="str">
        <f>W65</f>
        <v>BRL</v>
      </c>
      <c r="AT65" s="120">
        <f>IFERROR(D65*G65,"")</f>
        <v>6340.9121700000005</v>
      </c>
      <c r="AU65" s="120">
        <f t="shared" ref="AU65:AU74" si="51">AT65/AQ65</f>
        <v>1542</v>
      </c>
      <c r="AV65" s="117" t="str">
        <f>Y65</f>
        <v>CUSTINST-A</v>
      </c>
      <c r="AX65" s="117" t="str">
        <f t="shared" si="27"/>
        <v>[UC1]Customer Payment Instruction [10:59]</v>
      </c>
      <c r="AY65" s="117" t="s">
        <v>90</v>
      </c>
      <c r="AZ65" s="116" t="str">
        <f t="shared" ca="1" si="28"/>
        <v>BDB43ECF45D83CE170A8</v>
      </c>
    </row>
    <row r="66" spans="1:52" x14ac:dyDescent="0.25">
      <c r="A66" s="137">
        <v>0.45763888888888887</v>
      </c>
      <c r="B66" s="151" t="str">
        <f t="shared" ref="B66:J66" si="52">B15</f>
        <v>Customer Payment Instruction</v>
      </c>
      <c r="C66" s="137" t="str">
        <f t="shared" si="52"/>
        <v>BRL</v>
      </c>
      <c r="D66" s="142">
        <f t="shared" si="52"/>
        <v>3744.2</v>
      </c>
      <c r="E66" s="137" t="str">
        <f t="shared" si="52"/>
        <v>PAY</v>
      </c>
      <c r="F66" s="121">
        <f t="shared" si="2"/>
        <v>-3744.2</v>
      </c>
      <c r="G66" s="177">
        <f t="shared" si="34"/>
        <v>4.1123111000000003</v>
      </c>
      <c r="H66" s="177" t="str">
        <f t="shared" si="34"/>
        <v>USD</v>
      </c>
      <c r="I66" s="121" t="s">
        <v>80</v>
      </c>
      <c r="J66" s="150" t="str">
        <f t="shared" si="30"/>
        <v>BDB</v>
      </c>
      <c r="K66" s="163" t="s">
        <v>77</v>
      </c>
      <c r="L66" s="150" t="s">
        <v>88</v>
      </c>
      <c r="N66" s="116" t="str">
        <f t="shared" ca="1" si="4"/>
        <v>fea2f45b-67af-7e04-5d64-88736ab02e72-066</v>
      </c>
      <c r="O66" s="116" t="str">
        <f t="shared" si="31"/>
        <v>BRL.CUSTINSTA.BDB000</v>
      </c>
      <c r="P66" s="117" t="str">
        <f t="shared" si="46"/>
        <v>Customer Payment Instruction</v>
      </c>
      <c r="Q66" s="116" t="str">
        <f t="shared" ca="1" si="47"/>
        <v>fea2f45b-67af-7e04-5d64-88736ab02e72-066</v>
      </c>
      <c r="R66" s="117">
        <f t="shared" si="12"/>
        <v>0</v>
      </c>
      <c r="S66" s="118">
        <f t="shared" ca="1" si="7"/>
        <v>43726</v>
      </c>
      <c r="T66" s="119" t="str">
        <f t="shared" ca="1" si="48"/>
        <v>ext-u1-1059-2e9c6-0066</v>
      </c>
      <c r="U66" s="117" t="str">
        <f>J66</f>
        <v>BDB</v>
      </c>
      <c r="V66" s="117" t="str">
        <f>E66</f>
        <v>PAY</v>
      </c>
      <c r="W66" s="117" t="str">
        <f>C66</f>
        <v>BRL</v>
      </c>
      <c r="X66" s="141">
        <f t="shared" si="9"/>
        <v>-3744.2</v>
      </c>
      <c r="Y66" s="117" t="str">
        <f>L66&amp;"-"&amp;LEFT(K66,1)</f>
        <v>CUSTINST-A</v>
      </c>
      <c r="Z66" s="118" t="str">
        <f t="shared" si="13"/>
        <v>Fixed</v>
      </c>
      <c r="AA66" s="117" t="str">
        <f>"[UC1]"&amp;P66&amp;REPT(" ",28-LEN(P66))&amp;" ["&amp;TEXT(A66,"HH:MM")&amp;"]"</f>
        <v>[UC1]Customer Payment Instruction [10:59]</v>
      </c>
      <c r="AB66" s="121" t="str">
        <f t="shared" si="14"/>
        <v>DEFAULT</v>
      </c>
      <c r="AC66" s="116" t="str">
        <f ca="1">UPPER(LEFT(U66&amp;SUBSTITUTE(N66,"-",""),20))</f>
        <v>BDBFEA2F45B67AF7E045</v>
      </c>
      <c r="AD66" s="117" t="str">
        <f t="shared" si="15"/>
        <v>N</v>
      </c>
      <c r="AE66" s="121" t="str">
        <f t="shared" si="10"/>
        <v>ACTUAL</v>
      </c>
      <c r="AI66" s="116" t="str">
        <f ca="1">N66</f>
        <v>fea2f45b-67af-7e04-5d64-88736ab02e72-066</v>
      </c>
      <c r="AJ66" s="117" t="s">
        <v>76</v>
      </c>
      <c r="AK66" s="116" t="str">
        <f ca="1">Q66</f>
        <v>fea2f45b-67af-7e04-5d64-88736ab02e72-066</v>
      </c>
      <c r="AL66" s="117">
        <f t="shared" si="32"/>
        <v>0</v>
      </c>
      <c r="AM66" s="118">
        <f ca="1">S66</f>
        <v>43726</v>
      </c>
      <c r="AN66" s="119" t="str">
        <f ca="1">T66</f>
        <v>ext-u1-1059-2e9c6-0066</v>
      </c>
      <c r="AO66" s="117" t="str">
        <f>U66</f>
        <v>BDB</v>
      </c>
      <c r="AP66" s="117" t="s">
        <v>78</v>
      </c>
      <c r="AQ66" s="117">
        <f>G66</f>
        <v>4.1123111000000003</v>
      </c>
      <c r="AR66" s="117" t="str">
        <f>H66</f>
        <v>USD</v>
      </c>
      <c r="AS66" s="117" t="str">
        <f>W66</f>
        <v>BRL</v>
      </c>
      <c r="AT66" s="120">
        <f>IFERROR(D66*G66,"")</f>
        <v>15397.315220620001</v>
      </c>
      <c r="AU66" s="120">
        <f t="shared" si="51"/>
        <v>3744.2</v>
      </c>
      <c r="AV66" s="117" t="str">
        <f>Y66</f>
        <v>CUSTINST-A</v>
      </c>
      <c r="AX66" s="117" t="str">
        <f t="shared" si="27"/>
        <v>[UC1]Customer Payment Instruction [10:59]</v>
      </c>
      <c r="AY66" s="117" t="s">
        <v>90</v>
      </c>
      <c r="AZ66" s="116" t="str">
        <f t="shared" ca="1" si="28"/>
        <v>BDBFEA2F45B67AF7E045</v>
      </c>
    </row>
    <row r="67" spans="1:52" x14ac:dyDescent="0.25">
      <c r="A67" s="137">
        <v>0.45763888888888887</v>
      </c>
      <c r="B67" s="151" t="str">
        <f t="shared" ref="B67:J67" si="53">B16</f>
        <v>Customer Payment Instruction</v>
      </c>
      <c r="C67" s="137" t="str">
        <f t="shared" si="53"/>
        <v>BRL</v>
      </c>
      <c r="D67" s="142">
        <f t="shared" si="53"/>
        <v>4194.3999999999996</v>
      </c>
      <c r="E67" s="137" t="str">
        <f t="shared" si="53"/>
        <v>PAY</v>
      </c>
      <c r="F67" s="121">
        <f t="shared" ref="F67:F102" si="54">IF(E67="RECEIVE",D67,0-D67)</f>
        <v>-4194.3999999999996</v>
      </c>
      <c r="G67" s="177">
        <f t="shared" si="34"/>
        <v>4.1125234133333297</v>
      </c>
      <c r="H67" s="177" t="str">
        <f t="shared" si="34"/>
        <v>USD</v>
      </c>
      <c r="I67" s="121" t="s">
        <v>80</v>
      </c>
      <c r="J67" s="150" t="str">
        <f t="shared" si="30"/>
        <v>BDB</v>
      </c>
      <c r="K67" s="163" t="s">
        <v>77</v>
      </c>
      <c r="L67" s="150" t="s">
        <v>88</v>
      </c>
      <c r="N67" s="116" t="str">
        <f t="shared" ca="1" si="4"/>
        <v>11cfe201-022b-2f07-711a-0eb385109084-067</v>
      </c>
      <c r="O67" s="116" t="str">
        <f t="shared" si="31"/>
        <v>BRL.CUSTINSTA.BDB000</v>
      </c>
      <c r="P67" s="117" t="str">
        <f t="shared" si="46"/>
        <v>Customer Payment Instruction</v>
      </c>
      <c r="Q67" s="116" t="str">
        <f t="shared" ca="1" si="47"/>
        <v>11cfe201-022b-2f07-711a-0eb385109084-067</v>
      </c>
      <c r="R67" s="117">
        <f t="shared" si="12"/>
        <v>0</v>
      </c>
      <c r="S67" s="118">
        <f t="shared" ca="1" si="7"/>
        <v>43726</v>
      </c>
      <c r="T67" s="119" t="str">
        <f t="shared" ca="1" si="48"/>
        <v>ext-u1-1059-2e9c6-0067</v>
      </c>
      <c r="U67" s="117" t="str">
        <f>J67</f>
        <v>BDB</v>
      </c>
      <c r="V67" s="117" t="str">
        <f>E67</f>
        <v>PAY</v>
      </c>
      <c r="W67" s="117" t="str">
        <f>C67</f>
        <v>BRL</v>
      </c>
      <c r="X67" s="141">
        <f t="shared" ref="X67:X102" si="55">F67</f>
        <v>-4194.3999999999996</v>
      </c>
      <c r="Y67" s="117" t="str">
        <f>L67&amp;"-"&amp;LEFT(K67,1)</f>
        <v>CUSTINST-A</v>
      </c>
      <c r="Z67" s="118" t="str">
        <f t="shared" si="13"/>
        <v>Fixed</v>
      </c>
      <c r="AA67" s="117" t="str">
        <f>"[UC1]"&amp;P67&amp;REPT(" ",28-LEN(P67))&amp;" ["&amp;TEXT(A67,"HH:MM")&amp;"]"</f>
        <v>[UC1]Customer Payment Instruction [10:59]</v>
      </c>
      <c r="AB67" s="121" t="str">
        <f t="shared" si="14"/>
        <v>DEFAULT</v>
      </c>
      <c r="AC67" s="116" t="str">
        <f ca="1">UPPER(LEFT(U67&amp;SUBSTITUTE(N67,"-",""),20))</f>
        <v>BDB11CFE201022B2F077</v>
      </c>
      <c r="AD67" s="117" t="str">
        <f t="shared" si="15"/>
        <v>N</v>
      </c>
      <c r="AE67" s="121" t="str">
        <f t="shared" ref="AE67:AE102" si="56">IF(RIGHT(Y67,1)="A","ACTUAL","FORECAST")</f>
        <v>ACTUAL</v>
      </c>
      <c r="AI67" s="116" t="str">
        <f ca="1">N67</f>
        <v>11cfe201-022b-2f07-711a-0eb385109084-067</v>
      </c>
      <c r="AJ67" s="117" t="s">
        <v>76</v>
      </c>
      <c r="AK67" s="116" t="str">
        <f ca="1">Q67</f>
        <v>11cfe201-022b-2f07-711a-0eb385109084-067</v>
      </c>
      <c r="AL67" s="117">
        <f t="shared" si="32"/>
        <v>0</v>
      </c>
      <c r="AM67" s="118">
        <f ca="1">S67</f>
        <v>43726</v>
      </c>
      <c r="AN67" s="119" t="str">
        <f ca="1">T67</f>
        <v>ext-u1-1059-2e9c6-0067</v>
      </c>
      <c r="AO67" s="117" t="str">
        <f>U67</f>
        <v>BDB</v>
      </c>
      <c r="AP67" s="117" t="s">
        <v>78</v>
      </c>
      <c r="AQ67" s="117">
        <f>G67</f>
        <v>4.1125234133333297</v>
      </c>
      <c r="AR67" s="117" t="str">
        <f>H67</f>
        <v>USD</v>
      </c>
      <c r="AS67" s="117" t="str">
        <f>W67</f>
        <v>BRL</v>
      </c>
      <c r="AT67" s="120">
        <f>IFERROR(D67*G67,"")</f>
        <v>17249.568204885316</v>
      </c>
      <c r="AU67" s="120">
        <f t="shared" si="51"/>
        <v>4194.3999999999996</v>
      </c>
      <c r="AV67" s="117" t="str">
        <f>Y67</f>
        <v>CUSTINST-A</v>
      </c>
      <c r="AX67" s="117" t="str">
        <f t="shared" si="27"/>
        <v>[UC1]Customer Payment Instruction [10:59]</v>
      </c>
      <c r="AY67" s="117" t="s">
        <v>90</v>
      </c>
      <c r="AZ67" s="116" t="str">
        <f t="shared" ca="1" si="28"/>
        <v>BDB11CFE201022B2F077</v>
      </c>
    </row>
    <row r="68" spans="1:52" x14ac:dyDescent="0.25">
      <c r="A68" s="137">
        <v>0.45763888888888887</v>
      </c>
      <c r="B68" s="151" t="str">
        <f t="shared" ref="B68:J68" si="57">B17</f>
        <v>Customer Payment Instruction</v>
      </c>
      <c r="C68" s="137" t="str">
        <f t="shared" si="57"/>
        <v>BRL</v>
      </c>
      <c r="D68" s="142">
        <f t="shared" si="57"/>
        <v>4644.6000000000004</v>
      </c>
      <c r="E68" s="137" t="str">
        <f t="shared" si="57"/>
        <v>PAY</v>
      </c>
      <c r="F68" s="121">
        <f t="shared" si="54"/>
        <v>-4644.6000000000004</v>
      </c>
      <c r="G68" s="177">
        <f t="shared" si="34"/>
        <v>4.1127563219047598</v>
      </c>
      <c r="H68" s="177" t="str">
        <f t="shared" si="34"/>
        <v>USD</v>
      </c>
      <c r="I68" s="121" t="s">
        <v>80</v>
      </c>
      <c r="J68" s="150" t="str">
        <f t="shared" si="30"/>
        <v>BDB</v>
      </c>
      <c r="K68" s="163" t="s">
        <v>77</v>
      </c>
      <c r="L68" s="150" t="s">
        <v>88</v>
      </c>
      <c r="N68" s="116" t="str">
        <f t="shared" ref="N68:N102" ca="1" si="58">LOWER(CONCATENATE(DEC2HEX(RANDBETWEEN(0,4294967295),8),"-",DEC2HEX(RANDBETWEEN(0,42949),4),"-",DEC2HEX(RANDBETWEEN(0,42949),4),"-",DEC2HEX(RANDBETWEEN(0,42949),4),"-",DEC2HEX(RANDBETWEEN(0,4294967295),8),DEC2HEX(RANDBETWEEN(0,42949),4)))&amp;"-"&amp;TEXT(ROW(),"000")</f>
        <v>cdf2fae8-31f4-32be-5088-3027a13015f5-068</v>
      </c>
      <c r="O68" s="116" t="str">
        <f t="shared" si="31"/>
        <v>BRL.CUSTINSTA.BDB000</v>
      </c>
      <c r="P68" s="117" t="str">
        <f t="shared" si="46"/>
        <v>Customer Payment Instruction</v>
      </c>
      <c r="Q68" s="116" t="str">
        <f t="shared" ca="1" si="47"/>
        <v>cdf2fae8-31f4-32be-5088-3027a13015f5-068</v>
      </c>
      <c r="R68" s="117">
        <f t="shared" ref="R68:R102" si="59">R$2</f>
        <v>0</v>
      </c>
      <c r="S68" s="118">
        <f t="shared" ref="S68:S102" ca="1" si="60">TODAY()</f>
        <v>43726</v>
      </c>
      <c r="T68" s="119" t="str">
        <f t="shared" ca="1" si="48"/>
        <v>ext-u1-1059-2e9c6-0068</v>
      </c>
      <c r="U68" s="117" t="str">
        <f>J68</f>
        <v>BDB</v>
      </c>
      <c r="V68" s="117" t="str">
        <f>E68</f>
        <v>PAY</v>
      </c>
      <c r="W68" s="117" t="str">
        <f>C68</f>
        <v>BRL</v>
      </c>
      <c r="X68" s="141">
        <f t="shared" si="55"/>
        <v>-4644.6000000000004</v>
      </c>
      <c r="Y68" s="117" t="str">
        <f>L68&amp;"-"&amp;LEFT(K68,1)</f>
        <v>CUSTINST-A</v>
      </c>
      <c r="Z68" s="118" t="str">
        <f t="shared" si="13"/>
        <v>Fixed</v>
      </c>
      <c r="AA68" s="117" t="str">
        <f>"[UC1]"&amp;P68&amp;REPT(" ",28-LEN(P68))&amp;" ["&amp;TEXT(A68,"HH:MM")&amp;"]"</f>
        <v>[UC1]Customer Payment Instruction [10:59]</v>
      </c>
      <c r="AB68" s="121" t="str">
        <f t="shared" si="14"/>
        <v>DEFAULT</v>
      </c>
      <c r="AC68" s="116" t="str">
        <f ca="1">UPPER(LEFT(U68&amp;SUBSTITUTE(N68,"-",""),20))</f>
        <v>BDBCDF2FAE831F432BE5</v>
      </c>
      <c r="AD68" s="117" t="str">
        <f t="shared" ref="AD68:AD102" si="61">AD$2</f>
        <v>N</v>
      </c>
      <c r="AE68" s="121" t="str">
        <f t="shared" si="56"/>
        <v>ACTUAL</v>
      </c>
      <c r="AI68" s="116" t="str">
        <f ca="1">N68</f>
        <v>cdf2fae8-31f4-32be-5088-3027a13015f5-068</v>
      </c>
      <c r="AJ68" s="117" t="s">
        <v>76</v>
      </c>
      <c r="AK68" s="116" t="str">
        <f ca="1">Q68</f>
        <v>cdf2fae8-31f4-32be-5088-3027a13015f5-068</v>
      </c>
      <c r="AL68" s="117">
        <f t="shared" si="32"/>
        <v>0</v>
      </c>
      <c r="AM68" s="118">
        <f ca="1">S68</f>
        <v>43726</v>
      </c>
      <c r="AN68" s="119" t="str">
        <f ca="1">T68</f>
        <v>ext-u1-1059-2e9c6-0068</v>
      </c>
      <c r="AO68" s="117" t="str">
        <f>U68</f>
        <v>BDB</v>
      </c>
      <c r="AP68" s="117" t="s">
        <v>78</v>
      </c>
      <c r="AQ68" s="117">
        <f>G68</f>
        <v>4.1127563219047598</v>
      </c>
      <c r="AR68" s="117" t="str">
        <f>H68</f>
        <v>USD</v>
      </c>
      <c r="AS68" s="117" t="str">
        <f>W68</f>
        <v>BRL</v>
      </c>
      <c r="AT68" s="120">
        <f>IFERROR(D68*G68,"")</f>
        <v>19102.108012718851</v>
      </c>
      <c r="AU68" s="120">
        <f t="shared" si="51"/>
        <v>4644.6000000000004</v>
      </c>
      <c r="AV68" s="117" t="str">
        <f>Y68</f>
        <v>CUSTINST-A</v>
      </c>
      <c r="AX68" s="117" t="str">
        <f t="shared" si="27"/>
        <v>[UC1]Customer Payment Instruction [10:59]</v>
      </c>
      <c r="AY68" s="117" t="s">
        <v>90</v>
      </c>
      <c r="AZ68" s="116" t="str">
        <f t="shared" ca="1" si="28"/>
        <v>BDBCDF2FAE831F432BE5</v>
      </c>
    </row>
    <row r="69" spans="1:52" x14ac:dyDescent="0.25">
      <c r="A69" s="137">
        <v>0.45763888888888887</v>
      </c>
      <c r="B69" s="151" t="str">
        <f t="shared" ref="B69:J69" si="62">B18</f>
        <v>Customer Payment Instruction</v>
      </c>
      <c r="C69" s="137" t="str">
        <f t="shared" si="62"/>
        <v>BRL</v>
      </c>
      <c r="D69" s="142">
        <f t="shared" si="62"/>
        <v>5094.8</v>
      </c>
      <c r="E69" s="137" t="str">
        <f t="shared" si="62"/>
        <v>PAY</v>
      </c>
      <c r="F69" s="121">
        <f t="shared" si="54"/>
        <v>-5094.8</v>
      </c>
      <c r="G69" s="177">
        <f t="shared" si="34"/>
        <v>4.1129892304761899</v>
      </c>
      <c r="H69" s="177" t="str">
        <f t="shared" si="34"/>
        <v>USD</v>
      </c>
      <c r="I69" s="121" t="s">
        <v>80</v>
      </c>
      <c r="J69" s="150" t="str">
        <f t="shared" si="30"/>
        <v>BDB</v>
      </c>
      <c r="K69" s="163" t="s">
        <v>77</v>
      </c>
      <c r="L69" s="150" t="s">
        <v>88</v>
      </c>
      <c r="N69" s="116" t="str">
        <f t="shared" ca="1" si="58"/>
        <v>10c2b411-5779-4c8a-39e8-cfa7de502310-069</v>
      </c>
      <c r="O69" s="116" t="str">
        <f t="shared" si="31"/>
        <v>BRL.CUSTINSTA.BDB000</v>
      </c>
      <c r="P69" s="117" t="str">
        <f t="shared" si="46"/>
        <v>Customer Payment Instruction</v>
      </c>
      <c r="Q69" s="116" t="str">
        <f t="shared" ca="1" si="47"/>
        <v>10c2b411-5779-4c8a-39e8-cfa7de502310-069</v>
      </c>
      <c r="R69" s="117">
        <f t="shared" si="59"/>
        <v>0</v>
      </c>
      <c r="S69" s="118">
        <f t="shared" ca="1" si="60"/>
        <v>43726</v>
      </c>
      <c r="T69" s="119" t="str">
        <f t="shared" ca="1" si="48"/>
        <v>ext-u1-1059-2e9c6-0069</v>
      </c>
      <c r="U69" s="117" t="str">
        <f>J69</f>
        <v>BDB</v>
      </c>
      <c r="V69" s="117" t="str">
        <f>E69</f>
        <v>PAY</v>
      </c>
      <c r="W69" s="117" t="str">
        <f>C69</f>
        <v>BRL</v>
      </c>
      <c r="X69" s="141">
        <f t="shared" si="55"/>
        <v>-5094.8</v>
      </c>
      <c r="Y69" s="117" t="str">
        <f>L69&amp;"-"&amp;LEFT(K69,1)</f>
        <v>CUSTINST-A</v>
      </c>
      <c r="Z69" s="118" t="str">
        <f t="shared" ref="Z69:Z102" si="63">Z68</f>
        <v>Fixed</v>
      </c>
      <c r="AA69" s="117" t="str">
        <f>"[UC1]"&amp;P69&amp;REPT(" ",28-LEN(P69))&amp;" ["&amp;TEXT(A69,"HH:MM")&amp;"]"</f>
        <v>[UC1]Customer Payment Instruction [10:59]</v>
      </c>
      <c r="AB69" s="121" t="str">
        <f t="shared" ref="AB69:AB102" si="64">AB68</f>
        <v>DEFAULT</v>
      </c>
      <c r="AC69" s="116" t="str">
        <f ca="1">UPPER(LEFT(U69&amp;SUBSTITUTE(N69,"-",""),20))</f>
        <v>BDB10C2B41157794C8A3</v>
      </c>
      <c r="AD69" s="117" t="str">
        <f t="shared" si="61"/>
        <v>N</v>
      </c>
      <c r="AE69" s="121" t="str">
        <f t="shared" si="56"/>
        <v>ACTUAL</v>
      </c>
      <c r="AI69" s="116" t="str">
        <f ca="1">N69</f>
        <v>10c2b411-5779-4c8a-39e8-cfa7de502310-069</v>
      </c>
      <c r="AJ69" s="117" t="s">
        <v>76</v>
      </c>
      <c r="AK69" s="116" t="str">
        <f ca="1">Q69</f>
        <v>10c2b411-5779-4c8a-39e8-cfa7de502310-069</v>
      </c>
      <c r="AL69" s="117">
        <f t="shared" si="32"/>
        <v>0</v>
      </c>
      <c r="AM69" s="118">
        <f ca="1">S69</f>
        <v>43726</v>
      </c>
      <c r="AN69" s="119" t="str">
        <f ca="1">T69</f>
        <v>ext-u1-1059-2e9c6-0069</v>
      </c>
      <c r="AO69" s="117" t="str">
        <f>U69</f>
        <v>BDB</v>
      </c>
      <c r="AP69" s="117" t="s">
        <v>78</v>
      </c>
      <c r="AQ69" s="117">
        <f>G69</f>
        <v>4.1129892304761899</v>
      </c>
      <c r="AR69" s="117" t="str">
        <f>H69</f>
        <v>USD</v>
      </c>
      <c r="AS69" s="117" t="str">
        <f>W69</f>
        <v>BRL</v>
      </c>
      <c r="AT69" s="120">
        <f>IFERROR(D69*G69,"")</f>
        <v>20954.857531430094</v>
      </c>
      <c r="AU69" s="120">
        <f t="shared" si="51"/>
        <v>5094.8</v>
      </c>
      <c r="AV69" s="117" t="str">
        <f>Y69</f>
        <v>CUSTINST-A</v>
      </c>
      <c r="AX69" s="117" t="str">
        <f t="shared" si="27"/>
        <v>[UC1]Customer Payment Instruction [10:59]</v>
      </c>
      <c r="AY69" s="117" t="s">
        <v>90</v>
      </c>
      <c r="AZ69" s="116" t="str">
        <f t="shared" ca="1" si="28"/>
        <v>BDB10C2B41157794C8A3</v>
      </c>
    </row>
    <row r="70" spans="1:52" x14ac:dyDescent="0.25">
      <c r="A70" s="137">
        <v>0.45763888888888887</v>
      </c>
      <c r="B70" s="151" t="str">
        <f t="shared" ref="B70:J70" si="65">B19</f>
        <v>Customer Payment Instruction</v>
      </c>
      <c r="C70" s="137" t="str">
        <f t="shared" si="65"/>
        <v>BRL</v>
      </c>
      <c r="D70" s="142">
        <f t="shared" si="65"/>
        <v>5545</v>
      </c>
      <c r="E70" s="137" t="str">
        <f t="shared" si="65"/>
        <v>PAY</v>
      </c>
      <c r="F70" s="121">
        <f t="shared" si="54"/>
        <v>-5545</v>
      </c>
      <c r="G70" s="177">
        <f t="shared" si="34"/>
        <v>4.11322213904762</v>
      </c>
      <c r="H70" s="177" t="str">
        <f t="shared" si="34"/>
        <v>USD</v>
      </c>
      <c r="I70" s="121" t="s">
        <v>80</v>
      </c>
      <c r="J70" s="150" t="str">
        <f t="shared" si="30"/>
        <v>BDB</v>
      </c>
      <c r="K70" s="163" t="s">
        <v>77</v>
      </c>
      <c r="L70" s="150" t="s">
        <v>88</v>
      </c>
      <c r="N70" s="116" t="str">
        <f t="shared" ca="1" si="58"/>
        <v>221fff55-506a-8195-94ad-262b578da013-070</v>
      </c>
      <c r="O70" s="116" t="str">
        <f t="shared" si="31"/>
        <v>BRL.CUSTINSTA.BDB000</v>
      </c>
      <c r="P70" s="117" t="str">
        <f t="shared" si="46"/>
        <v>Customer Payment Instruction</v>
      </c>
      <c r="Q70" s="116" t="str">
        <f t="shared" ca="1" si="47"/>
        <v>221fff55-506a-8195-94ad-262b578da013-070</v>
      </c>
      <c r="R70" s="117">
        <f t="shared" si="59"/>
        <v>0</v>
      </c>
      <c r="S70" s="118">
        <f t="shared" ca="1" si="60"/>
        <v>43726</v>
      </c>
      <c r="T70" s="119" t="str">
        <f t="shared" ca="1" si="48"/>
        <v>ext-u1-1059-2e9c6-0070</v>
      </c>
      <c r="U70" s="117" t="str">
        <f>J70</f>
        <v>BDB</v>
      </c>
      <c r="V70" s="117" t="str">
        <f>E70</f>
        <v>PAY</v>
      </c>
      <c r="W70" s="117" t="str">
        <f>C70</f>
        <v>BRL</v>
      </c>
      <c r="X70" s="141">
        <f t="shared" si="55"/>
        <v>-5545</v>
      </c>
      <c r="Y70" s="117" t="str">
        <f>L70&amp;"-"&amp;LEFT(K70,1)</f>
        <v>CUSTINST-A</v>
      </c>
      <c r="Z70" s="118" t="str">
        <f t="shared" si="63"/>
        <v>Fixed</v>
      </c>
      <c r="AA70" s="117" t="str">
        <f>"[UC1]"&amp;P70&amp;REPT(" ",28-LEN(P70))&amp;" ["&amp;TEXT(A70,"HH:MM")&amp;"]"</f>
        <v>[UC1]Customer Payment Instruction [10:59]</v>
      </c>
      <c r="AB70" s="121" t="str">
        <f t="shared" si="64"/>
        <v>DEFAULT</v>
      </c>
      <c r="AC70" s="116" t="str">
        <f ca="1">UPPER(LEFT(U70&amp;SUBSTITUTE(N70,"-",""),20))</f>
        <v>BDB221FFF55506A81959</v>
      </c>
      <c r="AD70" s="117" t="str">
        <f t="shared" si="61"/>
        <v>N</v>
      </c>
      <c r="AE70" s="121" t="str">
        <f t="shared" si="56"/>
        <v>ACTUAL</v>
      </c>
      <c r="AI70" s="116" t="str">
        <f ca="1">N70</f>
        <v>221fff55-506a-8195-94ad-262b578da013-070</v>
      </c>
      <c r="AJ70" s="117" t="s">
        <v>76</v>
      </c>
      <c r="AK70" s="116" t="str">
        <f ca="1">Q70</f>
        <v>221fff55-506a-8195-94ad-262b578da013-070</v>
      </c>
      <c r="AL70" s="117">
        <f t="shared" si="32"/>
        <v>0</v>
      </c>
      <c r="AM70" s="118">
        <f ca="1">S70</f>
        <v>43726</v>
      </c>
      <c r="AN70" s="119" t="str">
        <f ca="1">T70</f>
        <v>ext-u1-1059-2e9c6-0070</v>
      </c>
      <c r="AO70" s="117" t="str">
        <f>U70</f>
        <v>BDB</v>
      </c>
      <c r="AP70" s="117" t="s">
        <v>78</v>
      </c>
      <c r="AQ70" s="117">
        <f>G70</f>
        <v>4.11322213904762</v>
      </c>
      <c r="AR70" s="117" t="str">
        <f>H70</f>
        <v>USD</v>
      </c>
      <c r="AS70" s="117" t="str">
        <f>W70</f>
        <v>BRL</v>
      </c>
      <c r="AT70" s="120">
        <f>IFERROR(D70*G70,"")</f>
        <v>22807.816761019054</v>
      </c>
      <c r="AU70" s="120">
        <f t="shared" si="51"/>
        <v>5545</v>
      </c>
      <c r="AV70" s="117" t="str">
        <f>Y70</f>
        <v>CUSTINST-A</v>
      </c>
      <c r="AX70" s="117" t="str">
        <f t="shared" si="27"/>
        <v>[UC1]Customer Payment Instruction [10:59]</v>
      </c>
      <c r="AY70" s="117" t="s">
        <v>90</v>
      </c>
      <c r="AZ70" s="116" t="str">
        <f t="shared" ca="1" si="28"/>
        <v>BDB221FFF55506A81959</v>
      </c>
    </row>
    <row r="71" spans="1:52" x14ac:dyDescent="0.25">
      <c r="A71" s="137">
        <v>0.45763888888888887</v>
      </c>
      <c r="B71" s="151" t="str">
        <f t="shared" ref="B71:J71" si="66">B20</f>
        <v>Customer Payment Instruction</v>
      </c>
      <c r="C71" s="137" t="str">
        <f t="shared" si="66"/>
        <v>BRL</v>
      </c>
      <c r="D71" s="142">
        <f t="shared" si="66"/>
        <v>5995.2</v>
      </c>
      <c r="E71" s="137" t="str">
        <f t="shared" si="66"/>
        <v>PAY</v>
      </c>
      <c r="F71" s="121">
        <f t="shared" si="54"/>
        <v>-5995.2</v>
      </c>
      <c r="G71" s="177">
        <f t="shared" si="34"/>
        <v>4.1134550476190501</v>
      </c>
      <c r="H71" s="177" t="str">
        <f t="shared" si="34"/>
        <v>USD</v>
      </c>
      <c r="I71" s="121" t="s">
        <v>80</v>
      </c>
      <c r="J71" s="150" t="str">
        <f t="shared" si="30"/>
        <v>BDB</v>
      </c>
      <c r="K71" s="163" t="s">
        <v>77</v>
      </c>
      <c r="L71" s="150" t="s">
        <v>88</v>
      </c>
      <c r="N71" s="116" t="str">
        <f t="shared" ca="1" si="58"/>
        <v>86c50f53-1ebb-310d-3650-75bf2e65384a-071</v>
      </c>
      <c r="O71" s="116" t="str">
        <f t="shared" si="31"/>
        <v>BRL.CUSTINSTA.BDB000</v>
      </c>
      <c r="P71" s="117" t="str">
        <f t="shared" si="46"/>
        <v>Customer Payment Instruction</v>
      </c>
      <c r="Q71" s="116" t="str">
        <f t="shared" ca="1" si="47"/>
        <v>86c50f53-1ebb-310d-3650-75bf2e65384a-071</v>
      </c>
      <c r="R71" s="117">
        <f t="shared" si="59"/>
        <v>0</v>
      </c>
      <c r="S71" s="118">
        <f t="shared" ca="1" si="60"/>
        <v>43726</v>
      </c>
      <c r="T71" s="119" t="str">
        <f t="shared" ca="1" si="48"/>
        <v>ext-u1-1059-2e9c6-0071</v>
      </c>
      <c r="U71" s="117" t="str">
        <f>J71</f>
        <v>BDB</v>
      </c>
      <c r="V71" s="117" t="str">
        <f>E71</f>
        <v>PAY</v>
      </c>
      <c r="W71" s="117" t="str">
        <f>C71</f>
        <v>BRL</v>
      </c>
      <c r="X71" s="141">
        <f t="shared" si="55"/>
        <v>-5995.2</v>
      </c>
      <c r="Y71" s="117" t="str">
        <f>L71&amp;"-"&amp;LEFT(K71,1)</f>
        <v>CUSTINST-A</v>
      </c>
      <c r="Z71" s="118" t="str">
        <f t="shared" si="63"/>
        <v>Fixed</v>
      </c>
      <c r="AA71" s="117" t="str">
        <f>"[UC1]"&amp;P71&amp;REPT(" ",28-LEN(P71))&amp;" ["&amp;TEXT(A71,"HH:MM")&amp;"]"</f>
        <v>[UC1]Customer Payment Instruction [10:59]</v>
      </c>
      <c r="AB71" s="121" t="str">
        <f t="shared" si="64"/>
        <v>DEFAULT</v>
      </c>
      <c r="AC71" s="116" t="str">
        <f ca="1">UPPER(LEFT(U71&amp;SUBSTITUTE(N71,"-",""),20))</f>
        <v>BDB86C50F531EBB310D3</v>
      </c>
      <c r="AD71" s="117" t="str">
        <f t="shared" si="61"/>
        <v>N</v>
      </c>
      <c r="AE71" s="121" t="str">
        <f t="shared" si="56"/>
        <v>ACTUAL</v>
      </c>
      <c r="AI71" s="116" t="str">
        <f ca="1">N71</f>
        <v>86c50f53-1ebb-310d-3650-75bf2e65384a-071</v>
      </c>
      <c r="AJ71" s="117" t="s">
        <v>76</v>
      </c>
      <c r="AK71" s="116" t="str">
        <f ca="1">Q71</f>
        <v>86c50f53-1ebb-310d-3650-75bf2e65384a-071</v>
      </c>
      <c r="AL71" s="117">
        <f t="shared" si="32"/>
        <v>0</v>
      </c>
      <c r="AM71" s="118">
        <f ca="1">S71</f>
        <v>43726</v>
      </c>
      <c r="AN71" s="119" t="str">
        <f ca="1">T71</f>
        <v>ext-u1-1059-2e9c6-0071</v>
      </c>
      <c r="AO71" s="117" t="str">
        <f>U71</f>
        <v>BDB</v>
      </c>
      <c r="AP71" s="117" t="s">
        <v>78</v>
      </c>
      <c r="AQ71" s="117">
        <f>G71</f>
        <v>4.1134550476190501</v>
      </c>
      <c r="AR71" s="117" t="str">
        <f>H71</f>
        <v>USD</v>
      </c>
      <c r="AS71" s="117" t="str">
        <f>W71</f>
        <v>BRL</v>
      </c>
      <c r="AT71" s="120">
        <f>IFERROR(D71*G71,"")</f>
        <v>24660.98570148573</v>
      </c>
      <c r="AU71" s="120">
        <f t="shared" si="51"/>
        <v>5995.2</v>
      </c>
      <c r="AV71" s="117" t="str">
        <f>Y71</f>
        <v>CUSTINST-A</v>
      </c>
      <c r="AX71" s="117" t="str">
        <f t="shared" si="27"/>
        <v>[UC1]Customer Payment Instruction [10:59]</v>
      </c>
      <c r="AY71" s="117" t="s">
        <v>90</v>
      </c>
      <c r="AZ71" s="116" t="str">
        <f t="shared" ca="1" si="28"/>
        <v>BDB86C50F531EBB310D3</v>
      </c>
    </row>
    <row r="72" spans="1:52" x14ac:dyDescent="0.25">
      <c r="A72" s="137">
        <v>0.45763888888888887</v>
      </c>
      <c r="B72" s="151" t="str">
        <f t="shared" ref="B72:J72" si="67">B21</f>
        <v>Customer Payment Instruction</v>
      </c>
      <c r="C72" s="137" t="str">
        <f t="shared" si="67"/>
        <v>BRL</v>
      </c>
      <c r="D72" s="142">
        <f t="shared" si="67"/>
        <v>6445.4</v>
      </c>
      <c r="E72" s="137" t="str">
        <f t="shared" si="67"/>
        <v>PAY</v>
      </c>
      <c r="F72" s="121">
        <f t="shared" si="54"/>
        <v>-6445.4</v>
      </c>
      <c r="G72" s="177">
        <f t="shared" si="34"/>
        <v>4.1136879561904802</v>
      </c>
      <c r="H72" s="177" t="str">
        <f t="shared" si="34"/>
        <v>USD</v>
      </c>
      <c r="I72" s="121" t="s">
        <v>80</v>
      </c>
      <c r="J72" s="150" t="str">
        <f t="shared" si="30"/>
        <v>BDB</v>
      </c>
      <c r="K72" s="163" t="s">
        <v>77</v>
      </c>
      <c r="L72" s="150" t="s">
        <v>88</v>
      </c>
      <c r="N72" s="116" t="str">
        <f t="shared" ca="1" si="58"/>
        <v>5f8e52dc-9f66-844c-26aa-b72bac505740-072</v>
      </c>
      <c r="O72" s="116" t="str">
        <f t="shared" si="31"/>
        <v>BRL.CUSTINSTA.BDB000</v>
      </c>
      <c r="P72" s="117" t="str">
        <f t="shared" si="46"/>
        <v>Customer Payment Instruction</v>
      </c>
      <c r="Q72" s="116" t="str">
        <f t="shared" ca="1" si="47"/>
        <v>5f8e52dc-9f66-844c-26aa-b72bac505740-072</v>
      </c>
      <c r="R72" s="117">
        <f t="shared" si="59"/>
        <v>0</v>
      </c>
      <c r="S72" s="118">
        <f t="shared" ca="1" si="60"/>
        <v>43726</v>
      </c>
      <c r="T72" s="119" t="str">
        <f t="shared" ca="1" si="48"/>
        <v>ext-u1-1059-2e9c6-0072</v>
      </c>
      <c r="U72" s="117" t="str">
        <f>J72</f>
        <v>BDB</v>
      </c>
      <c r="V72" s="117" t="str">
        <f>E72</f>
        <v>PAY</v>
      </c>
      <c r="W72" s="117" t="str">
        <f>C72</f>
        <v>BRL</v>
      </c>
      <c r="X72" s="141">
        <f t="shared" si="55"/>
        <v>-6445.4</v>
      </c>
      <c r="Y72" s="117" t="str">
        <f>L72&amp;"-"&amp;LEFT(K72,1)</f>
        <v>CUSTINST-A</v>
      </c>
      <c r="Z72" s="118" t="str">
        <f t="shared" si="63"/>
        <v>Fixed</v>
      </c>
      <c r="AA72" s="117" t="str">
        <f>"[UC1]"&amp;P72&amp;REPT(" ",28-LEN(P72))&amp;" ["&amp;TEXT(A72,"HH:MM")&amp;"]"</f>
        <v>[UC1]Customer Payment Instruction [10:59]</v>
      </c>
      <c r="AB72" s="121" t="str">
        <f t="shared" si="64"/>
        <v>DEFAULT</v>
      </c>
      <c r="AC72" s="116" t="str">
        <f ca="1">UPPER(LEFT(U72&amp;SUBSTITUTE(N72,"-",""),20))</f>
        <v>BDB5F8E52DC9F66844C2</v>
      </c>
      <c r="AD72" s="117" t="str">
        <f t="shared" si="61"/>
        <v>N</v>
      </c>
      <c r="AE72" s="121" t="str">
        <f t="shared" si="56"/>
        <v>ACTUAL</v>
      </c>
      <c r="AI72" s="116" t="str">
        <f ca="1">N72</f>
        <v>5f8e52dc-9f66-844c-26aa-b72bac505740-072</v>
      </c>
      <c r="AJ72" s="117" t="s">
        <v>76</v>
      </c>
      <c r="AK72" s="116" t="str">
        <f ca="1">Q72</f>
        <v>5f8e52dc-9f66-844c-26aa-b72bac505740-072</v>
      </c>
      <c r="AL72" s="117">
        <f t="shared" si="32"/>
        <v>0</v>
      </c>
      <c r="AM72" s="118">
        <f ca="1">S72</f>
        <v>43726</v>
      </c>
      <c r="AN72" s="119" t="str">
        <f ca="1">T72</f>
        <v>ext-u1-1059-2e9c6-0072</v>
      </c>
      <c r="AO72" s="117" t="str">
        <f>U72</f>
        <v>BDB</v>
      </c>
      <c r="AP72" s="117" t="s">
        <v>78</v>
      </c>
      <c r="AQ72" s="117">
        <f>G72</f>
        <v>4.1136879561904802</v>
      </c>
      <c r="AR72" s="117" t="str">
        <f>H72</f>
        <v>USD</v>
      </c>
      <c r="AS72" s="117" t="str">
        <f>W72</f>
        <v>BRL</v>
      </c>
      <c r="AT72" s="120">
        <f>IFERROR(D72*G72,"")</f>
        <v>26514.364352830118</v>
      </c>
      <c r="AU72" s="120">
        <f t="shared" si="51"/>
        <v>6445.4</v>
      </c>
      <c r="AV72" s="117" t="str">
        <f>Y72</f>
        <v>CUSTINST-A</v>
      </c>
      <c r="AX72" s="117" t="str">
        <f t="shared" si="27"/>
        <v>[UC1]Customer Payment Instruction [10:59]</v>
      </c>
      <c r="AY72" s="117" t="s">
        <v>90</v>
      </c>
      <c r="AZ72" s="116" t="str">
        <f t="shared" ca="1" si="28"/>
        <v>BDB5F8E52DC9F66844C2</v>
      </c>
    </row>
    <row r="73" spans="1:52" x14ac:dyDescent="0.25">
      <c r="A73" s="137">
        <v>0.45763888888888887</v>
      </c>
      <c r="B73" s="151" t="str">
        <f t="shared" ref="B73:J73" si="68">B22</f>
        <v>Customer Payment Instruction</v>
      </c>
      <c r="C73" s="137" t="str">
        <f t="shared" si="68"/>
        <v>BRL</v>
      </c>
      <c r="D73" s="142">
        <f t="shared" si="68"/>
        <v>6895.6</v>
      </c>
      <c r="E73" s="137" t="str">
        <f t="shared" si="68"/>
        <v>PAY</v>
      </c>
      <c r="F73" s="121">
        <f t="shared" si="54"/>
        <v>-6895.6</v>
      </c>
      <c r="G73" s="177">
        <f t="shared" si="34"/>
        <v>4.1139208647618997</v>
      </c>
      <c r="H73" s="177" t="str">
        <f t="shared" si="34"/>
        <v>USD</v>
      </c>
      <c r="I73" s="121" t="s">
        <v>80</v>
      </c>
      <c r="J73" s="150" t="str">
        <f t="shared" si="30"/>
        <v>BDB</v>
      </c>
      <c r="K73" s="163" t="s">
        <v>77</v>
      </c>
      <c r="L73" s="150" t="s">
        <v>88</v>
      </c>
      <c r="N73" s="116" t="str">
        <f t="shared" ca="1" si="58"/>
        <v>082849b9-7ad6-1a43-06f6-12c9ea7c2e1b-073</v>
      </c>
      <c r="O73" s="116" t="str">
        <f t="shared" si="31"/>
        <v>BRL.CUSTINSTA.BDB000</v>
      </c>
      <c r="P73" s="117" t="str">
        <f t="shared" si="46"/>
        <v>Customer Payment Instruction</v>
      </c>
      <c r="Q73" s="116" t="str">
        <f t="shared" ca="1" si="47"/>
        <v>082849b9-7ad6-1a43-06f6-12c9ea7c2e1b-073</v>
      </c>
      <c r="R73" s="117">
        <f t="shared" si="59"/>
        <v>0</v>
      </c>
      <c r="S73" s="118">
        <f t="shared" ca="1" si="60"/>
        <v>43726</v>
      </c>
      <c r="T73" s="119" t="str">
        <f t="shared" ca="1" si="48"/>
        <v>ext-u1-1059-2e9c6-0073</v>
      </c>
      <c r="U73" s="117" t="str">
        <f>J73</f>
        <v>BDB</v>
      </c>
      <c r="V73" s="117" t="str">
        <f>E73</f>
        <v>PAY</v>
      </c>
      <c r="W73" s="117" t="str">
        <f>C73</f>
        <v>BRL</v>
      </c>
      <c r="X73" s="141">
        <f t="shared" si="55"/>
        <v>-6895.6</v>
      </c>
      <c r="Y73" s="117" t="str">
        <f>L73&amp;"-"&amp;LEFT(K73,1)</f>
        <v>CUSTINST-A</v>
      </c>
      <c r="Z73" s="118" t="str">
        <f t="shared" si="63"/>
        <v>Fixed</v>
      </c>
      <c r="AA73" s="117" t="str">
        <f>"[UC1]"&amp;P73&amp;REPT(" ",28-LEN(P73))&amp;" ["&amp;TEXT(A73,"HH:MM")&amp;"]"</f>
        <v>[UC1]Customer Payment Instruction [10:59]</v>
      </c>
      <c r="AB73" s="121" t="str">
        <f t="shared" si="64"/>
        <v>DEFAULT</v>
      </c>
      <c r="AC73" s="116" t="str">
        <f ca="1">UPPER(LEFT(U73&amp;SUBSTITUTE(N73,"-",""),20))</f>
        <v>BDB082849B97AD61A430</v>
      </c>
      <c r="AD73" s="117" t="str">
        <f t="shared" si="61"/>
        <v>N</v>
      </c>
      <c r="AE73" s="121" t="str">
        <f t="shared" si="56"/>
        <v>ACTUAL</v>
      </c>
      <c r="AI73" s="116" t="str">
        <f ca="1">N73</f>
        <v>082849b9-7ad6-1a43-06f6-12c9ea7c2e1b-073</v>
      </c>
      <c r="AJ73" s="117" t="s">
        <v>76</v>
      </c>
      <c r="AK73" s="116" t="str">
        <f ca="1">Q73</f>
        <v>082849b9-7ad6-1a43-06f6-12c9ea7c2e1b-073</v>
      </c>
      <c r="AL73" s="117">
        <f t="shared" si="32"/>
        <v>0</v>
      </c>
      <c r="AM73" s="118">
        <f ca="1">S73</f>
        <v>43726</v>
      </c>
      <c r="AN73" s="119" t="str">
        <f ca="1">T73</f>
        <v>ext-u1-1059-2e9c6-0073</v>
      </c>
      <c r="AO73" s="117" t="str">
        <f>U73</f>
        <v>BDB</v>
      </c>
      <c r="AP73" s="117" t="s">
        <v>78</v>
      </c>
      <c r="AQ73" s="117">
        <f>G73</f>
        <v>4.1139208647618997</v>
      </c>
      <c r="AR73" s="117" t="str">
        <f>H73</f>
        <v>USD</v>
      </c>
      <c r="AS73" s="117" t="str">
        <f>W73</f>
        <v>BRL</v>
      </c>
      <c r="AT73" s="120">
        <f>IFERROR(D73*G73,"")</f>
        <v>28367.952715052157</v>
      </c>
      <c r="AU73" s="120">
        <f t="shared" si="51"/>
        <v>6895.6</v>
      </c>
      <c r="AV73" s="117" t="str">
        <f>Y73</f>
        <v>CUSTINST-A</v>
      </c>
      <c r="AX73" s="117" t="str">
        <f t="shared" si="27"/>
        <v>[UC1]Customer Payment Instruction [10:59]</v>
      </c>
      <c r="AY73" s="117" t="s">
        <v>90</v>
      </c>
      <c r="AZ73" s="116" t="str">
        <f t="shared" ca="1" si="28"/>
        <v>BDB082849B97AD61A430</v>
      </c>
    </row>
    <row r="74" spans="1:52" x14ac:dyDescent="0.25">
      <c r="A74" s="137">
        <v>0.45763888888888887</v>
      </c>
      <c r="B74" s="151" t="str">
        <f t="shared" ref="B74:J74" si="69">B23</f>
        <v>Customer Payment Instruction</v>
      </c>
      <c r="C74" s="137" t="str">
        <f t="shared" si="69"/>
        <v>BRL</v>
      </c>
      <c r="D74" s="142">
        <f t="shared" si="69"/>
        <v>7345.8</v>
      </c>
      <c r="E74" s="137" t="str">
        <f t="shared" si="69"/>
        <v>PAY</v>
      </c>
      <c r="F74" s="121">
        <f t="shared" si="54"/>
        <v>-7345.8</v>
      </c>
      <c r="G74" s="177">
        <f t="shared" si="34"/>
        <v>4.1141537733333298</v>
      </c>
      <c r="H74" s="177" t="str">
        <f t="shared" si="34"/>
        <v>USD</v>
      </c>
      <c r="I74" s="121" t="s">
        <v>80</v>
      </c>
      <c r="J74" s="150" t="str">
        <f t="shared" si="30"/>
        <v>BDB</v>
      </c>
      <c r="K74" s="163" t="s">
        <v>77</v>
      </c>
      <c r="L74" s="150" t="s">
        <v>88</v>
      </c>
      <c r="N74" s="116" t="str">
        <f t="shared" ca="1" si="58"/>
        <v>337d2df9-1310-01b0-948d-a00e0ecd6c45-074</v>
      </c>
      <c r="O74" s="116" t="str">
        <f t="shared" si="31"/>
        <v>BRL.CUSTINSTA.BDB000</v>
      </c>
      <c r="P74" s="117" t="str">
        <f t="shared" si="46"/>
        <v>Customer Payment Instruction</v>
      </c>
      <c r="Q74" s="116" t="str">
        <f t="shared" ca="1" si="47"/>
        <v>337d2df9-1310-01b0-948d-a00e0ecd6c45-074</v>
      </c>
      <c r="R74" s="117">
        <f t="shared" si="59"/>
        <v>0</v>
      </c>
      <c r="S74" s="118">
        <f t="shared" ca="1" si="60"/>
        <v>43726</v>
      </c>
      <c r="T74" s="119" t="str">
        <f t="shared" ca="1" si="48"/>
        <v>ext-u1-1059-2e9c6-0074</v>
      </c>
      <c r="U74" s="117" t="str">
        <f>J74</f>
        <v>BDB</v>
      </c>
      <c r="V74" s="117" t="str">
        <f>E74</f>
        <v>PAY</v>
      </c>
      <c r="W74" s="117" t="str">
        <f>C74</f>
        <v>BRL</v>
      </c>
      <c r="X74" s="141">
        <f t="shared" si="55"/>
        <v>-7345.8</v>
      </c>
      <c r="Y74" s="117" t="str">
        <f>L74&amp;"-"&amp;LEFT(K74,1)</f>
        <v>CUSTINST-A</v>
      </c>
      <c r="Z74" s="118" t="str">
        <f t="shared" si="63"/>
        <v>Fixed</v>
      </c>
      <c r="AA74" s="117" t="str">
        <f>"[UC1]"&amp;P74&amp;REPT(" ",28-LEN(P74))&amp;" ["&amp;TEXT(A74,"HH:MM")&amp;"]"</f>
        <v>[UC1]Customer Payment Instruction [10:59]</v>
      </c>
      <c r="AB74" s="121" t="str">
        <f t="shared" si="64"/>
        <v>DEFAULT</v>
      </c>
      <c r="AC74" s="116" t="str">
        <f ca="1">UPPER(LEFT(U74&amp;SUBSTITUTE(N74,"-",""),20))</f>
        <v>BDB337D2DF9131001B09</v>
      </c>
      <c r="AD74" s="117" t="str">
        <f t="shared" si="61"/>
        <v>N</v>
      </c>
      <c r="AE74" s="121" t="str">
        <f t="shared" si="56"/>
        <v>ACTUAL</v>
      </c>
      <c r="AI74" s="116" t="str">
        <f ca="1">N74</f>
        <v>337d2df9-1310-01b0-948d-a00e0ecd6c45-074</v>
      </c>
      <c r="AJ74" s="117" t="s">
        <v>76</v>
      </c>
      <c r="AK74" s="116" t="str">
        <f ca="1">Q74</f>
        <v>337d2df9-1310-01b0-948d-a00e0ecd6c45-074</v>
      </c>
      <c r="AL74" s="117">
        <f t="shared" si="32"/>
        <v>0</v>
      </c>
      <c r="AM74" s="118">
        <f ca="1">S74</f>
        <v>43726</v>
      </c>
      <c r="AN74" s="119" t="str">
        <f ca="1">T74</f>
        <v>ext-u1-1059-2e9c6-0074</v>
      </c>
      <c r="AO74" s="117" t="str">
        <f>U74</f>
        <v>BDB</v>
      </c>
      <c r="AP74" s="117" t="s">
        <v>78</v>
      </c>
      <c r="AQ74" s="117">
        <f>G74</f>
        <v>4.1141537733333298</v>
      </c>
      <c r="AR74" s="117" t="str">
        <f>H74</f>
        <v>USD</v>
      </c>
      <c r="AS74" s="117" t="str">
        <f>W74</f>
        <v>BRL</v>
      </c>
      <c r="AT74" s="120">
        <f>IFERROR(D74*G74,"")</f>
        <v>30221.750788151974</v>
      </c>
      <c r="AU74" s="120">
        <f t="shared" si="51"/>
        <v>7345.8</v>
      </c>
      <c r="AV74" s="117" t="str">
        <f>Y74</f>
        <v>CUSTINST-A</v>
      </c>
      <c r="AX74" s="117" t="str">
        <f t="shared" si="27"/>
        <v>[UC1]Customer Payment Instruction [10:59]</v>
      </c>
      <c r="AY74" s="117" t="s">
        <v>90</v>
      </c>
      <c r="AZ74" s="116" t="str">
        <f t="shared" ca="1" si="28"/>
        <v>BDB337D2DF9131001B09</v>
      </c>
    </row>
    <row r="75" spans="1:52" hidden="1" x14ac:dyDescent="0.25">
      <c r="A75" s="137">
        <f t="shared" ref="A75:J76" si="70">A24</f>
        <v>0.4381944444444445</v>
      </c>
      <c r="B75" s="151" t="str">
        <f t="shared" si="70"/>
        <v>FX Trade</v>
      </c>
      <c r="C75" s="137" t="str">
        <f t="shared" si="70"/>
        <v>USD</v>
      </c>
      <c r="D75" s="142">
        <f t="shared" si="70"/>
        <v>50000</v>
      </c>
      <c r="E75" s="137" t="str">
        <f t="shared" si="70"/>
        <v>BUY</v>
      </c>
      <c r="F75" s="121">
        <f t="shared" si="54"/>
        <v>-50000</v>
      </c>
      <c r="G75" s="177">
        <f t="shared" si="34"/>
        <v>4.12</v>
      </c>
      <c r="H75" s="177" t="str">
        <f t="shared" si="34"/>
        <v>BRL</v>
      </c>
      <c r="I75" s="121" t="s">
        <v>80</v>
      </c>
      <c r="J75" s="165" t="s">
        <v>80</v>
      </c>
      <c r="K75" s="163" t="s">
        <v>77</v>
      </c>
      <c r="L75" s="150" t="s">
        <v>89</v>
      </c>
      <c r="N75" s="116" t="str">
        <f t="shared" ca="1" si="58"/>
        <v>fafe000a-254f-64e0-9da9-2556eed76bc1-075</v>
      </c>
      <c r="O75" s="116"/>
      <c r="P75" s="117" t="str">
        <f t="shared" si="46"/>
        <v>FX Trade</v>
      </c>
      <c r="Q75" s="116" t="str">
        <f t="shared" ca="1" si="47"/>
        <v>fafe000a-254f-64e0-9da9-2556eed76bc1-075</v>
      </c>
      <c r="R75" s="117">
        <f t="shared" si="59"/>
        <v>0</v>
      </c>
      <c r="S75" s="118">
        <f t="shared" ca="1" si="60"/>
        <v>43726</v>
      </c>
      <c r="T75" s="119" t="str">
        <f t="shared" ca="1" si="48"/>
        <v>ext-u1-1031-2e9c6-0075</v>
      </c>
      <c r="U75" s="117" t="str">
        <f>J75</f>
        <v>BDB</v>
      </c>
      <c r="V75" s="117" t="str">
        <f>E75</f>
        <v>BUY</v>
      </c>
      <c r="W75" s="117" t="str">
        <f>C75</f>
        <v>USD</v>
      </c>
      <c r="X75" s="141">
        <f t="shared" si="55"/>
        <v>-50000</v>
      </c>
      <c r="Y75" s="117" t="str">
        <f>L75&amp;"-"&amp;LEFT(K75,1)</f>
        <v>FX-A</v>
      </c>
      <c r="Z75" s="118" t="str">
        <f t="shared" si="63"/>
        <v>Fixed</v>
      </c>
      <c r="AA75" s="117" t="str">
        <f>"[UC1]"&amp;P75&amp;REPT(" ",28-LEN(P75))&amp;" ["&amp;TEXT(A75,"HH:MM")&amp;"]"</f>
        <v>[UC1]FX Trade                     [10:31]</v>
      </c>
      <c r="AB75" s="121" t="str">
        <f t="shared" si="64"/>
        <v>DEFAULT</v>
      </c>
      <c r="AC75" s="116" t="str">
        <f ca="1">UPPER(LEFT(U75&amp;SUBSTITUTE(N75,"-",""),20))</f>
        <v>BDBFAFE000A254F64E09</v>
      </c>
      <c r="AD75" s="117" t="str">
        <f t="shared" si="61"/>
        <v>N</v>
      </c>
      <c r="AE75" s="121" t="str">
        <f t="shared" si="56"/>
        <v>ACTUAL</v>
      </c>
      <c r="AI75" s="116" t="str">
        <f ca="1">N75</f>
        <v>fafe000a-254f-64e0-9da9-2556eed76bc1-075</v>
      </c>
      <c r="AJ75" s="117" t="s">
        <v>76</v>
      </c>
      <c r="AK75" s="116" t="str">
        <f ca="1">Q75</f>
        <v>fafe000a-254f-64e0-9da9-2556eed76bc1-075</v>
      </c>
      <c r="AL75" s="117">
        <f t="shared" si="32"/>
        <v>0</v>
      </c>
      <c r="AM75" s="118">
        <f ca="1">S75</f>
        <v>43726</v>
      </c>
      <c r="AN75" s="119" t="str">
        <f ca="1">T75</f>
        <v>ext-u1-1031-2e9c6-0075</v>
      </c>
      <c r="AO75" s="117" t="str">
        <f>U75</f>
        <v>BDB</v>
      </c>
      <c r="AP75" s="117" t="s">
        <v>78</v>
      </c>
      <c r="AQ75" s="117">
        <f>G75</f>
        <v>4.12</v>
      </c>
      <c r="AR75" s="169" t="s">
        <v>9</v>
      </c>
      <c r="AS75" s="169" t="s">
        <v>10</v>
      </c>
      <c r="AT75" s="173">
        <f>D75</f>
        <v>50000</v>
      </c>
      <c r="AV75" s="117" t="str">
        <f>Y75</f>
        <v>FX-A</v>
      </c>
      <c r="AX75" s="117" t="str">
        <f t="shared" si="27"/>
        <v>[UC1]FX Trade                     [10:31]</v>
      </c>
      <c r="AY75" s="117" t="s">
        <v>90</v>
      </c>
      <c r="AZ75" s="116" t="str">
        <f t="shared" ca="1" si="28"/>
        <v>BDBFAFE000A254F64E09</v>
      </c>
    </row>
    <row r="76" spans="1:52" x14ac:dyDescent="0.25">
      <c r="A76" s="137">
        <f t="shared" si="70"/>
        <v>0.45902777777777781</v>
      </c>
      <c r="B76" s="151" t="str">
        <f t="shared" si="70"/>
        <v>Customer Payment Instruction</v>
      </c>
      <c r="C76" s="137" t="str">
        <f t="shared" si="70"/>
        <v>BRL</v>
      </c>
      <c r="D76" s="142">
        <f t="shared" si="70"/>
        <v>7796</v>
      </c>
      <c r="E76" s="137" t="str">
        <f t="shared" si="70"/>
        <v>PAY</v>
      </c>
      <c r="F76" s="121">
        <f t="shared" si="54"/>
        <v>-7796</v>
      </c>
      <c r="G76" s="177">
        <f t="shared" si="34"/>
        <v>4.1143866819047599</v>
      </c>
      <c r="H76" s="177" t="str">
        <f t="shared" si="34"/>
        <v>USD</v>
      </c>
      <c r="I76" s="121" t="s">
        <v>80</v>
      </c>
      <c r="J76" s="150" t="str">
        <f t="shared" ref="J76:J101" si="71">I76</f>
        <v>BDB</v>
      </c>
      <c r="K76" s="163" t="s">
        <v>77</v>
      </c>
      <c r="L76" s="150" t="s">
        <v>88</v>
      </c>
      <c r="N76" s="116" t="str">
        <f t="shared" ca="1" si="58"/>
        <v>e9dec438-7193-8e8c-413c-ff28d12a7ae0-076</v>
      </c>
      <c r="O76" s="116" t="str">
        <f t="shared" ref="O76:O101" si="72">LEFT(LEFT(W76,3)&amp;"."&amp;SUBSTITUTE(Y76,"-","")&amp;"."&amp;U76&amp;"0000000000000",20)</f>
        <v>BRL.CUSTINSTA.BDB000</v>
      </c>
      <c r="P76" s="117" t="str">
        <f t="shared" ref="P76" si="73">B76</f>
        <v>Customer Payment Instruction</v>
      </c>
      <c r="Q76" s="116" t="str">
        <f t="shared" ref="Q76" ca="1" si="74">N76</f>
        <v>e9dec438-7193-8e8c-413c-ff28d12a7ae0-076</v>
      </c>
      <c r="R76" s="117">
        <f t="shared" si="59"/>
        <v>0</v>
      </c>
      <c r="S76" s="118">
        <f t="shared" ca="1" si="60"/>
        <v>43726</v>
      </c>
      <c r="T76" s="119" t="str">
        <f t="shared" ref="T76" ca="1" si="75">"ext-u1-"&amp;TEXT(A76,"HHMM-")&amp;LOWER(DEC2HEX(TEXT(TODAY(),"YmMD")))&amp;"-"&amp;TEXT(ROW(),"0000")</f>
        <v>ext-u1-1101-2e9c6-0076</v>
      </c>
      <c r="U76" s="117" t="str">
        <f>J76</f>
        <v>BDB</v>
      </c>
      <c r="V76" s="117" t="str">
        <f>E76</f>
        <v>PAY</v>
      </c>
      <c r="W76" s="117" t="str">
        <f>C76</f>
        <v>BRL</v>
      </c>
      <c r="X76" s="141">
        <f t="shared" si="55"/>
        <v>-7796</v>
      </c>
      <c r="Y76" s="117" t="str">
        <f>L76&amp;"-"&amp;LEFT(K76,1)</f>
        <v>CUSTINST-A</v>
      </c>
      <c r="Z76" s="118" t="str">
        <f t="shared" si="63"/>
        <v>Fixed</v>
      </c>
      <c r="AA76" s="117" t="str">
        <f>"[UC1]"&amp;P76&amp;REPT(" ",28-LEN(P76))&amp;" ["&amp;TEXT(A76,"HH:MM")&amp;"]"</f>
        <v>[UC1]Customer Payment Instruction [11:01]</v>
      </c>
      <c r="AB76" s="121" t="str">
        <f t="shared" si="64"/>
        <v>DEFAULT</v>
      </c>
      <c r="AC76" s="116" t="str">
        <f ca="1">UPPER(LEFT(U76&amp;SUBSTITUTE(N76,"-",""),20))</f>
        <v>BDBE9DEC43871938E8C4</v>
      </c>
      <c r="AD76" s="117" t="str">
        <f t="shared" si="61"/>
        <v>N</v>
      </c>
      <c r="AE76" s="121" t="str">
        <f t="shared" si="56"/>
        <v>ACTUAL</v>
      </c>
      <c r="AI76" s="116" t="str">
        <f ca="1">N76</f>
        <v>e9dec438-7193-8e8c-413c-ff28d12a7ae0-076</v>
      </c>
      <c r="AJ76" s="117" t="s">
        <v>76</v>
      </c>
      <c r="AK76" s="116" t="str">
        <f ca="1">Q76</f>
        <v>e9dec438-7193-8e8c-413c-ff28d12a7ae0-076</v>
      </c>
      <c r="AL76" s="117">
        <f t="shared" si="32"/>
        <v>0</v>
      </c>
      <c r="AM76" s="118">
        <f ca="1">S76</f>
        <v>43726</v>
      </c>
      <c r="AN76" s="119" t="str">
        <f ca="1">T76</f>
        <v>ext-u1-1101-2e9c6-0076</v>
      </c>
      <c r="AO76" s="117" t="str">
        <f>U76</f>
        <v>BDB</v>
      </c>
      <c r="AP76" s="117" t="s">
        <v>78</v>
      </c>
      <c r="AQ76" s="117">
        <f>G76</f>
        <v>4.1143866819047599</v>
      </c>
      <c r="AR76" s="117" t="str">
        <f>H76</f>
        <v>USD</v>
      </c>
      <c r="AS76" s="117" t="str">
        <f>W76</f>
        <v>BRL</v>
      </c>
      <c r="AT76" s="120">
        <f>IFERROR(D76*G76,"")</f>
        <v>32075.758572129507</v>
      </c>
      <c r="AU76" s="120">
        <f t="shared" ref="AU76:AU101" si="76">AT76/AQ76</f>
        <v>7796</v>
      </c>
      <c r="AV76" s="117" t="str">
        <f>Y76</f>
        <v>CUSTINST-A</v>
      </c>
      <c r="AX76" s="117" t="str">
        <f t="shared" ref="AX76" si="77">AA76</f>
        <v>[UC1]Customer Payment Instruction [11:01]</v>
      </c>
      <c r="AY76" s="117" t="s">
        <v>90</v>
      </c>
      <c r="AZ76" s="116" t="str">
        <f t="shared" ref="AZ76" ca="1" si="78">AC76</f>
        <v>BDBE9DEC43871938E8C4</v>
      </c>
    </row>
    <row r="77" spans="1:52" x14ac:dyDescent="0.25">
      <c r="A77" s="137">
        <f t="shared" ref="A77:J77" si="79">A26</f>
        <v>0.54166666666666663</v>
      </c>
      <c r="B77" s="151" t="str">
        <f t="shared" si="79"/>
        <v>Customer Payment Instruction</v>
      </c>
      <c r="C77" s="137" t="str">
        <f t="shared" si="79"/>
        <v>BRL</v>
      </c>
      <c r="D77" s="142">
        <f t="shared" si="79"/>
        <v>8246.2000000000007</v>
      </c>
      <c r="E77" s="137" t="str">
        <f t="shared" si="79"/>
        <v>PAY</v>
      </c>
      <c r="F77" s="121">
        <f t="shared" si="54"/>
        <v>-8246.2000000000007</v>
      </c>
      <c r="G77" s="177">
        <f t="shared" si="34"/>
        <v>4.11461959047619</v>
      </c>
      <c r="H77" s="177" t="str">
        <f t="shared" si="34"/>
        <v>USD</v>
      </c>
      <c r="I77" s="121" t="s">
        <v>80</v>
      </c>
      <c r="J77" s="150" t="str">
        <f t="shared" si="71"/>
        <v>BDB</v>
      </c>
      <c r="K77" s="163" t="s">
        <v>77</v>
      </c>
      <c r="L77" s="150" t="s">
        <v>88</v>
      </c>
      <c r="N77" s="116" t="str">
        <f t="shared" ca="1" si="58"/>
        <v>9888497c-6f83-4a72-6861-4ec57ac17183-077</v>
      </c>
      <c r="O77" s="116" t="str">
        <f t="shared" si="72"/>
        <v>BRL.CUSTINSTA.BDB000</v>
      </c>
      <c r="P77" s="117" t="str">
        <f t="shared" si="46"/>
        <v>Customer Payment Instruction</v>
      </c>
      <c r="Q77" s="116" t="str">
        <f t="shared" ca="1" si="47"/>
        <v>9888497c-6f83-4a72-6861-4ec57ac17183-077</v>
      </c>
      <c r="R77" s="117">
        <f t="shared" si="59"/>
        <v>0</v>
      </c>
      <c r="S77" s="118">
        <f t="shared" ca="1" si="60"/>
        <v>43726</v>
      </c>
      <c r="T77" s="119" t="str">
        <f t="shared" ca="1" si="48"/>
        <v>ext-u1-1300-2e9c6-0077</v>
      </c>
      <c r="U77" s="117" t="str">
        <f>J77</f>
        <v>BDB</v>
      </c>
      <c r="V77" s="117" t="str">
        <f>E77</f>
        <v>PAY</v>
      </c>
      <c r="W77" s="117" t="str">
        <f>C77</f>
        <v>BRL</v>
      </c>
      <c r="X77" s="141">
        <f t="shared" si="55"/>
        <v>-8246.2000000000007</v>
      </c>
      <c r="Y77" s="117" t="str">
        <f>L77&amp;"-"&amp;LEFT(K77,1)</f>
        <v>CUSTINST-A</v>
      </c>
      <c r="Z77" s="118" t="str">
        <f>Z75</f>
        <v>Fixed</v>
      </c>
      <c r="AA77" s="117" t="str">
        <f>"[UC1]"&amp;P77&amp;REPT(" ",28-LEN(P77))&amp;" ["&amp;TEXT(A77,"HH:MM")&amp;"]"</f>
        <v>[UC1]Customer Payment Instruction [13:00]</v>
      </c>
      <c r="AB77" s="121" t="str">
        <f>AB75</f>
        <v>DEFAULT</v>
      </c>
      <c r="AC77" s="116" t="str">
        <f ca="1">UPPER(LEFT(U77&amp;SUBSTITUTE(N77,"-",""),20))</f>
        <v>BDB9888497C6F834A726</v>
      </c>
      <c r="AD77" s="117" t="str">
        <f t="shared" si="61"/>
        <v>N</v>
      </c>
      <c r="AE77" s="121" t="str">
        <f t="shared" si="56"/>
        <v>ACTUAL</v>
      </c>
      <c r="AI77" s="116" t="str">
        <f ca="1">N77</f>
        <v>9888497c-6f83-4a72-6861-4ec57ac17183-077</v>
      </c>
      <c r="AJ77" s="117" t="s">
        <v>76</v>
      </c>
      <c r="AK77" s="116" t="str">
        <f ca="1">Q77</f>
        <v>9888497c-6f83-4a72-6861-4ec57ac17183-077</v>
      </c>
      <c r="AL77" s="117">
        <f>AL75</f>
        <v>0</v>
      </c>
      <c r="AM77" s="118">
        <f ca="1">S77</f>
        <v>43726</v>
      </c>
      <c r="AN77" s="119" t="str">
        <f ca="1">T77</f>
        <v>ext-u1-1300-2e9c6-0077</v>
      </c>
      <c r="AO77" s="117" t="str">
        <f>U77</f>
        <v>BDB</v>
      </c>
      <c r="AP77" s="117" t="s">
        <v>78</v>
      </c>
      <c r="AQ77" s="117">
        <f>G77</f>
        <v>4.11461959047619</v>
      </c>
      <c r="AR77" s="117" t="str">
        <f>H77</f>
        <v>USD</v>
      </c>
      <c r="AS77" s="117" t="str">
        <f>W77</f>
        <v>BRL</v>
      </c>
      <c r="AT77" s="120">
        <f>IFERROR(D77*G77,"")</f>
        <v>33929.97606698476</v>
      </c>
      <c r="AU77" s="120">
        <f t="shared" si="76"/>
        <v>8246.2000000000007</v>
      </c>
      <c r="AV77" s="117" t="str">
        <f>Y77</f>
        <v>CUSTINST-A</v>
      </c>
      <c r="AX77" s="117" t="str">
        <f t="shared" si="27"/>
        <v>[UC1]Customer Payment Instruction [13:00]</v>
      </c>
      <c r="AY77" s="117" t="s">
        <v>90</v>
      </c>
      <c r="AZ77" s="116" t="str">
        <f t="shared" ca="1" si="28"/>
        <v>BDB9888497C6F834A726</v>
      </c>
    </row>
    <row r="78" spans="1:52" x14ac:dyDescent="0.25">
      <c r="A78" s="137">
        <f t="shared" ref="A78:J78" si="80">A27</f>
        <v>0.54166666666666663</v>
      </c>
      <c r="B78" s="151" t="str">
        <f t="shared" si="80"/>
        <v>Customer Payment Instruction</v>
      </c>
      <c r="C78" s="137" t="str">
        <f t="shared" si="80"/>
        <v>BRL</v>
      </c>
      <c r="D78" s="142">
        <f t="shared" si="80"/>
        <v>8696.4</v>
      </c>
      <c r="E78" s="137" t="str">
        <f t="shared" si="80"/>
        <v>PAY</v>
      </c>
      <c r="F78" s="121">
        <f t="shared" si="54"/>
        <v>-8696.4</v>
      </c>
      <c r="G78" s="177">
        <f t="shared" si="34"/>
        <v>4.1148524990476201</v>
      </c>
      <c r="H78" s="177" t="str">
        <f t="shared" si="34"/>
        <v>USD</v>
      </c>
      <c r="I78" s="121" t="s">
        <v>80</v>
      </c>
      <c r="J78" s="150" t="str">
        <f t="shared" si="71"/>
        <v>BDB</v>
      </c>
      <c r="K78" s="163" t="s">
        <v>77</v>
      </c>
      <c r="L78" s="150" t="s">
        <v>88</v>
      </c>
      <c r="N78" s="116" t="str">
        <f t="shared" ca="1" si="58"/>
        <v>f8b82d04-857c-11c9-5293-069c68858b25-078</v>
      </c>
      <c r="O78" s="116" t="str">
        <f t="shared" si="72"/>
        <v>BRL.CUSTINSTA.BDB000</v>
      </c>
      <c r="P78" s="117" t="str">
        <f t="shared" si="46"/>
        <v>Customer Payment Instruction</v>
      </c>
      <c r="Q78" s="116" t="str">
        <f t="shared" ca="1" si="47"/>
        <v>f8b82d04-857c-11c9-5293-069c68858b25-078</v>
      </c>
      <c r="R78" s="117">
        <f t="shared" si="59"/>
        <v>0</v>
      </c>
      <c r="S78" s="118">
        <f t="shared" ca="1" si="60"/>
        <v>43726</v>
      </c>
      <c r="T78" s="119" t="str">
        <f t="shared" ca="1" si="48"/>
        <v>ext-u1-1300-2e9c6-0078</v>
      </c>
      <c r="U78" s="117" t="str">
        <f>J78</f>
        <v>BDB</v>
      </c>
      <c r="V78" s="117" t="str">
        <f>E78</f>
        <v>PAY</v>
      </c>
      <c r="W78" s="117" t="str">
        <f>C78</f>
        <v>BRL</v>
      </c>
      <c r="X78" s="141">
        <f t="shared" si="55"/>
        <v>-8696.4</v>
      </c>
      <c r="Y78" s="117" t="str">
        <f>L78&amp;"-"&amp;LEFT(K78,1)</f>
        <v>CUSTINST-A</v>
      </c>
      <c r="Z78" s="118" t="str">
        <f t="shared" si="63"/>
        <v>Fixed</v>
      </c>
      <c r="AA78" s="117" t="str">
        <f>"[UC1]"&amp;P78&amp;REPT(" ",28-LEN(P78))&amp;" ["&amp;TEXT(A78,"HH:MM")&amp;"]"</f>
        <v>[UC1]Customer Payment Instruction [13:00]</v>
      </c>
      <c r="AB78" s="121" t="str">
        <f t="shared" si="64"/>
        <v>DEFAULT</v>
      </c>
      <c r="AC78" s="116" t="str">
        <f ca="1">UPPER(LEFT(U78&amp;SUBSTITUTE(N78,"-",""),20))</f>
        <v>BDBF8B82D04857C11C95</v>
      </c>
      <c r="AD78" s="117" t="str">
        <f t="shared" si="61"/>
        <v>N</v>
      </c>
      <c r="AE78" s="121" t="str">
        <f t="shared" si="56"/>
        <v>ACTUAL</v>
      </c>
      <c r="AI78" s="116" t="str">
        <f ca="1">N78</f>
        <v>f8b82d04-857c-11c9-5293-069c68858b25-078</v>
      </c>
      <c r="AJ78" s="117" t="s">
        <v>76</v>
      </c>
      <c r="AK78" s="116" t="str">
        <f ca="1">Q78</f>
        <v>f8b82d04-857c-11c9-5293-069c68858b25-078</v>
      </c>
      <c r="AL78" s="117">
        <f t="shared" si="32"/>
        <v>0</v>
      </c>
      <c r="AM78" s="118">
        <f ca="1">S78</f>
        <v>43726</v>
      </c>
      <c r="AN78" s="119" t="str">
        <f ca="1">T78</f>
        <v>ext-u1-1300-2e9c6-0078</v>
      </c>
      <c r="AO78" s="117" t="str">
        <f>U78</f>
        <v>BDB</v>
      </c>
      <c r="AP78" s="117" t="s">
        <v>78</v>
      </c>
      <c r="AQ78" s="117">
        <f>G78</f>
        <v>4.1148524990476201</v>
      </c>
      <c r="AR78" s="117" t="str">
        <f>H78</f>
        <v>USD</v>
      </c>
      <c r="AS78" s="117" t="str">
        <f>W78</f>
        <v>BRL</v>
      </c>
      <c r="AT78" s="120">
        <f>IFERROR(D78*G78,"")</f>
        <v>35784.403272717718</v>
      </c>
      <c r="AU78" s="120">
        <f t="shared" si="76"/>
        <v>8696.4</v>
      </c>
      <c r="AV78" s="117" t="str">
        <f>Y78</f>
        <v>CUSTINST-A</v>
      </c>
      <c r="AX78" s="117" t="str">
        <f t="shared" si="27"/>
        <v>[UC1]Customer Payment Instruction [13:00]</v>
      </c>
      <c r="AY78" s="117" t="s">
        <v>90</v>
      </c>
      <c r="AZ78" s="116" t="str">
        <f t="shared" ca="1" si="28"/>
        <v>BDBF8B82D04857C11C95</v>
      </c>
    </row>
    <row r="79" spans="1:52" x14ac:dyDescent="0.25">
      <c r="A79" s="137">
        <f t="shared" ref="A79:J79" si="81">A28</f>
        <v>0.54166666666666663</v>
      </c>
      <c r="B79" s="151" t="str">
        <f t="shared" si="81"/>
        <v>Customer Payment Instruction</v>
      </c>
      <c r="C79" s="137" t="str">
        <f t="shared" si="81"/>
        <v>BRL</v>
      </c>
      <c r="D79" s="142">
        <f t="shared" si="81"/>
        <v>946.6</v>
      </c>
      <c r="E79" s="137" t="str">
        <f t="shared" si="81"/>
        <v>PAY</v>
      </c>
      <c r="F79" s="121">
        <f t="shared" si="54"/>
        <v>-946.6</v>
      </c>
      <c r="G79" s="177">
        <f t="shared" si="34"/>
        <v>4.1150854076190502</v>
      </c>
      <c r="H79" s="177" t="str">
        <f t="shared" si="34"/>
        <v>USD</v>
      </c>
      <c r="I79" s="121" t="s">
        <v>80</v>
      </c>
      <c r="J79" s="150" t="str">
        <f t="shared" si="71"/>
        <v>BDB</v>
      </c>
      <c r="K79" s="163" t="s">
        <v>77</v>
      </c>
      <c r="L79" s="150" t="s">
        <v>88</v>
      </c>
      <c r="N79" s="116" t="str">
        <f t="shared" ca="1" si="58"/>
        <v>654b0602-72f0-0bdf-85bd-f0f1f7488528-079</v>
      </c>
      <c r="O79" s="116" t="str">
        <f t="shared" si="72"/>
        <v>BRL.CUSTINSTA.BDB000</v>
      </c>
      <c r="P79" s="117" t="str">
        <f t="shared" si="46"/>
        <v>Customer Payment Instruction</v>
      </c>
      <c r="Q79" s="116" t="str">
        <f t="shared" ca="1" si="47"/>
        <v>654b0602-72f0-0bdf-85bd-f0f1f7488528-079</v>
      </c>
      <c r="R79" s="117">
        <f t="shared" si="59"/>
        <v>0</v>
      </c>
      <c r="S79" s="118">
        <f t="shared" ca="1" si="60"/>
        <v>43726</v>
      </c>
      <c r="T79" s="119" t="str">
        <f t="shared" ca="1" si="48"/>
        <v>ext-u1-1300-2e9c6-0079</v>
      </c>
      <c r="U79" s="117" t="str">
        <f>J79</f>
        <v>BDB</v>
      </c>
      <c r="V79" s="117" t="str">
        <f>E79</f>
        <v>PAY</v>
      </c>
      <c r="W79" s="117" t="str">
        <f>C79</f>
        <v>BRL</v>
      </c>
      <c r="X79" s="141">
        <f t="shared" si="55"/>
        <v>-946.6</v>
      </c>
      <c r="Y79" s="117" t="str">
        <f>L79&amp;"-"&amp;LEFT(K79,1)</f>
        <v>CUSTINST-A</v>
      </c>
      <c r="Z79" s="118" t="str">
        <f t="shared" si="63"/>
        <v>Fixed</v>
      </c>
      <c r="AA79" s="117" t="str">
        <f>"[UC1]"&amp;P79&amp;REPT(" ",28-LEN(P79))&amp;" ["&amp;TEXT(A79,"HH:MM")&amp;"]"</f>
        <v>[UC1]Customer Payment Instruction [13:00]</v>
      </c>
      <c r="AB79" s="121" t="str">
        <f t="shared" si="64"/>
        <v>DEFAULT</v>
      </c>
      <c r="AC79" s="116" t="str">
        <f ca="1">UPPER(LEFT(U79&amp;SUBSTITUTE(N79,"-",""),20))</f>
        <v>BDB654B060272F00BDF8</v>
      </c>
      <c r="AD79" s="117" t="str">
        <f t="shared" si="61"/>
        <v>N</v>
      </c>
      <c r="AE79" s="121" t="str">
        <f t="shared" si="56"/>
        <v>ACTUAL</v>
      </c>
      <c r="AI79" s="116" t="str">
        <f ca="1">N79</f>
        <v>654b0602-72f0-0bdf-85bd-f0f1f7488528-079</v>
      </c>
      <c r="AJ79" s="117" t="s">
        <v>76</v>
      </c>
      <c r="AK79" s="116" t="str">
        <f ca="1">Q79</f>
        <v>654b0602-72f0-0bdf-85bd-f0f1f7488528-079</v>
      </c>
      <c r="AL79" s="117">
        <f t="shared" si="32"/>
        <v>0</v>
      </c>
      <c r="AM79" s="118">
        <f ca="1">S79</f>
        <v>43726</v>
      </c>
      <c r="AN79" s="119" t="str">
        <f ca="1">T79</f>
        <v>ext-u1-1300-2e9c6-0079</v>
      </c>
      <c r="AO79" s="117" t="str">
        <f>U79</f>
        <v>BDB</v>
      </c>
      <c r="AP79" s="117" t="s">
        <v>78</v>
      </c>
      <c r="AQ79" s="117">
        <f>G79</f>
        <v>4.1150854076190502</v>
      </c>
      <c r="AR79" s="117" t="str">
        <f>H79</f>
        <v>USD</v>
      </c>
      <c r="AS79" s="117" t="str">
        <f>W79</f>
        <v>BRL</v>
      </c>
      <c r="AT79" s="120">
        <f>IFERROR(D79*G79,"")</f>
        <v>3895.3398468521932</v>
      </c>
      <c r="AU79" s="120">
        <f t="shared" si="76"/>
        <v>946.6</v>
      </c>
      <c r="AV79" s="117" t="str">
        <f>Y79</f>
        <v>CUSTINST-A</v>
      </c>
      <c r="AX79" s="117" t="str">
        <f t="shared" si="27"/>
        <v>[UC1]Customer Payment Instruction [13:00]</v>
      </c>
      <c r="AY79" s="117" t="s">
        <v>90</v>
      </c>
      <c r="AZ79" s="116" t="str">
        <f t="shared" ca="1" si="28"/>
        <v>BDB654B060272F00BDF8</v>
      </c>
    </row>
    <row r="80" spans="1:52" x14ac:dyDescent="0.25">
      <c r="A80" s="137">
        <f t="shared" ref="A80:J80" si="82">A29</f>
        <v>0.54166666666666663</v>
      </c>
      <c r="B80" s="151" t="str">
        <f t="shared" si="82"/>
        <v>Customer Payment Instruction</v>
      </c>
      <c r="C80" s="137" t="str">
        <f t="shared" si="82"/>
        <v>BRL</v>
      </c>
      <c r="D80" s="142">
        <f t="shared" si="82"/>
        <v>596.79999999999995</v>
      </c>
      <c r="E80" s="137" t="str">
        <f t="shared" si="82"/>
        <v>PAY</v>
      </c>
      <c r="F80" s="121">
        <f t="shared" si="54"/>
        <v>-596.79999999999995</v>
      </c>
      <c r="G80" s="177">
        <f t="shared" si="34"/>
        <v>4.1153183161904803</v>
      </c>
      <c r="H80" s="177" t="str">
        <f t="shared" si="34"/>
        <v>USD</v>
      </c>
      <c r="I80" s="121" t="s">
        <v>80</v>
      </c>
      <c r="J80" s="150" t="str">
        <f t="shared" si="71"/>
        <v>BDB</v>
      </c>
      <c r="K80" s="163" t="s">
        <v>77</v>
      </c>
      <c r="L80" s="150" t="s">
        <v>88</v>
      </c>
      <c r="N80" s="116" t="str">
        <f t="shared" ca="1" si="58"/>
        <v>471164a8-6a8f-1e16-6971-4ae7e0173095-080</v>
      </c>
      <c r="O80" s="116" t="str">
        <f t="shared" si="72"/>
        <v>BRL.CUSTINSTA.BDB000</v>
      </c>
      <c r="P80" s="117" t="str">
        <f t="shared" si="46"/>
        <v>Customer Payment Instruction</v>
      </c>
      <c r="Q80" s="116" t="str">
        <f t="shared" ca="1" si="47"/>
        <v>471164a8-6a8f-1e16-6971-4ae7e0173095-080</v>
      </c>
      <c r="R80" s="117">
        <f t="shared" si="59"/>
        <v>0</v>
      </c>
      <c r="S80" s="118">
        <f t="shared" ca="1" si="60"/>
        <v>43726</v>
      </c>
      <c r="T80" s="119" t="str">
        <f t="shared" ca="1" si="48"/>
        <v>ext-u1-1300-2e9c6-0080</v>
      </c>
      <c r="U80" s="117" t="str">
        <f>J80</f>
        <v>BDB</v>
      </c>
      <c r="V80" s="117" t="str">
        <f>E80</f>
        <v>PAY</v>
      </c>
      <c r="W80" s="117" t="str">
        <f>C80</f>
        <v>BRL</v>
      </c>
      <c r="X80" s="141">
        <f t="shared" si="55"/>
        <v>-596.79999999999995</v>
      </c>
      <c r="Y80" s="117" t="str">
        <f>L80&amp;"-"&amp;LEFT(K80,1)</f>
        <v>CUSTINST-A</v>
      </c>
      <c r="Z80" s="118" t="str">
        <f t="shared" si="63"/>
        <v>Fixed</v>
      </c>
      <c r="AA80" s="117" t="str">
        <f>"[UC1]"&amp;P80&amp;REPT(" ",28-LEN(P80))&amp;" ["&amp;TEXT(A80,"HH:MM")&amp;"]"</f>
        <v>[UC1]Customer Payment Instruction [13:00]</v>
      </c>
      <c r="AB80" s="121" t="str">
        <f t="shared" si="64"/>
        <v>DEFAULT</v>
      </c>
      <c r="AC80" s="116" t="str">
        <f ca="1">UPPER(LEFT(U80&amp;SUBSTITUTE(N80,"-",""),20))</f>
        <v>BDB471164A86A8F1E166</v>
      </c>
      <c r="AD80" s="117" t="str">
        <f t="shared" si="61"/>
        <v>N</v>
      </c>
      <c r="AE80" s="121" t="str">
        <f t="shared" si="56"/>
        <v>ACTUAL</v>
      </c>
      <c r="AI80" s="116" t="str">
        <f ca="1">N80</f>
        <v>471164a8-6a8f-1e16-6971-4ae7e0173095-080</v>
      </c>
      <c r="AJ80" s="117" t="s">
        <v>76</v>
      </c>
      <c r="AK80" s="116" t="str">
        <f ca="1">Q80</f>
        <v>471164a8-6a8f-1e16-6971-4ae7e0173095-080</v>
      </c>
      <c r="AL80" s="117">
        <f t="shared" si="32"/>
        <v>0</v>
      </c>
      <c r="AM80" s="118">
        <f ca="1">S80</f>
        <v>43726</v>
      </c>
      <c r="AN80" s="119" t="str">
        <f ca="1">T80</f>
        <v>ext-u1-1300-2e9c6-0080</v>
      </c>
      <c r="AO80" s="117" t="str">
        <f>U80</f>
        <v>BDB</v>
      </c>
      <c r="AP80" s="117" t="s">
        <v>78</v>
      </c>
      <c r="AQ80" s="117">
        <f>G80</f>
        <v>4.1153183161904803</v>
      </c>
      <c r="AR80" s="117" t="str">
        <f>H80</f>
        <v>USD</v>
      </c>
      <c r="AS80" s="117" t="str">
        <f>W80</f>
        <v>BRL</v>
      </c>
      <c r="AT80" s="120">
        <f>IFERROR(D80*G80,"")</f>
        <v>2456.0219711024783</v>
      </c>
      <c r="AU80" s="120">
        <f t="shared" si="76"/>
        <v>596.79999999999995</v>
      </c>
      <c r="AV80" s="117" t="str">
        <f>Y80</f>
        <v>CUSTINST-A</v>
      </c>
      <c r="AX80" s="117" t="str">
        <f t="shared" si="27"/>
        <v>[UC1]Customer Payment Instruction [13:00]</v>
      </c>
      <c r="AY80" s="117" t="s">
        <v>90</v>
      </c>
      <c r="AZ80" s="116" t="str">
        <f t="shared" ca="1" si="28"/>
        <v>BDB471164A86A8F1E166</v>
      </c>
    </row>
    <row r="81" spans="1:52" x14ac:dyDescent="0.25">
      <c r="A81" s="137">
        <f t="shared" ref="A81:J81" si="83">A30</f>
        <v>0.54166666666666663</v>
      </c>
      <c r="B81" s="151" t="str">
        <f t="shared" si="83"/>
        <v>Customer Payment Instruction</v>
      </c>
      <c r="C81" s="137" t="str">
        <f t="shared" si="83"/>
        <v>BRL</v>
      </c>
      <c r="D81" s="142">
        <f t="shared" si="83"/>
        <v>147</v>
      </c>
      <c r="E81" s="137" t="str">
        <f t="shared" si="83"/>
        <v>PAY</v>
      </c>
      <c r="F81" s="121">
        <f t="shared" si="54"/>
        <v>-147</v>
      </c>
      <c r="G81" s="177">
        <f t="shared" si="34"/>
        <v>4.1155512247619104</v>
      </c>
      <c r="H81" s="177" t="str">
        <f t="shared" si="34"/>
        <v>USD</v>
      </c>
      <c r="I81" s="121" t="s">
        <v>80</v>
      </c>
      <c r="J81" s="150" t="str">
        <f t="shared" si="71"/>
        <v>BDB</v>
      </c>
      <c r="K81" s="163" t="s">
        <v>77</v>
      </c>
      <c r="L81" s="150" t="s">
        <v>88</v>
      </c>
      <c r="N81" s="116" t="str">
        <f t="shared" ca="1" si="58"/>
        <v>2c70802c-5fae-507c-788f-7df6371b8668-081</v>
      </c>
      <c r="O81" s="116" t="str">
        <f t="shared" si="72"/>
        <v>BRL.CUSTINSTA.BDB000</v>
      </c>
      <c r="P81" s="117" t="str">
        <f t="shared" si="46"/>
        <v>Customer Payment Instruction</v>
      </c>
      <c r="Q81" s="116" t="str">
        <f t="shared" ca="1" si="47"/>
        <v>2c70802c-5fae-507c-788f-7df6371b8668-081</v>
      </c>
      <c r="R81" s="117">
        <f t="shared" si="59"/>
        <v>0</v>
      </c>
      <c r="S81" s="118">
        <f t="shared" ca="1" si="60"/>
        <v>43726</v>
      </c>
      <c r="T81" s="119" t="str">
        <f t="shared" ca="1" si="48"/>
        <v>ext-u1-1300-2e9c6-0081</v>
      </c>
      <c r="U81" s="117" t="str">
        <f>J81</f>
        <v>BDB</v>
      </c>
      <c r="V81" s="117" t="str">
        <f>E81</f>
        <v>PAY</v>
      </c>
      <c r="W81" s="117" t="str">
        <f>C81</f>
        <v>BRL</v>
      </c>
      <c r="X81" s="141">
        <f t="shared" si="55"/>
        <v>-147</v>
      </c>
      <c r="Y81" s="117" t="str">
        <f>L81&amp;"-"&amp;LEFT(K81,1)</f>
        <v>CUSTINST-A</v>
      </c>
      <c r="Z81" s="118" t="str">
        <f t="shared" si="63"/>
        <v>Fixed</v>
      </c>
      <c r="AA81" s="117" t="str">
        <f>"[UC1]"&amp;P81&amp;REPT(" ",28-LEN(P81))&amp;" ["&amp;TEXT(A81,"HH:MM")&amp;"]"</f>
        <v>[UC1]Customer Payment Instruction [13:00]</v>
      </c>
      <c r="AB81" s="121" t="str">
        <f t="shared" si="64"/>
        <v>DEFAULT</v>
      </c>
      <c r="AC81" s="116" t="str">
        <f ca="1">UPPER(LEFT(U81&amp;SUBSTITUTE(N81,"-",""),20))</f>
        <v>BDB2C70802C5FAE507C7</v>
      </c>
      <c r="AD81" s="117" t="str">
        <f t="shared" si="61"/>
        <v>N</v>
      </c>
      <c r="AE81" s="121" t="str">
        <f t="shared" si="56"/>
        <v>ACTUAL</v>
      </c>
      <c r="AI81" s="116" t="str">
        <f ca="1">N81</f>
        <v>2c70802c-5fae-507c-788f-7df6371b8668-081</v>
      </c>
      <c r="AJ81" s="117" t="s">
        <v>76</v>
      </c>
      <c r="AK81" s="116" t="str">
        <f ca="1">Q81</f>
        <v>2c70802c-5fae-507c-788f-7df6371b8668-081</v>
      </c>
      <c r="AL81" s="117">
        <f t="shared" si="32"/>
        <v>0</v>
      </c>
      <c r="AM81" s="118">
        <f ca="1">S81</f>
        <v>43726</v>
      </c>
      <c r="AN81" s="119" t="str">
        <f ca="1">T81</f>
        <v>ext-u1-1300-2e9c6-0081</v>
      </c>
      <c r="AO81" s="117" t="str">
        <f>U81</f>
        <v>BDB</v>
      </c>
      <c r="AP81" s="117" t="s">
        <v>78</v>
      </c>
      <c r="AQ81" s="117">
        <f>G81</f>
        <v>4.1155512247619104</v>
      </c>
      <c r="AR81" s="117" t="str">
        <f>H81</f>
        <v>USD</v>
      </c>
      <c r="AS81" s="117" t="str">
        <f>W81</f>
        <v>BRL</v>
      </c>
      <c r="AT81" s="120">
        <f>IFERROR(D81*G81,"")</f>
        <v>604.98603004000086</v>
      </c>
      <c r="AU81" s="120">
        <f t="shared" si="76"/>
        <v>147</v>
      </c>
      <c r="AV81" s="117" t="str">
        <f>Y81</f>
        <v>CUSTINST-A</v>
      </c>
      <c r="AX81" s="117" t="str">
        <f t="shared" si="27"/>
        <v>[UC1]Customer Payment Instruction [13:00]</v>
      </c>
      <c r="AY81" s="117" t="s">
        <v>90</v>
      </c>
      <c r="AZ81" s="116" t="str">
        <f t="shared" ca="1" si="28"/>
        <v>BDB2C70802C5FAE507C7</v>
      </c>
    </row>
    <row r="82" spans="1:52" x14ac:dyDescent="0.25">
      <c r="A82" s="137">
        <f t="shared" ref="A82:J82" si="84">A31</f>
        <v>0.54166666666666663</v>
      </c>
      <c r="B82" s="151" t="str">
        <f t="shared" si="84"/>
        <v>Customer Payment Instruction</v>
      </c>
      <c r="C82" s="137" t="str">
        <f t="shared" si="84"/>
        <v>BRL</v>
      </c>
      <c r="D82" s="142">
        <f t="shared" si="84"/>
        <v>10497.2</v>
      </c>
      <c r="E82" s="137" t="str">
        <f t="shared" si="84"/>
        <v>PAY</v>
      </c>
      <c r="F82" s="121">
        <f t="shared" si="54"/>
        <v>-10497.2</v>
      </c>
      <c r="G82" s="177">
        <f t="shared" si="34"/>
        <v>4.1157841333333298</v>
      </c>
      <c r="H82" s="177" t="str">
        <f t="shared" si="34"/>
        <v>USD</v>
      </c>
      <c r="I82" s="121" t="s">
        <v>80</v>
      </c>
      <c r="J82" s="150" t="str">
        <f t="shared" si="71"/>
        <v>BDB</v>
      </c>
      <c r="K82" s="163" t="s">
        <v>77</v>
      </c>
      <c r="L82" s="150" t="s">
        <v>88</v>
      </c>
      <c r="N82" s="116" t="str">
        <f t="shared" ca="1" si="58"/>
        <v>0d992dba-5ab8-8e36-8b97-53207c176cf8-082</v>
      </c>
      <c r="O82" s="116" t="str">
        <f t="shared" si="72"/>
        <v>BRL.CUSTINSTA.BDB000</v>
      </c>
      <c r="P82" s="117" t="str">
        <f t="shared" si="46"/>
        <v>Customer Payment Instruction</v>
      </c>
      <c r="Q82" s="116" t="str">
        <f t="shared" ca="1" si="47"/>
        <v>0d992dba-5ab8-8e36-8b97-53207c176cf8-082</v>
      </c>
      <c r="R82" s="117">
        <f t="shared" si="59"/>
        <v>0</v>
      </c>
      <c r="S82" s="118">
        <f t="shared" ca="1" si="60"/>
        <v>43726</v>
      </c>
      <c r="T82" s="119" t="str">
        <f t="shared" ca="1" si="48"/>
        <v>ext-u1-1300-2e9c6-0082</v>
      </c>
      <c r="U82" s="117" t="str">
        <f>J82</f>
        <v>BDB</v>
      </c>
      <c r="V82" s="117" t="str">
        <f>E82</f>
        <v>PAY</v>
      </c>
      <c r="W82" s="117" t="str">
        <f>C82</f>
        <v>BRL</v>
      </c>
      <c r="X82" s="141">
        <f t="shared" si="55"/>
        <v>-10497.2</v>
      </c>
      <c r="Y82" s="117" t="str">
        <f>L82&amp;"-"&amp;LEFT(K82,1)</f>
        <v>CUSTINST-A</v>
      </c>
      <c r="Z82" s="118" t="str">
        <f t="shared" si="63"/>
        <v>Fixed</v>
      </c>
      <c r="AA82" s="117" t="str">
        <f>"[UC1]"&amp;P82&amp;REPT(" ",28-LEN(P82))&amp;" ["&amp;TEXT(A82,"HH:MM")&amp;"]"</f>
        <v>[UC1]Customer Payment Instruction [13:00]</v>
      </c>
      <c r="AB82" s="121" t="str">
        <f t="shared" si="64"/>
        <v>DEFAULT</v>
      </c>
      <c r="AC82" s="116" t="str">
        <f ca="1">UPPER(LEFT(U82&amp;SUBSTITUTE(N82,"-",""),20))</f>
        <v>BDB0D992DBA5AB88E368</v>
      </c>
      <c r="AD82" s="117" t="str">
        <f t="shared" si="61"/>
        <v>N</v>
      </c>
      <c r="AE82" s="121" t="str">
        <f t="shared" si="56"/>
        <v>ACTUAL</v>
      </c>
      <c r="AI82" s="116" t="str">
        <f ca="1">N82</f>
        <v>0d992dba-5ab8-8e36-8b97-53207c176cf8-082</v>
      </c>
      <c r="AJ82" s="117" t="s">
        <v>76</v>
      </c>
      <c r="AK82" s="116" t="str">
        <f ca="1">Q82</f>
        <v>0d992dba-5ab8-8e36-8b97-53207c176cf8-082</v>
      </c>
      <c r="AL82" s="117">
        <f t="shared" si="32"/>
        <v>0</v>
      </c>
      <c r="AM82" s="118">
        <f ca="1">S82</f>
        <v>43726</v>
      </c>
      <c r="AN82" s="119" t="str">
        <f ca="1">T82</f>
        <v>ext-u1-1300-2e9c6-0082</v>
      </c>
      <c r="AO82" s="117" t="str">
        <f>U82</f>
        <v>BDB</v>
      </c>
      <c r="AP82" s="117" t="s">
        <v>78</v>
      </c>
      <c r="AQ82" s="117">
        <f>G82</f>
        <v>4.1157841333333298</v>
      </c>
      <c r="AR82" s="117" t="str">
        <f>H82</f>
        <v>USD</v>
      </c>
      <c r="AS82" s="117" t="str">
        <f>W82</f>
        <v>BRL</v>
      </c>
      <c r="AT82" s="120">
        <f>IFERROR(D82*G82,"")</f>
        <v>43204.209204426632</v>
      </c>
      <c r="AU82" s="120">
        <f t="shared" si="76"/>
        <v>10497.2</v>
      </c>
      <c r="AV82" s="117" t="str">
        <f>Y82</f>
        <v>CUSTINST-A</v>
      </c>
      <c r="AX82" s="117" t="str">
        <f t="shared" si="27"/>
        <v>[UC1]Customer Payment Instruction [13:00]</v>
      </c>
      <c r="AY82" s="117" t="s">
        <v>90</v>
      </c>
      <c r="AZ82" s="116" t="str">
        <f t="shared" ca="1" si="28"/>
        <v>BDB0D992DBA5AB88E368</v>
      </c>
    </row>
    <row r="83" spans="1:52" x14ac:dyDescent="0.25">
      <c r="A83" s="137">
        <f t="shared" ref="A83:J83" si="85">A32</f>
        <v>0.54166666666666663</v>
      </c>
      <c r="B83" s="151" t="str">
        <f t="shared" si="85"/>
        <v>Customer Payment Instruction</v>
      </c>
      <c r="C83" s="137" t="str">
        <f t="shared" si="85"/>
        <v>BRL</v>
      </c>
      <c r="D83" s="142">
        <f t="shared" si="85"/>
        <v>5017.3999999999996</v>
      </c>
      <c r="E83" s="137" t="str">
        <f t="shared" si="85"/>
        <v>PAY</v>
      </c>
      <c r="F83" s="121">
        <f t="shared" si="54"/>
        <v>-5017.3999999999996</v>
      </c>
      <c r="G83" s="177">
        <f t="shared" si="34"/>
        <v>4.1160170419047599</v>
      </c>
      <c r="H83" s="177" t="str">
        <f t="shared" si="34"/>
        <v>USD</v>
      </c>
      <c r="I83" s="121" t="s">
        <v>80</v>
      </c>
      <c r="J83" s="150" t="str">
        <f t="shared" si="71"/>
        <v>BDB</v>
      </c>
      <c r="K83" s="163" t="s">
        <v>77</v>
      </c>
      <c r="L83" s="150" t="s">
        <v>88</v>
      </c>
      <c r="N83" s="116" t="str">
        <f t="shared" ca="1" si="58"/>
        <v>9d05c1ab-84c9-8079-95f8-09ad83a4956a-083</v>
      </c>
      <c r="O83" s="116" t="str">
        <f t="shared" si="72"/>
        <v>BRL.CUSTINSTA.BDB000</v>
      </c>
      <c r="P83" s="117" t="str">
        <f t="shared" si="46"/>
        <v>Customer Payment Instruction</v>
      </c>
      <c r="Q83" s="116" t="str">
        <f t="shared" ca="1" si="47"/>
        <v>9d05c1ab-84c9-8079-95f8-09ad83a4956a-083</v>
      </c>
      <c r="R83" s="117">
        <f t="shared" si="59"/>
        <v>0</v>
      </c>
      <c r="S83" s="118">
        <f t="shared" ca="1" si="60"/>
        <v>43726</v>
      </c>
      <c r="T83" s="119" t="str">
        <f t="shared" ca="1" si="48"/>
        <v>ext-u1-1300-2e9c6-0083</v>
      </c>
      <c r="U83" s="117" t="str">
        <f>J83</f>
        <v>BDB</v>
      </c>
      <c r="V83" s="117" t="str">
        <f>E83</f>
        <v>PAY</v>
      </c>
      <c r="W83" s="117" t="str">
        <f>C83</f>
        <v>BRL</v>
      </c>
      <c r="X83" s="141">
        <f t="shared" si="55"/>
        <v>-5017.3999999999996</v>
      </c>
      <c r="Y83" s="117" t="str">
        <f>L83&amp;"-"&amp;LEFT(K83,1)</f>
        <v>CUSTINST-A</v>
      </c>
      <c r="Z83" s="118" t="str">
        <f t="shared" si="63"/>
        <v>Fixed</v>
      </c>
      <c r="AA83" s="117" t="str">
        <f>"[UC1]"&amp;P83&amp;REPT(" ",28-LEN(P83))&amp;" ["&amp;TEXT(A83,"HH:MM")&amp;"]"</f>
        <v>[UC1]Customer Payment Instruction [13:00]</v>
      </c>
      <c r="AB83" s="121" t="str">
        <f t="shared" si="64"/>
        <v>DEFAULT</v>
      </c>
      <c r="AC83" s="116" t="str">
        <f ca="1">UPPER(LEFT(U83&amp;SUBSTITUTE(N83,"-",""),20))</f>
        <v>BDB9D05C1AB84C980799</v>
      </c>
      <c r="AD83" s="117" t="str">
        <f t="shared" si="61"/>
        <v>N</v>
      </c>
      <c r="AE83" s="121" t="str">
        <f t="shared" si="56"/>
        <v>ACTUAL</v>
      </c>
      <c r="AI83" s="116" t="str">
        <f ca="1">N83</f>
        <v>9d05c1ab-84c9-8079-95f8-09ad83a4956a-083</v>
      </c>
      <c r="AJ83" s="117" t="s">
        <v>76</v>
      </c>
      <c r="AK83" s="116" t="str">
        <f ca="1">Q83</f>
        <v>9d05c1ab-84c9-8079-95f8-09ad83a4956a-083</v>
      </c>
      <c r="AL83" s="117">
        <f t="shared" si="32"/>
        <v>0</v>
      </c>
      <c r="AM83" s="118">
        <f ca="1">S83</f>
        <v>43726</v>
      </c>
      <c r="AN83" s="119" t="str">
        <f ca="1">T83</f>
        <v>ext-u1-1300-2e9c6-0083</v>
      </c>
      <c r="AO83" s="117" t="str">
        <f>U83</f>
        <v>BDB</v>
      </c>
      <c r="AP83" s="117" t="s">
        <v>78</v>
      </c>
      <c r="AQ83" s="117">
        <f>G83</f>
        <v>4.1160170419047599</v>
      </c>
      <c r="AR83" s="117" t="str">
        <f>H83</f>
        <v>USD</v>
      </c>
      <c r="AS83" s="117" t="str">
        <f>W83</f>
        <v>BRL</v>
      </c>
      <c r="AT83" s="120">
        <f>IFERROR(D83*G83,"")</f>
        <v>20651.703906052942</v>
      </c>
      <c r="AU83" s="120">
        <f t="shared" si="76"/>
        <v>5017.3999999999996</v>
      </c>
      <c r="AV83" s="117" t="str">
        <f>Y83</f>
        <v>CUSTINST-A</v>
      </c>
      <c r="AX83" s="117" t="str">
        <f t="shared" si="27"/>
        <v>[UC1]Customer Payment Instruction [13:00]</v>
      </c>
      <c r="AY83" s="117" t="s">
        <v>90</v>
      </c>
      <c r="AZ83" s="116" t="str">
        <f t="shared" ca="1" si="28"/>
        <v>BDB9D05C1AB84C980799</v>
      </c>
    </row>
    <row r="84" spans="1:52" x14ac:dyDescent="0.25">
      <c r="A84" s="137">
        <f t="shared" ref="A84:J84" si="86">A33</f>
        <v>0.54166666666666663</v>
      </c>
      <c r="B84" s="151" t="str">
        <f t="shared" si="86"/>
        <v>Customer Payment Instruction</v>
      </c>
      <c r="C84" s="137" t="str">
        <f t="shared" si="86"/>
        <v>BRL</v>
      </c>
      <c r="D84" s="142">
        <f t="shared" si="86"/>
        <v>5297.6</v>
      </c>
      <c r="E84" s="137" t="str">
        <f t="shared" si="86"/>
        <v>PAY</v>
      </c>
      <c r="F84" s="121">
        <f t="shared" si="54"/>
        <v>-5297.6</v>
      </c>
      <c r="G84" s="177">
        <f t="shared" si="34"/>
        <v>4.11624995047619</v>
      </c>
      <c r="H84" s="177" t="str">
        <f t="shared" si="34"/>
        <v>USD</v>
      </c>
      <c r="I84" s="121" t="s">
        <v>80</v>
      </c>
      <c r="J84" s="150" t="str">
        <f t="shared" si="71"/>
        <v>BDB</v>
      </c>
      <c r="K84" s="163" t="s">
        <v>77</v>
      </c>
      <c r="L84" s="150" t="s">
        <v>88</v>
      </c>
      <c r="N84" s="116" t="str">
        <f t="shared" ca="1" si="58"/>
        <v>126ae7d0-1b15-0199-1451-3797b9ff3079-084</v>
      </c>
      <c r="O84" s="116" t="str">
        <f t="shared" si="72"/>
        <v>BRL.CUSTINSTA.BDB000</v>
      </c>
      <c r="P84" s="117" t="str">
        <f t="shared" si="46"/>
        <v>Customer Payment Instruction</v>
      </c>
      <c r="Q84" s="116" t="str">
        <f t="shared" ca="1" si="47"/>
        <v>126ae7d0-1b15-0199-1451-3797b9ff3079-084</v>
      </c>
      <c r="R84" s="117">
        <f t="shared" si="59"/>
        <v>0</v>
      </c>
      <c r="S84" s="118">
        <f t="shared" ca="1" si="60"/>
        <v>43726</v>
      </c>
      <c r="T84" s="119" t="str">
        <f t="shared" ca="1" si="48"/>
        <v>ext-u1-1300-2e9c6-0084</v>
      </c>
      <c r="U84" s="117" t="str">
        <f>J84</f>
        <v>BDB</v>
      </c>
      <c r="V84" s="117" t="str">
        <f>E84</f>
        <v>PAY</v>
      </c>
      <c r="W84" s="117" t="str">
        <f>C84</f>
        <v>BRL</v>
      </c>
      <c r="X84" s="141">
        <f t="shared" si="55"/>
        <v>-5297.6</v>
      </c>
      <c r="Y84" s="117" t="str">
        <f>L84&amp;"-"&amp;LEFT(K84,1)</f>
        <v>CUSTINST-A</v>
      </c>
      <c r="Z84" s="118" t="str">
        <f t="shared" si="63"/>
        <v>Fixed</v>
      </c>
      <c r="AA84" s="117" t="str">
        <f>"[UC1]"&amp;P84&amp;REPT(" ",28-LEN(P84))&amp;" ["&amp;TEXT(A84,"HH:MM")&amp;"]"</f>
        <v>[UC1]Customer Payment Instruction [13:00]</v>
      </c>
      <c r="AB84" s="121" t="str">
        <f t="shared" si="64"/>
        <v>DEFAULT</v>
      </c>
      <c r="AC84" s="116" t="str">
        <f ca="1">UPPER(LEFT(U84&amp;SUBSTITUTE(N84,"-",""),20))</f>
        <v>BDB126AE7D01B1501991</v>
      </c>
      <c r="AD84" s="117" t="str">
        <f t="shared" si="61"/>
        <v>N</v>
      </c>
      <c r="AE84" s="121" t="str">
        <f t="shared" si="56"/>
        <v>ACTUAL</v>
      </c>
      <c r="AI84" s="116" t="str">
        <f ca="1">N84</f>
        <v>126ae7d0-1b15-0199-1451-3797b9ff3079-084</v>
      </c>
      <c r="AJ84" s="117" t="s">
        <v>76</v>
      </c>
      <c r="AK84" s="116" t="str">
        <f ca="1">Q84</f>
        <v>126ae7d0-1b15-0199-1451-3797b9ff3079-084</v>
      </c>
      <c r="AL84" s="117">
        <f t="shared" si="32"/>
        <v>0</v>
      </c>
      <c r="AM84" s="118">
        <f ca="1">S84</f>
        <v>43726</v>
      </c>
      <c r="AN84" s="119" t="str">
        <f ca="1">T84</f>
        <v>ext-u1-1300-2e9c6-0084</v>
      </c>
      <c r="AO84" s="117" t="str">
        <f>U84</f>
        <v>BDB</v>
      </c>
      <c r="AP84" s="117" t="s">
        <v>78</v>
      </c>
      <c r="AQ84" s="117">
        <f>G84</f>
        <v>4.11624995047619</v>
      </c>
      <c r="AR84" s="117" t="str">
        <f>H84</f>
        <v>USD</v>
      </c>
      <c r="AS84" s="117" t="str">
        <f>W84</f>
        <v>BRL</v>
      </c>
      <c r="AT84" s="120">
        <f>IFERROR(D84*G84,"")</f>
        <v>21806.245737642665</v>
      </c>
      <c r="AU84" s="120">
        <f t="shared" si="76"/>
        <v>5297.6</v>
      </c>
      <c r="AV84" s="117" t="str">
        <f>Y84</f>
        <v>CUSTINST-A</v>
      </c>
      <c r="AX84" s="117" t="str">
        <f t="shared" si="27"/>
        <v>[UC1]Customer Payment Instruction [13:00]</v>
      </c>
      <c r="AY84" s="117" t="s">
        <v>90</v>
      </c>
      <c r="AZ84" s="116" t="str">
        <f t="shared" ca="1" si="28"/>
        <v>BDB126AE7D01B1501991</v>
      </c>
    </row>
    <row r="85" spans="1:52" x14ac:dyDescent="0.25">
      <c r="A85" s="137">
        <f t="shared" ref="A85:J85" si="87">A34</f>
        <v>0.54166666666666663</v>
      </c>
      <c r="B85" s="151" t="str">
        <f t="shared" si="87"/>
        <v>Customer Payment Instruction</v>
      </c>
      <c r="C85" s="137" t="str">
        <f t="shared" si="87"/>
        <v>BRL</v>
      </c>
      <c r="D85" s="142">
        <f t="shared" si="87"/>
        <v>5577.8</v>
      </c>
      <c r="E85" s="137" t="str">
        <f t="shared" si="87"/>
        <v>PAY</v>
      </c>
      <c r="F85" s="121">
        <f t="shared" si="54"/>
        <v>-5577.8</v>
      </c>
      <c r="G85" s="177">
        <f t="shared" si="34"/>
        <v>4.1164828590476201</v>
      </c>
      <c r="H85" s="177" t="str">
        <f t="shared" si="34"/>
        <v>USD</v>
      </c>
      <c r="I85" s="121" t="s">
        <v>80</v>
      </c>
      <c r="J85" s="150" t="str">
        <f t="shared" si="71"/>
        <v>BDB</v>
      </c>
      <c r="K85" s="163" t="s">
        <v>77</v>
      </c>
      <c r="L85" s="150" t="s">
        <v>88</v>
      </c>
      <c r="N85" s="116" t="str">
        <f t="shared" ca="1" si="58"/>
        <v>f3b974d9-349d-9695-8278-28197d7d2f76-085</v>
      </c>
      <c r="O85" s="116" t="str">
        <f t="shared" si="72"/>
        <v>BRL.CUSTINSTA.BDB000</v>
      </c>
      <c r="P85" s="117" t="str">
        <f t="shared" si="46"/>
        <v>Customer Payment Instruction</v>
      </c>
      <c r="Q85" s="116" t="str">
        <f t="shared" ca="1" si="47"/>
        <v>f3b974d9-349d-9695-8278-28197d7d2f76-085</v>
      </c>
      <c r="R85" s="117">
        <f t="shared" si="59"/>
        <v>0</v>
      </c>
      <c r="S85" s="118">
        <f t="shared" ca="1" si="60"/>
        <v>43726</v>
      </c>
      <c r="T85" s="119" t="str">
        <f t="shared" ca="1" si="48"/>
        <v>ext-u1-1300-2e9c6-0085</v>
      </c>
      <c r="U85" s="117" t="str">
        <f>J85</f>
        <v>BDB</v>
      </c>
      <c r="V85" s="117" t="str">
        <f>E85</f>
        <v>PAY</v>
      </c>
      <c r="W85" s="117" t="str">
        <f>C85</f>
        <v>BRL</v>
      </c>
      <c r="X85" s="141">
        <f t="shared" si="55"/>
        <v>-5577.8</v>
      </c>
      <c r="Y85" s="117" t="str">
        <f>L85&amp;"-"&amp;LEFT(K85,1)</f>
        <v>CUSTINST-A</v>
      </c>
      <c r="Z85" s="118" t="str">
        <f t="shared" si="63"/>
        <v>Fixed</v>
      </c>
      <c r="AA85" s="117" t="str">
        <f>"[UC1]"&amp;P85&amp;REPT(" ",28-LEN(P85))&amp;" ["&amp;TEXT(A85,"HH:MM")&amp;"]"</f>
        <v>[UC1]Customer Payment Instruction [13:00]</v>
      </c>
      <c r="AB85" s="121" t="str">
        <f t="shared" si="64"/>
        <v>DEFAULT</v>
      </c>
      <c r="AC85" s="116" t="str">
        <f ca="1">UPPER(LEFT(U85&amp;SUBSTITUTE(N85,"-",""),20))</f>
        <v>BDBF3B974D9349D96958</v>
      </c>
      <c r="AD85" s="117" t="str">
        <f t="shared" si="61"/>
        <v>N</v>
      </c>
      <c r="AE85" s="121" t="str">
        <f t="shared" si="56"/>
        <v>ACTUAL</v>
      </c>
      <c r="AI85" s="116" t="str">
        <f ca="1">N85</f>
        <v>f3b974d9-349d-9695-8278-28197d7d2f76-085</v>
      </c>
      <c r="AJ85" s="117" t="s">
        <v>76</v>
      </c>
      <c r="AK85" s="116" t="str">
        <f ca="1">Q85</f>
        <v>f3b974d9-349d-9695-8278-28197d7d2f76-085</v>
      </c>
      <c r="AL85" s="117">
        <f t="shared" si="32"/>
        <v>0</v>
      </c>
      <c r="AM85" s="118">
        <f ca="1">S85</f>
        <v>43726</v>
      </c>
      <c r="AN85" s="119" t="str">
        <f ca="1">T85</f>
        <v>ext-u1-1300-2e9c6-0085</v>
      </c>
      <c r="AO85" s="117" t="str">
        <f>U85</f>
        <v>BDB</v>
      </c>
      <c r="AP85" s="117" t="s">
        <v>78</v>
      </c>
      <c r="AQ85" s="117">
        <f t="shared" ref="AQ85:AQ102" si="88">G85</f>
        <v>4.1164828590476201</v>
      </c>
      <c r="AR85" s="117" t="str">
        <f t="shared" ref="AR85:AR102" si="89">H85</f>
        <v>USD</v>
      </c>
      <c r="AS85" s="117" t="str">
        <f>W85</f>
        <v>BRL</v>
      </c>
      <c r="AT85" s="120">
        <f>IFERROR(D85*G85,"")</f>
        <v>22960.918091195817</v>
      </c>
      <c r="AU85" s="120">
        <f t="shared" si="76"/>
        <v>5577.8</v>
      </c>
      <c r="AV85" s="117" t="str">
        <f>Y85</f>
        <v>CUSTINST-A</v>
      </c>
      <c r="AX85" s="117" t="str">
        <f t="shared" si="27"/>
        <v>[UC1]Customer Payment Instruction [13:00]</v>
      </c>
      <c r="AY85" s="117" t="s">
        <v>90</v>
      </c>
      <c r="AZ85" s="116" t="str">
        <f t="shared" ca="1" si="28"/>
        <v>BDBF3B974D9349D96958</v>
      </c>
    </row>
    <row r="86" spans="1:52" x14ac:dyDescent="0.25">
      <c r="A86" s="137">
        <f t="shared" ref="A86:J86" si="90">A35</f>
        <v>0.54166666666666663</v>
      </c>
      <c r="B86" s="151" t="str">
        <f t="shared" si="90"/>
        <v>Customer Payment Instruction</v>
      </c>
      <c r="C86" s="137" t="str">
        <f t="shared" si="90"/>
        <v>BRL</v>
      </c>
      <c r="D86" s="142">
        <f t="shared" si="90"/>
        <v>5858</v>
      </c>
      <c r="E86" s="137" t="str">
        <f t="shared" si="90"/>
        <v>PAY</v>
      </c>
      <c r="F86" s="121">
        <f t="shared" si="54"/>
        <v>-5858</v>
      </c>
      <c r="G86" s="177">
        <f t="shared" si="34"/>
        <v>4.1167157676190502</v>
      </c>
      <c r="H86" s="177" t="str">
        <f t="shared" si="34"/>
        <v>USD</v>
      </c>
      <c r="I86" s="121" t="s">
        <v>80</v>
      </c>
      <c r="J86" s="150" t="str">
        <f t="shared" si="71"/>
        <v>BDB</v>
      </c>
      <c r="K86" s="163" t="s">
        <v>77</v>
      </c>
      <c r="L86" s="150" t="s">
        <v>88</v>
      </c>
      <c r="N86" s="116" t="str">
        <f t="shared" ca="1" si="58"/>
        <v>063e54bd-91a4-327f-3d9c-997e87867fa2-086</v>
      </c>
      <c r="O86" s="116" t="str">
        <f t="shared" si="72"/>
        <v>BRL.CUSTINSTA.BDB000</v>
      </c>
      <c r="P86" s="117" t="str">
        <f t="shared" si="46"/>
        <v>Customer Payment Instruction</v>
      </c>
      <c r="Q86" s="116" t="str">
        <f t="shared" ca="1" si="47"/>
        <v>063e54bd-91a4-327f-3d9c-997e87867fa2-086</v>
      </c>
      <c r="R86" s="117">
        <f t="shared" si="59"/>
        <v>0</v>
      </c>
      <c r="S86" s="118">
        <f t="shared" ca="1" si="60"/>
        <v>43726</v>
      </c>
      <c r="T86" s="119" t="str">
        <f t="shared" ca="1" si="48"/>
        <v>ext-u1-1300-2e9c6-0086</v>
      </c>
      <c r="U86" s="117" t="str">
        <f>J86</f>
        <v>BDB</v>
      </c>
      <c r="V86" s="117" t="str">
        <f>E86</f>
        <v>PAY</v>
      </c>
      <c r="W86" s="117" t="str">
        <f>C86</f>
        <v>BRL</v>
      </c>
      <c r="X86" s="141">
        <f t="shared" si="55"/>
        <v>-5858</v>
      </c>
      <c r="Y86" s="117" t="str">
        <f>L86&amp;"-"&amp;LEFT(K86,1)</f>
        <v>CUSTINST-A</v>
      </c>
      <c r="Z86" s="118" t="str">
        <f t="shared" si="63"/>
        <v>Fixed</v>
      </c>
      <c r="AA86" s="117" t="str">
        <f>"[UC1]"&amp;P86&amp;REPT(" ",28-LEN(P86))&amp;" ["&amp;TEXT(A86,"HH:MM")&amp;"]"</f>
        <v>[UC1]Customer Payment Instruction [13:00]</v>
      </c>
      <c r="AB86" s="121" t="str">
        <f t="shared" si="64"/>
        <v>DEFAULT</v>
      </c>
      <c r="AC86" s="116" t="str">
        <f ca="1">UPPER(LEFT(U86&amp;SUBSTITUTE(N86,"-",""),20))</f>
        <v>BDB063E54BD91A4327F3</v>
      </c>
      <c r="AD86" s="117" t="str">
        <f t="shared" si="61"/>
        <v>N</v>
      </c>
      <c r="AE86" s="121" t="str">
        <f t="shared" si="56"/>
        <v>ACTUAL</v>
      </c>
      <c r="AI86" s="116" t="str">
        <f ca="1">N86</f>
        <v>063e54bd-91a4-327f-3d9c-997e87867fa2-086</v>
      </c>
      <c r="AJ86" s="117" t="s">
        <v>76</v>
      </c>
      <c r="AK86" s="116" t="str">
        <f ca="1">Q86</f>
        <v>063e54bd-91a4-327f-3d9c-997e87867fa2-086</v>
      </c>
      <c r="AL86" s="117">
        <f t="shared" si="32"/>
        <v>0</v>
      </c>
      <c r="AM86" s="118">
        <f ca="1">S86</f>
        <v>43726</v>
      </c>
      <c r="AN86" s="119" t="str">
        <f ca="1">T86</f>
        <v>ext-u1-1300-2e9c6-0086</v>
      </c>
      <c r="AO86" s="117" t="str">
        <f>U86</f>
        <v>BDB</v>
      </c>
      <c r="AP86" s="117" t="s">
        <v>78</v>
      </c>
      <c r="AQ86" s="117">
        <f t="shared" si="88"/>
        <v>4.1167157676190502</v>
      </c>
      <c r="AR86" s="117" t="str">
        <f t="shared" si="89"/>
        <v>USD</v>
      </c>
      <c r="AS86" s="117" t="str">
        <f>W86</f>
        <v>BRL</v>
      </c>
      <c r="AT86" s="120">
        <f>IFERROR(D86*G86,"")</f>
        <v>24115.720966712397</v>
      </c>
      <c r="AU86" s="120">
        <f t="shared" si="76"/>
        <v>5858</v>
      </c>
      <c r="AV86" s="117" t="str">
        <f>Y86</f>
        <v>CUSTINST-A</v>
      </c>
      <c r="AX86" s="117" t="str">
        <f t="shared" si="27"/>
        <v>[UC1]Customer Payment Instruction [13:00]</v>
      </c>
      <c r="AY86" s="117" t="s">
        <v>90</v>
      </c>
      <c r="AZ86" s="116" t="str">
        <f t="shared" ca="1" si="28"/>
        <v>BDB063E54BD91A4327F3</v>
      </c>
    </row>
    <row r="87" spans="1:52" x14ac:dyDescent="0.25">
      <c r="A87" s="137">
        <f t="shared" ref="A87:J87" si="91">A36</f>
        <v>0.54166666666666663</v>
      </c>
      <c r="B87" s="151" t="str">
        <f t="shared" si="91"/>
        <v>Customer Payment Instruction</v>
      </c>
      <c r="C87" s="137" t="str">
        <f t="shared" si="91"/>
        <v>BRL</v>
      </c>
      <c r="D87" s="142">
        <f t="shared" si="91"/>
        <v>6138.2</v>
      </c>
      <c r="E87" s="137" t="str">
        <f t="shared" si="91"/>
        <v>PAY</v>
      </c>
      <c r="F87" s="121">
        <f t="shared" si="54"/>
        <v>-6138.2</v>
      </c>
      <c r="G87" s="177">
        <f t="shared" si="34"/>
        <v>4.1169486761904803</v>
      </c>
      <c r="H87" s="177" t="str">
        <f t="shared" si="34"/>
        <v>USD</v>
      </c>
      <c r="I87" s="121" t="s">
        <v>80</v>
      </c>
      <c r="J87" s="150" t="str">
        <f t="shared" si="71"/>
        <v>BDB</v>
      </c>
      <c r="K87" s="163" t="s">
        <v>77</v>
      </c>
      <c r="L87" s="150" t="s">
        <v>88</v>
      </c>
      <c r="N87" s="116" t="str">
        <f t="shared" ca="1" si="58"/>
        <v>0b3715c1-0907-7571-6a12-e71da9bb2cda-087</v>
      </c>
      <c r="O87" s="116" t="str">
        <f t="shared" si="72"/>
        <v>BRL.CUSTINSTA.BDB000</v>
      </c>
      <c r="P87" s="117" t="str">
        <f t="shared" si="46"/>
        <v>Customer Payment Instruction</v>
      </c>
      <c r="Q87" s="116" t="str">
        <f t="shared" ca="1" si="47"/>
        <v>0b3715c1-0907-7571-6a12-e71da9bb2cda-087</v>
      </c>
      <c r="R87" s="117">
        <f t="shared" si="59"/>
        <v>0</v>
      </c>
      <c r="S87" s="118">
        <f t="shared" ca="1" si="60"/>
        <v>43726</v>
      </c>
      <c r="T87" s="119" t="str">
        <f t="shared" ca="1" si="48"/>
        <v>ext-u1-1300-2e9c6-0087</v>
      </c>
      <c r="U87" s="117" t="str">
        <f>J87</f>
        <v>BDB</v>
      </c>
      <c r="V87" s="117" t="str">
        <f>E87</f>
        <v>PAY</v>
      </c>
      <c r="W87" s="117" t="str">
        <f>C87</f>
        <v>BRL</v>
      </c>
      <c r="X87" s="141">
        <f t="shared" si="55"/>
        <v>-6138.2</v>
      </c>
      <c r="Y87" s="117" t="str">
        <f>L87&amp;"-"&amp;LEFT(K87,1)</f>
        <v>CUSTINST-A</v>
      </c>
      <c r="Z87" s="118" t="str">
        <f t="shared" si="63"/>
        <v>Fixed</v>
      </c>
      <c r="AA87" s="117" t="str">
        <f>"[UC1]"&amp;P87&amp;REPT(" ",28-LEN(P87))&amp;" ["&amp;TEXT(A87,"HH:MM")&amp;"]"</f>
        <v>[UC1]Customer Payment Instruction [13:00]</v>
      </c>
      <c r="AB87" s="121" t="str">
        <f t="shared" si="64"/>
        <v>DEFAULT</v>
      </c>
      <c r="AC87" s="116" t="str">
        <f ca="1">UPPER(LEFT(U87&amp;SUBSTITUTE(N87,"-",""),20))</f>
        <v>BDB0B3715C1090775716</v>
      </c>
      <c r="AD87" s="117" t="str">
        <f t="shared" si="61"/>
        <v>N</v>
      </c>
      <c r="AE87" s="121" t="str">
        <f t="shared" si="56"/>
        <v>ACTUAL</v>
      </c>
      <c r="AI87" s="116" t="str">
        <f ca="1">N87</f>
        <v>0b3715c1-0907-7571-6a12-e71da9bb2cda-087</v>
      </c>
      <c r="AJ87" s="117" t="s">
        <v>76</v>
      </c>
      <c r="AK87" s="116" t="str">
        <f ca="1">Q87</f>
        <v>0b3715c1-0907-7571-6a12-e71da9bb2cda-087</v>
      </c>
      <c r="AL87" s="117">
        <f t="shared" si="32"/>
        <v>0</v>
      </c>
      <c r="AM87" s="118">
        <f ca="1">S87</f>
        <v>43726</v>
      </c>
      <c r="AN87" s="119" t="str">
        <f ca="1">T87</f>
        <v>ext-u1-1300-2e9c6-0087</v>
      </c>
      <c r="AO87" s="117" t="str">
        <f>U87</f>
        <v>BDB</v>
      </c>
      <c r="AP87" s="117" t="s">
        <v>78</v>
      </c>
      <c r="AQ87" s="117">
        <f t="shared" si="88"/>
        <v>4.1169486761904803</v>
      </c>
      <c r="AR87" s="117" t="str">
        <f t="shared" si="89"/>
        <v>USD</v>
      </c>
      <c r="AS87" s="117" t="str">
        <f>W87</f>
        <v>BRL</v>
      </c>
      <c r="AT87" s="120">
        <f>IFERROR(D87*G87,"")</f>
        <v>25270.654364192407</v>
      </c>
      <c r="AU87" s="120">
        <f t="shared" si="76"/>
        <v>6138.2</v>
      </c>
      <c r="AV87" s="117" t="str">
        <f>Y87</f>
        <v>CUSTINST-A</v>
      </c>
      <c r="AX87" s="117" t="str">
        <f t="shared" si="27"/>
        <v>[UC1]Customer Payment Instruction [13:00]</v>
      </c>
      <c r="AY87" s="117" t="s">
        <v>90</v>
      </c>
      <c r="AZ87" s="116" t="str">
        <f t="shared" ca="1" si="28"/>
        <v>BDB0B3715C1090775716</v>
      </c>
    </row>
    <row r="88" spans="1:52" x14ac:dyDescent="0.25">
      <c r="A88" s="137">
        <f t="shared" ref="A88:J88" si="92">A37</f>
        <v>0.54166666666666663</v>
      </c>
      <c r="B88" s="151" t="str">
        <f t="shared" si="92"/>
        <v>Customer Payment Instruction</v>
      </c>
      <c r="C88" s="137" t="str">
        <f t="shared" si="92"/>
        <v>BRL</v>
      </c>
      <c r="D88" s="142">
        <f t="shared" si="92"/>
        <v>6418.4</v>
      </c>
      <c r="E88" s="137" t="str">
        <f t="shared" si="92"/>
        <v>PAY</v>
      </c>
      <c r="F88" s="121">
        <f t="shared" si="54"/>
        <v>-6418.4</v>
      </c>
      <c r="G88" s="177">
        <f t="shared" si="34"/>
        <v>4.1171815847619104</v>
      </c>
      <c r="H88" s="177" t="str">
        <f t="shared" si="34"/>
        <v>USD</v>
      </c>
      <c r="I88" s="121" t="s">
        <v>80</v>
      </c>
      <c r="J88" s="150" t="str">
        <f t="shared" si="71"/>
        <v>BDB</v>
      </c>
      <c r="K88" s="163" t="s">
        <v>77</v>
      </c>
      <c r="L88" s="150" t="s">
        <v>88</v>
      </c>
      <c r="N88" s="116" t="str">
        <f t="shared" ca="1" si="58"/>
        <v>85e73e37-9061-39ad-2567-4d49b443313d-088</v>
      </c>
      <c r="O88" s="116" t="str">
        <f t="shared" si="72"/>
        <v>BRL.CUSTINSTA.BDB000</v>
      </c>
      <c r="P88" s="117" t="str">
        <f t="shared" si="46"/>
        <v>Customer Payment Instruction</v>
      </c>
      <c r="Q88" s="116" t="str">
        <f t="shared" ca="1" si="47"/>
        <v>85e73e37-9061-39ad-2567-4d49b443313d-088</v>
      </c>
      <c r="R88" s="117">
        <f t="shared" si="59"/>
        <v>0</v>
      </c>
      <c r="S88" s="118">
        <f t="shared" ca="1" si="60"/>
        <v>43726</v>
      </c>
      <c r="T88" s="119" t="str">
        <f t="shared" ca="1" si="48"/>
        <v>ext-u1-1300-2e9c6-0088</v>
      </c>
      <c r="U88" s="117" t="str">
        <f>J88</f>
        <v>BDB</v>
      </c>
      <c r="V88" s="117" t="str">
        <f>E88</f>
        <v>PAY</v>
      </c>
      <c r="W88" s="117" t="str">
        <f>C88</f>
        <v>BRL</v>
      </c>
      <c r="X88" s="141">
        <f t="shared" si="55"/>
        <v>-6418.4</v>
      </c>
      <c r="Y88" s="117" t="str">
        <f>L88&amp;"-"&amp;LEFT(K88,1)</f>
        <v>CUSTINST-A</v>
      </c>
      <c r="Z88" s="118" t="str">
        <f t="shared" si="63"/>
        <v>Fixed</v>
      </c>
      <c r="AA88" s="117" t="str">
        <f>"[UC1]"&amp;P88&amp;REPT(" ",28-LEN(P88))&amp;" ["&amp;TEXT(A88,"HH:MM")&amp;"]"</f>
        <v>[UC1]Customer Payment Instruction [13:00]</v>
      </c>
      <c r="AB88" s="121" t="str">
        <f t="shared" si="64"/>
        <v>DEFAULT</v>
      </c>
      <c r="AC88" s="116" t="str">
        <f ca="1">UPPER(LEFT(U88&amp;SUBSTITUTE(N88,"-",""),20))</f>
        <v>BDB85E73E37906139AD2</v>
      </c>
      <c r="AD88" s="117" t="str">
        <f t="shared" si="61"/>
        <v>N</v>
      </c>
      <c r="AE88" s="121" t="str">
        <f t="shared" si="56"/>
        <v>ACTUAL</v>
      </c>
      <c r="AI88" s="116" t="str">
        <f ca="1">N88</f>
        <v>85e73e37-9061-39ad-2567-4d49b443313d-088</v>
      </c>
      <c r="AJ88" s="117" t="s">
        <v>76</v>
      </c>
      <c r="AK88" s="116" t="str">
        <f ca="1">Q88</f>
        <v>85e73e37-9061-39ad-2567-4d49b443313d-088</v>
      </c>
      <c r="AL88" s="117">
        <f t="shared" si="32"/>
        <v>0</v>
      </c>
      <c r="AM88" s="118">
        <f ca="1">S88</f>
        <v>43726</v>
      </c>
      <c r="AN88" s="119" t="str">
        <f ca="1">T88</f>
        <v>ext-u1-1300-2e9c6-0088</v>
      </c>
      <c r="AO88" s="117" t="str">
        <f>U88</f>
        <v>BDB</v>
      </c>
      <c r="AP88" s="117" t="s">
        <v>78</v>
      </c>
      <c r="AQ88" s="117">
        <f t="shared" si="88"/>
        <v>4.1171815847619104</v>
      </c>
      <c r="AR88" s="117" t="str">
        <f t="shared" si="89"/>
        <v>USD</v>
      </c>
      <c r="AS88" s="117" t="str">
        <f>W88</f>
        <v>BRL</v>
      </c>
      <c r="AT88" s="120">
        <f>IFERROR(D88*G88,"")</f>
        <v>26425.718283635844</v>
      </c>
      <c r="AU88" s="120">
        <f t="shared" si="76"/>
        <v>6418.4</v>
      </c>
      <c r="AV88" s="117" t="str">
        <f>Y88</f>
        <v>CUSTINST-A</v>
      </c>
      <c r="AX88" s="117" t="str">
        <f t="shared" si="27"/>
        <v>[UC1]Customer Payment Instruction [13:00]</v>
      </c>
      <c r="AY88" s="117" t="s">
        <v>90</v>
      </c>
      <c r="AZ88" s="116" t="str">
        <f t="shared" ca="1" si="28"/>
        <v>BDB85E73E37906139AD2</v>
      </c>
    </row>
    <row r="89" spans="1:52" x14ac:dyDescent="0.25">
      <c r="A89" s="137">
        <f t="shared" ref="A89:J89" si="93">A38</f>
        <v>0.54166666666666663</v>
      </c>
      <c r="B89" s="151" t="str">
        <f t="shared" si="93"/>
        <v>Customer Payment Instruction</v>
      </c>
      <c r="C89" s="137" t="str">
        <f t="shared" si="93"/>
        <v>BRL</v>
      </c>
      <c r="D89" s="142">
        <f t="shared" si="93"/>
        <v>6698.6</v>
      </c>
      <c r="E89" s="137" t="str">
        <f t="shared" si="93"/>
        <v>PAY</v>
      </c>
      <c r="F89" s="121">
        <f t="shared" si="54"/>
        <v>-6698.6</v>
      </c>
      <c r="G89" s="177">
        <f t="shared" si="34"/>
        <v>4.1174144933333299</v>
      </c>
      <c r="H89" s="177" t="str">
        <f t="shared" si="34"/>
        <v>USD</v>
      </c>
      <c r="I89" s="121" t="s">
        <v>80</v>
      </c>
      <c r="J89" s="150" t="str">
        <f t="shared" si="71"/>
        <v>BDB</v>
      </c>
      <c r="K89" s="163" t="s">
        <v>77</v>
      </c>
      <c r="L89" s="150" t="s">
        <v>88</v>
      </c>
      <c r="N89" s="116" t="str">
        <f t="shared" ca="1" si="58"/>
        <v>6f7fa509-2e6e-073c-817a-8c59d655227f-089</v>
      </c>
      <c r="O89" s="116" t="str">
        <f t="shared" si="72"/>
        <v>BRL.CUSTINSTA.BDB000</v>
      </c>
      <c r="P89" s="117" t="str">
        <f t="shared" si="46"/>
        <v>Customer Payment Instruction</v>
      </c>
      <c r="Q89" s="116" t="str">
        <f t="shared" ca="1" si="47"/>
        <v>6f7fa509-2e6e-073c-817a-8c59d655227f-089</v>
      </c>
      <c r="R89" s="117">
        <f t="shared" si="59"/>
        <v>0</v>
      </c>
      <c r="S89" s="118">
        <f t="shared" ca="1" si="60"/>
        <v>43726</v>
      </c>
      <c r="T89" s="119" t="str">
        <f t="shared" ca="1" si="48"/>
        <v>ext-u1-1300-2e9c6-0089</v>
      </c>
      <c r="U89" s="117" t="str">
        <f>J89</f>
        <v>BDB</v>
      </c>
      <c r="V89" s="117" t="str">
        <f>E89</f>
        <v>PAY</v>
      </c>
      <c r="W89" s="117" t="str">
        <f>C89</f>
        <v>BRL</v>
      </c>
      <c r="X89" s="141">
        <f t="shared" si="55"/>
        <v>-6698.6</v>
      </c>
      <c r="Y89" s="117" t="str">
        <f>L89&amp;"-"&amp;LEFT(K89,1)</f>
        <v>CUSTINST-A</v>
      </c>
      <c r="Z89" s="118" t="str">
        <f t="shared" si="63"/>
        <v>Fixed</v>
      </c>
      <c r="AA89" s="117" t="str">
        <f>"[UC1]"&amp;P89&amp;REPT(" ",28-LEN(P89))&amp;" ["&amp;TEXT(A89,"HH:MM")&amp;"]"</f>
        <v>[UC1]Customer Payment Instruction [13:00]</v>
      </c>
      <c r="AB89" s="121" t="str">
        <f t="shared" si="64"/>
        <v>DEFAULT</v>
      </c>
      <c r="AC89" s="116" t="str">
        <f ca="1">UPPER(LEFT(U89&amp;SUBSTITUTE(N89,"-",""),20))</f>
        <v>BDB6F7FA5092E6E073C8</v>
      </c>
      <c r="AD89" s="117" t="str">
        <f t="shared" si="61"/>
        <v>N</v>
      </c>
      <c r="AE89" s="121" t="str">
        <f t="shared" si="56"/>
        <v>ACTUAL</v>
      </c>
      <c r="AI89" s="116" t="str">
        <f ca="1">N89</f>
        <v>6f7fa509-2e6e-073c-817a-8c59d655227f-089</v>
      </c>
      <c r="AJ89" s="117" t="s">
        <v>76</v>
      </c>
      <c r="AK89" s="116" t="str">
        <f ca="1">Q89</f>
        <v>6f7fa509-2e6e-073c-817a-8c59d655227f-089</v>
      </c>
      <c r="AL89" s="117">
        <f t="shared" si="32"/>
        <v>0</v>
      </c>
      <c r="AM89" s="118">
        <f ca="1">S89</f>
        <v>43726</v>
      </c>
      <c r="AN89" s="119" t="str">
        <f ca="1">T89</f>
        <v>ext-u1-1300-2e9c6-0089</v>
      </c>
      <c r="AO89" s="117" t="str">
        <f>U89</f>
        <v>BDB</v>
      </c>
      <c r="AP89" s="117" t="s">
        <v>78</v>
      </c>
      <c r="AQ89" s="117">
        <f t="shared" si="88"/>
        <v>4.1174144933333299</v>
      </c>
      <c r="AR89" s="117" t="str">
        <f t="shared" si="89"/>
        <v>USD</v>
      </c>
      <c r="AS89" s="117" t="str">
        <f>W89</f>
        <v>BRL</v>
      </c>
      <c r="AT89" s="120">
        <f>IFERROR(D89*G89,"")</f>
        <v>27580.912725042646</v>
      </c>
      <c r="AU89" s="120">
        <f t="shared" si="76"/>
        <v>6698.6</v>
      </c>
      <c r="AV89" s="117" t="str">
        <f>Y89</f>
        <v>CUSTINST-A</v>
      </c>
      <c r="AX89" s="117" t="str">
        <f t="shared" si="27"/>
        <v>[UC1]Customer Payment Instruction [13:00]</v>
      </c>
      <c r="AY89" s="117" t="s">
        <v>90</v>
      </c>
      <c r="AZ89" s="116" t="str">
        <f t="shared" ca="1" si="28"/>
        <v>BDB6F7FA5092E6E073C8</v>
      </c>
    </row>
    <row r="90" spans="1:52" x14ac:dyDescent="0.25">
      <c r="A90" s="137">
        <f t="shared" ref="A90:J90" si="94">A39</f>
        <v>0.54166666666666663</v>
      </c>
      <c r="B90" s="151" t="str">
        <f t="shared" si="94"/>
        <v>Customer Payment Instruction</v>
      </c>
      <c r="C90" s="137" t="str">
        <f t="shared" si="94"/>
        <v>BRL</v>
      </c>
      <c r="D90" s="142">
        <f t="shared" si="94"/>
        <v>6978.8</v>
      </c>
      <c r="E90" s="137" t="str">
        <f t="shared" si="94"/>
        <v>PAY</v>
      </c>
      <c r="F90" s="121">
        <f t="shared" si="54"/>
        <v>-6978.8</v>
      </c>
      <c r="G90" s="177">
        <f t="shared" si="34"/>
        <v>4.11764740190476</v>
      </c>
      <c r="H90" s="177" t="str">
        <f t="shared" si="34"/>
        <v>USD</v>
      </c>
      <c r="I90" s="121" t="s">
        <v>80</v>
      </c>
      <c r="J90" s="150" t="str">
        <f t="shared" si="71"/>
        <v>BDB</v>
      </c>
      <c r="K90" s="163" t="s">
        <v>77</v>
      </c>
      <c r="L90" s="150" t="s">
        <v>88</v>
      </c>
      <c r="N90" s="116" t="str">
        <f t="shared" ca="1" si="58"/>
        <v>fbc51e60-5793-88ef-657a-00d178fc08c9-090</v>
      </c>
      <c r="O90" s="116" t="str">
        <f t="shared" si="72"/>
        <v>BRL.CUSTINSTA.BDB000</v>
      </c>
      <c r="P90" s="117" t="str">
        <f t="shared" si="46"/>
        <v>Customer Payment Instruction</v>
      </c>
      <c r="Q90" s="116" t="str">
        <f t="shared" ca="1" si="47"/>
        <v>fbc51e60-5793-88ef-657a-00d178fc08c9-090</v>
      </c>
      <c r="R90" s="117">
        <f t="shared" si="59"/>
        <v>0</v>
      </c>
      <c r="S90" s="118">
        <f t="shared" ca="1" si="60"/>
        <v>43726</v>
      </c>
      <c r="T90" s="119" t="str">
        <f t="shared" ca="1" si="48"/>
        <v>ext-u1-1300-2e9c6-0090</v>
      </c>
      <c r="U90" s="117" t="str">
        <f>J90</f>
        <v>BDB</v>
      </c>
      <c r="V90" s="117" t="str">
        <f>E90</f>
        <v>PAY</v>
      </c>
      <c r="W90" s="117" t="str">
        <f>C90</f>
        <v>BRL</v>
      </c>
      <c r="X90" s="141">
        <f t="shared" si="55"/>
        <v>-6978.8</v>
      </c>
      <c r="Y90" s="117" t="str">
        <f>L90&amp;"-"&amp;LEFT(K90,1)</f>
        <v>CUSTINST-A</v>
      </c>
      <c r="Z90" s="118" t="str">
        <f t="shared" si="63"/>
        <v>Fixed</v>
      </c>
      <c r="AA90" s="117" t="str">
        <f>"[UC1]"&amp;P90&amp;REPT(" ",28-LEN(P90))&amp;" ["&amp;TEXT(A90,"HH:MM")&amp;"]"</f>
        <v>[UC1]Customer Payment Instruction [13:00]</v>
      </c>
      <c r="AB90" s="121" t="str">
        <f t="shared" si="64"/>
        <v>DEFAULT</v>
      </c>
      <c r="AC90" s="116" t="str">
        <f ca="1">UPPER(LEFT(U90&amp;SUBSTITUTE(N90,"-",""),20))</f>
        <v>BDBFBC51E60579388EF6</v>
      </c>
      <c r="AD90" s="117" t="str">
        <f t="shared" si="61"/>
        <v>N</v>
      </c>
      <c r="AE90" s="121" t="str">
        <f t="shared" si="56"/>
        <v>ACTUAL</v>
      </c>
      <c r="AI90" s="116" t="str">
        <f ca="1">N90</f>
        <v>fbc51e60-5793-88ef-657a-00d178fc08c9-090</v>
      </c>
      <c r="AJ90" s="117" t="s">
        <v>76</v>
      </c>
      <c r="AK90" s="116" t="str">
        <f ca="1">Q90</f>
        <v>fbc51e60-5793-88ef-657a-00d178fc08c9-090</v>
      </c>
      <c r="AL90" s="117">
        <f t="shared" si="32"/>
        <v>0</v>
      </c>
      <c r="AM90" s="118">
        <f ca="1">S90</f>
        <v>43726</v>
      </c>
      <c r="AN90" s="119" t="str">
        <f ca="1">T90</f>
        <v>ext-u1-1300-2e9c6-0090</v>
      </c>
      <c r="AO90" s="117" t="str">
        <f>U90</f>
        <v>BDB</v>
      </c>
      <c r="AP90" s="117" t="s">
        <v>78</v>
      </c>
      <c r="AQ90" s="117">
        <f t="shared" si="88"/>
        <v>4.11764740190476</v>
      </c>
      <c r="AR90" s="117" t="str">
        <f t="shared" si="89"/>
        <v>USD</v>
      </c>
      <c r="AS90" s="117" t="str">
        <f>W90</f>
        <v>BRL</v>
      </c>
      <c r="AT90" s="120">
        <f>IFERROR(D90*G90,"")</f>
        <v>28736.237688412941</v>
      </c>
      <c r="AU90" s="120">
        <f t="shared" si="76"/>
        <v>6978.8</v>
      </c>
      <c r="AV90" s="117" t="str">
        <f>Y90</f>
        <v>CUSTINST-A</v>
      </c>
      <c r="AX90" s="117" t="str">
        <f t="shared" si="27"/>
        <v>[UC1]Customer Payment Instruction [13:00]</v>
      </c>
      <c r="AY90" s="117" t="s">
        <v>90</v>
      </c>
      <c r="AZ90" s="116" t="str">
        <f t="shared" ca="1" si="28"/>
        <v>BDBFBC51E60579388EF6</v>
      </c>
    </row>
    <row r="91" spans="1:52" x14ac:dyDescent="0.25">
      <c r="A91" s="137">
        <f t="shared" ref="A91:J91" si="95">A40</f>
        <v>0.54166666666666663</v>
      </c>
      <c r="B91" s="151" t="str">
        <f t="shared" si="95"/>
        <v>Customer Payment Instruction</v>
      </c>
      <c r="C91" s="137" t="str">
        <f t="shared" si="95"/>
        <v>BRL</v>
      </c>
      <c r="D91" s="142">
        <f t="shared" si="95"/>
        <v>7259</v>
      </c>
      <c r="E91" s="137" t="str">
        <f t="shared" si="95"/>
        <v>PAY</v>
      </c>
      <c r="F91" s="121">
        <f t="shared" si="54"/>
        <v>-7259</v>
      </c>
      <c r="G91" s="177">
        <f t="shared" si="34"/>
        <v>4.1178803104761901</v>
      </c>
      <c r="H91" s="177" t="str">
        <f t="shared" si="34"/>
        <v>USD</v>
      </c>
      <c r="I91" s="121" t="s">
        <v>80</v>
      </c>
      <c r="J91" s="150" t="str">
        <f t="shared" si="71"/>
        <v>BDB</v>
      </c>
      <c r="K91" s="163" t="s">
        <v>77</v>
      </c>
      <c r="L91" s="150" t="s">
        <v>88</v>
      </c>
      <c r="N91" s="116" t="str">
        <f t="shared" ca="1" si="58"/>
        <v>a2144a0f-0bb0-0812-98ca-35b084172f81-091</v>
      </c>
      <c r="O91" s="116" t="str">
        <f t="shared" si="72"/>
        <v>BRL.CUSTINSTA.BDB000</v>
      </c>
      <c r="P91" s="117" t="str">
        <f t="shared" si="46"/>
        <v>Customer Payment Instruction</v>
      </c>
      <c r="Q91" s="116" t="str">
        <f t="shared" ca="1" si="47"/>
        <v>a2144a0f-0bb0-0812-98ca-35b084172f81-091</v>
      </c>
      <c r="R91" s="117">
        <f t="shared" si="59"/>
        <v>0</v>
      </c>
      <c r="S91" s="118">
        <f t="shared" ca="1" si="60"/>
        <v>43726</v>
      </c>
      <c r="T91" s="119" t="str">
        <f t="shared" ca="1" si="48"/>
        <v>ext-u1-1300-2e9c6-0091</v>
      </c>
      <c r="U91" s="117" t="str">
        <f>J91</f>
        <v>BDB</v>
      </c>
      <c r="V91" s="117" t="str">
        <f>E91</f>
        <v>PAY</v>
      </c>
      <c r="W91" s="117" t="str">
        <f>C91</f>
        <v>BRL</v>
      </c>
      <c r="X91" s="141">
        <f t="shared" si="55"/>
        <v>-7259</v>
      </c>
      <c r="Y91" s="117" t="str">
        <f>L91&amp;"-"&amp;LEFT(K91,1)</f>
        <v>CUSTINST-A</v>
      </c>
      <c r="Z91" s="118" t="str">
        <f t="shared" si="63"/>
        <v>Fixed</v>
      </c>
      <c r="AA91" s="117" t="str">
        <f>"[UC1]"&amp;P91&amp;REPT(" ",28-LEN(P91))&amp;" ["&amp;TEXT(A91,"HH:MM")&amp;"]"</f>
        <v>[UC1]Customer Payment Instruction [13:00]</v>
      </c>
      <c r="AB91" s="121" t="str">
        <f t="shared" si="64"/>
        <v>DEFAULT</v>
      </c>
      <c r="AC91" s="116" t="str">
        <f ca="1">UPPER(LEFT(U91&amp;SUBSTITUTE(N91,"-",""),20))</f>
        <v>BDBA2144A0F0BB008129</v>
      </c>
      <c r="AD91" s="117" t="str">
        <f t="shared" si="61"/>
        <v>N</v>
      </c>
      <c r="AE91" s="121" t="str">
        <f t="shared" si="56"/>
        <v>ACTUAL</v>
      </c>
      <c r="AI91" s="116" t="str">
        <f ca="1">N91</f>
        <v>a2144a0f-0bb0-0812-98ca-35b084172f81-091</v>
      </c>
      <c r="AJ91" s="117" t="s">
        <v>76</v>
      </c>
      <c r="AK91" s="116" t="str">
        <f ca="1">Q91</f>
        <v>a2144a0f-0bb0-0812-98ca-35b084172f81-091</v>
      </c>
      <c r="AL91" s="117">
        <f t="shared" si="32"/>
        <v>0</v>
      </c>
      <c r="AM91" s="118">
        <f ca="1">S91</f>
        <v>43726</v>
      </c>
      <c r="AN91" s="119" t="str">
        <f ca="1">T91</f>
        <v>ext-u1-1300-2e9c6-0091</v>
      </c>
      <c r="AO91" s="117" t="str">
        <f>U91</f>
        <v>BDB</v>
      </c>
      <c r="AP91" s="117" t="s">
        <v>78</v>
      </c>
      <c r="AQ91" s="117">
        <f t="shared" si="88"/>
        <v>4.1178803104761901</v>
      </c>
      <c r="AR91" s="117" t="str">
        <f t="shared" si="89"/>
        <v>USD</v>
      </c>
      <c r="AS91" s="117" t="str">
        <f>W91</f>
        <v>BRL</v>
      </c>
      <c r="AT91" s="120">
        <f>IFERROR(D91*G91,"")</f>
        <v>29891.693173746662</v>
      </c>
      <c r="AU91" s="120">
        <f t="shared" si="76"/>
        <v>7259</v>
      </c>
      <c r="AV91" s="117" t="str">
        <f>Y91</f>
        <v>CUSTINST-A</v>
      </c>
      <c r="AX91" s="117" t="str">
        <f t="shared" si="27"/>
        <v>[UC1]Customer Payment Instruction [13:00]</v>
      </c>
      <c r="AY91" s="117" t="s">
        <v>90</v>
      </c>
      <c r="AZ91" s="116" t="str">
        <f t="shared" ca="1" si="28"/>
        <v>BDBA2144A0F0BB008129</v>
      </c>
    </row>
    <row r="92" spans="1:52" x14ac:dyDescent="0.25">
      <c r="A92" s="137">
        <f t="shared" ref="A92:J92" si="96">A41</f>
        <v>0.54166666666666663</v>
      </c>
      <c r="B92" s="151" t="str">
        <f t="shared" si="96"/>
        <v>Customer Payment Instruction</v>
      </c>
      <c r="C92" s="137" t="str">
        <f t="shared" si="96"/>
        <v>BRL</v>
      </c>
      <c r="D92" s="142">
        <f t="shared" si="96"/>
        <v>7539.2</v>
      </c>
      <c r="E92" s="137" t="str">
        <f t="shared" si="96"/>
        <v>PAY</v>
      </c>
      <c r="F92" s="121">
        <f t="shared" si="54"/>
        <v>-7539.2</v>
      </c>
      <c r="G92" s="177">
        <f t="shared" si="34"/>
        <v>4.1181132190476202</v>
      </c>
      <c r="H92" s="177" t="str">
        <f t="shared" si="34"/>
        <v>USD</v>
      </c>
      <c r="I92" s="121" t="s">
        <v>80</v>
      </c>
      <c r="J92" s="150" t="str">
        <f t="shared" si="71"/>
        <v>BDB</v>
      </c>
      <c r="K92" s="163" t="s">
        <v>77</v>
      </c>
      <c r="L92" s="150" t="s">
        <v>88</v>
      </c>
      <c r="N92" s="116" t="str">
        <f t="shared" ca="1" si="58"/>
        <v>73b36c6c-9ecb-0b00-99c5-92ce8a34a42a-092</v>
      </c>
      <c r="O92" s="116" t="str">
        <f t="shared" si="72"/>
        <v>BRL.CUSTINSTA.BDB000</v>
      </c>
      <c r="P92" s="117" t="str">
        <f t="shared" si="46"/>
        <v>Customer Payment Instruction</v>
      </c>
      <c r="Q92" s="116" t="str">
        <f t="shared" ca="1" si="47"/>
        <v>73b36c6c-9ecb-0b00-99c5-92ce8a34a42a-092</v>
      </c>
      <c r="R92" s="117">
        <f t="shared" si="59"/>
        <v>0</v>
      </c>
      <c r="S92" s="118">
        <f t="shared" ca="1" si="60"/>
        <v>43726</v>
      </c>
      <c r="T92" s="119" t="str">
        <f t="shared" ca="1" si="48"/>
        <v>ext-u1-1300-2e9c6-0092</v>
      </c>
      <c r="U92" s="117" t="str">
        <f>J92</f>
        <v>BDB</v>
      </c>
      <c r="V92" s="117" t="str">
        <f>E92</f>
        <v>PAY</v>
      </c>
      <c r="W92" s="117" t="str">
        <f>C92</f>
        <v>BRL</v>
      </c>
      <c r="X92" s="141">
        <f t="shared" si="55"/>
        <v>-7539.2</v>
      </c>
      <c r="Y92" s="117" t="str">
        <f>L92&amp;"-"&amp;LEFT(K92,1)</f>
        <v>CUSTINST-A</v>
      </c>
      <c r="Z92" s="118" t="str">
        <f t="shared" si="63"/>
        <v>Fixed</v>
      </c>
      <c r="AA92" s="117" t="str">
        <f>"[UC1]"&amp;P92&amp;REPT(" ",28-LEN(P92))&amp;" ["&amp;TEXT(A92,"HH:MM")&amp;"]"</f>
        <v>[UC1]Customer Payment Instruction [13:00]</v>
      </c>
      <c r="AB92" s="121" t="str">
        <f t="shared" si="64"/>
        <v>DEFAULT</v>
      </c>
      <c r="AC92" s="116" t="str">
        <f ca="1">UPPER(LEFT(U92&amp;SUBSTITUTE(N92,"-",""),20))</f>
        <v>BDB73B36C6C9ECB0B009</v>
      </c>
      <c r="AD92" s="117" t="str">
        <f t="shared" si="61"/>
        <v>N</v>
      </c>
      <c r="AE92" s="121" t="str">
        <f t="shared" si="56"/>
        <v>ACTUAL</v>
      </c>
      <c r="AI92" s="116" t="str">
        <f ca="1">N92</f>
        <v>73b36c6c-9ecb-0b00-99c5-92ce8a34a42a-092</v>
      </c>
      <c r="AJ92" s="117" t="s">
        <v>76</v>
      </c>
      <c r="AK92" s="116" t="str">
        <f ca="1">Q92</f>
        <v>73b36c6c-9ecb-0b00-99c5-92ce8a34a42a-092</v>
      </c>
      <c r="AL92" s="117">
        <f t="shared" si="32"/>
        <v>0</v>
      </c>
      <c r="AM92" s="118">
        <f ca="1">S92</f>
        <v>43726</v>
      </c>
      <c r="AN92" s="119" t="str">
        <f ca="1">T92</f>
        <v>ext-u1-1300-2e9c6-0092</v>
      </c>
      <c r="AO92" s="117" t="str">
        <f>U92</f>
        <v>BDB</v>
      </c>
      <c r="AP92" s="117" t="s">
        <v>78</v>
      </c>
      <c r="AQ92" s="117">
        <f t="shared" si="88"/>
        <v>4.1181132190476202</v>
      </c>
      <c r="AR92" s="117" t="str">
        <f t="shared" si="89"/>
        <v>USD</v>
      </c>
      <c r="AS92" s="117" t="str">
        <f>W92</f>
        <v>BRL</v>
      </c>
      <c r="AT92" s="120">
        <f>IFERROR(D92*G92,"")</f>
        <v>31047.279181043818</v>
      </c>
      <c r="AU92" s="120">
        <f t="shared" si="76"/>
        <v>7539.2</v>
      </c>
      <c r="AV92" s="117" t="str">
        <f>Y92</f>
        <v>CUSTINST-A</v>
      </c>
      <c r="AX92" s="117" t="str">
        <f t="shared" si="27"/>
        <v>[UC1]Customer Payment Instruction [13:00]</v>
      </c>
      <c r="AY92" s="117" t="s">
        <v>90</v>
      </c>
      <c r="AZ92" s="116" t="str">
        <f t="shared" ca="1" si="28"/>
        <v>BDB73B36C6C9ECB0B009</v>
      </c>
    </row>
    <row r="93" spans="1:52" x14ac:dyDescent="0.25">
      <c r="A93" s="137">
        <f t="shared" ref="A93:J93" si="97">A42</f>
        <v>0.54166666666666663</v>
      </c>
      <c r="B93" s="151" t="str">
        <f t="shared" si="97"/>
        <v>Customer Payment Instruction</v>
      </c>
      <c r="C93" s="137" t="str">
        <f t="shared" si="97"/>
        <v>BRL</v>
      </c>
      <c r="D93" s="142">
        <f t="shared" si="97"/>
        <v>7819.4</v>
      </c>
      <c r="E93" s="137" t="str">
        <f t="shared" si="97"/>
        <v>PAY</v>
      </c>
      <c r="F93" s="121">
        <f t="shared" si="54"/>
        <v>-7819.4</v>
      </c>
      <c r="G93" s="177">
        <f t="shared" si="34"/>
        <v>4.1183461276190503</v>
      </c>
      <c r="H93" s="177" t="str">
        <f t="shared" si="34"/>
        <v>USD</v>
      </c>
      <c r="I93" s="121" t="s">
        <v>80</v>
      </c>
      <c r="J93" s="150" t="str">
        <f t="shared" si="71"/>
        <v>BDB</v>
      </c>
      <c r="K93" s="163" t="s">
        <v>77</v>
      </c>
      <c r="L93" s="150" t="s">
        <v>88</v>
      </c>
      <c r="N93" s="116" t="str">
        <f t="shared" ca="1" si="58"/>
        <v>5a50f871-151f-0834-7307-5f9593ad0bab-093</v>
      </c>
      <c r="O93" s="116" t="str">
        <f t="shared" si="72"/>
        <v>BRL.CUSTINSTA.BDB000</v>
      </c>
      <c r="P93" s="117" t="str">
        <f t="shared" si="46"/>
        <v>Customer Payment Instruction</v>
      </c>
      <c r="Q93" s="116" t="str">
        <f t="shared" ca="1" si="47"/>
        <v>5a50f871-151f-0834-7307-5f9593ad0bab-093</v>
      </c>
      <c r="R93" s="117">
        <f t="shared" si="59"/>
        <v>0</v>
      </c>
      <c r="S93" s="118">
        <f t="shared" ca="1" si="60"/>
        <v>43726</v>
      </c>
      <c r="T93" s="119" t="str">
        <f t="shared" ca="1" si="48"/>
        <v>ext-u1-1300-2e9c6-0093</v>
      </c>
      <c r="U93" s="117" t="str">
        <f>J93</f>
        <v>BDB</v>
      </c>
      <c r="V93" s="117" t="str">
        <f>E93</f>
        <v>PAY</v>
      </c>
      <c r="W93" s="117" t="str">
        <f>C93</f>
        <v>BRL</v>
      </c>
      <c r="X93" s="141">
        <f t="shared" si="55"/>
        <v>-7819.4</v>
      </c>
      <c r="Y93" s="117" t="str">
        <f>L93&amp;"-"&amp;LEFT(K93,1)</f>
        <v>CUSTINST-A</v>
      </c>
      <c r="Z93" s="118" t="str">
        <f t="shared" si="63"/>
        <v>Fixed</v>
      </c>
      <c r="AA93" s="117" t="str">
        <f>"[UC1]"&amp;P93&amp;REPT(" ",28-LEN(P93))&amp;" ["&amp;TEXT(A93,"HH:MM")&amp;"]"</f>
        <v>[UC1]Customer Payment Instruction [13:00]</v>
      </c>
      <c r="AB93" s="121" t="str">
        <f t="shared" si="64"/>
        <v>DEFAULT</v>
      </c>
      <c r="AC93" s="116" t="str">
        <f ca="1">UPPER(LEFT(U93&amp;SUBSTITUTE(N93,"-",""),20))</f>
        <v>BDB5A50F871151F08347</v>
      </c>
      <c r="AD93" s="117" t="str">
        <f t="shared" si="61"/>
        <v>N</v>
      </c>
      <c r="AE93" s="121" t="str">
        <f t="shared" si="56"/>
        <v>ACTUAL</v>
      </c>
      <c r="AI93" s="116" t="str">
        <f ca="1">N93</f>
        <v>5a50f871-151f-0834-7307-5f9593ad0bab-093</v>
      </c>
      <c r="AJ93" s="117" t="s">
        <v>76</v>
      </c>
      <c r="AK93" s="116" t="str">
        <f ca="1">Q93</f>
        <v>5a50f871-151f-0834-7307-5f9593ad0bab-093</v>
      </c>
      <c r="AL93" s="117">
        <f t="shared" si="32"/>
        <v>0</v>
      </c>
      <c r="AM93" s="118">
        <f ca="1">S93</f>
        <v>43726</v>
      </c>
      <c r="AN93" s="119" t="str">
        <f ca="1">T93</f>
        <v>ext-u1-1300-2e9c6-0093</v>
      </c>
      <c r="AO93" s="117" t="str">
        <f>U93</f>
        <v>BDB</v>
      </c>
      <c r="AP93" s="117" t="s">
        <v>78</v>
      </c>
      <c r="AQ93" s="117">
        <f t="shared" si="88"/>
        <v>4.1183461276190503</v>
      </c>
      <c r="AR93" s="117" t="str">
        <f t="shared" si="89"/>
        <v>USD</v>
      </c>
      <c r="AS93" s="117" t="str">
        <f>W93</f>
        <v>BRL</v>
      </c>
      <c r="AT93" s="120">
        <f>IFERROR(D93*G93,"")</f>
        <v>32202.9957103044</v>
      </c>
      <c r="AU93" s="120">
        <f t="shared" si="76"/>
        <v>7819.4</v>
      </c>
      <c r="AV93" s="117" t="str">
        <f>Y93</f>
        <v>CUSTINST-A</v>
      </c>
      <c r="AX93" s="117" t="str">
        <f t="shared" si="27"/>
        <v>[UC1]Customer Payment Instruction [13:00]</v>
      </c>
      <c r="AY93" s="117" t="s">
        <v>90</v>
      </c>
      <c r="AZ93" s="116" t="str">
        <f t="shared" ca="1" si="28"/>
        <v>BDB5A50F871151F08347</v>
      </c>
    </row>
    <row r="94" spans="1:52" x14ac:dyDescent="0.25">
      <c r="A94" s="137">
        <f t="shared" ref="A94:J94" si="98">A43</f>
        <v>0.54166666666666663</v>
      </c>
      <c r="B94" s="151" t="str">
        <f t="shared" si="98"/>
        <v>Customer Payment Instruction</v>
      </c>
      <c r="C94" s="137" t="str">
        <f t="shared" si="98"/>
        <v>BRL</v>
      </c>
      <c r="D94" s="142">
        <f t="shared" si="98"/>
        <v>8099.6</v>
      </c>
      <c r="E94" s="137" t="str">
        <f t="shared" si="98"/>
        <v>PAY</v>
      </c>
      <c r="F94" s="121">
        <f t="shared" si="54"/>
        <v>-8099.6</v>
      </c>
      <c r="G94" s="177">
        <f t="shared" si="34"/>
        <v>4.1185790361904804</v>
      </c>
      <c r="H94" s="177" t="str">
        <f t="shared" si="34"/>
        <v>USD</v>
      </c>
      <c r="I94" s="121" t="s">
        <v>80</v>
      </c>
      <c r="J94" s="150" t="str">
        <f t="shared" si="71"/>
        <v>BDB</v>
      </c>
      <c r="K94" s="163" t="s">
        <v>77</v>
      </c>
      <c r="L94" s="150" t="s">
        <v>88</v>
      </c>
      <c r="N94" s="116" t="str">
        <f t="shared" ca="1" si="58"/>
        <v>ee511c12-1365-1ba4-8bcb-607b9b273a32-094</v>
      </c>
      <c r="O94" s="116" t="str">
        <f t="shared" si="72"/>
        <v>BRL.CUSTINSTA.BDB000</v>
      </c>
      <c r="P94" s="117" t="str">
        <f t="shared" si="46"/>
        <v>Customer Payment Instruction</v>
      </c>
      <c r="Q94" s="116" t="str">
        <f t="shared" ca="1" si="47"/>
        <v>ee511c12-1365-1ba4-8bcb-607b9b273a32-094</v>
      </c>
      <c r="R94" s="117">
        <f t="shared" si="59"/>
        <v>0</v>
      </c>
      <c r="S94" s="118">
        <f t="shared" ca="1" si="60"/>
        <v>43726</v>
      </c>
      <c r="T94" s="119" t="str">
        <f t="shared" ca="1" si="48"/>
        <v>ext-u1-1300-2e9c6-0094</v>
      </c>
      <c r="U94" s="117" t="str">
        <f>J94</f>
        <v>BDB</v>
      </c>
      <c r="V94" s="117" t="str">
        <f>E94</f>
        <v>PAY</v>
      </c>
      <c r="W94" s="117" t="str">
        <f>C94</f>
        <v>BRL</v>
      </c>
      <c r="X94" s="141">
        <f t="shared" si="55"/>
        <v>-8099.6</v>
      </c>
      <c r="Y94" s="117" t="str">
        <f>L94&amp;"-"&amp;LEFT(K94,1)</f>
        <v>CUSTINST-A</v>
      </c>
      <c r="Z94" s="118" t="str">
        <f t="shared" si="63"/>
        <v>Fixed</v>
      </c>
      <c r="AA94" s="117" t="str">
        <f>"[UC1]"&amp;P94&amp;REPT(" ",28-LEN(P94))&amp;" ["&amp;TEXT(A94,"HH:MM")&amp;"]"</f>
        <v>[UC1]Customer Payment Instruction [13:00]</v>
      </c>
      <c r="AB94" s="121" t="str">
        <f t="shared" si="64"/>
        <v>DEFAULT</v>
      </c>
      <c r="AC94" s="116" t="str">
        <f ca="1">UPPER(LEFT(U94&amp;SUBSTITUTE(N94,"-",""),20))</f>
        <v>BDBEE511C1213651BA48</v>
      </c>
      <c r="AD94" s="117" t="str">
        <f t="shared" si="61"/>
        <v>N</v>
      </c>
      <c r="AE94" s="121" t="str">
        <f t="shared" si="56"/>
        <v>ACTUAL</v>
      </c>
      <c r="AI94" s="116" t="str">
        <f ca="1">N94</f>
        <v>ee511c12-1365-1ba4-8bcb-607b9b273a32-094</v>
      </c>
      <c r="AJ94" s="117" t="s">
        <v>76</v>
      </c>
      <c r="AK94" s="116" t="str">
        <f ca="1">Q94</f>
        <v>ee511c12-1365-1ba4-8bcb-607b9b273a32-094</v>
      </c>
      <c r="AL94" s="117">
        <f t="shared" si="32"/>
        <v>0</v>
      </c>
      <c r="AM94" s="118">
        <f ca="1">S94</f>
        <v>43726</v>
      </c>
      <c r="AN94" s="119" t="str">
        <f ca="1">T94</f>
        <v>ext-u1-1300-2e9c6-0094</v>
      </c>
      <c r="AO94" s="117" t="str">
        <f>U94</f>
        <v>BDB</v>
      </c>
      <c r="AP94" s="117" t="s">
        <v>78</v>
      </c>
      <c r="AQ94" s="117">
        <f t="shared" si="88"/>
        <v>4.1185790361904804</v>
      </c>
      <c r="AR94" s="117" t="str">
        <f t="shared" si="89"/>
        <v>USD</v>
      </c>
      <c r="AS94" s="117" t="str">
        <f>W94</f>
        <v>BRL</v>
      </c>
      <c r="AT94" s="120">
        <f>IFERROR(D94*G94,"")</f>
        <v>33358.842761528416</v>
      </c>
      <c r="AU94" s="120">
        <f t="shared" si="76"/>
        <v>8099.6</v>
      </c>
      <c r="AV94" s="117" t="str">
        <f>Y94</f>
        <v>CUSTINST-A</v>
      </c>
      <c r="AX94" s="117" t="str">
        <f t="shared" si="27"/>
        <v>[UC1]Customer Payment Instruction [13:00]</v>
      </c>
      <c r="AY94" s="117" t="s">
        <v>90</v>
      </c>
      <c r="AZ94" s="116" t="str">
        <f t="shared" ca="1" si="28"/>
        <v>BDBEE511C1213651BA48</v>
      </c>
    </row>
    <row r="95" spans="1:52" x14ac:dyDescent="0.25">
      <c r="A95" s="137">
        <f t="shared" ref="A95:J95" si="99">A44</f>
        <v>0.54166666666666663</v>
      </c>
      <c r="B95" s="151" t="str">
        <f t="shared" si="99"/>
        <v>Customer Payment Instruction</v>
      </c>
      <c r="C95" s="137" t="str">
        <f t="shared" si="99"/>
        <v>BRL</v>
      </c>
      <c r="D95" s="142">
        <f t="shared" si="99"/>
        <v>8379.7999999999993</v>
      </c>
      <c r="E95" s="137" t="str">
        <f t="shared" si="99"/>
        <v>PAY</v>
      </c>
      <c r="F95" s="121">
        <f t="shared" si="54"/>
        <v>-8379.7999999999993</v>
      </c>
      <c r="G95" s="177">
        <f t="shared" si="34"/>
        <v>4.1188119447619096</v>
      </c>
      <c r="H95" s="177" t="str">
        <f t="shared" si="34"/>
        <v>USD</v>
      </c>
      <c r="I95" s="121" t="s">
        <v>80</v>
      </c>
      <c r="J95" s="150" t="str">
        <f t="shared" si="71"/>
        <v>BDB</v>
      </c>
      <c r="K95" s="163" t="s">
        <v>77</v>
      </c>
      <c r="L95" s="150" t="s">
        <v>88</v>
      </c>
      <c r="N95" s="116" t="str">
        <f t="shared" ca="1" si="58"/>
        <v>fe55eb68-4198-1995-72fe-6600aefb3774-095</v>
      </c>
      <c r="O95" s="116" t="str">
        <f t="shared" si="72"/>
        <v>BRL.CUSTINSTA.BDB000</v>
      </c>
      <c r="P95" s="117" t="str">
        <f t="shared" si="46"/>
        <v>Customer Payment Instruction</v>
      </c>
      <c r="Q95" s="116" t="str">
        <f t="shared" ca="1" si="47"/>
        <v>fe55eb68-4198-1995-72fe-6600aefb3774-095</v>
      </c>
      <c r="R95" s="117">
        <f t="shared" si="59"/>
        <v>0</v>
      </c>
      <c r="S95" s="118">
        <f t="shared" ca="1" si="60"/>
        <v>43726</v>
      </c>
      <c r="T95" s="119" t="str">
        <f t="shared" ca="1" si="48"/>
        <v>ext-u1-1300-2e9c6-0095</v>
      </c>
      <c r="U95" s="117" t="str">
        <f>J95</f>
        <v>BDB</v>
      </c>
      <c r="V95" s="117" t="str">
        <f>E95</f>
        <v>PAY</v>
      </c>
      <c r="W95" s="117" t="str">
        <f>C95</f>
        <v>BRL</v>
      </c>
      <c r="X95" s="141">
        <f t="shared" si="55"/>
        <v>-8379.7999999999993</v>
      </c>
      <c r="Y95" s="117" t="str">
        <f>L95&amp;"-"&amp;LEFT(K95,1)</f>
        <v>CUSTINST-A</v>
      </c>
      <c r="Z95" s="118" t="str">
        <f t="shared" si="63"/>
        <v>Fixed</v>
      </c>
      <c r="AA95" s="117" t="str">
        <f>"[UC1]"&amp;P95&amp;REPT(" ",28-LEN(P95))&amp;" ["&amp;TEXT(A95,"HH:MM")&amp;"]"</f>
        <v>[UC1]Customer Payment Instruction [13:00]</v>
      </c>
      <c r="AB95" s="121" t="str">
        <f t="shared" si="64"/>
        <v>DEFAULT</v>
      </c>
      <c r="AC95" s="116" t="str">
        <f ca="1">UPPER(LEFT(U95&amp;SUBSTITUTE(N95,"-",""),20))</f>
        <v>BDBFE55EB68419819957</v>
      </c>
      <c r="AD95" s="117" t="str">
        <f t="shared" si="61"/>
        <v>N</v>
      </c>
      <c r="AE95" s="121" t="str">
        <f t="shared" si="56"/>
        <v>ACTUAL</v>
      </c>
      <c r="AI95" s="116" t="str">
        <f ca="1">N95</f>
        <v>fe55eb68-4198-1995-72fe-6600aefb3774-095</v>
      </c>
      <c r="AJ95" s="117" t="s">
        <v>76</v>
      </c>
      <c r="AK95" s="116" t="str">
        <f ca="1">Q95</f>
        <v>fe55eb68-4198-1995-72fe-6600aefb3774-095</v>
      </c>
      <c r="AL95" s="117">
        <f t="shared" si="32"/>
        <v>0</v>
      </c>
      <c r="AM95" s="118">
        <f ca="1">S95</f>
        <v>43726</v>
      </c>
      <c r="AN95" s="119" t="str">
        <f ca="1">T95</f>
        <v>ext-u1-1300-2e9c6-0095</v>
      </c>
      <c r="AO95" s="117" t="str">
        <f>U95</f>
        <v>BDB</v>
      </c>
      <c r="AP95" s="117" t="s">
        <v>78</v>
      </c>
      <c r="AQ95" s="117">
        <f t="shared" si="88"/>
        <v>4.1188119447619096</v>
      </c>
      <c r="AR95" s="117" t="str">
        <f t="shared" si="89"/>
        <v>USD</v>
      </c>
      <c r="AS95" s="117" t="str">
        <f>W95</f>
        <v>BRL</v>
      </c>
      <c r="AT95" s="120">
        <f>IFERROR(D95*G95,"")</f>
        <v>34514.820334715849</v>
      </c>
      <c r="AU95" s="120">
        <f t="shared" si="76"/>
        <v>8379.7999999999993</v>
      </c>
      <c r="AV95" s="117" t="str">
        <f>Y95</f>
        <v>CUSTINST-A</v>
      </c>
      <c r="AX95" s="117" t="str">
        <f t="shared" si="27"/>
        <v>[UC1]Customer Payment Instruction [13:00]</v>
      </c>
      <c r="AY95" s="117" t="s">
        <v>90</v>
      </c>
      <c r="AZ95" s="116" t="str">
        <f t="shared" ca="1" si="28"/>
        <v>BDBFE55EB68419819957</v>
      </c>
    </row>
    <row r="96" spans="1:52" x14ac:dyDescent="0.25">
      <c r="A96" s="137">
        <f t="shared" ref="A96:J96" si="100">A45</f>
        <v>0.54166666666666663</v>
      </c>
      <c r="B96" s="151" t="str">
        <f t="shared" si="100"/>
        <v>Customer Payment Instruction</v>
      </c>
      <c r="C96" s="137" t="str">
        <f t="shared" si="100"/>
        <v>BRL</v>
      </c>
      <c r="D96" s="142">
        <f t="shared" si="100"/>
        <v>8660</v>
      </c>
      <c r="E96" s="137" t="str">
        <f t="shared" si="100"/>
        <v>PAY</v>
      </c>
      <c r="F96" s="121">
        <f t="shared" si="54"/>
        <v>-8660</v>
      </c>
      <c r="G96" s="177">
        <f t="shared" si="34"/>
        <v>4.1190448533333299</v>
      </c>
      <c r="H96" s="177" t="str">
        <f t="shared" si="34"/>
        <v>USD</v>
      </c>
      <c r="I96" s="121" t="s">
        <v>80</v>
      </c>
      <c r="J96" s="150" t="str">
        <f t="shared" si="71"/>
        <v>BDB</v>
      </c>
      <c r="K96" s="163" t="s">
        <v>77</v>
      </c>
      <c r="L96" s="150" t="s">
        <v>88</v>
      </c>
      <c r="N96" s="116" t="str">
        <f t="shared" ca="1" si="58"/>
        <v>b4e506ad-1146-5ce1-2a8a-709c96b95cf6-096</v>
      </c>
      <c r="O96" s="116" t="str">
        <f t="shared" si="72"/>
        <v>BRL.CUSTINSTA.BDB000</v>
      </c>
      <c r="P96" s="117" t="str">
        <f t="shared" si="46"/>
        <v>Customer Payment Instruction</v>
      </c>
      <c r="Q96" s="116" t="str">
        <f t="shared" ca="1" si="47"/>
        <v>b4e506ad-1146-5ce1-2a8a-709c96b95cf6-096</v>
      </c>
      <c r="R96" s="117">
        <f t="shared" si="59"/>
        <v>0</v>
      </c>
      <c r="S96" s="118">
        <f t="shared" ca="1" si="60"/>
        <v>43726</v>
      </c>
      <c r="T96" s="119" t="str">
        <f t="shared" ca="1" si="48"/>
        <v>ext-u1-1300-2e9c6-0096</v>
      </c>
      <c r="U96" s="117" t="str">
        <f>J96</f>
        <v>BDB</v>
      </c>
      <c r="V96" s="117" t="str">
        <f>E96</f>
        <v>PAY</v>
      </c>
      <c r="W96" s="117" t="str">
        <f>C96</f>
        <v>BRL</v>
      </c>
      <c r="X96" s="141">
        <f t="shared" si="55"/>
        <v>-8660</v>
      </c>
      <c r="Y96" s="117" t="str">
        <f>L96&amp;"-"&amp;LEFT(K96,1)</f>
        <v>CUSTINST-A</v>
      </c>
      <c r="Z96" s="118" t="str">
        <f t="shared" si="63"/>
        <v>Fixed</v>
      </c>
      <c r="AA96" s="117" t="str">
        <f>"[UC1]"&amp;P96&amp;REPT(" ",28-LEN(P96))&amp;" ["&amp;TEXT(A96,"HH:MM")&amp;"]"</f>
        <v>[UC1]Customer Payment Instruction [13:00]</v>
      </c>
      <c r="AB96" s="121" t="str">
        <f t="shared" si="64"/>
        <v>DEFAULT</v>
      </c>
      <c r="AC96" s="116" t="str">
        <f ca="1">UPPER(LEFT(U96&amp;SUBSTITUTE(N96,"-",""),20))</f>
        <v>BDBB4E506AD11465CE12</v>
      </c>
      <c r="AD96" s="117" t="str">
        <f t="shared" si="61"/>
        <v>N</v>
      </c>
      <c r="AE96" s="121" t="str">
        <f t="shared" si="56"/>
        <v>ACTUAL</v>
      </c>
      <c r="AI96" s="116" t="str">
        <f ca="1">N96</f>
        <v>b4e506ad-1146-5ce1-2a8a-709c96b95cf6-096</v>
      </c>
      <c r="AJ96" s="117" t="s">
        <v>76</v>
      </c>
      <c r="AK96" s="116" t="str">
        <f ca="1">Q96</f>
        <v>b4e506ad-1146-5ce1-2a8a-709c96b95cf6-096</v>
      </c>
      <c r="AL96" s="117">
        <f t="shared" si="32"/>
        <v>0</v>
      </c>
      <c r="AM96" s="118">
        <f ca="1">S96</f>
        <v>43726</v>
      </c>
      <c r="AN96" s="119" t="str">
        <f ca="1">T96</f>
        <v>ext-u1-1300-2e9c6-0096</v>
      </c>
      <c r="AO96" s="117" t="str">
        <f>U96</f>
        <v>BDB</v>
      </c>
      <c r="AP96" s="117" t="s">
        <v>78</v>
      </c>
      <c r="AQ96" s="117">
        <f t="shared" si="88"/>
        <v>4.1190448533333299</v>
      </c>
      <c r="AR96" s="117" t="str">
        <f t="shared" si="89"/>
        <v>USD</v>
      </c>
      <c r="AS96" s="117" t="str">
        <f>W96</f>
        <v>BRL</v>
      </c>
      <c r="AT96" s="120">
        <f>IFERROR(D96*G96,"")</f>
        <v>35670.928429866639</v>
      </c>
      <c r="AU96" s="120">
        <f t="shared" si="76"/>
        <v>8660</v>
      </c>
      <c r="AV96" s="117" t="str">
        <f>Y96</f>
        <v>CUSTINST-A</v>
      </c>
      <c r="AX96" s="117" t="str">
        <f t="shared" si="27"/>
        <v>[UC1]Customer Payment Instruction [13:00]</v>
      </c>
      <c r="AY96" s="117" t="s">
        <v>90</v>
      </c>
      <c r="AZ96" s="116" t="str">
        <f t="shared" ca="1" si="28"/>
        <v>BDBB4E506AD11465CE12</v>
      </c>
    </row>
    <row r="97" spans="1:52" x14ac:dyDescent="0.25">
      <c r="A97" s="137">
        <f t="shared" ref="A97:J97" si="101">A46</f>
        <v>0.54166666666666663</v>
      </c>
      <c r="B97" s="151" t="str">
        <f t="shared" si="101"/>
        <v>Customer Payment Instruction</v>
      </c>
      <c r="C97" s="137" t="str">
        <f t="shared" si="101"/>
        <v>BRL</v>
      </c>
      <c r="D97" s="142">
        <f t="shared" si="101"/>
        <v>8940.2000000000007</v>
      </c>
      <c r="E97" s="137" t="str">
        <f t="shared" si="101"/>
        <v>PAY</v>
      </c>
      <c r="F97" s="121">
        <f t="shared" si="54"/>
        <v>-8940.2000000000007</v>
      </c>
      <c r="G97" s="177">
        <f t="shared" si="34"/>
        <v>4.11927776190476</v>
      </c>
      <c r="H97" s="177" t="str">
        <f t="shared" si="34"/>
        <v>USD</v>
      </c>
      <c r="I97" s="121" t="s">
        <v>80</v>
      </c>
      <c r="J97" s="150" t="str">
        <f t="shared" si="71"/>
        <v>BDB</v>
      </c>
      <c r="K97" s="163" t="s">
        <v>77</v>
      </c>
      <c r="L97" s="150" t="s">
        <v>88</v>
      </c>
      <c r="N97" s="116" t="str">
        <f t="shared" ca="1" si="58"/>
        <v>12399870-7486-058f-2a70-4edd78a792bf-097</v>
      </c>
      <c r="O97" s="116" t="str">
        <f t="shared" si="72"/>
        <v>BRL.CUSTINSTA.BDB000</v>
      </c>
      <c r="P97" s="117" t="str">
        <f t="shared" si="46"/>
        <v>Customer Payment Instruction</v>
      </c>
      <c r="Q97" s="116" t="str">
        <f t="shared" ca="1" si="47"/>
        <v>12399870-7486-058f-2a70-4edd78a792bf-097</v>
      </c>
      <c r="R97" s="117">
        <f t="shared" si="59"/>
        <v>0</v>
      </c>
      <c r="S97" s="118">
        <f t="shared" ca="1" si="60"/>
        <v>43726</v>
      </c>
      <c r="T97" s="119" t="str">
        <f t="shared" ca="1" si="48"/>
        <v>ext-u1-1300-2e9c6-0097</v>
      </c>
      <c r="U97" s="117" t="str">
        <f>J97</f>
        <v>BDB</v>
      </c>
      <c r="V97" s="117" t="str">
        <f>E97</f>
        <v>PAY</v>
      </c>
      <c r="W97" s="117" t="str">
        <f>C97</f>
        <v>BRL</v>
      </c>
      <c r="X97" s="141">
        <f t="shared" si="55"/>
        <v>-8940.2000000000007</v>
      </c>
      <c r="Y97" s="117" t="str">
        <f>L97&amp;"-"&amp;LEFT(K97,1)</f>
        <v>CUSTINST-A</v>
      </c>
      <c r="Z97" s="118" t="str">
        <f t="shared" si="63"/>
        <v>Fixed</v>
      </c>
      <c r="AA97" s="117" t="str">
        <f>"[UC1]"&amp;P97&amp;REPT(" ",28-LEN(P97))&amp;" ["&amp;TEXT(A97,"HH:MM")&amp;"]"</f>
        <v>[UC1]Customer Payment Instruction [13:00]</v>
      </c>
      <c r="AB97" s="121" t="str">
        <f t="shared" si="64"/>
        <v>DEFAULT</v>
      </c>
      <c r="AC97" s="116" t="str">
        <f ca="1">UPPER(LEFT(U97&amp;SUBSTITUTE(N97,"-",""),20))</f>
        <v>BDB123998707486058F2</v>
      </c>
      <c r="AD97" s="117" t="str">
        <f t="shared" si="61"/>
        <v>N</v>
      </c>
      <c r="AE97" s="121" t="str">
        <f t="shared" si="56"/>
        <v>ACTUAL</v>
      </c>
      <c r="AI97" s="116" t="str">
        <f ca="1">N97</f>
        <v>12399870-7486-058f-2a70-4edd78a792bf-097</v>
      </c>
      <c r="AJ97" s="117" t="s">
        <v>76</v>
      </c>
      <c r="AK97" s="116" t="str">
        <f ca="1">Q97</f>
        <v>12399870-7486-058f-2a70-4edd78a792bf-097</v>
      </c>
      <c r="AL97" s="117">
        <f t="shared" si="32"/>
        <v>0</v>
      </c>
      <c r="AM97" s="118">
        <f ca="1">S97</f>
        <v>43726</v>
      </c>
      <c r="AN97" s="119" t="str">
        <f ca="1">T97</f>
        <v>ext-u1-1300-2e9c6-0097</v>
      </c>
      <c r="AO97" s="117" t="str">
        <f>U97</f>
        <v>BDB</v>
      </c>
      <c r="AP97" s="117" t="s">
        <v>78</v>
      </c>
      <c r="AQ97" s="117">
        <f t="shared" si="88"/>
        <v>4.11927776190476</v>
      </c>
      <c r="AR97" s="117" t="str">
        <f t="shared" si="89"/>
        <v>USD</v>
      </c>
      <c r="AS97" s="117" t="str">
        <f>W97</f>
        <v>BRL</v>
      </c>
      <c r="AT97" s="120">
        <f>IFERROR(D97*G97,"")</f>
        <v>36827.16704698094</v>
      </c>
      <c r="AU97" s="120">
        <f t="shared" si="76"/>
        <v>8940.2000000000007</v>
      </c>
      <c r="AV97" s="117" t="str">
        <f>Y97</f>
        <v>CUSTINST-A</v>
      </c>
      <c r="AX97" s="117" t="str">
        <f t="shared" si="27"/>
        <v>[UC1]Customer Payment Instruction [13:00]</v>
      </c>
      <c r="AY97" s="117" t="s">
        <v>90</v>
      </c>
      <c r="AZ97" s="116" t="str">
        <f t="shared" ca="1" si="28"/>
        <v>BDB123998707486058F2</v>
      </c>
    </row>
    <row r="98" spans="1:52" x14ac:dyDescent="0.25">
      <c r="A98" s="137">
        <f t="shared" ref="A98:J98" si="102">A47</f>
        <v>0.54166666666666663</v>
      </c>
      <c r="B98" s="151" t="str">
        <f t="shared" si="102"/>
        <v>Customer Payment Instruction</v>
      </c>
      <c r="C98" s="137" t="str">
        <f t="shared" si="102"/>
        <v>BRL</v>
      </c>
      <c r="D98" s="142">
        <f t="shared" si="102"/>
        <v>9220.4</v>
      </c>
      <c r="E98" s="137" t="str">
        <f t="shared" si="102"/>
        <v>PAY</v>
      </c>
      <c r="F98" s="121">
        <f t="shared" si="54"/>
        <v>-9220.4</v>
      </c>
      <c r="G98" s="177">
        <f t="shared" si="34"/>
        <v>4.1195106704761901</v>
      </c>
      <c r="H98" s="177" t="str">
        <f t="shared" si="34"/>
        <v>USD</v>
      </c>
      <c r="I98" s="121" t="s">
        <v>80</v>
      </c>
      <c r="J98" s="150" t="str">
        <f t="shared" si="71"/>
        <v>BDB</v>
      </c>
      <c r="K98" s="163" t="s">
        <v>77</v>
      </c>
      <c r="L98" s="150" t="s">
        <v>88</v>
      </c>
      <c r="N98" s="116" t="str">
        <f t="shared" ca="1" si="58"/>
        <v>10d0e75e-9376-02cf-1a16-9ccb42d558a2-098</v>
      </c>
      <c r="O98" s="116" t="str">
        <f t="shared" si="72"/>
        <v>BRL.CUSTINSTA.BDB000</v>
      </c>
      <c r="P98" s="117" t="str">
        <f t="shared" si="46"/>
        <v>Customer Payment Instruction</v>
      </c>
      <c r="Q98" s="116" t="str">
        <f t="shared" ca="1" si="47"/>
        <v>10d0e75e-9376-02cf-1a16-9ccb42d558a2-098</v>
      </c>
      <c r="R98" s="117">
        <f t="shared" si="59"/>
        <v>0</v>
      </c>
      <c r="S98" s="118">
        <f t="shared" ca="1" si="60"/>
        <v>43726</v>
      </c>
      <c r="T98" s="119" t="str">
        <f t="shared" ca="1" si="48"/>
        <v>ext-u1-1300-2e9c6-0098</v>
      </c>
      <c r="U98" s="117" t="str">
        <f>J98</f>
        <v>BDB</v>
      </c>
      <c r="V98" s="117" t="str">
        <f>E98</f>
        <v>PAY</v>
      </c>
      <c r="W98" s="117" t="str">
        <f>C98</f>
        <v>BRL</v>
      </c>
      <c r="X98" s="141">
        <f t="shared" si="55"/>
        <v>-9220.4</v>
      </c>
      <c r="Y98" s="117" t="str">
        <f>L98&amp;"-"&amp;LEFT(K98,1)</f>
        <v>CUSTINST-A</v>
      </c>
      <c r="Z98" s="118" t="str">
        <f t="shared" si="63"/>
        <v>Fixed</v>
      </c>
      <c r="AA98" s="117" t="str">
        <f>"[UC1]"&amp;P98&amp;REPT(" ",28-LEN(P98))&amp;" ["&amp;TEXT(A98,"HH:MM")&amp;"]"</f>
        <v>[UC1]Customer Payment Instruction [13:00]</v>
      </c>
      <c r="AB98" s="121" t="str">
        <f t="shared" si="64"/>
        <v>DEFAULT</v>
      </c>
      <c r="AC98" s="116" t="str">
        <f ca="1">UPPER(LEFT(U98&amp;SUBSTITUTE(N98,"-",""),20))</f>
        <v>BDB10D0E75E937602CF1</v>
      </c>
      <c r="AD98" s="117" t="str">
        <f t="shared" si="61"/>
        <v>N</v>
      </c>
      <c r="AE98" s="121" t="str">
        <f t="shared" si="56"/>
        <v>ACTUAL</v>
      </c>
      <c r="AI98" s="116" t="str">
        <f ca="1">N98</f>
        <v>10d0e75e-9376-02cf-1a16-9ccb42d558a2-098</v>
      </c>
      <c r="AJ98" s="117" t="s">
        <v>76</v>
      </c>
      <c r="AK98" s="116" t="str">
        <f ca="1">Q98</f>
        <v>10d0e75e-9376-02cf-1a16-9ccb42d558a2-098</v>
      </c>
      <c r="AL98" s="117">
        <f t="shared" si="32"/>
        <v>0</v>
      </c>
      <c r="AM98" s="118">
        <f ca="1">S98</f>
        <v>43726</v>
      </c>
      <c r="AN98" s="119" t="str">
        <f ca="1">T98</f>
        <v>ext-u1-1300-2e9c6-0098</v>
      </c>
      <c r="AO98" s="117" t="str">
        <f>U98</f>
        <v>BDB</v>
      </c>
      <c r="AP98" s="117" t="s">
        <v>78</v>
      </c>
      <c r="AQ98" s="117">
        <f t="shared" si="88"/>
        <v>4.1195106704761901</v>
      </c>
      <c r="AR98" s="117" t="str">
        <f t="shared" si="89"/>
        <v>USD</v>
      </c>
      <c r="AS98" s="117" t="str">
        <f>W98</f>
        <v>BRL</v>
      </c>
      <c r="AT98" s="120">
        <f>IFERROR(D98*G98,"")</f>
        <v>37983.536186058664</v>
      </c>
      <c r="AU98" s="120">
        <f t="shared" si="76"/>
        <v>9220.4</v>
      </c>
      <c r="AV98" s="117" t="str">
        <f>Y98</f>
        <v>CUSTINST-A</v>
      </c>
      <c r="AX98" s="117" t="str">
        <f t="shared" si="27"/>
        <v>[UC1]Customer Payment Instruction [13:00]</v>
      </c>
      <c r="AY98" s="117" t="s">
        <v>90</v>
      </c>
      <c r="AZ98" s="116" t="str">
        <f t="shared" ca="1" si="28"/>
        <v>BDB10D0E75E937602CF1</v>
      </c>
    </row>
    <row r="99" spans="1:52" x14ac:dyDescent="0.25">
      <c r="A99" s="137">
        <f t="shared" ref="A99:J99" si="103">A48</f>
        <v>0.54166666666666663</v>
      </c>
      <c r="B99" s="151" t="str">
        <f t="shared" si="103"/>
        <v>Customer Payment Instruction</v>
      </c>
      <c r="C99" s="137" t="str">
        <f t="shared" si="103"/>
        <v>BRL</v>
      </c>
      <c r="D99" s="142">
        <f t="shared" si="103"/>
        <v>9500.6</v>
      </c>
      <c r="E99" s="137" t="str">
        <f t="shared" si="103"/>
        <v>PAY</v>
      </c>
      <c r="F99" s="121">
        <f t="shared" si="54"/>
        <v>-9500.6</v>
      </c>
      <c r="G99" s="177">
        <f t="shared" si="34"/>
        <v>4.1197435790476202</v>
      </c>
      <c r="H99" s="177" t="str">
        <f t="shared" si="34"/>
        <v>USD</v>
      </c>
      <c r="I99" s="121" t="s">
        <v>80</v>
      </c>
      <c r="J99" s="150" t="str">
        <f t="shared" si="71"/>
        <v>BDB</v>
      </c>
      <c r="K99" s="163" t="s">
        <v>77</v>
      </c>
      <c r="L99" s="150" t="s">
        <v>88</v>
      </c>
      <c r="N99" s="116" t="str">
        <f t="shared" ca="1" si="58"/>
        <v>a01b2b80-5f2c-5ba9-6238-9b402d6e0e59-099</v>
      </c>
      <c r="O99" s="116" t="str">
        <f t="shared" si="72"/>
        <v>BRL.CUSTINSTA.BDB000</v>
      </c>
      <c r="P99" s="117" t="str">
        <f t="shared" si="46"/>
        <v>Customer Payment Instruction</v>
      </c>
      <c r="Q99" s="116" t="str">
        <f t="shared" ca="1" si="47"/>
        <v>a01b2b80-5f2c-5ba9-6238-9b402d6e0e59-099</v>
      </c>
      <c r="R99" s="117">
        <f t="shared" si="59"/>
        <v>0</v>
      </c>
      <c r="S99" s="118">
        <f t="shared" ca="1" si="60"/>
        <v>43726</v>
      </c>
      <c r="T99" s="119" t="str">
        <f t="shared" ca="1" si="48"/>
        <v>ext-u1-1300-2e9c6-0099</v>
      </c>
      <c r="U99" s="117" t="str">
        <f>J99</f>
        <v>BDB</v>
      </c>
      <c r="V99" s="117" t="str">
        <f>E99</f>
        <v>PAY</v>
      </c>
      <c r="W99" s="117" t="str">
        <f>C99</f>
        <v>BRL</v>
      </c>
      <c r="X99" s="141">
        <f t="shared" si="55"/>
        <v>-9500.6</v>
      </c>
      <c r="Y99" s="117" t="str">
        <f>L99&amp;"-"&amp;LEFT(K99,1)</f>
        <v>CUSTINST-A</v>
      </c>
      <c r="Z99" s="118" t="str">
        <f t="shared" si="63"/>
        <v>Fixed</v>
      </c>
      <c r="AA99" s="117" t="str">
        <f>"[UC1]"&amp;P99&amp;REPT(" ",28-LEN(P99))&amp;" ["&amp;TEXT(A99,"HH:MM")&amp;"]"</f>
        <v>[UC1]Customer Payment Instruction [13:00]</v>
      </c>
      <c r="AB99" s="121" t="str">
        <f t="shared" si="64"/>
        <v>DEFAULT</v>
      </c>
      <c r="AC99" s="116" t="str">
        <f ca="1">UPPER(LEFT(U99&amp;SUBSTITUTE(N99,"-",""),20))</f>
        <v>BDBA01B2B805F2C5BA96</v>
      </c>
      <c r="AD99" s="117" t="str">
        <f t="shared" si="61"/>
        <v>N</v>
      </c>
      <c r="AE99" s="121" t="str">
        <f t="shared" si="56"/>
        <v>ACTUAL</v>
      </c>
      <c r="AI99" s="116" t="str">
        <f ca="1">N99</f>
        <v>a01b2b80-5f2c-5ba9-6238-9b402d6e0e59-099</v>
      </c>
      <c r="AJ99" s="117" t="s">
        <v>76</v>
      </c>
      <c r="AK99" s="116" t="str">
        <f ca="1">Q99</f>
        <v>a01b2b80-5f2c-5ba9-6238-9b402d6e0e59-099</v>
      </c>
      <c r="AL99" s="117">
        <f t="shared" si="32"/>
        <v>0</v>
      </c>
      <c r="AM99" s="118">
        <f ca="1">S99</f>
        <v>43726</v>
      </c>
      <c r="AN99" s="119" t="str">
        <f ca="1">T99</f>
        <v>ext-u1-1300-2e9c6-0099</v>
      </c>
      <c r="AO99" s="117" t="str">
        <f>U99</f>
        <v>BDB</v>
      </c>
      <c r="AP99" s="117" t="s">
        <v>78</v>
      </c>
      <c r="AQ99" s="117">
        <f t="shared" si="88"/>
        <v>4.1197435790476202</v>
      </c>
      <c r="AR99" s="117" t="str">
        <f t="shared" si="89"/>
        <v>USD</v>
      </c>
      <c r="AS99" s="117" t="str">
        <f>W99</f>
        <v>BRL</v>
      </c>
      <c r="AT99" s="120">
        <f>IFERROR(D99*G99,"")</f>
        <v>39140.035847099825</v>
      </c>
      <c r="AU99" s="120">
        <f t="shared" si="76"/>
        <v>9500.6</v>
      </c>
      <c r="AV99" s="117" t="str">
        <f>Y99</f>
        <v>CUSTINST-A</v>
      </c>
      <c r="AX99" s="117" t="str">
        <f t="shared" si="27"/>
        <v>[UC1]Customer Payment Instruction [13:00]</v>
      </c>
      <c r="AY99" s="117" t="s">
        <v>90</v>
      </c>
      <c r="AZ99" s="116" t="str">
        <f t="shared" ca="1" si="28"/>
        <v>BDBA01B2B805F2C5BA96</v>
      </c>
    </row>
    <row r="100" spans="1:52" x14ac:dyDescent="0.25">
      <c r="A100" s="137">
        <f t="shared" ref="A100:J100" si="104">A49</f>
        <v>0.54166666666666663</v>
      </c>
      <c r="B100" s="151" t="str">
        <f t="shared" si="104"/>
        <v>Customer Payment Instruction</v>
      </c>
      <c r="C100" s="137" t="str">
        <f t="shared" si="104"/>
        <v>BRL</v>
      </c>
      <c r="D100" s="142">
        <f t="shared" si="104"/>
        <v>9780.7999999999993</v>
      </c>
      <c r="E100" s="137" t="str">
        <f t="shared" si="104"/>
        <v>PAY</v>
      </c>
      <c r="F100" s="121">
        <f t="shared" si="54"/>
        <v>-9780.7999999999993</v>
      </c>
      <c r="G100" s="177">
        <f t="shared" si="34"/>
        <v>4.1199764876190503</v>
      </c>
      <c r="H100" s="177" t="str">
        <f t="shared" si="34"/>
        <v>USD</v>
      </c>
      <c r="I100" s="121" t="s">
        <v>80</v>
      </c>
      <c r="J100" s="150" t="str">
        <f t="shared" si="71"/>
        <v>BDB</v>
      </c>
      <c r="K100" s="163" t="s">
        <v>77</v>
      </c>
      <c r="L100" s="150" t="s">
        <v>88</v>
      </c>
      <c r="N100" s="116" t="str">
        <f t="shared" ca="1" si="58"/>
        <v>d238be8f-14f7-7421-1b0c-a0d723c46dfc-100</v>
      </c>
      <c r="O100" s="116" t="str">
        <f t="shared" si="72"/>
        <v>BRL.CUSTINSTA.BDB000</v>
      </c>
      <c r="P100" s="117" t="str">
        <f t="shared" si="46"/>
        <v>Customer Payment Instruction</v>
      </c>
      <c r="Q100" s="116" t="str">
        <f t="shared" ca="1" si="47"/>
        <v>d238be8f-14f7-7421-1b0c-a0d723c46dfc-100</v>
      </c>
      <c r="R100" s="117">
        <f t="shared" si="59"/>
        <v>0</v>
      </c>
      <c r="S100" s="118">
        <f t="shared" ca="1" si="60"/>
        <v>43726</v>
      </c>
      <c r="T100" s="119" t="str">
        <f t="shared" ca="1" si="48"/>
        <v>ext-u1-1300-2e9c6-0100</v>
      </c>
      <c r="U100" s="117" t="str">
        <f>J100</f>
        <v>BDB</v>
      </c>
      <c r="V100" s="117" t="str">
        <f>E100</f>
        <v>PAY</v>
      </c>
      <c r="W100" s="117" t="str">
        <f>C100</f>
        <v>BRL</v>
      </c>
      <c r="X100" s="141">
        <f t="shared" si="55"/>
        <v>-9780.7999999999993</v>
      </c>
      <c r="Y100" s="117" t="str">
        <f>L100&amp;"-"&amp;LEFT(K100,1)</f>
        <v>CUSTINST-A</v>
      </c>
      <c r="Z100" s="118" t="str">
        <f t="shared" si="63"/>
        <v>Fixed</v>
      </c>
      <c r="AA100" s="117" t="str">
        <f>"[UC1]"&amp;P100&amp;REPT(" ",28-LEN(P100))&amp;" ["&amp;TEXT(A100,"HH:MM")&amp;"]"</f>
        <v>[UC1]Customer Payment Instruction [13:00]</v>
      </c>
      <c r="AB100" s="121" t="str">
        <f t="shared" si="64"/>
        <v>DEFAULT</v>
      </c>
      <c r="AC100" s="116" t="str">
        <f ca="1">UPPER(LEFT(U100&amp;SUBSTITUTE(N100,"-",""),20))</f>
        <v>BDBD238BE8F14F774211</v>
      </c>
      <c r="AD100" s="117" t="str">
        <f t="shared" si="61"/>
        <v>N</v>
      </c>
      <c r="AE100" s="121" t="str">
        <f t="shared" si="56"/>
        <v>ACTUAL</v>
      </c>
      <c r="AI100" s="116" t="str">
        <f ca="1">N100</f>
        <v>d238be8f-14f7-7421-1b0c-a0d723c46dfc-100</v>
      </c>
      <c r="AJ100" s="117" t="s">
        <v>76</v>
      </c>
      <c r="AK100" s="116" t="str">
        <f ca="1">Q100</f>
        <v>d238be8f-14f7-7421-1b0c-a0d723c46dfc-100</v>
      </c>
      <c r="AL100" s="117">
        <f t="shared" si="32"/>
        <v>0</v>
      </c>
      <c r="AM100" s="118">
        <f ca="1">S100</f>
        <v>43726</v>
      </c>
      <c r="AN100" s="119" t="str">
        <f ca="1">T100</f>
        <v>ext-u1-1300-2e9c6-0100</v>
      </c>
      <c r="AO100" s="117" t="str">
        <f>U100</f>
        <v>BDB</v>
      </c>
      <c r="AP100" s="117" t="s">
        <v>78</v>
      </c>
      <c r="AQ100" s="117">
        <f t="shared" si="88"/>
        <v>4.1199764876190503</v>
      </c>
      <c r="AR100" s="117" t="str">
        <f t="shared" si="89"/>
        <v>USD</v>
      </c>
      <c r="AS100" s="117" t="str">
        <f>W100</f>
        <v>BRL</v>
      </c>
      <c r="AT100" s="120">
        <f>IFERROR(D100*G100,"")</f>
        <v>40296.666030104403</v>
      </c>
      <c r="AU100" s="120">
        <f t="shared" si="76"/>
        <v>9780.7999999999993</v>
      </c>
      <c r="AV100" s="117" t="str">
        <f>Y100</f>
        <v>CUSTINST-A</v>
      </c>
      <c r="AX100" s="117" t="str">
        <f t="shared" si="27"/>
        <v>[UC1]Customer Payment Instruction [13:00]</v>
      </c>
      <c r="AY100" s="117" t="s">
        <v>90</v>
      </c>
      <c r="AZ100" s="116" t="str">
        <f t="shared" ca="1" si="28"/>
        <v>BDBD238BE8F14F774211</v>
      </c>
    </row>
    <row r="101" spans="1:52" x14ac:dyDescent="0.25">
      <c r="A101" s="137">
        <f t="shared" ref="A101:J101" si="105">A50</f>
        <v>0.54166666666666663</v>
      </c>
      <c r="B101" s="151" t="str">
        <f t="shared" si="105"/>
        <v>Customer Payment Instruction</v>
      </c>
      <c r="C101" s="137" t="str">
        <f t="shared" si="105"/>
        <v>BRL</v>
      </c>
      <c r="D101" s="142">
        <f t="shared" si="105"/>
        <v>10061</v>
      </c>
      <c r="E101" s="137" t="str">
        <f t="shared" si="105"/>
        <v>PAY</v>
      </c>
      <c r="F101" s="121">
        <f t="shared" si="54"/>
        <v>-10061</v>
      </c>
      <c r="G101" s="177">
        <f t="shared" si="34"/>
        <v>4.1202093961904804</v>
      </c>
      <c r="H101" s="177" t="str">
        <f t="shared" si="34"/>
        <v>USD</v>
      </c>
      <c r="I101" s="121" t="s">
        <v>80</v>
      </c>
      <c r="J101" s="150" t="str">
        <f t="shared" si="71"/>
        <v>BDB</v>
      </c>
      <c r="K101" s="163" t="s">
        <v>77</v>
      </c>
      <c r="L101" s="150" t="s">
        <v>88</v>
      </c>
      <c r="N101" s="116" t="str">
        <f t="shared" ca="1" si="58"/>
        <v>c4afe199-3d65-3e21-3c59-5e7c8f717ac7-101</v>
      </c>
      <c r="O101" s="116" t="str">
        <f t="shared" si="72"/>
        <v>BRL.CUSTINSTA.BDB000</v>
      </c>
      <c r="P101" s="117" t="str">
        <f t="shared" si="46"/>
        <v>Customer Payment Instruction</v>
      </c>
      <c r="Q101" s="116" t="str">
        <f t="shared" ca="1" si="47"/>
        <v>c4afe199-3d65-3e21-3c59-5e7c8f717ac7-101</v>
      </c>
      <c r="R101" s="117">
        <f t="shared" si="59"/>
        <v>0</v>
      </c>
      <c r="S101" s="118">
        <f t="shared" ca="1" si="60"/>
        <v>43726</v>
      </c>
      <c r="T101" s="119" t="str">
        <f t="shared" ca="1" si="48"/>
        <v>ext-u1-1300-2e9c6-0101</v>
      </c>
      <c r="U101" s="117" t="str">
        <f>J101</f>
        <v>BDB</v>
      </c>
      <c r="V101" s="117" t="str">
        <f>E101</f>
        <v>PAY</v>
      </c>
      <c r="W101" s="117" t="str">
        <f>C101</f>
        <v>BRL</v>
      </c>
      <c r="X101" s="141">
        <f t="shared" si="55"/>
        <v>-10061</v>
      </c>
      <c r="Y101" s="117" t="str">
        <f>L101&amp;"-"&amp;LEFT(K101,1)</f>
        <v>CUSTINST-A</v>
      </c>
      <c r="Z101" s="118" t="str">
        <f t="shared" si="63"/>
        <v>Fixed</v>
      </c>
      <c r="AA101" s="117" t="str">
        <f>"[UC1]"&amp;P101&amp;REPT(" ",28-LEN(P101))&amp;" ["&amp;TEXT(A101,"HH:MM")&amp;"]"</f>
        <v>[UC1]Customer Payment Instruction [13:00]</v>
      </c>
      <c r="AB101" s="121" t="str">
        <f t="shared" si="64"/>
        <v>DEFAULT</v>
      </c>
      <c r="AC101" s="116" t="str">
        <f ca="1">UPPER(LEFT(U101&amp;SUBSTITUTE(N101,"-",""),20))</f>
        <v>BDBC4AFE1993D653E213</v>
      </c>
      <c r="AD101" s="117" t="str">
        <f t="shared" si="61"/>
        <v>N</v>
      </c>
      <c r="AE101" s="121" t="str">
        <f t="shared" si="56"/>
        <v>ACTUAL</v>
      </c>
      <c r="AI101" s="116" t="str">
        <f ca="1">N101</f>
        <v>c4afe199-3d65-3e21-3c59-5e7c8f717ac7-101</v>
      </c>
      <c r="AJ101" s="117" t="s">
        <v>76</v>
      </c>
      <c r="AK101" s="116" t="str">
        <f ca="1">Q101</f>
        <v>c4afe199-3d65-3e21-3c59-5e7c8f717ac7-101</v>
      </c>
      <c r="AL101" s="117">
        <f t="shared" si="32"/>
        <v>0</v>
      </c>
      <c r="AM101" s="118">
        <f ca="1">S101</f>
        <v>43726</v>
      </c>
      <c r="AN101" s="119" t="str">
        <f ca="1">T101</f>
        <v>ext-u1-1300-2e9c6-0101</v>
      </c>
      <c r="AO101" s="117" t="str">
        <f>U101</f>
        <v>BDB</v>
      </c>
      <c r="AP101" s="117" t="s">
        <v>78</v>
      </c>
      <c r="AQ101" s="117">
        <f t="shared" si="88"/>
        <v>4.1202093961904804</v>
      </c>
      <c r="AR101" s="117" t="str">
        <f t="shared" si="89"/>
        <v>USD</v>
      </c>
      <c r="AS101" s="117" t="str">
        <f>W101</f>
        <v>BRL</v>
      </c>
      <c r="AT101" s="120">
        <f>IFERROR(D101*G101,"")</f>
        <v>41453.426735072426</v>
      </c>
      <c r="AU101" s="120">
        <f t="shared" si="76"/>
        <v>10061</v>
      </c>
      <c r="AV101" s="117" t="str">
        <f>Y101</f>
        <v>CUSTINST-A</v>
      </c>
      <c r="AX101" s="117" t="str">
        <f t="shared" si="27"/>
        <v>[UC1]Customer Payment Instruction [13:00]</v>
      </c>
      <c r="AY101" s="117" t="s">
        <v>90</v>
      </c>
      <c r="AZ101" s="116" t="str">
        <f t="shared" ca="1" si="28"/>
        <v>BDBC4AFE1993D653E213</v>
      </c>
    </row>
    <row r="102" spans="1:52" hidden="1" x14ac:dyDescent="0.25">
      <c r="A102" s="137">
        <v>0.5625</v>
      </c>
      <c r="B102" s="151" t="str">
        <f t="shared" ref="B102:J102" si="106">B51</f>
        <v>FX Trade</v>
      </c>
      <c r="C102" s="137" t="str">
        <f t="shared" si="106"/>
        <v>USD</v>
      </c>
      <c r="D102" s="142">
        <f t="shared" si="106"/>
        <v>10000</v>
      </c>
      <c r="E102" s="137" t="str">
        <f t="shared" si="106"/>
        <v>BUY</v>
      </c>
      <c r="F102" s="121">
        <f t="shared" si="54"/>
        <v>-10000</v>
      </c>
      <c r="G102" s="177">
        <f t="shared" si="34"/>
        <v>4.1159999999999997</v>
      </c>
      <c r="H102" s="177" t="str">
        <f t="shared" si="34"/>
        <v>BRL</v>
      </c>
      <c r="I102" s="121" t="s">
        <v>80</v>
      </c>
      <c r="J102" s="165" t="s">
        <v>80</v>
      </c>
      <c r="K102" s="163" t="s">
        <v>77</v>
      </c>
      <c r="L102" s="150" t="s">
        <v>89</v>
      </c>
      <c r="N102" s="116" t="str">
        <f t="shared" ca="1" si="58"/>
        <v>16fc2500-7389-6be3-0294-cf0fb0b63390-102</v>
      </c>
      <c r="O102" s="116"/>
      <c r="P102" s="117" t="str">
        <f t="shared" si="46"/>
        <v>FX Trade</v>
      </c>
      <c r="Q102" s="116" t="str">
        <f t="shared" ca="1" si="47"/>
        <v>16fc2500-7389-6be3-0294-cf0fb0b63390-102</v>
      </c>
      <c r="R102" s="117">
        <f t="shared" si="59"/>
        <v>0</v>
      </c>
      <c r="S102" s="118">
        <f t="shared" ca="1" si="60"/>
        <v>43726</v>
      </c>
      <c r="T102" s="119" t="str">
        <f t="shared" ca="1" si="48"/>
        <v>ext-u1-1330-2e9c6-0102</v>
      </c>
      <c r="U102" s="117" t="str">
        <f>J102</f>
        <v>BDB</v>
      </c>
      <c r="V102" s="117" t="str">
        <f>E102</f>
        <v>BUY</v>
      </c>
      <c r="W102" s="117" t="str">
        <f>C102</f>
        <v>USD</v>
      </c>
      <c r="X102" s="141">
        <f t="shared" si="55"/>
        <v>-10000</v>
      </c>
      <c r="Y102" s="117" t="str">
        <f>L102&amp;"-"&amp;LEFT(K102,1)</f>
        <v>FX-A</v>
      </c>
      <c r="Z102" s="118" t="str">
        <f t="shared" si="63"/>
        <v>Fixed</v>
      </c>
      <c r="AA102" s="117" t="str">
        <f>"[UC1]"&amp;P102&amp;REPT(" ",28-LEN(P102))&amp;" ["&amp;TEXT(A102,"HH:MM")&amp;"]"</f>
        <v>[UC1]FX Trade                     [13:30]</v>
      </c>
      <c r="AB102" s="121" t="str">
        <f t="shared" si="64"/>
        <v>DEFAULT</v>
      </c>
      <c r="AC102" s="116" t="str">
        <f ca="1">UPPER(LEFT(U102&amp;SUBSTITUTE(N102,"-",""),20))</f>
        <v>BDB16FC250073896BE30</v>
      </c>
      <c r="AD102" s="117" t="str">
        <f t="shared" si="61"/>
        <v>N</v>
      </c>
      <c r="AE102" s="121" t="str">
        <f t="shared" si="56"/>
        <v>ACTUAL</v>
      </c>
      <c r="AI102" s="116" t="str">
        <f ca="1">N102</f>
        <v>16fc2500-7389-6be3-0294-cf0fb0b63390-102</v>
      </c>
      <c r="AJ102" s="117" t="s">
        <v>76</v>
      </c>
      <c r="AK102" s="116" t="str">
        <f ca="1">Q102</f>
        <v>16fc2500-7389-6be3-0294-cf0fb0b63390-102</v>
      </c>
      <c r="AL102" s="117">
        <f t="shared" si="32"/>
        <v>0</v>
      </c>
      <c r="AM102" s="118">
        <f ca="1">S102</f>
        <v>43726</v>
      </c>
      <c r="AN102" s="119" t="str">
        <f ca="1">T102</f>
        <v>ext-u1-1330-2e9c6-0102</v>
      </c>
      <c r="AO102" s="117" t="str">
        <f>U102</f>
        <v>BDB</v>
      </c>
      <c r="AP102" s="117" t="s">
        <v>78</v>
      </c>
      <c r="AQ102" s="117">
        <f t="shared" si="88"/>
        <v>4.1159999999999997</v>
      </c>
      <c r="AR102" s="169" t="s">
        <v>9</v>
      </c>
      <c r="AS102" s="169" t="s">
        <v>10</v>
      </c>
      <c r="AT102" s="173">
        <f>D102</f>
        <v>10000</v>
      </c>
      <c r="AV102" s="117" t="str">
        <f>Y102</f>
        <v>FX-A</v>
      </c>
      <c r="AX102" s="117" t="str">
        <f t="shared" si="27"/>
        <v>[UC1]FX Trade                     [13:30]</v>
      </c>
      <c r="AY102" s="117" t="s">
        <v>90</v>
      </c>
      <c r="AZ102" s="116" t="str">
        <f t="shared" ca="1" si="28"/>
        <v>BDB16FC250073896BE30</v>
      </c>
    </row>
    <row r="103" spans="1:52" x14ac:dyDescent="0.25">
      <c r="A103" s="137"/>
      <c r="B103" s="151"/>
      <c r="C103" s="137"/>
      <c r="D103" s="142"/>
      <c r="E103" s="137"/>
      <c r="F103" s="137"/>
      <c r="G103" s="177"/>
      <c r="H103" s="177"/>
      <c r="I103" s="137"/>
      <c r="J103" s="151"/>
      <c r="K103" s="163"/>
      <c r="L103" s="163"/>
      <c r="Q103" s="116"/>
      <c r="S103" s="118"/>
      <c r="T103" s="119"/>
      <c r="Z103" s="118"/>
      <c r="AB103" s="121"/>
      <c r="AC103" s="116"/>
      <c r="AI103" s="116"/>
      <c r="AK103" s="116"/>
      <c r="AM103" s="118"/>
      <c r="AN103" s="119"/>
      <c r="AT103" s="120"/>
      <c r="AZ103" s="116"/>
    </row>
    <row r="104" spans="1:52" x14ac:dyDescent="0.25">
      <c r="A104" s="137"/>
      <c r="B104" s="151"/>
      <c r="C104" s="137"/>
      <c r="D104" s="142"/>
      <c r="E104" s="137"/>
      <c r="F104" s="137"/>
      <c r="G104" s="177"/>
      <c r="H104" s="177"/>
      <c r="I104" s="137"/>
      <c r="J104" s="151"/>
      <c r="K104" s="163"/>
      <c r="L104" s="163"/>
      <c r="Q104" s="116"/>
      <c r="S104" s="118"/>
      <c r="T104" s="119"/>
      <c r="Z104" s="118"/>
      <c r="AB104" s="121"/>
      <c r="AC104" s="116"/>
      <c r="AI104" s="116"/>
      <c r="AK104" s="116"/>
      <c r="AM104" s="118"/>
      <c r="AN104" s="119"/>
      <c r="AT104" s="120"/>
      <c r="AZ104" s="116"/>
    </row>
    <row r="105" spans="1:52" x14ac:dyDescent="0.25">
      <c r="A105" s="137"/>
      <c r="B105" s="151"/>
      <c r="C105" s="137"/>
      <c r="D105" s="142"/>
      <c r="E105" s="137"/>
      <c r="F105" s="137"/>
      <c r="G105" s="177"/>
      <c r="H105" s="177"/>
      <c r="I105" s="137"/>
      <c r="J105" s="151"/>
      <c r="K105" s="163"/>
      <c r="L105" s="163"/>
      <c r="Q105" s="116"/>
      <c r="S105" s="118"/>
      <c r="T105" s="119"/>
      <c r="Z105" s="118"/>
      <c r="AB105" s="121"/>
      <c r="AC105" s="116"/>
      <c r="AI105" s="116"/>
      <c r="AK105" s="116"/>
      <c r="AM105" s="118"/>
      <c r="AN105" s="119"/>
      <c r="AT105" s="120"/>
      <c r="AZ105" s="116"/>
    </row>
    <row r="106" spans="1:52" x14ac:dyDescent="0.25">
      <c r="A106" s="137"/>
      <c r="B106" s="151"/>
      <c r="C106" s="137"/>
      <c r="D106" s="142"/>
      <c r="E106" s="137"/>
      <c r="F106" s="137"/>
      <c r="G106" s="177"/>
      <c r="H106" s="177"/>
      <c r="I106" s="137"/>
      <c r="J106" s="151"/>
      <c r="K106" s="163"/>
      <c r="L106" s="163"/>
      <c r="Q106" s="116"/>
      <c r="S106" s="118"/>
      <c r="T106" s="119"/>
      <c r="Z106" s="118"/>
      <c r="AB106" s="121"/>
      <c r="AC106" s="116"/>
      <c r="AI106" s="116"/>
      <c r="AK106" s="116"/>
      <c r="AM106" s="118"/>
      <c r="AN106" s="119"/>
      <c r="AT106" s="120"/>
      <c r="AZ106" s="116"/>
    </row>
    <row r="107" spans="1:52" x14ac:dyDescent="0.25">
      <c r="A107" s="137"/>
      <c r="B107" s="151"/>
      <c r="C107" s="137"/>
      <c r="D107" s="142"/>
      <c r="E107" s="137"/>
      <c r="F107" s="137"/>
      <c r="G107" s="177"/>
      <c r="H107" s="177"/>
      <c r="I107" s="137"/>
      <c r="J107" s="151"/>
      <c r="K107" s="163"/>
      <c r="L107" s="163"/>
      <c r="Q107" s="116"/>
      <c r="S107" s="118"/>
      <c r="T107" s="119"/>
      <c r="Z107" s="118"/>
      <c r="AB107" s="121"/>
      <c r="AC107" s="116"/>
      <c r="AI107" s="116"/>
      <c r="AK107" s="116"/>
      <c r="AM107" s="118"/>
      <c r="AN107" s="119"/>
      <c r="AT107" s="120"/>
      <c r="AZ107" s="116"/>
    </row>
    <row r="108" spans="1:52" x14ac:dyDescent="0.25">
      <c r="A108" s="137"/>
      <c r="B108" s="151"/>
      <c r="C108" s="137"/>
      <c r="D108" s="142"/>
      <c r="E108" s="137"/>
      <c r="F108" s="137"/>
      <c r="G108" s="177"/>
      <c r="H108" s="177"/>
      <c r="I108" s="137"/>
      <c r="J108" s="151"/>
      <c r="K108" s="163"/>
      <c r="L108" s="163"/>
      <c r="Q108" s="116"/>
      <c r="S108" s="118"/>
      <c r="T108" s="119"/>
      <c r="Z108" s="118"/>
      <c r="AB108" s="121"/>
      <c r="AC108" s="116"/>
      <c r="AI108" s="116"/>
      <c r="AK108" s="116"/>
      <c r="AM108" s="118"/>
      <c r="AN108" s="119"/>
      <c r="AT108" s="120"/>
      <c r="AZ108" s="116"/>
    </row>
    <row r="109" spans="1:52" x14ac:dyDescent="0.25">
      <c r="A109" s="137"/>
      <c r="B109" s="151"/>
      <c r="C109" s="137"/>
      <c r="D109" s="142"/>
      <c r="E109" s="137"/>
      <c r="F109" s="137"/>
      <c r="G109" s="177"/>
      <c r="H109" s="177"/>
      <c r="I109" s="137"/>
      <c r="J109" s="151"/>
      <c r="K109" s="163"/>
      <c r="L109" s="163"/>
      <c r="Q109" s="116"/>
      <c r="S109" s="118"/>
      <c r="T109" s="119"/>
      <c r="Z109" s="118"/>
      <c r="AB109" s="121"/>
      <c r="AC109" s="116"/>
      <c r="AI109" s="116"/>
      <c r="AK109" s="116"/>
      <c r="AM109" s="118"/>
      <c r="AN109" s="119"/>
      <c r="AT109" s="120"/>
      <c r="AZ109" s="116"/>
    </row>
    <row r="110" spans="1:52" x14ac:dyDescent="0.25">
      <c r="A110" s="137"/>
      <c r="B110" s="151"/>
      <c r="C110" s="137"/>
      <c r="D110" s="142"/>
      <c r="E110" s="137"/>
      <c r="F110" s="137"/>
      <c r="G110" s="177"/>
      <c r="H110" s="177"/>
      <c r="I110" s="137"/>
      <c r="J110" s="151"/>
      <c r="K110" s="163"/>
      <c r="L110" s="163"/>
      <c r="Q110" s="116"/>
      <c r="S110" s="118"/>
      <c r="T110" s="119"/>
      <c r="Z110" s="118"/>
      <c r="AB110" s="121"/>
      <c r="AC110" s="116"/>
      <c r="AI110" s="116"/>
      <c r="AK110" s="116"/>
      <c r="AM110" s="118"/>
      <c r="AN110" s="119"/>
      <c r="AT110" s="120"/>
      <c r="AZ110" s="116"/>
    </row>
    <row r="111" spans="1:52" x14ac:dyDescent="0.25">
      <c r="A111" s="137"/>
      <c r="B111" s="151"/>
      <c r="C111" s="137"/>
      <c r="D111" s="142"/>
      <c r="E111" s="137"/>
      <c r="F111" s="137"/>
      <c r="G111" s="177"/>
      <c r="H111" s="177"/>
      <c r="I111" s="137"/>
      <c r="J111" s="151"/>
      <c r="K111" s="163"/>
      <c r="L111" s="163"/>
      <c r="AI111" s="116"/>
      <c r="AK111" s="116"/>
      <c r="AM111" s="118"/>
      <c r="AN111" s="119"/>
      <c r="AT111" s="120"/>
      <c r="AZ111" s="116"/>
    </row>
    <row r="112" spans="1:52" x14ac:dyDescent="0.25">
      <c r="A112" s="137"/>
      <c r="B112" s="151"/>
      <c r="C112" s="137"/>
      <c r="D112" s="142"/>
      <c r="E112" s="137"/>
      <c r="F112" s="137"/>
      <c r="G112" s="177"/>
      <c r="H112" s="177"/>
      <c r="I112" s="137"/>
      <c r="J112" s="151"/>
      <c r="K112" s="163"/>
      <c r="L112" s="163"/>
      <c r="AI112" s="116"/>
      <c r="AK112" s="116"/>
      <c r="AM112" s="118"/>
      <c r="AN112" s="119"/>
      <c r="AT112" s="120"/>
      <c r="AZ112" s="116"/>
    </row>
    <row r="113" spans="1:52" x14ac:dyDescent="0.25">
      <c r="A113" s="137"/>
      <c r="B113" s="151"/>
      <c r="C113" s="137"/>
      <c r="D113" s="142"/>
      <c r="E113" s="137"/>
      <c r="F113" s="137"/>
      <c r="G113" s="177"/>
      <c r="H113" s="177"/>
      <c r="I113" s="137"/>
      <c r="J113" s="151"/>
      <c r="K113" s="163"/>
      <c r="L113" s="163"/>
      <c r="AI113" s="116"/>
      <c r="AK113" s="116"/>
      <c r="AM113" s="118"/>
      <c r="AN113" s="119"/>
      <c r="AT113" s="120"/>
      <c r="AZ113" s="116"/>
    </row>
    <row r="114" spans="1:52" x14ac:dyDescent="0.25">
      <c r="A114" s="137"/>
      <c r="B114" s="151"/>
      <c r="C114" s="137"/>
      <c r="D114" s="142"/>
      <c r="E114" s="137"/>
      <c r="F114" s="137"/>
      <c r="G114" s="177"/>
      <c r="H114" s="177"/>
      <c r="I114" s="137"/>
      <c r="J114" s="151"/>
      <c r="K114" s="163"/>
      <c r="L114" s="163"/>
      <c r="AI114" s="116"/>
      <c r="AK114" s="116"/>
      <c r="AM114" s="118"/>
      <c r="AN114" s="119"/>
      <c r="AT114" s="120"/>
      <c r="AZ114" s="116"/>
    </row>
    <row r="115" spans="1:52" x14ac:dyDescent="0.25">
      <c r="A115" s="137"/>
      <c r="B115" s="151"/>
      <c r="C115" s="137"/>
      <c r="D115" s="142"/>
      <c r="E115" s="137"/>
      <c r="F115" s="137"/>
      <c r="G115" s="177"/>
      <c r="H115" s="177"/>
      <c r="I115" s="137"/>
      <c r="J115" s="151"/>
      <c r="K115" s="163"/>
      <c r="L115" s="163"/>
      <c r="AI115" s="116"/>
      <c r="AK115" s="116"/>
      <c r="AM115" s="118"/>
      <c r="AN115" s="119"/>
      <c r="AT115" s="120"/>
      <c r="AZ115" s="116"/>
    </row>
    <row r="116" spans="1:52" x14ac:dyDescent="0.25">
      <c r="A116" s="137"/>
      <c r="B116" s="151"/>
      <c r="C116" s="137"/>
      <c r="D116" s="142"/>
      <c r="E116" s="137"/>
      <c r="F116" s="137"/>
      <c r="G116" s="177"/>
      <c r="H116" s="177"/>
      <c r="I116" s="137"/>
      <c r="J116" s="151"/>
      <c r="K116" s="163"/>
      <c r="L116" s="163"/>
      <c r="AI116" s="116"/>
      <c r="AK116" s="116"/>
      <c r="AM116" s="118"/>
      <c r="AN116" s="119"/>
      <c r="AT116" s="120"/>
      <c r="AZ116" s="116"/>
    </row>
    <row r="117" spans="1:52" x14ac:dyDescent="0.25">
      <c r="A117" s="137"/>
      <c r="B117" s="151"/>
      <c r="C117" s="137"/>
      <c r="D117" s="142"/>
      <c r="E117" s="137"/>
      <c r="F117" s="137"/>
      <c r="G117" s="177"/>
      <c r="H117" s="177"/>
      <c r="I117" s="137"/>
      <c r="J117" s="151"/>
      <c r="K117" s="163"/>
      <c r="L117" s="163"/>
      <c r="AI117" s="116"/>
      <c r="AK117" s="116"/>
      <c r="AM117" s="118"/>
      <c r="AN117" s="119"/>
      <c r="AT117" s="120"/>
      <c r="AZ117" s="116"/>
    </row>
    <row r="118" spans="1:52" x14ac:dyDescent="0.25">
      <c r="A118" s="137"/>
      <c r="B118" s="151"/>
      <c r="C118" s="137"/>
      <c r="D118" s="142"/>
      <c r="E118" s="137"/>
      <c r="F118" s="137"/>
      <c r="G118" s="177"/>
      <c r="H118" s="177"/>
      <c r="I118" s="137"/>
      <c r="J118" s="151"/>
      <c r="K118" s="163"/>
      <c r="L118" s="163"/>
      <c r="AI118" s="116"/>
      <c r="AK118" s="116"/>
      <c r="AM118" s="118"/>
      <c r="AN118" s="119"/>
      <c r="AT118" s="120"/>
      <c r="AZ118" s="116"/>
    </row>
    <row r="119" spans="1:52" x14ac:dyDescent="0.25">
      <c r="A119" s="137"/>
      <c r="B119" s="151"/>
      <c r="C119" s="137"/>
      <c r="D119" s="142"/>
      <c r="E119" s="137"/>
      <c r="F119" s="137"/>
      <c r="G119" s="177"/>
      <c r="H119" s="177"/>
      <c r="I119" s="137"/>
      <c r="J119" s="151"/>
      <c r="K119" s="163"/>
      <c r="L119" s="163"/>
    </row>
    <row r="120" spans="1:52" x14ac:dyDescent="0.25">
      <c r="A120" s="137"/>
      <c r="B120" s="151"/>
      <c r="C120" s="137"/>
      <c r="D120" s="142"/>
      <c r="E120" s="137"/>
      <c r="F120" s="137"/>
      <c r="G120" s="177"/>
      <c r="H120" s="177"/>
      <c r="I120" s="137"/>
      <c r="J120" s="151"/>
      <c r="K120" s="163"/>
      <c r="L120" s="163"/>
    </row>
    <row r="121" spans="1:52" x14ac:dyDescent="0.25">
      <c r="A121" s="137"/>
      <c r="B121" s="151"/>
      <c r="C121" s="137"/>
      <c r="D121" s="142"/>
      <c r="E121" s="137"/>
      <c r="F121" s="137"/>
      <c r="G121" s="177"/>
      <c r="H121" s="177"/>
      <c r="I121" s="137"/>
      <c r="J121" s="151"/>
      <c r="K121" s="163"/>
      <c r="L121" s="163"/>
    </row>
    <row r="122" spans="1:52" x14ac:dyDescent="0.25">
      <c r="A122" s="137"/>
      <c r="B122" s="151"/>
      <c r="C122" s="137"/>
      <c r="D122" s="142"/>
      <c r="E122" s="137"/>
      <c r="F122" s="137"/>
      <c r="G122" s="177"/>
      <c r="H122" s="177"/>
      <c r="I122" s="137"/>
      <c r="J122" s="151"/>
      <c r="K122" s="163"/>
      <c r="L122" s="163"/>
    </row>
    <row r="123" spans="1:52" x14ac:dyDescent="0.25">
      <c r="A123" s="137"/>
      <c r="B123" s="151"/>
      <c r="C123" s="137"/>
      <c r="D123" s="142"/>
      <c r="E123" s="137"/>
      <c r="F123" s="137"/>
      <c r="G123" s="177"/>
      <c r="H123" s="177"/>
      <c r="I123" s="137"/>
      <c r="J123" s="151"/>
      <c r="K123" s="163"/>
      <c r="L123" s="163"/>
    </row>
    <row r="124" spans="1:52" x14ac:dyDescent="0.25">
      <c r="A124" s="137"/>
      <c r="B124" s="151"/>
      <c r="C124" s="137"/>
      <c r="D124" s="142"/>
      <c r="E124" s="137"/>
      <c r="F124" s="137"/>
      <c r="G124" s="177"/>
      <c r="H124" s="177"/>
      <c r="I124" s="137"/>
      <c r="J124" s="151"/>
      <c r="K124" s="163"/>
      <c r="L124" s="163"/>
    </row>
    <row r="125" spans="1:52" x14ac:dyDescent="0.25">
      <c r="A125" s="137"/>
      <c r="B125" s="151"/>
      <c r="C125" s="137"/>
      <c r="D125" s="142"/>
      <c r="E125" s="137"/>
      <c r="F125" s="137"/>
      <c r="G125" s="177"/>
      <c r="H125" s="177"/>
      <c r="I125" s="137"/>
      <c r="J125" s="151"/>
      <c r="K125" s="163"/>
      <c r="L125" s="163"/>
    </row>
    <row r="126" spans="1:52" x14ac:dyDescent="0.25">
      <c r="A126" s="137"/>
      <c r="B126" s="151"/>
      <c r="C126" s="137"/>
      <c r="D126" s="142"/>
      <c r="E126" s="137"/>
      <c r="F126" s="137"/>
      <c r="G126" s="177"/>
      <c r="H126" s="177"/>
      <c r="I126" s="137"/>
      <c r="J126" s="151"/>
      <c r="K126" s="163"/>
      <c r="L126" s="163"/>
    </row>
    <row r="127" spans="1:52" x14ac:dyDescent="0.25">
      <c r="A127" s="137"/>
      <c r="B127" s="151"/>
      <c r="C127" s="137"/>
      <c r="D127" s="142"/>
      <c r="E127" s="137"/>
      <c r="F127" s="137"/>
      <c r="G127" s="177"/>
      <c r="H127" s="177"/>
      <c r="I127" s="137"/>
      <c r="J127" s="151"/>
      <c r="K127" s="163"/>
      <c r="L127" s="163"/>
    </row>
    <row r="128" spans="1:52" x14ac:dyDescent="0.25">
      <c r="A128" s="137"/>
      <c r="B128" s="151"/>
      <c r="C128" s="137"/>
      <c r="D128" s="142"/>
      <c r="E128" s="137"/>
      <c r="F128" s="137"/>
      <c r="G128" s="177"/>
      <c r="H128" s="177"/>
      <c r="I128" s="137"/>
      <c r="J128" s="151"/>
      <c r="K128" s="163"/>
      <c r="L128" s="163"/>
    </row>
    <row r="129" spans="1:12" x14ac:dyDescent="0.25">
      <c r="A129" s="137"/>
      <c r="B129" s="151"/>
      <c r="C129" s="137"/>
      <c r="D129" s="142"/>
      <c r="E129" s="137"/>
      <c r="F129" s="137"/>
      <c r="G129" s="177"/>
      <c r="H129" s="177"/>
      <c r="I129" s="137"/>
      <c r="J129" s="151"/>
      <c r="K129" s="163"/>
      <c r="L129" s="163"/>
    </row>
    <row r="130" spans="1:12" x14ac:dyDescent="0.25">
      <c r="A130" s="137"/>
      <c r="B130" s="151"/>
      <c r="C130" s="137"/>
      <c r="D130" s="142"/>
      <c r="E130" s="137"/>
      <c r="F130" s="137"/>
      <c r="G130" s="177"/>
      <c r="H130" s="177"/>
      <c r="I130" s="137"/>
      <c r="J130" s="151"/>
      <c r="K130" s="163"/>
      <c r="L130" s="163"/>
    </row>
    <row r="131" spans="1:12" x14ac:dyDescent="0.25">
      <c r="A131" s="137"/>
      <c r="B131" s="151"/>
      <c r="C131" s="137"/>
      <c r="D131" s="142"/>
      <c r="E131" s="137"/>
      <c r="F131" s="137"/>
      <c r="G131" s="177"/>
      <c r="H131" s="177"/>
      <c r="I131" s="137"/>
      <c r="J131" s="151"/>
      <c r="K131" s="163"/>
      <c r="L131" s="163"/>
    </row>
    <row r="132" spans="1:12" x14ac:dyDescent="0.25">
      <c r="A132" s="137"/>
      <c r="B132" s="151"/>
      <c r="C132" s="137"/>
      <c r="D132" s="142"/>
      <c r="E132" s="137"/>
      <c r="F132" s="137"/>
      <c r="G132" s="177"/>
      <c r="H132" s="177"/>
      <c r="I132" s="137"/>
      <c r="J132" s="151"/>
      <c r="K132" s="163"/>
      <c r="L132" s="163"/>
    </row>
    <row r="133" spans="1:12" x14ac:dyDescent="0.25">
      <c r="A133" s="137"/>
      <c r="B133" s="151"/>
      <c r="C133" s="137"/>
      <c r="D133" s="142"/>
      <c r="E133" s="137"/>
      <c r="F133" s="137"/>
      <c r="G133" s="177"/>
      <c r="H133" s="177"/>
      <c r="I133" s="137"/>
      <c r="J133" s="151"/>
      <c r="K133" s="163"/>
      <c r="L133" s="163"/>
    </row>
    <row r="134" spans="1:12" x14ac:dyDescent="0.25">
      <c r="A134" s="137"/>
      <c r="B134" s="151"/>
      <c r="C134" s="137"/>
      <c r="D134" s="142"/>
      <c r="E134" s="137"/>
      <c r="F134" s="137"/>
      <c r="G134" s="177"/>
      <c r="H134" s="177"/>
      <c r="I134" s="137"/>
      <c r="J134" s="151"/>
      <c r="K134" s="163"/>
      <c r="L134" s="163"/>
    </row>
    <row r="135" spans="1:12" x14ac:dyDescent="0.25">
      <c r="A135" s="137"/>
      <c r="B135" s="151"/>
      <c r="C135" s="137"/>
      <c r="D135" s="142"/>
      <c r="E135" s="137"/>
      <c r="F135" s="137"/>
      <c r="G135" s="177"/>
      <c r="H135" s="177"/>
      <c r="I135" s="137"/>
      <c r="J135" s="151"/>
      <c r="K135" s="163"/>
      <c r="L135" s="163"/>
    </row>
    <row r="136" spans="1:12" x14ac:dyDescent="0.25">
      <c r="A136" s="137"/>
      <c r="B136" s="151"/>
      <c r="C136" s="137"/>
      <c r="D136" s="142"/>
      <c r="E136" s="137"/>
      <c r="F136" s="137"/>
      <c r="G136" s="177"/>
      <c r="H136" s="177"/>
      <c r="I136" s="137"/>
      <c r="J136" s="151"/>
      <c r="K136" s="163"/>
      <c r="L136" s="163"/>
    </row>
    <row r="137" spans="1:12" x14ac:dyDescent="0.25">
      <c r="A137" s="137"/>
      <c r="B137" s="151"/>
      <c r="C137" s="137"/>
      <c r="D137" s="142"/>
      <c r="E137" s="137"/>
      <c r="F137" s="137"/>
      <c r="G137" s="177"/>
      <c r="H137" s="177"/>
      <c r="I137" s="137"/>
      <c r="J137" s="151"/>
      <c r="K137" s="163"/>
      <c r="L137" s="163"/>
    </row>
    <row r="138" spans="1:12" x14ac:dyDescent="0.25">
      <c r="A138" s="137"/>
      <c r="B138" s="151"/>
      <c r="C138" s="137"/>
      <c r="D138" s="142"/>
      <c r="E138" s="137"/>
      <c r="F138" s="137"/>
      <c r="G138" s="177"/>
      <c r="H138" s="177"/>
      <c r="I138" s="137"/>
      <c r="J138" s="151"/>
      <c r="K138" s="163"/>
      <c r="L138" s="163"/>
    </row>
    <row r="139" spans="1:12" x14ac:dyDescent="0.25">
      <c r="A139" s="137"/>
      <c r="B139" s="151"/>
      <c r="C139" s="137"/>
      <c r="D139" s="142"/>
      <c r="E139" s="137"/>
      <c r="F139" s="137"/>
      <c r="G139" s="177"/>
      <c r="H139" s="177"/>
      <c r="I139" s="137"/>
      <c r="J139" s="151"/>
      <c r="K139" s="163"/>
      <c r="L139" s="163"/>
    </row>
    <row r="140" spans="1:12" x14ac:dyDescent="0.25">
      <c r="A140" s="137"/>
      <c r="B140" s="151"/>
      <c r="C140" s="137"/>
      <c r="D140" s="142"/>
      <c r="E140" s="137"/>
      <c r="F140" s="137"/>
      <c r="G140" s="177"/>
      <c r="H140" s="177"/>
      <c r="I140" s="137"/>
      <c r="J140" s="151"/>
      <c r="K140" s="163"/>
      <c r="L140" s="163"/>
    </row>
    <row r="141" spans="1:12" x14ac:dyDescent="0.25">
      <c r="A141" s="137"/>
      <c r="B141" s="151"/>
      <c r="C141" s="137"/>
      <c r="D141" s="142"/>
      <c r="E141" s="137"/>
      <c r="F141" s="137"/>
      <c r="G141" s="177"/>
      <c r="H141" s="177"/>
      <c r="I141" s="137"/>
      <c r="J141" s="151"/>
      <c r="K141" s="163"/>
      <c r="L141" s="163"/>
    </row>
    <row r="142" spans="1:12" x14ac:dyDescent="0.25">
      <c r="A142" s="137"/>
      <c r="B142" s="151"/>
      <c r="C142" s="137"/>
      <c r="D142" s="142"/>
      <c r="E142" s="137"/>
      <c r="F142" s="137"/>
      <c r="G142" s="177"/>
      <c r="H142" s="177"/>
      <c r="I142" s="137"/>
      <c r="J142" s="151"/>
      <c r="K142" s="163"/>
      <c r="L142" s="163"/>
    </row>
    <row r="143" spans="1:12" x14ac:dyDescent="0.25">
      <c r="A143" s="137"/>
      <c r="B143" s="151"/>
      <c r="C143" s="137"/>
      <c r="D143" s="142"/>
      <c r="E143" s="137"/>
      <c r="F143" s="137"/>
      <c r="G143" s="177"/>
      <c r="H143" s="177"/>
      <c r="I143" s="137"/>
      <c r="J143" s="151"/>
      <c r="K143" s="163"/>
      <c r="L143" s="163"/>
    </row>
    <row r="144" spans="1:12" x14ac:dyDescent="0.25">
      <c r="A144" s="137"/>
      <c r="B144" s="151"/>
      <c r="C144" s="137"/>
      <c r="D144" s="142"/>
      <c r="E144" s="137"/>
      <c r="F144" s="137"/>
      <c r="G144" s="177"/>
      <c r="H144" s="177"/>
      <c r="I144" s="137"/>
      <c r="J144" s="151"/>
      <c r="K144" s="163"/>
      <c r="L144" s="163"/>
    </row>
    <row r="145" spans="1:12" x14ac:dyDescent="0.25">
      <c r="A145" s="137"/>
      <c r="B145" s="151"/>
      <c r="C145" s="137"/>
      <c r="D145" s="142"/>
      <c r="E145" s="137"/>
      <c r="F145" s="137"/>
      <c r="G145" s="177"/>
      <c r="H145" s="177"/>
      <c r="I145" s="137"/>
      <c r="J145" s="151"/>
      <c r="K145" s="163"/>
      <c r="L145" s="163"/>
    </row>
    <row r="146" spans="1:12" x14ac:dyDescent="0.25">
      <c r="A146" s="137"/>
      <c r="B146" s="151"/>
      <c r="C146" s="137"/>
      <c r="D146" s="142"/>
      <c r="E146" s="137"/>
      <c r="F146" s="137"/>
      <c r="G146" s="177"/>
      <c r="H146" s="177"/>
      <c r="I146" s="137"/>
      <c r="J146" s="151"/>
      <c r="K146" s="163"/>
      <c r="L146" s="163"/>
    </row>
    <row r="147" spans="1:12" x14ac:dyDescent="0.25">
      <c r="A147" s="137"/>
      <c r="B147" s="151"/>
      <c r="C147" s="137"/>
      <c r="D147" s="142"/>
      <c r="E147" s="137"/>
      <c r="F147" s="137"/>
      <c r="G147" s="177"/>
      <c r="H147" s="177"/>
      <c r="I147" s="137"/>
      <c r="J147" s="151"/>
      <c r="K147" s="163"/>
      <c r="L147" s="163"/>
    </row>
    <row r="148" spans="1:12" x14ac:dyDescent="0.25">
      <c r="A148" s="137"/>
      <c r="B148" s="151"/>
      <c r="C148" s="137"/>
      <c r="D148" s="142"/>
      <c r="E148" s="137"/>
      <c r="F148" s="137"/>
      <c r="G148" s="177"/>
      <c r="H148" s="177"/>
      <c r="I148" s="137"/>
      <c r="J148" s="151"/>
      <c r="K148" s="163"/>
      <c r="L148" s="163"/>
    </row>
    <row r="149" spans="1:12" x14ac:dyDescent="0.25">
      <c r="A149" s="137"/>
      <c r="B149" s="151"/>
      <c r="C149" s="137"/>
      <c r="D149" s="142"/>
      <c r="E149" s="137"/>
      <c r="F149" s="137"/>
      <c r="G149" s="177"/>
      <c r="H149" s="177"/>
      <c r="I149" s="137"/>
      <c r="J149" s="151"/>
      <c r="K149" s="163"/>
      <c r="L149" s="163"/>
    </row>
    <row r="150" spans="1:12" x14ac:dyDescent="0.25">
      <c r="A150" s="137"/>
      <c r="B150" s="151"/>
      <c r="C150" s="137"/>
      <c r="D150" s="142"/>
      <c r="E150" s="137"/>
      <c r="F150" s="137"/>
      <c r="G150" s="177"/>
      <c r="H150" s="177"/>
      <c r="I150" s="137"/>
      <c r="J150" s="151"/>
      <c r="K150" s="163"/>
      <c r="L150" s="163"/>
    </row>
    <row r="151" spans="1:12" x14ac:dyDescent="0.25">
      <c r="A151" s="137"/>
      <c r="B151" s="151"/>
      <c r="C151" s="137"/>
      <c r="D151" s="142"/>
      <c r="E151" s="137"/>
      <c r="F151" s="137"/>
      <c r="G151" s="177"/>
      <c r="H151" s="177"/>
      <c r="I151" s="137"/>
      <c r="J151" s="151"/>
      <c r="K151" s="163"/>
      <c r="L151" s="163"/>
    </row>
    <row r="152" spans="1:12" x14ac:dyDescent="0.25">
      <c r="A152" s="137"/>
      <c r="B152" s="151"/>
      <c r="C152" s="137"/>
      <c r="D152" s="142"/>
      <c r="E152" s="137"/>
      <c r="F152" s="137"/>
      <c r="G152" s="177"/>
      <c r="H152" s="177"/>
      <c r="I152" s="137"/>
      <c r="J152" s="151"/>
      <c r="K152" s="163"/>
      <c r="L152" s="163"/>
    </row>
    <row r="153" spans="1:12" x14ac:dyDescent="0.25">
      <c r="A153" s="137"/>
      <c r="B153" s="151"/>
      <c r="C153" s="137"/>
      <c r="D153" s="142"/>
      <c r="E153" s="137"/>
      <c r="F153" s="137"/>
      <c r="G153" s="177"/>
      <c r="H153" s="177"/>
      <c r="I153" s="137"/>
      <c r="J153" s="151"/>
      <c r="K153" s="163"/>
      <c r="L153" s="163"/>
    </row>
    <row r="154" spans="1:12" x14ac:dyDescent="0.25">
      <c r="A154" s="137"/>
      <c r="B154" s="151"/>
      <c r="C154" s="137"/>
      <c r="D154" s="142"/>
      <c r="E154" s="137"/>
      <c r="F154" s="137"/>
      <c r="G154" s="177"/>
      <c r="H154" s="177"/>
      <c r="I154" s="137"/>
      <c r="J154" s="151"/>
      <c r="K154" s="163"/>
      <c r="L154" s="163"/>
    </row>
    <row r="155" spans="1:12" x14ac:dyDescent="0.25">
      <c r="A155" s="137"/>
      <c r="B155" s="151"/>
      <c r="C155" s="137"/>
      <c r="D155" s="142"/>
      <c r="E155" s="137"/>
      <c r="F155" s="137"/>
      <c r="G155" s="177"/>
      <c r="H155" s="177"/>
      <c r="I155" s="137"/>
      <c r="J155" s="151"/>
      <c r="K155" s="163"/>
      <c r="L155" s="163"/>
    </row>
    <row r="156" spans="1:12" x14ac:dyDescent="0.25">
      <c r="A156" s="137"/>
      <c r="B156" s="151"/>
      <c r="C156" s="137"/>
      <c r="D156" s="142"/>
      <c r="E156" s="137"/>
      <c r="F156" s="137"/>
      <c r="G156" s="177"/>
      <c r="H156" s="177"/>
      <c r="I156" s="137"/>
      <c r="J156" s="151"/>
      <c r="K156" s="163"/>
      <c r="L156" s="163"/>
    </row>
    <row r="157" spans="1:12" x14ac:dyDescent="0.25">
      <c r="A157" s="137"/>
      <c r="B157" s="151"/>
      <c r="C157" s="137"/>
      <c r="D157" s="142"/>
      <c r="E157" s="137"/>
      <c r="F157" s="137"/>
      <c r="G157" s="177"/>
      <c r="H157" s="177"/>
      <c r="I157" s="137"/>
      <c r="J157" s="151"/>
      <c r="K157" s="163"/>
      <c r="L157" s="163"/>
    </row>
    <row r="158" spans="1:12" x14ac:dyDescent="0.25">
      <c r="A158" s="137"/>
      <c r="B158" s="151"/>
      <c r="C158" s="137"/>
      <c r="D158" s="142"/>
      <c r="E158" s="137"/>
      <c r="F158" s="137"/>
      <c r="G158" s="177"/>
      <c r="H158" s="177"/>
      <c r="I158" s="137"/>
      <c r="J158" s="151"/>
      <c r="K158" s="163"/>
      <c r="L158" s="163"/>
    </row>
    <row r="159" spans="1:12" x14ac:dyDescent="0.25">
      <c r="A159" s="137"/>
      <c r="B159" s="151"/>
      <c r="C159" s="137"/>
      <c r="D159" s="142"/>
      <c r="E159" s="137"/>
      <c r="F159" s="137"/>
      <c r="G159" s="177"/>
      <c r="H159" s="177"/>
      <c r="I159" s="137"/>
      <c r="J159" s="151"/>
      <c r="K159" s="163"/>
      <c r="L159" s="163"/>
    </row>
    <row r="160" spans="1:12" x14ac:dyDescent="0.25">
      <c r="A160" s="137"/>
      <c r="B160" s="151"/>
      <c r="C160" s="137"/>
      <c r="D160" s="142"/>
      <c r="E160" s="137"/>
      <c r="F160" s="137"/>
      <c r="G160" s="177"/>
      <c r="H160" s="177"/>
      <c r="I160" s="137"/>
      <c r="J160" s="151"/>
      <c r="K160" s="163"/>
      <c r="L160" s="163"/>
    </row>
    <row r="161" spans="1:12" x14ac:dyDescent="0.25">
      <c r="A161" s="137"/>
      <c r="B161" s="151"/>
      <c r="C161" s="137"/>
      <c r="D161" s="142"/>
      <c r="E161" s="137"/>
      <c r="F161" s="137"/>
      <c r="G161" s="177"/>
      <c r="H161" s="177"/>
      <c r="I161" s="137"/>
      <c r="J161" s="151"/>
      <c r="K161" s="163"/>
      <c r="L161" s="163"/>
    </row>
    <row r="162" spans="1:12" x14ac:dyDescent="0.25">
      <c r="A162" s="137"/>
      <c r="B162" s="151"/>
      <c r="C162" s="137"/>
      <c r="D162" s="142"/>
      <c r="E162" s="137"/>
      <c r="F162" s="137"/>
      <c r="G162" s="177"/>
      <c r="H162" s="177"/>
      <c r="I162" s="137"/>
      <c r="J162" s="151"/>
      <c r="K162" s="163"/>
      <c r="L162" s="163"/>
    </row>
    <row r="163" spans="1:12" x14ac:dyDescent="0.25">
      <c r="A163" s="137"/>
      <c r="B163" s="151"/>
      <c r="C163" s="137"/>
      <c r="D163" s="142"/>
      <c r="E163" s="137"/>
      <c r="F163" s="137"/>
      <c r="G163" s="177"/>
      <c r="H163" s="177"/>
      <c r="I163" s="137"/>
      <c r="J163" s="151"/>
      <c r="K163" s="163"/>
      <c r="L163" s="163"/>
    </row>
    <row r="164" spans="1:12" x14ac:dyDescent="0.25">
      <c r="A164" s="137"/>
      <c r="B164" s="151"/>
      <c r="C164" s="137"/>
      <c r="D164" s="142"/>
      <c r="E164" s="137"/>
      <c r="F164" s="137"/>
      <c r="G164" s="177"/>
      <c r="H164" s="177"/>
      <c r="I164" s="137"/>
      <c r="J164" s="151"/>
      <c r="K164" s="163"/>
      <c r="L164" s="163"/>
    </row>
    <row r="165" spans="1:12" x14ac:dyDescent="0.25">
      <c r="A165" s="137"/>
      <c r="B165" s="151"/>
      <c r="C165" s="137"/>
      <c r="D165" s="142"/>
      <c r="E165" s="137"/>
      <c r="F165" s="137"/>
      <c r="G165" s="177"/>
      <c r="H165" s="177"/>
      <c r="I165" s="137"/>
      <c r="J165" s="151"/>
      <c r="K165" s="163"/>
      <c r="L165" s="163"/>
    </row>
    <row r="166" spans="1:12" x14ac:dyDescent="0.25">
      <c r="A166" s="137"/>
      <c r="B166" s="151"/>
      <c r="C166" s="137"/>
      <c r="D166" s="142"/>
      <c r="E166" s="137"/>
      <c r="F166" s="137"/>
      <c r="G166" s="177"/>
      <c r="H166" s="177"/>
      <c r="I166" s="137"/>
      <c r="J166" s="151"/>
      <c r="K166" s="163"/>
      <c r="L166" s="163"/>
    </row>
    <row r="167" spans="1:12" x14ac:dyDescent="0.25">
      <c r="A167" s="137"/>
      <c r="B167" s="151"/>
      <c r="C167" s="137"/>
      <c r="D167" s="142"/>
      <c r="E167" s="137"/>
      <c r="F167" s="137"/>
      <c r="G167" s="177"/>
      <c r="H167" s="177"/>
      <c r="I167" s="137"/>
      <c r="J167" s="151"/>
      <c r="K167" s="163"/>
      <c r="L167" s="163"/>
    </row>
    <row r="168" spans="1:12" x14ac:dyDescent="0.25">
      <c r="A168" s="137"/>
      <c r="B168" s="151"/>
      <c r="C168" s="137"/>
      <c r="D168" s="142"/>
      <c r="E168" s="137"/>
      <c r="F168" s="137"/>
      <c r="G168" s="177"/>
      <c r="H168" s="177"/>
      <c r="I168" s="137"/>
      <c r="J168" s="151"/>
      <c r="K168" s="163"/>
      <c r="L168" s="163"/>
    </row>
    <row r="169" spans="1:12" x14ac:dyDescent="0.25">
      <c r="A169" s="137"/>
      <c r="B169" s="151"/>
      <c r="C169" s="137"/>
      <c r="D169" s="142"/>
      <c r="E169" s="137"/>
      <c r="F169" s="137"/>
      <c r="G169" s="177"/>
      <c r="H169" s="177"/>
      <c r="I169" s="137"/>
      <c r="J169" s="151"/>
      <c r="K169" s="163"/>
      <c r="L169" s="163"/>
    </row>
    <row r="170" spans="1:12" x14ac:dyDescent="0.25">
      <c r="A170" s="137"/>
      <c r="B170" s="151"/>
      <c r="C170" s="137"/>
      <c r="D170" s="142"/>
      <c r="E170" s="137"/>
      <c r="F170" s="137"/>
      <c r="G170" s="177"/>
      <c r="H170" s="177"/>
      <c r="I170" s="137"/>
      <c r="J170" s="151"/>
      <c r="K170" s="163"/>
      <c r="L170" s="163"/>
    </row>
    <row r="171" spans="1:12" x14ac:dyDescent="0.25">
      <c r="A171" s="137"/>
      <c r="B171" s="151"/>
      <c r="C171" s="137"/>
      <c r="D171" s="142"/>
      <c r="E171" s="137"/>
      <c r="F171" s="137"/>
      <c r="G171" s="177"/>
      <c r="H171" s="177"/>
      <c r="I171" s="137"/>
      <c r="J171" s="151"/>
      <c r="K171" s="163"/>
      <c r="L171" s="163"/>
    </row>
    <row r="172" spans="1:12" x14ac:dyDescent="0.25">
      <c r="A172" s="137"/>
      <c r="B172" s="151"/>
      <c r="C172" s="137"/>
      <c r="D172" s="142"/>
      <c r="E172" s="137"/>
      <c r="F172" s="137"/>
      <c r="G172" s="177"/>
      <c r="H172" s="177"/>
      <c r="I172" s="137"/>
      <c r="J172" s="151"/>
      <c r="K172" s="163"/>
      <c r="L172" s="163"/>
    </row>
    <row r="173" spans="1:12" x14ac:dyDescent="0.25">
      <c r="A173" s="137"/>
      <c r="B173" s="151"/>
      <c r="C173" s="137"/>
      <c r="D173" s="142"/>
      <c r="E173" s="137"/>
      <c r="F173" s="137"/>
      <c r="G173" s="177"/>
      <c r="H173" s="177"/>
      <c r="I173" s="137"/>
      <c r="J173" s="151"/>
      <c r="K173" s="163"/>
      <c r="L173" s="163"/>
    </row>
    <row r="174" spans="1:12" x14ac:dyDescent="0.25">
      <c r="A174" s="137"/>
      <c r="B174" s="151"/>
      <c r="C174" s="137"/>
      <c r="D174" s="142"/>
      <c r="E174" s="137"/>
      <c r="F174" s="137"/>
      <c r="G174" s="177"/>
      <c r="H174" s="177"/>
      <c r="I174" s="137"/>
      <c r="J174" s="151"/>
      <c r="K174" s="163"/>
      <c r="L174" s="163"/>
    </row>
    <row r="175" spans="1:12" x14ac:dyDescent="0.25">
      <c r="A175" s="137"/>
      <c r="B175" s="151"/>
      <c r="C175" s="137"/>
      <c r="D175" s="142"/>
      <c r="E175" s="137"/>
      <c r="F175" s="137"/>
      <c r="G175" s="177"/>
      <c r="H175" s="177"/>
      <c r="I175" s="137"/>
      <c r="J175" s="151"/>
      <c r="K175" s="163"/>
      <c r="L175" s="163"/>
    </row>
    <row r="176" spans="1:12" x14ac:dyDescent="0.25">
      <c r="A176" s="137"/>
      <c r="B176" s="151"/>
      <c r="C176" s="137"/>
      <c r="D176" s="142"/>
      <c r="E176" s="137"/>
      <c r="F176" s="137"/>
      <c r="G176" s="177"/>
      <c r="H176" s="177"/>
      <c r="I176" s="137"/>
      <c r="J176" s="151"/>
      <c r="K176" s="163"/>
      <c r="L176" s="163"/>
    </row>
    <row r="177" spans="1:12" x14ac:dyDescent="0.25">
      <c r="A177" s="137"/>
      <c r="B177" s="151"/>
      <c r="C177" s="137"/>
      <c r="D177" s="142"/>
      <c r="E177" s="137"/>
      <c r="F177" s="137"/>
      <c r="G177" s="177"/>
      <c r="H177" s="177"/>
      <c r="I177" s="137"/>
      <c r="J177" s="151"/>
      <c r="K177" s="163"/>
      <c r="L177" s="163"/>
    </row>
    <row r="178" spans="1:12" x14ac:dyDescent="0.25">
      <c r="A178" s="137"/>
      <c r="B178" s="151"/>
      <c r="C178" s="137"/>
      <c r="D178" s="142"/>
      <c r="E178" s="137"/>
      <c r="F178" s="137"/>
      <c r="G178" s="177"/>
      <c r="H178" s="177"/>
      <c r="I178" s="137"/>
      <c r="J178" s="151"/>
      <c r="K178" s="163"/>
      <c r="L178" s="163"/>
    </row>
    <row r="179" spans="1:12" x14ac:dyDescent="0.25">
      <c r="A179" s="137"/>
      <c r="B179" s="151"/>
      <c r="C179" s="137"/>
      <c r="D179" s="142"/>
      <c r="E179" s="137"/>
      <c r="F179" s="137"/>
      <c r="G179" s="177"/>
      <c r="H179" s="177"/>
      <c r="I179" s="137"/>
      <c r="J179" s="151"/>
      <c r="K179" s="163"/>
      <c r="L179" s="163"/>
    </row>
    <row r="180" spans="1:12" x14ac:dyDescent="0.25">
      <c r="A180" s="137"/>
      <c r="B180" s="151"/>
      <c r="C180" s="137"/>
      <c r="D180" s="142"/>
      <c r="E180" s="137"/>
      <c r="F180" s="137"/>
      <c r="G180" s="177"/>
      <c r="H180" s="177"/>
      <c r="I180" s="137"/>
      <c r="J180" s="151"/>
      <c r="K180" s="163"/>
      <c r="L180" s="163"/>
    </row>
    <row r="181" spans="1:12" x14ac:dyDescent="0.25">
      <c r="A181" s="137"/>
      <c r="B181" s="151"/>
      <c r="C181" s="137"/>
      <c r="D181" s="142"/>
      <c r="E181" s="137"/>
      <c r="F181" s="137"/>
      <c r="G181" s="177"/>
      <c r="H181" s="177"/>
      <c r="I181" s="137"/>
      <c r="J181" s="151"/>
      <c r="K181" s="163"/>
      <c r="L181" s="163"/>
    </row>
    <row r="182" spans="1:12" x14ac:dyDescent="0.25">
      <c r="A182" s="137"/>
      <c r="B182" s="151"/>
      <c r="C182" s="137"/>
      <c r="D182" s="142"/>
      <c r="E182" s="137"/>
      <c r="F182" s="137"/>
      <c r="G182" s="177"/>
      <c r="H182" s="177"/>
      <c r="I182" s="137"/>
      <c r="J182" s="151"/>
      <c r="K182" s="163"/>
      <c r="L182" s="163"/>
    </row>
    <row r="183" spans="1:12" x14ac:dyDescent="0.25">
      <c r="A183" s="137"/>
      <c r="B183" s="151"/>
      <c r="C183" s="137"/>
      <c r="D183" s="142"/>
      <c r="E183" s="137"/>
      <c r="F183" s="137"/>
      <c r="G183" s="177"/>
      <c r="H183" s="177"/>
      <c r="I183" s="137"/>
      <c r="J183" s="151"/>
      <c r="K183" s="163"/>
      <c r="L183" s="163"/>
    </row>
    <row r="184" spans="1:12" x14ac:dyDescent="0.25">
      <c r="A184" s="137"/>
      <c r="B184" s="151"/>
      <c r="C184" s="137"/>
      <c r="D184" s="142"/>
      <c r="E184" s="137"/>
      <c r="F184" s="137"/>
      <c r="G184" s="177"/>
      <c r="H184" s="177"/>
      <c r="I184" s="137"/>
      <c r="J184" s="151"/>
      <c r="K184" s="163"/>
      <c r="L184" s="163"/>
    </row>
    <row r="185" spans="1:12" x14ac:dyDescent="0.25">
      <c r="A185" s="137"/>
      <c r="B185" s="151"/>
      <c r="C185" s="137"/>
      <c r="D185" s="142"/>
      <c r="E185" s="137"/>
      <c r="F185" s="137"/>
      <c r="G185" s="177"/>
      <c r="H185" s="177"/>
      <c r="I185" s="137"/>
      <c r="J185" s="151"/>
      <c r="K185" s="163"/>
      <c r="L185" s="163"/>
    </row>
    <row r="186" spans="1:12" x14ac:dyDescent="0.25">
      <c r="A186" s="137"/>
      <c r="B186" s="151"/>
      <c r="C186" s="137"/>
      <c r="D186" s="142"/>
      <c r="E186" s="137"/>
      <c r="F186" s="137"/>
      <c r="G186" s="177"/>
      <c r="H186" s="177"/>
      <c r="I186" s="137"/>
      <c r="J186" s="151"/>
      <c r="K186" s="163"/>
      <c r="L186" s="163"/>
    </row>
    <row r="187" spans="1:12" x14ac:dyDescent="0.25">
      <c r="A187" s="137"/>
      <c r="B187" s="151"/>
      <c r="C187" s="137"/>
      <c r="D187" s="142"/>
      <c r="E187" s="137"/>
      <c r="F187" s="137"/>
      <c r="G187" s="177"/>
      <c r="H187" s="177"/>
      <c r="I187" s="137"/>
      <c r="J187" s="151"/>
      <c r="K187" s="163"/>
      <c r="L187" s="163"/>
    </row>
    <row r="188" spans="1:12" x14ac:dyDescent="0.25">
      <c r="A188" s="137"/>
      <c r="B188" s="151"/>
      <c r="C188" s="137"/>
      <c r="D188" s="142"/>
      <c r="E188" s="137"/>
      <c r="F188" s="137"/>
      <c r="G188" s="177"/>
      <c r="H188" s="177"/>
      <c r="I188" s="137"/>
      <c r="J188" s="151"/>
      <c r="K188" s="163"/>
      <c r="L188" s="163"/>
    </row>
    <row r="189" spans="1:12" x14ac:dyDescent="0.25">
      <c r="A189" s="137"/>
      <c r="B189" s="151"/>
      <c r="C189" s="137"/>
      <c r="D189" s="142"/>
      <c r="E189" s="137"/>
      <c r="F189" s="137"/>
      <c r="G189" s="177"/>
      <c r="H189" s="177"/>
      <c r="I189" s="137"/>
      <c r="J189" s="151"/>
      <c r="K189" s="163"/>
      <c r="L189" s="163"/>
    </row>
    <row r="190" spans="1:12" x14ac:dyDescent="0.25">
      <c r="A190" s="137"/>
      <c r="B190" s="151"/>
      <c r="C190" s="137"/>
      <c r="D190" s="142"/>
      <c r="E190" s="137"/>
      <c r="F190" s="137"/>
      <c r="G190" s="177"/>
      <c r="H190" s="177"/>
      <c r="I190" s="137"/>
      <c r="J190" s="151"/>
      <c r="K190" s="163"/>
      <c r="L190" s="163"/>
    </row>
    <row r="191" spans="1:12" x14ac:dyDescent="0.25">
      <c r="A191" s="137"/>
      <c r="B191" s="151"/>
      <c r="C191" s="137"/>
      <c r="D191" s="142"/>
      <c r="E191" s="137"/>
      <c r="F191" s="137"/>
      <c r="G191" s="177"/>
      <c r="H191" s="177"/>
      <c r="I191" s="137"/>
      <c r="J191" s="151"/>
      <c r="K191" s="163"/>
      <c r="L191" s="163"/>
    </row>
    <row r="192" spans="1:12" x14ac:dyDescent="0.25">
      <c r="A192" s="137"/>
      <c r="B192" s="151"/>
      <c r="C192" s="137"/>
      <c r="D192" s="142"/>
      <c r="E192" s="137"/>
      <c r="F192" s="137"/>
      <c r="G192" s="177"/>
      <c r="H192" s="177"/>
      <c r="I192" s="137"/>
      <c r="J192" s="151"/>
      <c r="K192" s="163"/>
      <c r="L192" s="163"/>
    </row>
    <row r="193" spans="1:12" x14ac:dyDescent="0.25">
      <c r="A193" s="137"/>
      <c r="B193" s="151"/>
      <c r="C193" s="137"/>
      <c r="D193" s="142"/>
      <c r="E193" s="137"/>
      <c r="F193" s="137"/>
      <c r="G193" s="177"/>
      <c r="H193" s="177"/>
      <c r="I193" s="137"/>
      <c r="J193" s="151"/>
      <c r="K193" s="163"/>
      <c r="L193" s="163"/>
    </row>
    <row r="194" spans="1:12" x14ac:dyDescent="0.25">
      <c r="A194" s="137"/>
      <c r="B194" s="151"/>
      <c r="C194" s="137"/>
      <c r="D194" s="142"/>
      <c r="E194" s="137"/>
      <c r="F194" s="137"/>
      <c r="G194" s="177"/>
      <c r="H194" s="177"/>
      <c r="I194" s="137"/>
      <c r="J194" s="151"/>
      <c r="K194" s="163"/>
      <c r="L194" s="163"/>
    </row>
    <row r="195" spans="1:12" x14ac:dyDescent="0.25">
      <c r="A195" s="137"/>
      <c r="B195" s="151"/>
      <c r="C195" s="137"/>
      <c r="D195" s="142"/>
      <c r="E195" s="137"/>
      <c r="F195" s="137"/>
      <c r="G195" s="177"/>
      <c r="H195" s="177"/>
      <c r="I195" s="137"/>
      <c r="J195" s="151"/>
      <c r="K195" s="163"/>
      <c r="L195" s="163"/>
    </row>
    <row r="196" spans="1:12" x14ac:dyDescent="0.25">
      <c r="A196" s="137"/>
      <c r="B196" s="151"/>
      <c r="C196" s="137"/>
      <c r="D196" s="142"/>
      <c r="E196" s="137"/>
      <c r="F196" s="137"/>
      <c r="G196" s="177"/>
      <c r="H196" s="177"/>
      <c r="I196" s="137"/>
      <c r="J196" s="151"/>
      <c r="K196" s="163"/>
      <c r="L196" s="163"/>
    </row>
    <row r="197" spans="1:12" x14ac:dyDescent="0.25">
      <c r="A197" s="137"/>
      <c r="B197" s="151"/>
      <c r="C197" s="137"/>
      <c r="D197" s="142"/>
      <c r="E197" s="137"/>
      <c r="F197" s="137"/>
      <c r="G197" s="177"/>
      <c r="H197" s="177"/>
      <c r="I197" s="137"/>
      <c r="J197" s="151"/>
      <c r="K197" s="163"/>
      <c r="L197" s="163"/>
    </row>
    <row r="198" spans="1:12" x14ac:dyDescent="0.25">
      <c r="A198" s="137"/>
      <c r="B198" s="151"/>
      <c r="C198" s="137"/>
      <c r="D198" s="142"/>
      <c r="E198" s="137"/>
      <c r="F198" s="137"/>
      <c r="G198" s="177"/>
      <c r="H198" s="177"/>
      <c r="I198" s="137"/>
      <c r="J198" s="151"/>
      <c r="K198" s="163"/>
      <c r="L198" s="163"/>
    </row>
    <row r="199" spans="1:12" x14ac:dyDescent="0.25">
      <c r="A199" s="137"/>
      <c r="B199" s="151"/>
      <c r="C199" s="137"/>
      <c r="D199" s="142"/>
      <c r="E199" s="137"/>
      <c r="F199" s="137"/>
      <c r="G199" s="177"/>
      <c r="H199" s="177"/>
      <c r="I199" s="137"/>
      <c r="J199" s="151"/>
      <c r="K199" s="163"/>
      <c r="L199" s="163"/>
    </row>
    <row r="200" spans="1:12" x14ac:dyDescent="0.25">
      <c r="A200" s="137"/>
      <c r="B200" s="151"/>
      <c r="C200" s="137"/>
      <c r="D200" s="142"/>
      <c r="E200" s="137"/>
      <c r="F200" s="137"/>
      <c r="G200" s="177"/>
      <c r="H200" s="177"/>
      <c r="I200" s="137"/>
      <c r="J200" s="151"/>
      <c r="K200" s="163"/>
      <c r="L200" s="163"/>
    </row>
    <row r="201" spans="1:12" x14ac:dyDescent="0.25">
      <c r="A201" s="137"/>
      <c r="B201" s="151"/>
      <c r="C201" s="137"/>
      <c r="D201" s="142"/>
      <c r="E201" s="137"/>
      <c r="F201" s="137"/>
      <c r="G201" s="177"/>
      <c r="H201" s="177"/>
      <c r="I201" s="137"/>
      <c r="J201" s="151"/>
      <c r="K201" s="163"/>
      <c r="L201" s="163"/>
    </row>
    <row r="202" spans="1:12" x14ac:dyDescent="0.25">
      <c r="A202" s="137"/>
      <c r="B202" s="151"/>
      <c r="C202" s="137"/>
      <c r="D202" s="142"/>
      <c r="E202" s="137"/>
      <c r="F202" s="137"/>
      <c r="G202" s="177"/>
      <c r="H202" s="177"/>
      <c r="I202" s="137"/>
      <c r="J202" s="151"/>
      <c r="K202" s="163"/>
      <c r="L202" s="163"/>
    </row>
    <row r="203" spans="1:12" x14ac:dyDescent="0.25">
      <c r="A203" s="137"/>
      <c r="B203" s="151"/>
      <c r="C203" s="137"/>
      <c r="D203" s="142"/>
      <c r="E203" s="137"/>
      <c r="F203" s="137"/>
      <c r="G203" s="177"/>
      <c r="H203" s="177"/>
      <c r="I203" s="137"/>
      <c r="J203" s="151"/>
      <c r="K203" s="163"/>
      <c r="L203" s="163"/>
    </row>
    <row r="204" spans="1:12" x14ac:dyDescent="0.25">
      <c r="A204" s="137"/>
      <c r="B204" s="151"/>
      <c r="C204" s="137"/>
      <c r="D204" s="142"/>
      <c r="E204" s="137"/>
      <c r="F204" s="137"/>
      <c r="G204" s="177"/>
      <c r="H204" s="177"/>
      <c r="I204" s="137"/>
      <c r="J204" s="151"/>
      <c r="K204" s="163"/>
      <c r="L204" s="163"/>
    </row>
    <row r="205" spans="1:12" x14ac:dyDescent="0.25">
      <c r="A205" s="137"/>
      <c r="B205" s="151"/>
      <c r="C205" s="137"/>
      <c r="D205" s="142"/>
      <c r="E205" s="137"/>
      <c r="F205" s="137"/>
      <c r="G205" s="177"/>
      <c r="H205" s="177"/>
      <c r="I205" s="137"/>
      <c r="J205" s="151"/>
      <c r="K205" s="163"/>
      <c r="L205" s="163"/>
    </row>
    <row r="206" spans="1:12" x14ac:dyDescent="0.25">
      <c r="A206" s="137"/>
      <c r="B206" s="151"/>
      <c r="C206" s="137"/>
      <c r="D206" s="142"/>
      <c r="E206" s="137"/>
      <c r="F206" s="137"/>
      <c r="G206" s="177"/>
      <c r="H206" s="177"/>
      <c r="I206" s="137"/>
      <c r="J206" s="151"/>
      <c r="K206" s="163"/>
      <c r="L206" s="163"/>
    </row>
  </sheetData>
  <autoFilter ref="A1:AZ102" xr:uid="{40004F28-852E-40A3-9757-F62B1EFC2F4A}">
    <filterColumn colId="15">
      <filters>
        <filter val="Cash Transfer"/>
        <filter val="Customer Payment Instruction"/>
      </filters>
    </filterColumn>
  </autoFilter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A4B2FE4-9126-4A5B-954C-2A74EF4AA21A}">
          <x14:formula1>
            <xm:f>'[XMLTXNGenerator-MASTER ACCOUNTS.xlsm]ACCTS'!#REF!</xm:f>
          </x14:formula1>
          <xm:sqref>O1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Case 1</vt:lpstr>
      <vt:lpstr>Instructions</vt:lpstr>
      <vt:lpstr>Balance representation</vt:lpstr>
      <vt:lpstr>ImportData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Alina Birladeanu</dc:creator>
  <cp:lastModifiedBy>Matt Townsend</cp:lastModifiedBy>
  <cp:lastPrinted>2019-09-16T13:40:07Z</cp:lastPrinted>
  <dcterms:created xsi:type="dcterms:W3CDTF">2019-09-05T12:33:21Z</dcterms:created>
  <dcterms:modified xsi:type="dcterms:W3CDTF">2019-09-18T07:35:45Z</dcterms:modified>
</cp:coreProperties>
</file>