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-402-Data-Analytics-Essentials\Lab Work\"/>
    </mc:Choice>
  </mc:AlternateContent>
  <xr:revisionPtr revIDLastSave="0" documentId="13_ncr:1_{2E0F118B-410C-4A6A-A415-3AEFEC22F6D9}" xr6:coauthVersionLast="47" xr6:coauthVersionMax="47" xr10:uidLastSave="{00000000-0000-0000-0000-000000000000}"/>
  <bookViews>
    <workbookView xWindow="-110" yWindow="-110" windowWidth="19420" windowHeight="10300" xr2:uid="{D492E576-0D9E-4FBB-A74E-3E9FD5C50F25}"/>
  </bookViews>
  <sheets>
    <sheet name="Data" sheetId="1" r:id="rId1"/>
    <sheet name="Tax" sheetId="7" r:id="rId2"/>
    <sheet name="Product Dashboard" sheetId="2" r:id="rId3"/>
    <sheet name="Country Dashboard" sheetId="3" r:id="rId4"/>
    <sheet name="Monthly Dashboard" sheetId="5" r:id="rId5"/>
    <sheet name="Age Group Dashbaord" sheetId="6" r:id="rId6"/>
    <sheet name="Gender Dashboard" sheetId="4" r:id="rId7"/>
  </sheets>
  <definedNames>
    <definedName name="_xlnm._FilterDatabase" localSheetId="0" hidden="1">Data!$A$1:$S$1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D3" i="4"/>
  <c r="C3" i="4"/>
  <c r="B3" i="4"/>
  <c r="E2" i="4"/>
  <c r="D2" i="4"/>
  <c r="C2" i="4"/>
  <c r="B2" i="4"/>
  <c r="A2" i="4" a="1"/>
  <c r="A2" i="4" s="1"/>
  <c r="S3" i="1"/>
  <c r="S4" i="1"/>
  <c r="S5" i="1"/>
  <c r="S6" i="1"/>
  <c r="S7" i="1"/>
  <c r="S8" i="1"/>
  <c r="S9" i="1"/>
  <c r="S10" i="1"/>
  <c r="S11" i="1"/>
  <c r="S12" i="1"/>
  <c r="S13" i="1"/>
  <c r="S14" i="1"/>
  <c r="S2" i="1"/>
  <c r="D6" i="2"/>
  <c r="C3" i="6"/>
  <c r="C4" i="6"/>
  <c r="C2" i="6"/>
  <c r="D45" i="1"/>
  <c r="D46" i="1"/>
  <c r="D47" i="1"/>
  <c r="D48" i="1"/>
  <c r="D49" i="1"/>
  <c r="D50" i="1"/>
  <c r="C45" i="1"/>
  <c r="C46" i="1"/>
  <c r="C47" i="1"/>
  <c r="C48" i="1"/>
  <c r="C49" i="1"/>
  <c r="C50" i="1"/>
  <c r="C35" i="1"/>
  <c r="C36" i="1"/>
  <c r="C37" i="1"/>
  <c r="C38" i="1"/>
  <c r="C39" i="1"/>
  <c r="C40" i="1"/>
  <c r="C41" i="1"/>
  <c r="C42" i="1"/>
  <c r="C43" i="1"/>
  <c r="C44" i="1"/>
  <c r="C27" i="1"/>
  <c r="C28" i="1"/>
  <c r="C29" i="1"/>
  <c r="C30" i="1"/>
  <c r="C31" i="1"/>
  <c r="C32" i="1"/>
  <c r="C33" i="1"/>
  <c r="C34" i="1"/>
  <c r="C16" i="1"/>
  <c r="C17" i="1"/>
  <c r="C18" i="1"/>
  <c r="C19" i="1"/>
  <c r="C20" i="1"/>
  <c r="C21" i="1"/>
  <c r="C22" i="1"/>
  <c r="C23" i="1"/>
  <c r="C24" i="1"/>
  <c r="C25" i="1"/>
  <c r="C26" i="1"/>
  <c r="C1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B46" i="1"/>
  <c r="B47" i="1"/>
  <c r="B48" i="1"/>
  <c r="B49" i="1"/>
  <c r="B50" i="1"/>
  <c r="F48" i="1"/>
  <c r="F49" i="1"/>
  <c r="F50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D16" i="1"/>
  <c r="D17" i="1"/>
  <c r="D18" i="1"/>
  <c r="D19" i="1"/>
  <c r="D20" i="1"/>
  <c r="D21" i="1"/>
  <c r="D22" i="1"/>
  <c r="D23" i="1"/>
  <c r="D24" i="1"/>
  <c r="D25" i="1"/>
  <c r="D15" i="1"/>
  <c r="B15" i="1"/>
  <c r="A2" i="6" a="1"/>
  <c r="A2" i="6" s="1"/>
  <c r="E2" i="6" s="1"/>
  <c r="A2" i="5" a="1"/>
  <c r="A2" i="5" s="1"/>
  <c r="C3" i="3"/>
  <c r="B5" i="3"/>
  <c r="A2" i="3" a="1"/>
  <c r="A2" i="3" s="1"/>
  <c r="E2" i="3" s="1"/>
  <c r="A2" i="2" a="1"/>
  <c r="A2" i="2" s="1"/>
  <c r="C2" i="2" s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3" i="1"/>
  <c r="Q3" i="1"/>
  <c r="R2" i="1"/>
  <c r="Q2" i="1"/>
  <c r="P2" i="1" s="1"/>
  <c r="F3" i="4" l="1"/>
  <c r="C2" i="5"/>
  <c r="B7" i="2"/>
  <c r="B4" i="3"/>
  <c r="D4" i="3"/>
  <c r="C13" i="5"/>
  <c r="E9" i="5"/>
  <c r="C5" i="5"/>
  <c r="B2" i="6"/>
  <c r="B4" i="6"/>
  <c r="B3" i="6"/>
  <c r="D3" i="3"/>
  <c r="D2" i="3"/>
  <c r="F2" i="3" s="1"/>
  <c r="B2" i="2"/>
  <c r="B4" i="2"/>
  <c r="C2" i="3"/>
  <c r="E5" i="3"/>
  <c r="C12" i="5"/>
  <c r="E8" i="5"/>
  <c r="C4" i="5"/>
  <c r="E4" i="6"/>
  <c r="E3" i="6"/>
  <c r="B11" i="2"/>
  <c r="B3" i="2"/>
  <c r="C6" i="3"/>
  <c r="E4" i="3"/>
  <c r="D11" i="5"/>
  <c r="B7" i="5"/>
  <c r="D3" i="5"/>
  <c r="D2" i="6"/>
  <c r="F2" i="6" s="1"/>
  <c r="D4" i="6"/>
  <c r="D3" i="6"/>
  <c r="B8" i="2"/>
  <c r="E10" i="5"/>
  <c r="C6" i="5"/>
  <c r="E2" i="5"/>
  <c r="B12" i="5"/>
  <c r="D10" i="5"/>
  <c r="D8" i="5"/>
  <c r="B5" i="5"/>
  <c r="C3" i="5"/>
  <c r="B10" i="2"/>
  <c r="B6" i="2"/>
  <c r="B2" i="3"/>
  <c r="B3" i="3"/>
  <c r="C5" i="3"/>
  <c r="D6" i="3"/>
  <c r="E3" i="3"/>
  <c r="F3" i="3" s="1"/>
  <c r="B2" i="5"/>
  <c r="E13" i="5"/>
  <c r="E12" i="5"/>
  <c r="B11" i="5"/>
  <c r="C10" i="5"/>
  <c r="C9" i="5"/>
  <c r="C8" i="5"/>
  <c r="D7" i="5"/>
  <c r="E6" i="5"/>
  <c r="E5" i="5"/>
  <c r="E4" i="5"/>
  <c r="B3" i="5"/>
  <c r="D2" i="5"/>
  <c r="P6" i="1"/>
  <c r="P10" i="1"/>
  <c r="P14" i="1"/>
  <c r="B13" i="5"/>
  <c r="C11" i="5"/>
  <c r="D9" i="5"/>
  <c r="E7" i="5"/>
  <c r="B6" i="5"/>
  <c r="B4" i="5"/>
  <c r="P5" i="1"/>
  <c r="B9" i="2"/>
  <c r="B5" i="2"/>
  <c r="B6" i="3"/>
  <c r="C4" i="3"/>
  <c r="D5" i="3"/>
  <c r="E6" i="3"/>
  <c r="F6" i="3" s="1"/>
  <c r="D13" i="5"/>
  <c r="D12" i="5"/>
  <c r="E11" i="5"/>
  <c r="B10" i="5"/>
  <c r="B9" i="5"/>
  <c r="B8" i="5"/>
  <c r="C7" i="5"/>
  <c r="D6" i="5"/>
  <c r="D5" i="5"/>
  <c r="D4" i="5"/>
  <c r="E3" i="5"/>
  <c r="C9" i="2"/>
  <c r="C5" i="2"/>
  <c r="D10" i="2"/>
  <c r="E11" i="2"/>
  <c r="E7" i="2"/>
  <c r="E3" i="2"/>
  <c r="P9" i="1"/>
  <c r="P13" i="1"/>
  <c r="C8" i="2"/>
  <c r="C4" i="2"/>
  <c r="D9" i="2"/>
  <c r="D5" i="2"/>
  <c r="E10" i="2"/>
  <c r="E6" i="2"/>
  <c r="C11" i="2"/>
  <c r="C7" i="2"/>
  <c r="C3" i="2"/>
  <c r="D8" i="2"/>
  <c r="D4" i="2"/>
  <c r="E9" i="2"/>
  <c r="E5" i="2"/>
  <c r="C10" i="2"/>
  <c r="C6" i="2"/>
  <c r="D11" i="2"/>
  <c r="D7" i="2"/>
  <c r="D3" i="2"/>
  <c r="E8" i="2"/>
  <c r="E4" i="2"/>
  <c r="D2" i="2"/>
  <c r="E2" i="2"/>
  <c r="P4" i="1"/>
  <c r="P3" i="1"/>
  <c r="P8" i="1"/>
  <c r="P7" i="1"/>
  <c r="P12" i="1"/>
  <c r="P11" i="1"/>
  <c r="F5" i="3" l="1"/>
  <c r="F9" i="5"/>
  <c r="F8" i="5"/>
  <c r="F11" i="5"/>
  <c r="F7" i="5"/>
  <c r="F3" i="5"/>
  <c r="F5" i="5"/>
  <c r="F13" i="5"/>
  <c r="F4" i="3"/>
  <c r="F3" i="6"/>
  <c r="F10" i="5"/>
  <c r="F4" i="6"/>
  <c r="F6" i="5"/>
  <c r="F2" i="5"/>
  <c r="F4" i="5"/>
  <c r="F12" i="5"/>
  <c r="F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<sst xmlns="http://schemas.openxmlformats.org/spreadsheetml/2006/main" count="153" uniqueCount="71">
  <si>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</si>
  <si>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</si>
  <si>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</si>
  <si>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</si>
  <si>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</si>
  <si>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</si>
  <si>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</si>
  <si>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</si>
  <si>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</si>
  <si>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</si>
  <si>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</si>
  <si>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</si>
  <si>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</si>
  <si>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</si>
  <si>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</si>
  <si>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</si>
  <si>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</si>
  <si>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January</t>
  </si>
  <si>
    <t>Adults (35-64)</t>
  </si>
  <si>
    <t>M</t>
  </si>
  <si>
    <t>United States</t>
  </si>
  <si>
    <t>Washington</t>
  </si>
  <si>
    <t>Bikes</t>
  </si>
  <si>
    <t>Road Bikes</t>
  </si>
  <si>
    <t>Road-550-W Yellow, 38</t>
  </si>
  <si>
    <t>February</t>
  </si>
  <si>
    <t>Young Adults (25-34)</t>
  </si>
  <si>
    <t>F</t>
  </si>
  <si>
    <t>France</t>
  </si>
  <si>
    <t>Yveline</t>
  </si>
  <si>
    <t>Road-150 Red, 48</t>
  </si>
  <si>
    <t>March</t>
  </si>
  <si>
    <t>Youth (&lt;25)</t>
  </si>
  <si>
    <t>Canada</t>
  </si>
  <si>
    <t>British Columbia</t>
  </si>
  <si>
    <t>Road-250 Red, 44</t>
  </si>
  <si>
    <t>April</t>
  </si>
  <si>
    <t>Australia</t>
  </si>
  <si>
    <t>Victoria</t>
  </si>
  <si>
    <t>Mountain Bikes</t>
  </si>
  <si>
    <t>Mountain-200 Black, 46</t>
  </si>
  <si>
    <t>May</t>
  </si>
  <si>
    <t>California</t>
  </si>
  <si>
    <t>Road-750 Black, 44</t>
  </si>
  <si>
    <t>June</t>
  </si>
  <si>
    <t>Road-550-W Yellow, 40</t>
  </si>
  <si>
    <t>July</t>
  </si>
  <si>
    <t>Queensland</t>
  </si>
  <si>
    <t>Road-250 Red, 58</t>
  </si>
  <si>
    <t>August</t>
  </si>
  <si>
    <t>United Kingdom</t>
  </si>
  <si>
    <t>England</t>
  </si>
  <si>
    <t>September</t>
  </si>
  <si>
    <t>Road-550-W Yellow, 48</t>
  </si>
  <si>
    <t>October</t>
  </si>
  <si>
    <t>Mountain-200 Black, 38</t>
  </si>
  <si>
    <t>November</t>
  </si>
  <si>
    <t>December</t>
  </si>
  <si>
    <t>South Australia</t>
  </si>
  <si>
    <t>Road-750 Black, 48</t>
  </si>
  <si>
    <t>Order Quantity</t>
  </si>
  <si>
    <t>Number of Orders</t>
  </si>
  <si>
    <t>Order Quantity (United States)</t>
  </si>
  <si>
    <t>Number of Orders (United States)</t>
  </si>
  <si>
    <t>Total Cost</t>
  </si>
  <si>
    <t>Total Revenue</t>
  </si>
  <si>
    <t>Total Profit</t>
  </si>
  <si>
    <t>Age Group</t>
  </si>
  <si>
    <t>Tax Percentage</t>
  </si>
  <si>
    <t>Gross Revenue</t>
  </si>
  <si>
    <t>Net Revenue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</si>
</sst>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$-409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65" fontId="0" fillId="0" borderId="0" xfId="0" applyNumberFormat="1"/>
    <xf numFmtId="9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Monthy Insights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Dashboard'!$B$1</c:f>
              <c:strCache>
                <c:ptCount val="1"/>
                <c:pt idx="0">
                  <c:v>Order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Dashboard'!$A$2:$A$13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Dashboard'!$B$2:$B$13</c:f>
              <c:numCache>
                <c:formatCode>General</c:formatCode>
                <c:ptCount val="12"/>
                <c:pt idx="0">
                  <c:v>58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  <c:pt idx="4">
                  <c:v>11</c:v>
                </c:pt>
                <c:pt idx="5">
                  <c:v>14</c:v>
                </c:pt>
                <c:pt idx="6">
                  <c:v>30</c:v>
                </c:pt>
                <c:pt idx="7">
                  <c:v>14</c:v>
                </c:pt>
                <c:pt idx="8">
                  <c:v>12</c:v>
                </c:pt>
                <c:pt idx="9">
                  <c:v>40</c:v>
                </c:pt>
                <c:pt idx="10">
                  <c:v>47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9-4F6F-A06B-4A573F6243FF}"/>
            </c:ext>
          </c:extLst>
        </c:ser>
        <c:ser>
          <c:idx val="1"/>
          <c:order val="1"/>
          <c:tx>
            <c:strRef>
              <c:f>'Monthly Dashboard'!$C$1</c:f>
              <c:strCache>
                <c:ptCount val="1"/>
                <c:pt idx="0">
                  <c:v>Number of Orders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Dashboard'!$A$2:$A$13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Dashboard'!$C$2:$C$13</c:f>
              <c:numCache>
                <c:formatCode>General</c:formatCode>
                <c:ptCount val="12"/>
                <c:pt idx="0">
                  <c:v>3</c:v>
                </c:pt>
                <c:pt idx="1">
                  <c:v>25</c:v>
                </c:pt>
                <c:pt idx="2">
                  <c:v>12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09-4F6F-A06B-4A573F6243FF}"/>
            </c:ext>
          </c:extLst>
        </c:ser>
        <c:ser>
          <c:idx val="2"/>
          <c:order val="2"/>
          <c:tx>
            <c:strRef>
              <c:f>'Monthly Dashboard'!$D$1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'Monthly Dashboard'!$A$2:$A$13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Dashboard'!$D$2:$D$13</c:f>
              <c:numCache>
                <c:formatCode>[$$-409]#,##0.00</c:formatCode>
                <c:ptCount val="12"/>
                <c:pt idx="0">
                  <c:v>31022</c:v>
                </c:pt>
                <c:pt idx="1">
                  <c:v>43420</c:v>
                </c:pt>
                <c:pt idx="2">
                  <c:v>15190</c:v>
                </c:pt>
                <c:pt idx="3">
                  <c:v>12520</c:v>
                </c:pt>
                <c:pt idx="4">
                  <c:v>3784</c:v>
                </c:pt>
                <c:pt idx="5">
                  <c:v>9982</c:v>
                </c:pt>
                <c:pt idx="6">
                  <c:v>46650</c:v>
                </c:pt>
                <c:pt idx="7">
                  <c:v>9982</c:v>
                </c:pt>
                <c:pt idx="8">
                  <c:v>8556</c:v>
                </c:pt>
                <c:pt idx="9">
                  <c:v>50080</c:v>
                </c:pt>
                <c:pt idx="10">
                  <c:v>102037</c:v>
                </c:pt>
                <c:pt idx="11">
                  <c:v>11008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09-4F6F-A06B-4A573F6243FF}"/>
            </c:ext>
          </c:extLst>
        </c:ser>
        <c:ser>
          <c:idx val="3"/>
          <c:order val="3"/>
          <c:tx>
            <c:strRef>
              <c:f>'Monthly Dashboard'!$E$1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'Monthly Dashboard'!$A$2:$A$13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Dashboard'!$E$2:$E$13</c:f>
              <c:numCache>
                <c:formatCode>[$$-409]#,##0.00</c:formatCode>
                <c:ptCount val="12"/>
                <c:pt idx="0">
                  <c:v>48720</c:v>
                </c:pt>
                <c:pt idx="1">
                  <c:v>71560</c:v>
                </c:pt>
                <c:pt idx="2">
                  <c:v>24430</c:v>
                </c:pt>
                <c:pt idx="3">
                  <c:v>22950</c:v>
                </c:pt>
                <c:pt idx="4">
                  <c:v>5940</c:v>
                </c:pt>
                <c:pt idx="5">
                  <c:v>15680</c:v>
                </c:pt>
                <c:pt idx="6">
                  <c:v>73290</c:v>
                </c:pt>
                <c:pt idx="7">
                  <c:v>15680</c:v>
                </c:pt>
                <c:pt idx="8">
                  <c:v>13440</c:v>
                </c:pt>
                <c:pt idx="9">
                  <c:v>91800</c:v>
                </c:pt>
                <c:pt idx="10">
                  <c:v>168166</c:v>
                </c:pt>
                <c:pt idx="11">
                  <c:v>17280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09-4F6F-A06B-4A573F6243FF}"/>
            </c:ext>
          </c:extLst>
        </c:ser>
        <c:ser>
          <c:idx val="4"/>
          <c:order val="4"/>
          <c:tx>
            <c:strRef>
              <c:f>'Monthly Dashboard'!$F$1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'Monthly Dashboard'!$A$2:$A$13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Dashboard'!$F$2:$F$13</c:f>
              <c:numCache>
                <c:formatCode>[$$-409]#,##0.00</c:formatCode>
                <c:ptCount val="12"/>
                <c:pt idx="0">
                  <c:v>17698</c:v>
                </c:pt>
                <c:pt idx="1">
                  <c:v>28140</c:v>
                </c:pt>
                <c:pt idx="2">
                  <c:v>9240</c:v>
                </c:pt>
                <c:pt idx="3">
                  <c:v>10430</c:v>
                </c:pt>
                <c:pt idx="4">
                  <c:v>2156</c:v>
                </c:pt>
                <c:pt idx="5">
                  <c:v>5698</c:v>
                </c:pt>
                <c:pt idx="6">
                  <c:v>26640</c:v>
                </c:pt>
                <c:pt idx="7">
                  <c:v>5698</c:v>
                </c:pt>
                <c:pt idx="8">
                  <c:v>4884</c:v>
                </c:pt>
                <c:pt idx="9">
                  <c:v>41720</c:v>
                </c:pt>
                <c:pt idx="10">
                  <c:v>66129</c:v>
                </c:pt>
                <c:pt idx="11">
                  <c:v>6272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09-4F6F-A06B-4A573F624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6442063"/>
        <c:axId val="1426449263"/>
      </c:barChart>
      <c:catAx>
        <c:axId val="142644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26449263"/>
        <c:crosses val="autoZero"/>
        <c:auto val="1"/>
        <c:lblAlgn val="ctr"/>
        <c:lblOffset val="100"/>
        <c:noMultiLvlLbl val="0"/>
      </c:catAx>
      <c:valAx>
        <c:axId val="142644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2644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34925</xdr:rowOff>
    </xdr:from>
    <xdr:to>
      <xdr:col>13</xdr:col>
      <xdr:colOff>466725</xdr:colOff>
      <xdr:row>15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F5C98-6721-782D-C38C-433A1B2D6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E038-5188-4BB3-A1EC-49FE8A6A2949}">
  <dimension ref="A1:S50"/>
  <sheetViews>
    <sheetView tabSelected="1" topLeftCell="A7" workbookViewId="0">
      <selection activeCell="G19" sqref="G19"/>
    </sheetView>
  </sheetViews>
  <sheetFormatPr defaultRowHeight="14.5" x14ac:dyDescent="0.35"/>
  <cols>
    <col min="1" max="1" width="10.54296875" bestFit="1" customWidth="1"/>
    <col min="2" max="2" width="4.08984375" bestFit="1" customWidth="1"/>
    <col min="3" max="3" width="9.81640625" bestFit="1" customWidth="1"/>
    <col min="4" max="4" width="5" bestFit="1" customWidth="1"/>
    <col min="5" max="5" width="12.90625" bestFit="1" customWidth="1"/>
    <col min="6" max="6" width="17.90625" bestFit="1" customWidth="1"/>
    <col min="7" max="7" width="15.90625" bestFit="1" customWidth="1"/>
    <col min="8" max="8" width="14" bestFit="1" customWidth="1"/>
    <col min="9" max="9" width="14.36328125" bestFit="1" customWidth="1"/>
    <col min="10" max="10" width="15.81640625" bestFit="1" customWidth="1"/>
    <col min="11" max="11" width="13.6328125" bestFit="1" customWidth="1"/>
    <col min="12" max="12" width="20.453125" bestFit="1" customWidth="1"/>
    <col min="13" max="13" width="13.81640625" bestFit="1" customWidth="1"/>
    <col min="14" max="15" width="10.08984375" bestFit="1" customWidth="1"/>
    <col min="16" max="16" width="11.08984375" bestFit="1" customWidth="1"/>
    <col min="17" max="17" width="12.08984375" bestFit="1" customWidth="1"/>
    <col min="18" max="18" width="16.36328125" customWidth="1"/>
    <col min="19" max="19" width="19.36328125" customWidth="1"/>
  </cols>
  <sheetData>
    <row r="1" spans="1:1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69</v>
      </c>
      <c r="S1" s="2" t="s">
        <v>70</v>
      </c>
    </row>
    <row r="2" spans="1:19" x14ac:dyDescent="0.35">
      <c r="A2" s="1">
        <v>44227</v>
      </c>
      <c r="B2">
        <v>31</v>
      </c>
      <c r="C2" t="s">
        <v>17</v>
      </c>
      <c r="D2">
        <v>2021</v>
      </c>
      <c r="E2">
        <v>39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30</v>
      </c>
      <c r="N2" s="5">
        <v>713</v>
      </c>
      <c r="O2" s="5">
        <v>1120</v>
      </c>
      <c r="P2" s="5">
        <f t="shared" ref="P2:P14" si="0">R2-Q2</f>
        <v>12210</v>
      </c>
      <c r="Q2" s="5">
        <f t="shared" ref="Q2:Q14" si="1">M2*N2</f>
        <v>21390</v>
      </c>
      <c r="R2" s="5">
        <f t="shared" ref="R2:R14" si="2">M2*O2</f>
        <v>33600</v>
      </c>
      <c r="S2" s="3">
        <f xml:space="preserve"> R2 - R2*Tax!$A$2</f>
        <v>26880</v>
      </c>
    </row>
    <row r="3" spans="1:19" x14ac:dyDescent="0.35">
      <c r="A3" s="1">
        <v>44255</v>
      </c>
      <c r="B3">
        <v>28</v>
      </c>
      <c r="C3" t="s">
        <v>25</v>
      </c>
      <c r="D3">
        <v>2021</v>
      </c>
      <c r="E3">
        <v>33</v>
      </c>
      <c r="F3" t="s">
        <v>26</v>
      </c>
      <c r="G3" t="s">
        <v>27</v>
      </c>
      <c r="H3" t="s">
        <v>28</v>
      </c>
      <c r="I3" t="s">
        <v>29</v>
      </c>
      <c r="J3" t="s">
        <v>22</v>
      </c>
      <c r="K3" t="s">
        <v>23</v>
      </c>
      <c r="L3" t="s">
        <v>30</v>
      </c>
      <c r="M3">
        <v>20</v>
      </c>
      <c r="N3" s="5">
        <v>2171</v>
      </c>
      <c r="O3" s="5">
        <v>3578</v>
      </c>
      <c r="P3" s="5">
        <f t="shared" si="0"/>
        <v>28140</v>
      </c>
      <c r="Q3" s="5">
        <f t="shared" si="1"/>
        <v>43420</v>
      </c>
      <c r="R3" s="5">
        <f t="shared" si="2"/>
        <v>71560</v>
      </c>
      <c r="S3" s="3">
        <f xml:space="preserve"> R3 - R3*Tax!$A$2</f>
        <v>57248</v>
      </c>
    </row>
    <row r="4" spans="1:19" x14ac:dyDescent="0.35">
      <c r="A4" s="1">
        <v>44286</v>
      </c>
      <c r="B4">
        <v>31</v>
      </c>
      <c r="C4" t="s">
        <v>31</v>
      </c>
      <c r="D4">
        <v>2021</v>
      </c>
      <c r="E4">
        <v>17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 t="s">
        <v>23</v>
      </c>
      <c r="L4" t="s">
        <v>35</v>
      </c>
      <c r="M4">
        <v>10</v>
      </c>
      <c r="N4" s="5">
        <v>1519</v>
      </c>
      <c r="O4" s="5">
        <v>2443</v>
      </c>
      <c r="P4" s="5">
        <f t="shared" si="0"/>
        <v>9240</v>
      </c>
      <c r="Q4" s="5">
        <f t="shared" si="1"/>
        <v>15190</v>
      </c>
      <c r="R4" s="5">
        <f t="shared" si="2"/>
        <v>24430</v>
      </c>
      <c r="S4" s="3">
        <f xml:space="preserve"> R4 - R4*Tax!$A$2</f>
        <v>19544</v>
      </c>
    </row>
    <row r="5" spans="1:19" x14ac:dyDescent="0.35">
      <c r="A5" s="1">
        <v>44316</v>
      </c>
      <c r="B5">
        <v>30</v>
      </c>
      <c r="C5" t="s">
        <v>36</v>
      </c>
      <c r="D5">
        <v>2021</v>
      </c>
      <c r="E5">
        <v>23</v>
      </c>
      <c r="F5" t="s">
        <v>32</v>
      </c>
      <c r="G5" t="s">
        <v>19</v>
      </c>
      <c r="H5" t="s">
        <v>37</v>
      </c>
      <c r="I5" t="s">
        <v>38</v>
      </c>
      <c r="J5" t="s">
        <v>22</v>
      </c>
      <c r="K5" t="s">
        <v>39</v>
      </c>
      <c r="L5" t="s">
        <v>40</v>
      </c>
      <c r="M5">
        <v>10</v>
      </c>
      <c r="N5" s="5">
        <v>1252</v>
      </c>
      <c r="O5" s="5">
        <v>2295</v>
      </c>
      <c r="P5" s="5">
        <f t="shared" si="0"/>
        <v>10430</v>
      </c>
      <c r="Q5" s="5">
        <f t="shared" si="1"/>
        <v>12520</v>
      </c>
      <c r="R5" s="5">
        <f t="shared" si="2"/>
        <v>22950</v>
      </c>
      <c r="S5" s="3">
        <f xml:space="preserve"> R5 - R5*Tax!$A$2</f>
        <v>18360</v>
      </c>
    </row>
    <row r="6" spans="1:19" x14ac:dyDescent="0.35">
      <c r="A6" s="1">
        <v>44347</v>
      </c>
      <c r="B6">
        <v>31</v>
      </c>
      <c r="C6" t="s">
        <v>41</v>
      </c>
      <c r="D6">
        <v>2021</v>
      </c>
      <c r="E6">
        <v>42</v>
      </c>
      <c r="F6" t="s">
        <v>18</v>
      </c>
      <c r="G6" t="s">
        <v>19</v>
      </c>
      <c r="H6" t="s">
        <v>20</v>
      </c>
      <c r="I6" t="s">
        <v>42</v>
      </c>
      <c r="J6" t="s">
        <v>22</v>
      </c>
      <c r="K6" t="s">
        <v>23</v>
      </c>
      <c r="L6" t="s">
        <v>43</v>
      </c>
      <c r="M6">
        <v>11</v>
      </c>
      <c r="N6" s="5">
        <v>344</v>
      </c>
      <c r="O6" s="5">
        <v>540</v>
      </c>
      <c r="P6" s="5">
        <f t="shared" si="0"/>
        <v>2156</v>
      </c>
      <c r="Q6" s="5">
        <f t="shared" si="1"/>
        <v>3784</v>
      </c>
      <c r="R6" s="5">
        <f t="shared" si="2"/>
        <v>5940</v>
      </c>
      <c r="S6" s="3">
        <f xml:space="preserve"> R6 - R6*Tax!$A$2</f>
        <v>4752</v>
      </c>
    </row>
    <row r="7" spans="1:19" x14ac:dyDescent="0.35">
      <c r="A7" s="1">
        <v>44377</v>
      </c>
      <c r="B7">
        <v>30</v>
      </c>
      <c r="C7" t="s">
        <v>44</v>
      </c>
      <c r="D7">
        <v>2021</v>
      </c>
      <c r="E7">
        <v>40</v>
      </c>
      <c r="F7" t="s">
        <v>18</v>
      </c>
      <c r="G7" t="s">
        <v>19</v>
      </c>
      <c r="H7" t="s">
        <v>37</v>
      </c>
      <c r="I7" t="s">
        <v>38</v>
      </c>
      <c r="J7" t="s">
        <v>22</v>
      </c>
      <c r="K7" t="s">
        <v>23</v>
      </c>
      <c r="L7" t="s">
        <v>45</v>
      </c>
      <c r="M7">
        <v>14</v>
      </c>
      <c r="N7" s="5">
        <v>713</v>
      </c>
      <c r="O7" s="5">
        <v>1120</v>
      </c>
      <c r="P7" s="5">
        <f t="shared" si="0"/>
        <v>5698</v>
      </c>
      <c r="Q7" s="5">
        <f t="shared" si="1"/>
        <v>9982</v>
      </c>
      <c r="R7" s="5">
        <f t="shared" si="2"/>
        <v>15680</v>
      </c>
      <c r="S7" s="3">
        <f xml:space="preserve"> R7 - R7*Tax!$A$2</f>
        <v>12544</v>
      </c>
    </row>
    <row r="8" spans="1:19" x14ac:dyDescent="0.35">
      <c r="A8" s="1">
        <v>44408</v>
      </c>
      <c r="B8">
        <v>31</v>
      </c>
      <c r="C8" t="s">
        <v>46</v>
      </c>
      <c r="D8">
        <v>2021</v>
      </c>
      <c r="E8">
        <v>41</v>
      </c>
      <c r="F8" t="s">
        <v>18</v>
      </c>
      <c r="G8" t="s">
        <v>27</v>
      </c>
      <c r="H8" t="s">
        <v>37</v>
      </c>
      <c r="I8" t="s">
        <v>47</v>
      </c>
      <c r="J8" t="s">
        <v>22</v>
      </c>
      <c r="K8" t="s">
        <v>23</v>
      </c>
      <c r="L8" t="s">
        <v>48</v>
      </c>
      <c r="M8">
        <v>30</v>
      </c>
      <c r="N8" s="5">
        <v>1555</v>
      </c>
      <c r="O8" s="5">
        <v>2443</v>
      </c>
      <c r="P8" s="5">
        <f t="shared" si="0"/>
        <v>26640</v>
      </c>
      <c r="Q8" s="5">
        <f t="shared" si="1"/>
        <v>46650</v>
      </c>
      <c r="R8" s="5">
        <f t="shared" si="2"/>
        <v>73290</v>
      </c>
      <c r="S8" s="3">
        <f xml:space="preserve"> R8 - R8*Tax!$A$2</f>
        <v>58632</v>
      </c>
    </row>
    <row r="9" spans="1:19" x14ac:dyDescent="0.35">
      <c r="A9" s="1">
        <v>44439</v>
      </c>
      <c r="B9">
        <v>31</v>
      </c>
      <c r="C9" t="s">
        <v>49</v>
      </c>
      <c r="D9">
        <v>2021</v>
      </c>
      <c r="E9">
        <v>32</v>
      </c>
      <c r="F9" t="s">
        <v>26</v>
      </c>
      <c r="G9" t="s">
        <v>19</v>
      </c>
      <c r="H9" t="s">
        <v>50</v>
      </c>
      <c r="I9" t="s">
        <v>51</v>
      </c>
      <c r="J9" t="s">
        <v>22</v>
      </c>
      <c r="K9" t="s">
        <v>23</v>
      </c>
      <c r="L9" t="s">
        <v>24</v>
      </c>
      <c r="M9">
        <v>14</v>
      </c>
      <c r="N9" s="5">
        <v>713</v>
      </c>
      <c r="O9" s="5">
        <v>1120</v>
      </c>
      <c r="P9" s="5">
        <f t="shared" si="0"/>
        <v>5698</v>
      </c>
      <c r="Q9" s="5">
        <f t="shared" si="1"/>
        <v>9982</v>
      </c>
      <c r="R9" s="5">
        <f t="shared" si="2"/>
        <v>15680</v>
      </c>
      <c r="S9" s="3">
        <f xml:space="preserve"> R9 - R9*Tax!$A$2</f>
        <v>12544</v>
      </c>
    </row>
    <row r="10" spans="1:19" x14ac:dyDescent="0.35">
      <c r="A10" s="1">
        <v>44469</v>
      </c>
      <c r="B10">
        <v>30</v>
      </c>
      <c r="C10" t="s">
        <v>52</v>
      </c>
      <c r="D10">
        <v>2021</v>
      </c>
      <c r="E10">
        <v>35</v>
      </c>
      <c r="F10" t="s">
        <v>18</v>
      </c>
      <c r="G10" t="s">
        <v>27</v>
      </c>
      <c r="H10" t="s">
        <v>20</v>
      </c>
      <c r="I10" t="s">
        <v>42</v>
      </c>
      <c r="J10" t="s">
        <v>22</v>
      </c>
      <c r="K10" t="s">
        <v>23</v>
      </c>
      <c r="L10" t="s">
        <v>53</v>
      </c>
      <c r="M10">
        <v>12</v>
      </c>
      <c r="N10" s="5">
        <v>713</v>
      </c>
      <c r="O10" s="5">
        <v>1120</v>
      </c>
      <c r="P10" s="5">
        <f t="shared" si="0"/>
        <v>4884</v>
      </c>
      <c r="Q10" s="5">
        <f t="shared" si="1"/>
        <v>8556</v>
      </c>
      <c r="R10" s="5">
        <f t="shared" si="2"/>
        <v>13440</v>
      </c>
      <c r="S10" s="3">
        <f xml:space="preserve"> R10 - R10*Tax!$A$2</f>
        <v>10752</v>
      </c>
    </row>
    <row r="11" spans="1:19" x14ac:dyDescent="0.35">
      <c r="A11" s="1">
        <v>44500</v>
      </c>
      <c r="B11">
        <v>31</v>
      </c>
      <c r="C11" t="s">
        <v>54</v>
      </c>
      <c r="D11">
        <v>2021</v>
      </c>
      <c r="E11">
        <v>28</v>
      </c>
      <c r="F11" t="s">
        <v>26</v>
      </c>
      <c r="G11" t="s">
        <v>19</v>
      </c>
      <c r="H11" t="s">
        <v>50</v>
      </c>
      <c r="I11" t="s">
        <v>51</v>
      </c>
      <c r="J11" t="s">
        <v>22</v>
      </c>
      <c r="K11" t="s">
        <v>39</v>
      </c>
      <c r="L11" t="s">
        <v>55</v>
      </c>
      <c r="M11">
        <v>40</v>
      </c>
      <c r="N11" s="5">
        <v>1252</v>
      </c>
      <c r="O11" s="5">
        <v>2295</v>
      </c>
      <c r="P11" s="5">
        <f t="shared" si="0"/>
        <v>41720</v>
      </c>
      <c r="Q11" s="5">
        <f t="shared" si="1"/>
        <v>50080</v>
      </c>
      <c r="R11" s="5">
        <f t="shared" si="2"/>
        <v>91800</v>
      </c>
      <c r="S11" s="3">
        <f xml:space="preserve"> R11 - R11*Tax!$A$2</f>
        <v>73440</v>
      </c>
    </row>
    <row r="12" spans="1:19" x14ac:dyDescent="0.35">
      <c r="A12" s="1">
        <v>44530</v>
      </c>
      <c r="B12">
        <v>30</v>
      </c>
      <c r="C12" t="s">
        <v>56</v>
      </c>
      <c r="D12">
        <v>2021</v>
      </c>
      <c r="E12">
        <v>39</v>
      </c>
      <c r="F12" t="s">
        <v>18</v>
      </c>
      <c r="G12" t="s">
        <v>27</v>
      </c>
      <c r="H12" t="s">
        <v>20</v>
      </c>
      <c r="I12" t="s">
        <v>42</v>
      </c>
      <c r="J12" t="s">
        <v>22</v>
      </c>
      <c r="K12" t="s">
        <v>23</v>
      </c>
      <c r="L12" t="s">
        <v>30</v>
      </c>
      <c r="M12">
        <v>47</v>
      </c>
      <c r="N12" s="5">
        <v>2171</v>
      </c>
      <c r="O12" s="5">
        <v>3578</v>
      </c>
      <c r="P12" s="5">
        <f t="shared" si="0"/>
        <v>66129</v>
      </c>
      <c r="Q12" s="5">
        <f t="shared" si="1"/>
        <v>102037</v>
      </c>
      <c r="R12" s="5">
        <f t="shared" si="2"/>
        <v>168166</v>
      </c>
      <c r="S12" s="3">
        <f xml:space="preserve"> R12 - R12*Tax!$A$2</f>
        <v>134532.79999999999</v>
      </c>
    </row>
    <row r="13" spans="1:19" x14ac:dyDescent="0.35">
      <c r="A13" s="1">
        <v>44561</v>
      </c>
      <c r="B13">
        <v>31</v>
      </c>
      <c r="C13" t="s">
        <v>57</v>
      </c>
      <c r="D13">
        <v>2021</v>
      </c>
      <c r="E13">
        <v>45</v>
      </c>
      <c r="F13" t="s">
        <v>18</v>
      </c>
      <c r="G13" t="s">
        <v>19</v>
      </c>
      <c r="H13" t="s">
        <v>33</v>
      </c>
      <c r="I13" t="s">
        <v>34</v>
      </c>
      <c r="J13" t="s">
        <v>22</v>
      </c>
      <c r="K13" t="s">
        <v>23</v>
      </c>
      <c r="L13" t="s">
        <v>43</v>
      </c>
      <c r="M13">
        <v>32</v>
      </c>
      <c r="N13" s="5">
        <v>344</v>
      </c>
      <c r="O13" s="5">
        <v>540</v>
      </c>
      <c r="P13" s="5">
        <f t="shared" si="0"/>
        <v>6272</v>
      </c>
      <c r="Q13" s="5">
        <f t="shared" si="1"/>
        <v>11008</v>
      </c>
      <c r="R13" s="5">
        <f t="shared" si="2"/>
        <v>17280</v>
      </c>
      <c r="S13" s="3">
        <f xml:space="preserve"> R13 - R13*Tax!$A$2</f>
        <v>13824</v>
      </c>
    </row>
    <row r="14" spans="1:19" x14ac:dyDescent="0.35">
      <c r="A14" s="1">
        <v>44592</v>
      </c>
      <c r="B14">
        <v>31</v>
      </c>
      <c r="C14" t="s">
        <v>17</v>
      </c>
      <c r="D14">
        <v>2022</v>
      </c>
      <c r="E14">
        <v>45</v>
      </c>
      <c r="F14" t="s">
        <v>18</v>
      </c>
      <c r="G14" t="s">
        <v>27</v>
      </c>
      <c r="H14" t="s">
        <v>37</v>
      </c>
      <c r="I14" t="s">
        <v>58</v>
      </c>
      <c r="J14" t="s">
        <v>22</v>
      </c>
      <c r="K14" t="s">
        <v>23</v>
      </c>
      <c r="L14" t="s">
        <v>59</v>
      </c>
      <c r="M14">
        <v>28</v>
      </c>
      <c r="N14" s="5">
        <v>344</v>
      </c>
      <c r="O14" s="5">
        <v>540</v>
      </c>
      <c r="P14" s="5">
        <f t="shared" si="0"/>
        <v>5488</v>
      </c>
      <c r="Q14" s="5">
        <f t="shared" si="1"/>
        <v>9632</v>
      </c>
      <c r="R14" s="5">
        <f t="shared" si="2"/>
        <v>15120</v>
      </c>
      <c r="S14" s="3">
        <f xml:space="preserve"> R14 - R14*Tax!$A$2</f>
        <v>12096</v>
      </c>
    </row>
    <row r="15" spans="1:19" x14ac:dyDescent="0.35">
      <c r="A15" s="1">
        <v>44897</v>
      </c>
      <c r="B15">
        <f>IF(A15="","", DAY(A15))</f>
        <v>2</v>
      </c>
      <c r="C15" t="str">
        <f>IF(A15="","", TEXT(A16, "mmmm"))</f>
        <v>February</v>
      </c>
      <c r="D15">
        <f>IF(A15="","", YEAR(A15))</f>
        <v>2022</v>
      </c>
      <c r="E15">
        <v>1</v>
      </c>
      <c r="F15" t="str">
        <f>IF(E15 = "", "", IF(E15&gt;=35, "Adults (35-64)", IF(E15&gt;=25, "Young Adults (25-34)", "Youth (&lt;25)")))</f>
        <v>Youth (&lt;25)</v>
      </c>
    </row>
    <row r="16" spans="1:19" x14ac:dyDescent="0.35">
      <c r="A16" s="1">
        <v>44596</v>
      </c>
      <c r="B16">
        <f t="shared" ref="B16:B50" si="3">IF(A16="","", DAY(A16))</f>
        <v>4</v>
      </c>
      <c r="C16" t="str">
        <f t="shared" ref="C16:C50" si="4">IF(A16="","", TEXT(A17, "mmmm"))</f>
        <v>February</v>
      </c>
      <c r="D16">
        <f t="shared" ref="D16:D50" si="5">IF(A16="","", YEAR(A16))</f>
        <v>2022</v>
      </c>
      <c r="E16">
        <v>2</v>
      </c>
      <c r="F16" t="str">
        <f t="shared" ref="F16:F50" si="6">IF(E16 = "", "", IF(E16&gt;=35, "Adults (35-64)", IF(E16&gt;=25, "Young Adults (25-34)", "Youth (&lt;25)")))</f>
        <v>Youth (&lt;25)</v>
      </c>
    </row>
    <row r="17" spans="1:6" x14ac:dyDescent="0.35">
      <c r="A17" s="1">
        <v>44597</v>
      </c>
      <c r="B17">
        <f t="shared" si="3"/>
        <v>5</v>
      </c>
      <c r="C17" t="str">
        <f t="shared" si="4"/>
        <v>February</v>
      </c>
      <c r="D17">
        <f t="shared" si="5"/>
        <v>2022</v>
      </c>
      <c r="E17">
        <v>3</v>
      </c>
      <c r="F17" t="str">
        <f t="shared" si="6"/>
        <v>Youth (&lt;25)</v>
      </c>
    </row>
    <row r="18" spans="1:6" x14ac:dyDescent="0.35">
      <c r="A18" s="1">
        <v>44598</v>
      </c>
      <c r="B18">
        <f t="shared" si="3"/>
        <v>6</v>
      </c>
      <c r="C18" t="str">
        <f t="shared" si="4"/>
        <v>February</v>
      </c>
      <c r="D18">
        <f t="shared" si="5"/>
        <v>2022</v>
      </c>
      <c r="E18">
        <v>4</v>
      </c>
      <c r="F18" t="str">
        <f t="shared" si="6"/>
        <v>Youth (&lt;25)</v>
      </c>
    </row>
    <row r="19" spans="1:6" x14ac:dyDescent="0.35">
      <c r="A19" s="1">
        <v>44599</v>
      </c>
      <c r="B19">
        <f t="shared" si="3"/>
        <v>7</v>
      </c>
      <c r="C19" t="str">
        <f t="shared" si="4"/>
        <v>February</v>
      </c>
      <c r="D19">
        <f t="shared" si="5"/>
        <v>2022</v>
      </c>
      <c r="E19">
        <v>5</v>
      </c>
      <c r="F19" t="str">
        <f t="shared" si="6"/>
        <v>Youth (&lt;25)</v>
      </c>
    </row>
    <row r="20" spans="1:6" x14ac:dyDescent="0.35">
      <c r="A20" s="1">
        <v>44600</v>
      </c>
      <c r="B20">
        <f t="shared" si="3"/>
        <v>8</v>
      </c>
      <c r="C20" t="str">
        <f t="shared" si="4"/>
        <v>February</v>
      </c>
      <c r="D20">
        <f t="shared" si="5"/>
        <v>2022</v>
      </c>
      <c r="E20">
        <v>6</v>
      </c>
      <c r="F20" t="str">
        <f t="shared" si="6"/>
        <v>Youth (&lt;25)</v>
      </c>
    </row>
    <row r="21" spans="1:6" x14ac:dyDescent="0.35">
      <c r="A21" s="1">
        <v>44601</v>
      </c>
      <c r="B21">
        <f t="shared" si="3"/>
        <v>9</v>
      </c>
      <c r="C21" t="str">
        <f t="shared" si="4"/>
        <v>February</v>
      </c>
      <c r="D21">
        <f t="shared" si="5"/>
        <v>2022</v>
      </c>
      <c r="E21">
        <v>7</v>
      </c>
      <c r="F21" t="str">
        <f t="shared" si="6"/>
        <v>Youth (&lt;25)</v>
      </c>
    </row>
    <row r="22" spans="1:6" x14ac:dyDescent="0.35">
      <c r="A22" s="1">
        <v>44602</v>
      </c>
      <c r="B22">
        <f t="shared" si="3"/>
        <v>10</v>
      </c>
      <c r="C22" t="str">
        <f t="shared" si="4"/>
        <v>February</v>
      </c>
      <c r="D22">
        <f t="shared" si="5"/>
        <v>2022</v>
      </c>
      <c r="E22">
        <v>8</v>
      </c>
      <c r="F22" t="str">
        <f t="shared" si="6"/>
        <v>Youth (&lt;25)</v>
      </c>
    </row>
    <row r="23" spans="1:6" x14ac:dyDescent="0.35">
      <c r="A23" s="1">
        <v>44603</v>
      </c>
      <c r="B23">
        <f t="shared" si="3"/>
        <v>11</v>
      </c>
      <c r="C23" t="str">
        <f t="shared" si="4"/>
        <v>February</v>
      </c>
      <c r="D23">
        <f t="shared" si="5"/>
        <v>2022</v>
      </c>
      <c r="E23">
        <v>9</v>
      </c>
      <c r="F23" t="str">
        <f t="shared" si="6"/>
        <v>Youth (&lt;25)</v>
      </c>
    </row>
    <row r="24" spans="1:6" x14ac:dyDescent="0.35">
      <c r="A24" s="1">
        <v>44604</v>
      </c>
      <c r="B24">
        <f t="shared" si="3"/>
        <v>12</v>
      </c>
      <c r="C24" t="str">
        <f t="shared" si="4"/>
        <v>February</v>
      </c>
      <c r="D24">
        <f t="shared" si="5"/>
        <v>2022</v>
      </c>
      <c r="E24">
        <v>10</v>
      </c>
      <c r="F24" t="str">
        <f t="shared" si="6"/>
        <v>Youth (&lt;25)</v>
      </c>
    </row>
    <row r="25" spans="1:6" x14ac:dyDescent="0.35">
      <c r="A25" s="1">
        <v>44605</v>
      </c>
      <c r="B25">
        <f t="shared" si="3"/>
        <v>13</v>
      </c>
      <c r="C25" t="str">
        <f t="shared" si="4"/>
        <v>February</v>
      </c>
      <c r="D25">
        <f t="shared" si="5"/>
        <v>2022</v>
      </c>
      <c r="E25">
        <v>11</v>
      </c>
      <c r="F25" t="str">
        <f t="shared" si="6"/>
        <v>Youth (&lt;25)</v>
      </c>
    </row>
    <row r="26" spans="1:6" x14ac:dyDescent="0.35">
      <c r="A26" s="1">
        <v>44606</v>
      </c>
      <c r="B26">
        <f t="shared" si="3"/>
        <v>14</v>
      </c>
      <c r="C26" t="str">
        <f t="shared" si="4"/>
        <v>February</v>
      </c>
      <c r="D26">
        <f t="shared" si="5"/>
        <v>2022</v>
      </c>
      <c r="E26">
        <v>12</v>
      </c>
      <c r="F26" t="str">
        <f t="shared" si="6"/>
        <v>Youth (&lt;25)</v>
      </c>
    </row>
    <row r="27" spans="1:6" x14ac:dyDescent="0.35">
      <c r="A27" s="1">
        <v>44607</v>
      </c>
      <c r="B27">
        <f t="shared" si="3"/>
        <v>15</v>
      </c>
      <c r="C27" t="str">
        <f t="shared" si="4"/>
        <v>March</v>
      </c>
      <c r="D27">
        <f t="shared" si="5"/>
        <v>2022</v>
      </c>
      <c r="E27">
        <v>13</v>
      </c>
      <c r="F27" t="str">
        <f t="shared" si="6"/>
        <v>Youth (&lt;25)</v>
      </c>
    </row>
    <row r="28" spans="1:6" x14ac:dyDescent="0.35">
      <c r="A28" s="1">
        <v>44636</v>
      </c>
      <c r="B28">
        <f t="shared" si="3"/>
        <v>16</v>
      </c>
      <c r="C28" t="str">
        <f t="shared" si="4"/>
        <v>February</v>
      </c>
      <c r="D28">
        <f t="shared" si="5"/>
        <v>2022</v>
      </c>
      <c r="E28">
        <v>14</v>
      </c>
      <c r="F28" t="str">
        <f t="shared" si="6"/>
        <v>Youth (&lt;25)</v>
      </c>
    </row>
    <row r="29" spans="1:6" x14ac:dyDescent="0.35">
      <c r="A29" s="1">
        <v>44609</v>
      </c>
      <c r="B29">
        <f t="shared" si="3"/>
        <v>17</v>
      </c>
      <c r="C29" t="str">
        <f t="shared" si="4"/>
        <v>February</v>
      </c>
      <c r="D29">
        <f t="shared" si="5"/>
        <v>2022</v>
      </c>
      <c r="E29">
        <v>15</v>
      </c>
      <c r="F29" t="str">
        <f t="shared" si="6"/>
        <v>Youth (&lt;25)</v>
      </c>
    </row>
    <row r="30" spans="1:6" x14ac:dyDescent="0.35">
      <c r="A30" s="1">
        <v>44610</v>
      </c>
      <c r="B30">
        <f t="shared" si="3"/>
        <v>18</v>
      </c>
      <c r="C30" t="str">
        <f t="shared" si="4"/>
        <v>February</v>
      </c>
      <c r="D30">
        <f t="shared" si="5"/>
        <v>2022</v>
      </c>
      <c r="E30">
        <v>16</v>
      </c>
      <c r="F30" t="str">
        <f t="shared" si="6"/>
        <v>Youth (&lt;25)</v>
      </c>
    </row>
    <row r="31" spans="1:6" x14ac:dyDescent="0.35">
      <c r="A31" s="1">
        <v>44611</v>
      </c>
      <c r="B31">
        <f t="shared" si="3"/>
        <v>19</v>
      </c>
      <c r="C31" t="str">
        <f t="shared" si="4"/>
        <v>February</v>
      </c>
      <c r="D31">
        <f t="shared" si="5"/>
        <v>2022</v>
      </c>
      <c r="E31">
        <v>17</v>
      </c>
      <c r="F31" t="str">
        <f t="shared" si="6"/>
        <v>Youth (&lt;25)</v>
      </c>
    </row>
    <row r="32" spans="1:6" x14ac:dyDescent="0.35">
      <c r="A32" s="1">
        <v>44612</v>
      </c>
      <c r="B32">
        <f t="shared" si="3"/>
        <v>20</v>
      </c>
      <c r="C32" t="str">
        <f t="shared" si="4"/>
        <v>February</v>
      </c>
      <c r="D32">
        <f t="shared" si="5"/>
        <v>2022</v>
      </c>
      <c r="E32">
        <v>18</v>
      </c>
      <c r="F32" t="str">
        <f t="shared" si="6"/>
        <v>Youth (&lt;25)</v>
      </c>
    </row>
    <row r="33" spans="1:6" x14ac:dyDescent="0.35">
      <c r="A33" s="1">
        <v>44978</v>
      </c>
      <c r="B33">
        <f t="shared" si="3"/>
        <v>21</v>
      </c>
      <c r="C33" t="str">
        <f t="shared" si="4"/>
        <v>February</v>
      </c>
      <c r="D33">
        <f t="shared" si="5"/>
        <v>2023</v>
      </c>
      <c r="E33">
        <v>19</v>
      </c>
      <c r="F33" t="str">
        <f t="shared" si="6"/>
        <v>Youth (&lt;25)</v>
      </c>
    </row>
    <row r="34" spans="1:6" x14ac:dyDescent="0.35">
      <c r="A34" s="1">
        <v>44614</v>
      </c>
      <c r="B34">
        <f t="shared" si="3"/>
        <v>22</v>
      </c>
      <c r="C34" t="str">
        <f t="shared" si="4"/>
        <v>February</v>
      </c>
      <c r="D34">
        <f t="shared" si="5"/>
        <v>2022</v>
      </c>
      <c r="E34">
        <v>20</v>
      </c>
      <c r="F34" t="str">
        <f t="shared" si="6"/>
        <v>Youth (&lt;25)</v>
      </c>
    </row>
    <row r="35" spans="1:6" x14ac:dyDescent="0.35">
      <c r="A35" s="1">
        <v>44615</v>
      </c>
      <c r="B35">
        <f t="shared" si="3"/>
        <v>23</v>
      </c>
      <c r="C35" t="str">
        <f t="shared" si="4"/>
        <v>February</v>
      </c>
      <c r="D35">
        <f t="shared" si="5"/>
        <v>2022</v>
      </c>
      <c r="E35">
        <v>21</v>
      </c>
      <c r="F35" t="str">
        <f t="shared" si="6"/>
        <v>Youth (&lt;25)</v>
      </c>
    </row>
    <row r="36" spans="1:6" x14ac:dyDescent="0.35">
      <c r="A36" s="1">
        <v>44616</v>
      </c>
      <c r="B36">
        <f t="shared" si="3"/>
        <v>24</v>
      </c>
      <c r="C36" t="str">
        <f t="shared" si="4"/>
        <v>February</v>
      </c>
      <c r="D36">
        <f t="shared" si="5"/>
        <v>2022</v>
      </c>
      <c r="E36">
        <v>22</v>
      </c>
      <c r="F36" t="str">
        <f t="shared" si="6"/>
        <v>Youth (&lt;25)</v>
      </c>
    </row>
    <row r="37" spans="1:6" x14ac:dyDescent="0.35">
      <c r="A37" s="1">
        <v>44617</v>
      </c>
      <c r="B37">
        <f t="shared" si="3"/>
        <v>25</v>
      </c>
      <c r="C37" t="str">
        <f t="shared" si="4"/>
        <v>February</v>
      </c>
      <c r="D37">
        <f t="shared" si="5"/>
        <v>2022</v>
      </c>
      <c r="E37">
        <v>23</v>
      </c>
      <c r="F37" t="str">
        <f t="shared" si="6"/>
        <v>Youth (&lt;25)</v>
      </c>
    </row>
    <row r="38" spans="1:6" x14ac:dyDescent="0.35">
      <c r="A38" s="1">
        <v>44618</v>
      </c>
      <c r="B38">
        <f t="shared" si="3"/>
        <v>26</v>
      </c>
      <c r="C38" t="str">
        <f t="shared" si="4"/>
        <v>February</v>
      </c>
      <c r="D38">
        <f t="shared" si="5"/>
        <v>2022</v>
      </c>
      <c r="E38">
        <v>24</v>
      </c>
      <c r="F38" t="str">
        <f t="shared" si="6"/>
        <v>Youth (&lt;25)</v>
      </c>
    </row>
    <row r="39" spans="1:6" x14ac:dyDescent="0.35">
      <c r="A39" s="1">
        <v>44619</v>
      </c>
      <c r="B39">
        <f t="shared" si="3"/>
        <v>27</v>
      </c>
      <c r="C39" t="str">
        <f t="shared" si="4"/>
        <v>February</v>
      </c>
      <c r="D39">
        <f t="shared" si="5"/>
        <v>2022</v>
      </c>
      <c r="E39">
        <v>25</v>
      </c>
      <c r="F39" t="str">
        <f t="shared" si="6"/>
        <v>Young Adults (25-34)</v>
      </c>
    </row>
    <row r="40" spans="1:6" x14ac:dyDescent="0.35">
      <c r="A40" s="1">
        <v>44620</v>
      </c>
      <c r="B40">
        <f t="shared" si="3"/>
        <v>28</v>
      </c>
      <c r="C40" t="str">
        <f t="shared" si="4"/>
        <v>March</v>
      </c>
      <c r="D40">
        <f t="shared" si="5"/>
        <v>2022</v>
      </c>
      <c r="E40">
        <v>26</v>
      </c>
      <c r="F40" t="str">
        <f t="shared" si="6"/>
        <v>Young Adults (25-34)</v>
      </c>
    </row>
    <row r="41" spans="1:6" x14ac:dyDescent="0.35">
      <c r="A41" s="1">
        <v>44621</v>
      </c>
      <c r="B41">
        <f t="shared" si="3"/>
        <v>1</v>
      </c>
      <c r="C41" t="str">
        <f t="shared" si="4"/>
        <v>March</v>
      </c>
      <c r="D41">
        <f t="shared" si="5"/>
        <v>2022</v>
      </c>
      <c r="E41">
        <v>27</v>
      </c>
      <c r="F41" t="str">
        <f t="shared" si="6"/>
        <v>Young Adults (25-34)</v>
      </c>
    </row>
    <row r="42" spans="1:6" x14ac:dyDescent="0.35">
      <c r="A42" s="1">
        <v>44987</v>
      </c>
      <c r="B42">
        <f t="shared" si="3"/>
        <v>2</v>
      </c>
      <c r="C42" t="str">
        <f t="shared" si="4"/>
        <v>March</v>
      </c>
      <c r="D42">
        <f t="shared" si="5"/>
        <v>2023</v>
      </c>
      <c r="E42">
        <v>28</v>
      </c>
      <c r="F42" t="str">
        <f t="shared" si="6"/>
        <v>Young Adults (25-34)</v>
      </c>
    </row>
    <row r="43" spans="1:6" x14ac:dyDescent="0.35">
      <c r="A43" s="1">
        <v>44623</v>
      </c>
      <c r="B43">
        <f t="shared" si="3"/>
        <v>3</v>
      </c>
      <c r="C43" t="str">
        <f t="shared" si="4"/>
        <v>March</v>
      </c>
      <c r="D43">
        <f t="shared" si="5"/>
        <v>2022</v>
      </c>
      <c r="E43">
        <v>29</v>
      </c>
      <c r="F43" t="str">
        <f t="shared" si="6"/>
        <v>Young Adults (25-34)</v>
      </c>
    </row>
    <row r="44" spans="1:6" x14ac:dyDescent="0.35">
      <c r="A44" s="1">
        <v>44624</v>
      </c>
      <c r="B44">
        <f t="shared" si="3"/>
        <v>4</v>
      </c>
      <c r="C44" t="str">
        <f t="shared" si="4"/>
        <v>March</v>
      </c>
      <c r="D44">
        <f t="shared" si="5"/>
        <v>2022</v>
      </c>
      <c r="E44">
        <v>30</v>
      </c>
      <c r="F44" t="str">
        <f t="shared" si="6"/>
        <v>Young Adults (25-34)</v>
      </c>
    </row>
    <row r="45" spans="1:6" x14ac:dyDescent="0.35">
      <c r="A45" s="1">
        <v>44625</v>
      </c>
      <c r="B45">
        <f t="shared" si="3"/>
        <v>5</v>
      </c>
      <c r="C45" t="str">
        <f t="shared" si="4"/>
        <v>March</v>
      </c>
      <c r="D45">
        <f t="shared" si="5"/>
        <v>2022</v>
      </c>
      <c r="E45">
        <v>31</v>
      </c>
      <c r="F45" t="str">
        <f t="shared" si="6"/>
        <v>Young Adults (25-34)</v>
      </c>
    </row>
    <row r="46" spans="1:6" x14ac:dyDescent="0.35">
      <c r="A46" s="1">
        <v>44626</v>
      </c>
      <c r="B46">
        <f t="shared" si="3"/>
        <v>6</v>
      </c>
      <c r="C46" t="str">
        <f t="shared" si="4"/>
        <v>March</v>
      </c>
      <c r="D46">
        <f t="shared" si="5"/>
        <v>2022</v>
      </c>
      <c r="E46">
        <v>32</v>
      </c>
      <c r="F46" t="str">
        <f t="shared" si="6"/>
        <v>Young Adults (25-34)</v>
      </c>
    </row>
    <row r="47" spans="1:6" x14ac:dyDescent="0.35">
      <c r="A47" s="1">
        <v>44627</v>
      </c>
      <c r="B47">
        <f t="shared" si="3"/>
        <v>7</v>
      </c>
      <c r="C47" t="str">
        <f t="shared" si="4"/>
        <v>March</v>
      </c>
      <c r="D47">
        <f t="shared" si="5"/>
        <v>2022</v>
      </c>
      <c r="E47">
        <v>33</v>
      </c>
      <c r="F47" t="str">
        <f t="shared" si="6"/>
        <v>Young Adults (25-34)</v>
      </c>
    </row>
    <row r="48" spans="1:6" x14ac:dyDescent="0.35">
      <c r="A48" s="1">
        <v>44628</v>
      </c>
      <c r="B48">
        <f t="shared" si="3"/>
        <v>8</v>
      </c>
      <c r="C48" t="str">
        <f t="shared" si="4"/>
        <v>March</v>
      </c>
      <c r="D48">
        <f t="shared" si="5"/>
        <v>2022</v>
      </c>
      <c r="E48">
        <v>34</v>
      </c>
      <c r="F48" t="str">
        <f t="shared" si="6"/>
        <v>Young Adults (25-34)</v>
      </c>
    </row>
    <row r="49" spans="1:6" x14ac:dyDescent="0.35">
      <c r="A49" s="1">
        <v>44629</v>
      </c>
      <c r="B49">
        <f t="shared" si="3"/>
        <v>9</v>
      </c>
      <c r="C49" t="str">
        <f t="shared" si="4"/>
        <v>March</v>
      </c>
      <c r="D49">
        <f t="shared" si="5"/>
        <v>2022</v>
      </c>
      <c r="E49">
        <v>35</v>
      </c>
      <c r="F49" t="str">
        <f t="shared" si="6"/>
        <v>Adults (35-64)</v>
      </c>
    </row>
    <row r="50" spans="1:6" x14ac:dyDescent="0.35">
      <c r="A50" s="1">
        <v>44630</v>
      </c>
      <c r="B50">
        <f t="shared" si="3"/>
        <v>10</v>
      </c>
      <c r="C50" t="str">
        <f t="shared" si="4"/>
        <v>January</v>
      </c>
      <c r="D50">
        <f t="shared" si="5"/>
        <v>2022</v>
      </c>
      <c r="E50">
        <v>36</v>
      </c>
      <c r="F50" t="str">
        <f t="shared" si="6"/>
        <v>Adults (35-64)</v>
      </c>
    </row>
  </sheetData>
  <autoFilter ref="A1:S1" xr:uid="{1FEBE038-5188-4BB3-A1EC-49FE8A6A2949}"/>
  <dataValidations count="1">
    <dataValidation type="whole" allowBlank="1" showInputMessage="1" showErrorMessage="1" sqref="E2:E1048576" xr:uid="{F53BA165-2A42-40F3-8A12-359EB6AA6AE8}">
      <formula1>0</formula1>
      <formula2>64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0415-0D91-4005-A8D4-45B817CDB9E7}">
  <dimension ref="A1:A2"/>
  <sheetViews>
    <sheetView workbookViewId="0">
      <selection activeCell="A3" sqref="A3"/>
    </sheetView>
  </sheetViews>
  <sheetFormatPr defaultRowHeight="14.5" x14ac:dyDescent="0.35"/>
  <cols>
    <col min="1" max="1" width="14.26953125" customWidth="1"/>
  </cols>
  <sheetData>
    <row r="1" spans="1:1" s="2" customFormat="1" x14ac:dyDescent="0.35">
      <c r="A1" s="2" t="s">
        <v>68</v>
      </c>
    </row>
    <row r="2" spans="1:1" x14ac:dyDescent="0.35">
      <c r="A2" s="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8473-F278-4E35-A1A5-2C534C8F5A28}">
  <dimension ref="A1:E11"/>
  <sheetViews>
    <sheetView workbookViewId="0">
      <selection activeCell="E6" sqref="E6"/>
    </sheetView>
  </sheetViews>
  <sheetFormatPr defaultRowHeight="14.5" x14ac:dyDescent="0.35"/>
  <cols>
    <col min="1" max="1" width="20.90625" customWidth="1"/>
    <col min="2" max="2" width="14.36328125" customWidth="1"/>
    <col min="3" max="3" width="15.7265625" customWidth="1"/>
    <col min="4" max="4" width="26.54296875" customWidth="1"/>
    <col min="5" max="5" width="29.08984375" customWidth="1"/>
    <col min="6" max="6" width="21.36328125" customWidth="1"/>
  </cols>
  <sheetData>
    <row r="1" spans="1:5" s="2" customFormat="1" x14ac:dyDescent="0.35">
      <c r="A1" s="2" t="s">
        <v>11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35">
      <c r="A2" t="str" cm="1">
        <f t="array" ref="A2:A11">_xlfn._xlws.SORT(_xlfn.UNIQUE(Data!L2:L14))</f>
        <v>Mountain-200 Black, 38</v>
      </c>
      <c r="B2">
        <f>SUMIF(Data!L:L, 'Product Dashboard'!A2, Data!M:M)</f>
        <v>40</v>
      </c>
      <c r="C2">
        <f>COUNTIF(Data!L:L, A2)</f>
        <v>1</v>
      </c>
      <c r="D2">
        <f>SUMIFS(Data!M:M, Data!L:L, 'Product Dashboard'!A2, Data!H:H, "United States")</f>
        <v>0</v>
      </c>
      <c r="E2">
        <f>COUNTIFS(Data!L:L, 'Product Dashboard'!A2, Data!H:H, "United States")</f>
        <v>0</v>
      </c>
    </row>
    <row r="3" spans="1:5" x14ac:dyDescent="0.35">
      <c r="A3" t="str">
        <v>Mountain-200 Black, 46</v>
      </c>
      <c r="B3">
        <f>SUMIF(Data!L:L, 'Product Dashboard'!A3, Data!M:M)</f>
        <v>10</v>
      </c>
      <c r="C3">
        <f>COUNTIF(Data!L:L, A3)</f>
        <v>1</v>
      </c>
      <c r="D3">
        <f>SUMIFS(Data!M:M, Data!L:L, 'Product Dashboard'!A3, Data!H:H, "United States")</f>
        <v>0</v>
      </c>
      <c r="E3">
        <f>COUNTIFS(Data!L:L, 'Product Dashboard'!A3, Data!H:H, "United States")</f>
        <v>0</v>
      </c>
    </row>
    <row r="4" spans="1:5" x14ac:dyDescent="0.35">
      <c r="A4" t="str">
        <v>Road-150 Red, 48</v>
      </c>
      <c r="B4">
        <f>SUMIF(Data!L:L, 'Product Dashboard'!A4, Data!M:M)</f>
        <v>67</v>
      </c>
      <c r="C4">
        <f>COUNTIF(Data!L:L, A4)</f>
        <v>2</v>
      </c>
      <c r="D4">
        <f>SUMIFS(Data!M:M, Data!L:L, 'Product Dashboard'!A4, Data!H:H, "United States")</f>
        <v>47</v>
      </c>
      <c r="E4">
        <f>COUNTIFS(Data!L:L, 'Product Dashboard'!A4, Data!H:H, "United States")</f>
        <v>1</v>
      </c>
    </row>
    <row r="5" spans="1:5" x14ac:dyDescent="0.35">
      <c r="A5" t="str">
        <v>Road-250 Red, 44</v>
      </c>
      <c r="B5">
        <f>SUMIF(Data!L:L, 'Product Dashboard'!A5, Data!M:M)</f>
        <v>10</v>
      </c>
      <c r="C5">
        <f>COUNTIF(Data!L:L, A5)</f>
        <v>1</v>
      </c>
      <c r="D5">
        <f>SUMIFS(Data!M:M, Data!L:L, 'Product Dashboard'!A5, Data!H:H, "United States")</f>
        <v>0</v>
      </c>
      <c r="E5">
        <f>COUNTIFS(Data!L:L, 'Product Dashboard'!A5, Data!H:H, "United States")</f>
        <v>0</v>
      </c>
    </row>
    <row r="6" spans="1:5" x14ac:dyDescent="0.35">
      <c r="A6" t="str">
        <v>Road-250 Red, 58</v>
      </c>
      <c r="B6">
        <f>SUMIF(Data!L:L, 'Product Dashboard'!A6, Data!M:M)</f>
        <v>30</v>
      </c>
      <c r="C6">
        <f>COUNTIF(Data!L:L, A6)</f>
        <v>1</v>
      </c>
      <c r="D6">
        <f>SUMIFS(Data!M:M, Data!L:L, 'Product Dashboard'!A6, Data!H:H, "United States")</f>
        <v>0</v>
      </c>
      <c r="E6">
        <f>COUNTIFS(Data!L:L, 'Product Dashboard'!A6, Data!H:H, "United States")</f>
        <v>0</v>
      </c>
    </row>
    <row r="7" spans="1:5" x14ac:dyDescent="0.35">
      <c r="A7" t="str">
        <v>Road-550-W Yellow, 38</v>
      </c>
      <c r="B7">
        <f>SUMIF(Data!L:L, 'Product Dashboard'!A7, Data!M:M)</f>
        <v>44</v>
      </c>
      <c r="C7">
        <f>COUNTIF(Data!L:L, A7)</f>
        <v>2</v>
      </c>
      <c r="D7">
        <f>SUMIFS(Data!M:M, Data!L:L, 'Product Dashboard'!A7, Data!H:H, "United States")</f>
        <v>30</v>
      </c>
      <c r="E7">
        <f>COUNTIFS(Data!L:L, 'Product Dashboard'!A7, Data!H:H, "United States")</f>
        <v>1</v>
      </c>
    </row>
    <row r="8" spans="1:5" x14ac:dyDescent="0.35">
      <c r="A8" t="str">
        <v>Road-550-W Yellow, 40</v>
      </c>
      <c r="B8">
        <f>SUMIF(Data!L:L, 'Product Dashboard'!A8, Data!M:M)</f>
        <v>14</v>
      </c>
      <c r="C8">
        <f>COUNTIF(Data!L:L, A8)</f>
        <v>1</v>
      </c>
      <c r="D8">
        <f>SUMIFS(Data!M:M, Data!L:L, 'Product Dashboard'!A8, Data!H:H, "United States")</f>
        <v>0</v>
      </c>
      <c r="E8">
        <f>COUNTIFS(Data!L:L, 'Product Dashboard'!A8, Data!H:H, "United States")</f>
        <v>0</v>
      </c>
    </row>
    <row r="9" spans="1:5" x14ac:dyDescent="0.35">
      <c r="A9" t="str">
        <v>Road-550-W Yellow, 48</v>
      </c>
      <c r="B9">
        <f>SUMIF(Data!L:L, 'Product Dashboard'!A9, Data!M:M)</f>
        <v>12</v>
      </c>
      <c r="C9">
        <f>COUNTIF(Data!L:L, A9)</f>
        <v>1</v>
      </c>
      <c r="D9">
        <f>SUMIFS(Data!M:M, Data!L:L, 'Product Dashboard'!A9, Data!H:H, "United States")</f>
        <v>12</v>
      </c>
      <c r="E9">
        <f>COUNTIFS(Data!L:L, 'Product Dashboard'!A9, Data!H:H, "United States")</f>
        <v>1</v>
      </c>
    </row>
    <row r="10" spans="1:5" x14ac:dyDescent="0.35">
      <c r="A10" t="str">
        <v>Road-750 Black, 44</v>
      </c>
      <c r="B10">
        <f>SUMIF(Data!L:L, 'Product Dashboard'!A10, Data!M:M)</f>
        <v>43</v>
      </c>
      <c r="C10">
        <f>COUNTIF(Data!L:L, A10)</f>
        <v>2</v>
      </c>
      <c r="D10">
        <f>SUMIFS(Data!M:M, Data!L:L, 'Product Dashboard'!A10, Data!H:H, "United States")</f>
        <v>11</v>
      </c>
      <c r="E10">
        <f>COUNTIFS(Data!L:L, 'Product Dashboard'!A10, Data!H:H, "United States")</f>
        <v>1</v>
      </c>
    </row>
    <row r="11" spans="1:5" x14ac:dyDescent="0.35">
      <c r="A11" t="str">
        <v>Road-750 Black, 48</v>
      </c>
      <c r="B11">
        <f>SUMIF(Data!L:L, 'Product Dashboard'!A11, Data!M:M)</f>
        <v>28</v>
      </c>
      <c r="C11">
        <f>COUNTIF(Data!L:L, A11)</f>
        <v>1</v>
      </c>
      <c r="D11">
        <f>SUMIFS(Data!M:M, Data!L:L, 'Product Dashboard'!A11, Data!H:H, "United States")</f>
        <v>0</v>
      </c>
      <c r="E11">
        <f>COUNTIFS(Data!L:L, 'Product Dashboard'!A11, Data!H:H, "United States")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8A06-221A-4DFF-B7FA-4233F90E0510}">
  <dimension ref="A1:F6"/>
  <sheetViews>
    <sheetView workbookViewId="0">
      <selection activeCell="F5" sqref="F5"/>
    </sheetView>
  </sheetViews>
  <sheetFormatPr defaultRowHeight="14.5" x14ac:dyDescent="0.35"/>
  <cols>
    <col min="1" max="1" width="22.6328125" customWidth="1"/>
    <col min="2" max="2" width="29" customWidth="1"/>
    <col min="3" max="3" width="24.1796875" customWidth="1"/>
    <col min="4" max="4" width="21.54296875" customWidth="1"/>
    <col min="5" max="5" width="23.1796875" customWidth="1"/>
    <col min="6" max="6" width="22.1796875" customWidth="1"/>
  </cols>
  <sheetData>
    <row r="1" spans="1:6" s="2" customFormat="1" x14ac:dyDescent="0.35">
      <c r="A1" s="2" t="s">
        <v>7</v>
      </c>
      <c r="B1" s="2" t="s">
        <v>60</v>
      </c>
      <c r="C1" s="2" t="s">
        <v>61</v>
      </c>
      <c r="D1" s="2" t="s">
        <v>64</v>
      </c>
      <c r="E1" s="2" t="s">
        <v>65</v>
      </c>
      <c r="F1" s="2" t="s">
        <v>66</v>
      </c>
    </row>
    <row r="2" spans="1:6" x14ac:dyDescent="0.35">
      <c r="A2" t="str" cm="1">
        <f t="array" ref="A2:A6">_xlfn._xlws.SORT(_xlfn.UNIQUE(Data!H2:H14))</f>
        <v>Australia</v>
      </c>
      <c r="B2">
        <f>SUMIF(Data!H:H, 'Country Dashboard'!A2, Data!M:M)</f>
        <v>82</v>
      </c>
      <c r="C2">
        <f>COUNTIF(Data!H:H, A2)</f>
        <v>4</v>
      </c>
      <c r="D2" s="3">
        <f>SUMIFS(Data!Q:Q, Data!H:H, 'Country Dashboard'!A2)</f>
        <v>78784</v>
      </c>
      <c r="E2" s="3">
        <f>SUMIFS(Data!R:R, Data!H:H, 'Country Dashboard'!A2)</f>
        <v>127040</v>
      </c>
      <c r="F2" s="3">
        <f>E2-D2</f>
        <v>48256</v>
      </c>
    </row>
    <row r="3" spans="1:6" x14ac:dyDescent="0.35">
      <c r="A3" t="str">
        <v>Canada</v>
      </c>
      <c r="B3">
        <f>SUMIF(Data!H:H, 'Country Dashboard'!A3, Data!M:M)</f>
        <v>42</v>
      </c>
      <c r="C3">
        <f>COUNTIF(Data!H:H, A3)</f>
        <v>2</v>
      </c>
      <c r="D3" s="3">
        <f>SUMIFS(Data!Q:Q, Data!H:H, 'Country Dashboard'!A3)</f>
        <v>26198</v>
      </c>
      <c r="E3" s="3">
        <f>SUMIFS(Data!R:R, Data!H:H, 'Country Dashboard'!A3)</f>
        <v>41710</v>
      </c>
      <c r="F3" s="3">
        <f t="shared" ref="F3:F6" si="0">E3-D3</f>
        <v>15512</v>
      </c>
    </row>
    <row r="4" spans="1:6" x14ac:dyDescent="0.35">
      <c r="A4" t="str">
        <v>France</v>
      </c>
      <c r="B4">
        <f>SUMIF(Data!H:H, 'Country Dashboard'!A4, Data!M:M)</f>
        <v>20</v>
      </c>
      <c r="C4">
        <f>COUNTIF(Data!H:H, A4)</f>
        <v>1</v>
      </c>
      <c r="D4" s="3">
        <f>SUMIFS(Data!Q:Q, Data!H:H, 'Country Dashboard'!A4)</f>
        <v>43420</v>
      </c>
      <c r="E4" s="3">
        <f>SUMIFS(Data!R:R, Data!H:H, 'Country Dashboard'!A4)</f>
        <v>71560</v>
      </c>
      <c r="F4" s="3">
        <f t="shared" si="0"/>
        <v>28140</v>
      </c>
    </row>
    <row r="5" spans="1:6" x14ac:dyDescent="0.35">
      <c r="A5" t="str">
        <v>United Kingdom</v>
      </c>
      <c r="B5">
        <f>SUMIF(Data!H:H, 'Country Dashboard'!A5, Data!M:M)</f>
        <v>54</v>
      </c>
      <c r="C5">
        <f>COUNTIF(Data!H:H, A5)</f>
        <v>2</v>
      </c>
      <c r="D5" s="3">
        <f>SUMIFS(Data!Q:Q, Data!H:H, 'Country Dashboard'!A5)</f>
        <v>60062</v>
      </c>
      <c r="E5" s="3">
        <f>SUMIFS(Data!R:R, Data!H:H, 'Country Dashboard'!A5)</f>
        <v>107480</v>
      </c>
      <c r="F5" s="3">
        <f t="shared" si="0"/>
        <v>47418</v>
      </c>
    </row>
    <row r="6" spans="1:6" x14ac:dyDescent="0.35">
      <c r="A6" t="str">
        <v>United States</v>
      </c>
      <c r="B6">
        <f>SUMIF(Data!H:H, 'Country Dashboard'!A6, Data!M:M)</f>
        <v>100</v>
      </c>
      <c r="C6">
        <f>COUNTIF(Data!H:H, A6)</f>
        <v>4</v>
      </c>
      <c r="D6" s="3">
        <f>SUMIFS(Data!Q:Q, Data!H:H, 'Country Dashboard'!A6)</f>
        <v>135767</v>
      </c>
      <c r="E6" s="3">
        <f>SUMIFS(Data!R:R, Data!H:H, 'Country Dashboard'!A6)</f>
        <v>221146</v>
      </c>
      <c r="F6" s="3">
        <f t="shared" si="0"/>
        <v>85379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0098-EB5F-4FBC-AD9B-4AE15DF1642A}">
  <dimension ref="A1:F13"/>
  <sheetViews>
    <sheetView workbookViewId="0">
      <selection activeCell="A10" sqref="A10"/>
    </sheetView>
  </sheetViews>
  <sheetFormatPr defaultRowHeight="14.5" x14ac:dyDescent="0.35"/>
  <cols>
    <col min="1" max="1" width="17.90625" customWidth="1"/>
    <col min="2" max="2" width="24.08984375" customWidth="1"/>
    <col min="3" max="3" width="17.36328125" customWidth="1"/>
    <col min="4" max="4" width="18.08984375" customWidth="1"/>
    <col min="5" max="5" width="17.26953125" customWidth="1"/>
    <col min="6" max="6" width="17.1796875" customWidth="1"/>
  </cols>
  <sheetData>
    <row r="1" spans="1:6" s="2" customFormat="1" x14ac:dyDescent="0.35">
      <c r="A1" s="2" t="s">
        <v>2</v>
      </c>
      <c r="B1" s="2" t="s">
        <v>60</v>
      </c>
      <c r="C1" s="2" t="s">
        <v>61</v>
      </c>
      <c r="D1" s="2" t="s">
        <v>64</v>
      </c>
      <c r="E1" s="2" t="s">
        <v>65</v>
      </c>
      <c r="F1" s="2" t="s">
        <v>66</v>
      </c>
    </row>
    <row r="2" spans="1:6" x14ac:dyDescent="0.35">
      <c r="A2" t="str" cm="1">
        <f t="array" ref="A2:A13">_xlfn.UNIQUE(Data!C2:C14)</f>
        <v>January</v>
      </c>
      <c r="B2">
        <f>SUMIF(Data!C:C, 'Monthly Dashboard'!A2, Data!M:M)</f>
        <v>58</v>
      </c>
      <c r="C2">
        <f>COUNTIF(Data!C:C, A2)</f>
        <v>3</v>
      </c>
      <c r="D2" s="3">
        <f>SUMIFS(Data!Q:Q, Data!C:C, 'Monthly Dashboard'!A2)</f>
        <v>31022</v>
      </c>
      <c r="E2" s="3">
        <f>SUMIFS(Data!R:R, Data!C:C, 'Monthly Dashboard'!A2)</f>
        <v>48720</v>
      </c>
      <c r="F2" s="3">
        <f>E2-D2</f>
        <v>17698</v>
      </c>
    </row>
    <row r="3" spans="1:6" x14ac:dyDescent="0.35">
      <c r="A3" t="str">
        <v>February</v>
      </c>
      <c r="B3">
        <f>SUMIF(Data!C:C, 'Monthly Dashboard'!A3, Data!M:M)</f>
        <v>20</v>
      </c>
      <c r="C3">
        <f>COUNTIF(Data!C:C, A3)</f>
        <v>25</v>
      </c>
      <c r="D3" s="3">
        <f>SUMIFS(Data!Q:Q, Data!C:C, 'Monthly Dashboard'!A3)</f>
        <v>43420</v>
      </c>
      <c r="E3" s="3">
        <f>SUMIFS(Data!R:R, Data!C:C, 'Monthly Dashboard'!A3)</f>
        <v>71560</v>
      </c>
      <c r="F3" s="3">
        <f t="shared" ref="F3:F13" si="0">E3-D3</f>
        <v>28140</v>
      </c>
    </row>
    <row r="4" spans="1:6" x14ac:dyDescent="0.35">
      <c r="A4" t="str">
        <v>March</v>
      </c>
      <c r="B4">
        <f>SUMIF(Data!C:C, 'Monthly Dashboard'!A4, Data!M:M)</f>
        <v>10</v>
      </c>
      <c r="C4">
        <f>COUNTIF(Data!C:C, A4)</f>
        <v>12</v>
      </c>
      <c r="D4" s="3">
        <f>SUMIFS(Data!Q:Q, Data!C:C, 'Monthly Dashboard'!A4)</f>
        <v>15190</v>
      </c>
      <c r="E4" s="3">
        <f>SUMIFS(Data!R:R, Data!C:C, 'Monthly Dashboard'!A4)</f>
        <v>24430</v>
      </c>
      <c r="F4" s="3">
        <f t="shared" si="0"/>
        <v>9240</v>
      </c>
    </row>
    <row r="5" spans="1:6" x14ac:dyDescent="0.35">
      <c r="A5" t="str">
        <v>April</v>
      </c>
      <c r="B5">
        <f>SUMIF(Data!C:C, 'Monthly Dashboard'!A5, Data!M:M)</f>
        <v>10</v>
      </c>
      <c r="C5">
        <f>COUNTIF(Data!C:C, A5)</f>
        <v>1</v>
      </c>
      <c r="D5" s="3">
        <f>SUMIFS(Data!Q:Q, Data!C:C, 'Monthly Dashboard'!A5)</f>
        <v>12520</v>
      </c>
      <c r="E5" s="3">
        <f>SUMIFS(Data!R:R, Data!C:C, 'Monthly Dashboard'!A5)</f>
        <v>22950</v>
      </c>
      <c r="F5" s="3">
        <f t="shared" si="0"/>
        <v>10430</v>
      </c>
    </row>
    <row r="6" spans="1:6" x14ac:dyDescent="0.35">
      <c r="A6" t="str">
        <v>May</v>
      </c>
      <c r="B6">
        <f>SUMIF(Data!C:C, 'Monthly Dashboard'!A6, Data!M:M)</f>
        <v>11</v>
      </c>
      <c r="C6">
        <f>COUNTIF(Data!C:C, A6)</f>
        <v>1</v>
      </c>
      <c r="D6" s="3">
        <f>SUMIFS(Data!Q:Q, Data!C:C, 'Monthly Dashboard'!A6)</f>
        <v>3784</v>
      </c>
      <c r="E6" s="3">
        <f>SUMIFS(Data!R:R, Data!C:C, 'Monthly Dashboard'!A6)</f>
        <v>5940</v>
      </c>
      <c r="F6" s="3">
        <f t="shared" si="0"/>
        <v>2156</v>
      </c>
    </row>
    <row r="7" spans="1:6" x14ac:dyDescent="0.35">
      <c r="A7" t="str">
        <v>June</v>
      </c>
      <c r="B7">
        <f>SUMIF(Data!C:C, 'Monthly Dashboard'!A7, Data!M:M)</f>
        <v>14</v>
      </c>
      <c r="C7">
        <f>COUNTIF(Data!C:C, A7)</f>
        <v>1</v>
      </c>
      <c r="D7" s="3">
        <f>SUMIFS(Data!Q:Q, Data!C:C, 'Monthly Dashboard'!A7)</f>
        <v>9982</v>
      </c>
      <c r="E7" s="3">
        <f>SUMIFS(Data!R:R, Data!C:C, 'Monthly Dashboard'!A7)</f>
        <v>15680</v>
      </c>
      <c r="F7" s="3">
        <f t="shared" si="0"/>
        <v>5698</v>
      </c>
    </row>
    <row r="8" spans="1:6" x14ac:dyDescent="0.35">
      <c r="A8" t="str">
        <v>July</v>
      </c>
      <c r="B8">
        <f>SUMIF(Data!C:C, 'Monthly Dashboard'!A8, Data!M:M)</f>
        <v>30</v>
      </c>
      <c r="C8">
        <f>COUNTIF(Data!C:C, A8)</f>
        <v>1</v>
      </c>
      <c r="D8" s="3">
        <f>SUMIFS(Data!Q:Q, Data!C:C, 'Monthly Dashboard'!A8)</f>
        <v>46650</v>
      </c>
      <c r="E8" s="3">
        <f>SUMIFS(Data!R:R, Data!C:C, 'Monthly Dashboard'!A8)</f>
        <v>73290</v>
      </c>
      <c r="F8" s="3">
        <f t="shared" si="0"/>
        <v>26640</v>
      </c>
    </row>
    <row r="9" spans="1:6" x14ac:dyDescent="0.35">
      <c r="A9" t="str">
        <v>August</v>
      </c>
      <c r="B9">
        <f>SUMIF(Data!C:C, 'Monthly Dashboard'!A9, Data!M:M)</f>
        <v>14</v>
      </c>
      <c r="C9">
        <f>COUNTIF(Data!C:C, A9)</f>
        <v>1</v>
      </c>
      <c r="D9" s="3">
        <f>SUMIFS(Data!Q:Q, Data!C:C, 'Monthly Dashboard'!A9)</f>
        <v>9982</v>
      </c>
      <c r="E9" s="3">
        <f>SUMIFS(Data!R:R, Data!C:C, 'Monthly Dashboard'!A9)</f>
        <v>15680</v>
      </c>
      <c r="F9" s="3">
        <f t="shared" si="0"/>
        <v>5698</v>
      </c>
    </row>
    <row r="10" spans="1:6" x14ac:dyDescent="0.35">
      <c r="A10" t="str">
        <v>September</v>
      </c>
      <c r="B10">
        <f>SUMIF(Data!C:C, 'Monthly Dashboard'!A10, Data!M:M)</f>
        <v>12</v>
      </c>
      <c r="C10">
        <f>COUNTIF(Data!C:C, A10)</f>
        <v>1</v>
      </c>
      <c r="D10" s="3">
        <f>SUMIFS(Data!Q:Q, Data!C:C, 'Monthly Dashboard'!A10)</f>
        <v>8556</v>
      </c>
      <c r="E10" s="3">
        <f>SUMIFS(Data!R:R, Data!C:C, 'Monthly Dashboard'!A10)</f>
        <v>13440</v>
      </c>
      <c r="F10" s="3">
        <f t="shared" si="0"/>
        <v>4884</v>
      </c>
    </row>
    <row r="11" spans="1:6" x14ac:dyDescent="0.35">
      <c r="A11" t="str">
        <v>October</v>
      </c>
      <c r="B11">
        <f>SUMIF(Data!C:C, 'Monthly Dashboard'!A11, Data!M:M)</f>
        <v>40</v>
      </c>
      <c r="C11">
        <f>COUNTIF(Data!C:C, A11)</f>
        <v>1</v>
      </c>
      <c r="D11" s="3">
        <f>SUMIFS(Data!Q:Q, Data!C:C, 'Monthly Dashboard'!A11)</f>
        <v>50080</v>
      </c>
      <c r="E11" s="3">
        <f>SUMIFS(Data!R:R, Data!C:C, 'Monthly Dashboard'!A11)</f>
        <v>91800</v>
      </c>
      <c r="F11" s="3">
        <f t="shared" si="0"/>
        <v>41720</v>
      </c>
    </row>
    <row r="12" spans="1:6" x14ac:dyDescent="0.35">
      <c r="A12" t="str">
        <v>November</v>
      </c>
      <c r="B12">
        <f>SUMIF(Data!C:C, 'Monthly Dashboard'!A12, Data!M:M)</f>
        <v>47</v>
      </c>
      <c r="C12">
        <f>COUNTIF(Data!C:C, A12)</f>
        <v>1</v>
      </c>
      <c r="D12" s="3">
        <f>SUMIFS(Data!Q:Q, Data!C:C, 'Monthly Dashboard'!A12)</f>
        <v>102037</v>
      </c>
      <c r="E12" s="3">
        <f>SUMIFS(Data!R:R, Data!C:C, 'Monthly Dashboard'!A12)</f>
        <v>168166</v>
      </c>
      <c r="F12" s="3">
        <f t="shared" si="0"/>
        <v>66129</v>
      </c>
    </row>
    <row r="13" spans="1:6" x14ac:dyDescent="0.35">
      <c r="A13" t="str">
        <v>December</v>
      </c>
      <c r="B13">
        <f>SUMIF(Data!C:C, 'Monthly Dashboard'!A13, Data!M:M)</f>
        <v>32</v>
      </c>
      <c r="C13">
        <f>COUNTIF(Data!C:C, A13)</f>
        <v>1</v>
      </c>
      <c r="D13" s="3">
        <f>SUMIFS(Data!Q:Q, Data!C:C, 'Monthly Dashboard'!A13)</f>
        <v>11008</v>
      </c>
      <c r="E13" s="3">
        <f>SUMIFS(Data!R:R, Data!C:C, 'Monthly Dashboard'!A13)</f>
        <v>17280</v>
      </c>
      <c r="F13" s="3">
        <f t="shared" si="0"/>
        <v>6272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D1F2-B347-4A5E-B0B5-43EBB7535B0E}">
  <dimension ref="A1:F13"/>
  <sheetViews>
    <sheetView workbookViewId="0">
      <selection activeCell="D12" sqref="D12"/>
    </sheetView>
  </sheetViews>
  <sheetFormatPr defaultRowHeight="14.5" x14ac:dyDescent="0.35"/>
  <cols>
    <col min="1" max="1" width="19.26953125" customWidth="1"/>
    <col min="2" max="2" width="21.6328125" customWidth="1"/>
    <col min="3" max="3" width="19.453125" customWidth="1"/>
    <col min="4" max="4" width="14.6328125" customWidth="1"/>
    <col min="5" max="5" width="19.08984375" customWidth="1"/>
    <col min="6" max="6" width="17.7265625" customWidth="1"/>
  </cols>
  <sheetData>
    <row r="1" spans="1:6" s="2" customFormat="1" x14ac:dyDescent="0.35">
      <c r="A1" s="2" t="s">
        <v>67</v>
      </c>
      <c r="B1" s="2" t="s">
        <v>60</v>
      </c>
      <c r="C1" s="2" t="s">
        <v>61</v>
      </c>
      <c r="D1" s="2" t="s">
        <v>64</v>
      </c>
      <c r="E1" s="2" t="s">
        <v>65</v>
      </c>
      <c r="F1" s="2" t="s">
        <v>66</v>
      </c>
    </row>
    <row r="2" spans="1:6" x14ac:dyDescent="0.35">
      <c r="A2" t="str" cm="1">
        <f t="array" ref="A2:A4">_xlfn._xlws.SORT(_xlfn.UNIQUE(Data!F2:F14))</f>
        <v>Adults (35-64)</v>
      </c>
      <c r="B2">
        <f>SUMIF(Data!F:F, A2, Data!M:M)</f>
        <v>204</v>
      </c>
      <c r="C2">
        <f>COUNTIF(Data!F:F, A2)</f>
        <v>10</v>
      </c>
      <c r="D2" s="3">
        <f>SUMIFS(Data!Q:Q, Data!F:F, A2)</f>
        <v>213039</v>
      </c>
      <c r="E2" s="3">
        <f>SUMIFS(Data!R:R, Data!F:F, A2)</f>
        <v>342516</v>
      </c>
      <c r="F2" s="3">
        <f>E2-D2</f>
        <v>129477</v>
      </c>
    </row>
    <row r="3" spans="1:6" x14ac:dyDescent="0.35">
      <c r="A3" t="str">
        <v>Young Adults (25-34)</v>
      </c>
      <c r="B3">
        <f>SUMIF(Data!F:F, A3, Data!M:M)</f>
        <v>74</v>
      </c>
      <c r="C3">
        <f>COUNTIF(Data!F:F, A3)</f>
        <v>13</v>
      </c>
      <c r="D3" s="3">
        <f>SUMIFS(Data!Q:Q, Data!F:F, A3)</f>
        <v>103482</v>
      </c>
      <c r="E3" s="3">
        <f>SUMIFS(Data!R:R, Data!F:F, A3)</f>
        <v>179040</v>
      </c>
      <c r="F3" s="3">
        <f t="shared" ref="F3:F4" si="0">E3-D3</f>
        <v>75558</v>
      </c>
    </row>
    <row r="4" spans="1:6" x14ac:dyDescent="0.35">
      <c r="A4" t="str">
        <v>Youth (&lt;25)</v>
      </c>
      <c r="B4">
        <f>SUMIF(Data!F:F, A4, Data!M:M)</f>
        <v>20</v>
      </c>
      <c r="C4">
        <f>COUNTIF(Data!F:F, A4)</f>
        <v>26</v>
      </c>
      <c r="D4" s="3">
        <f>SUMIFS(Data!Q:Q, Data!F:F, A4)</f>
        <v>27710</v>
      </c>
      <c r="E4" s="3">
        <f>SUMIFS(Data!R:R, Data!F:F, A4)</f>
        <v>47380</v>
      </c>
      <c r="F4" s="3">
        <f t="shared" si="0"/>
        <v>19670</v>
      </c>
    </row>
    <row r="5" spans="1:6" x14ac:dyDescent="0.35">
      <c r="D5" s="3"/>
      <c r="E5" s="3"/>
      <c r="F5" s="3"/>
    </row>
    <row r="6" spans="1:6" x14ac:dyDescent="0.35">
      <c r="D6" s="3"/>
      <c r="E6" s="3"/>
      <c r="F6" s="3"/>
    </row>
    <row r="7" spans="1:6" x14ac:dyDescent="0.35">
      <c r="D7" s="3"/>
      <c r="E7" s="3"/>
      <c r="F7" s="3"/>
    </row>
    <row r="8" spans="1:6" x14ac:dyDescent="0.35">
      <c r="D8" s="3"/>
      <c r="E8" s="3"/>
      <c r="F8" s="3"/>
    </row>
    <row r="9" spans="1:6" x14ac:dyDescent="0.35">
      <c r="D9" s="3"/>
      <c r="E9" s="3"/>
      <c r="F9" s="3"/>
    </row>
    <row r="10" spans="1:6" x14ac:dyDescent="0.35">
      <c r="D10" s="3"/>
      <c r="E10" s="3"/>
      <c r="F10" s="3"/>
    </row>
    <row r="11" spans="1:6" x14ac:dyDescent="0.35">
      <c r="D11" s="3"/>
      <c r="E11" s="3"/>
      <c r="F11" s="3"/>
    </row>
    <row r="12" spans="1:6" x14ac:dyDescent="0.35">
      <c r="D12" s="3"/>
      <c r="E12" s="3"/>
      <c r="F12" s="3"/>
    </row>
    <row r="13" spans="1:6" x14ac:dyDescent="0.35">
      <c r="D13" s="3"/>
      <c r="E13" s="3"/>
      <c r="F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22C0-9269-4E9D-BA04-0EE286AB8269}">
  <dimension ref="A1:F4"/>
  <sheetViews>
    <sheetView workbookViewId="0">
      <selection activeCell="C10" sqref="C10"/>
    </sheetView>
  </sheetViews>
  <sheetFormatPr defaultRowHeight="14.5" x14ac:dyDescent="0.35"/>
  <cols>
    <col min="1" max="1" width="27.08984375" customWidth="1"/>
    <col min="2" max="2" width="24.08984375" customWidth="1"/>
    <col min="3" max="3" width="18.26953125" customWidth="1"/>
    <col min="4" max="4" width="17.90625" customWidth="1"/>
    <col min="5" max="5" width="17.26953125" customWidth="1"/>
    <col min="6" max="6" width="18" customWidth="1"/>
  </cols>
  <sheetData>
    <row r="1" spans="1:6" s="2" customFormat="1" x14ac:dyDescent="0.35">
      <c r="A1" s="2" t="s">
        <v>67</v>
      </c>
      <c r="B1" s="2" t="s">
        <v>60</v>
      </c>
      <c r="C1" s="2" t="s">
        <v>61</v>
      </c>
      <c r="D1" s="2" t="s">
        <v>64</v>
      </c>
      <c r="E1" s="2" t="s">
        <v>65</v>
      </c>
      <c r="F1" s="2" t="s">
        <v>66</v>
      </c>
    </row>
    <row r="2" spans="1:6" x14ac:dyDescent="0.35">
      <c r="A2" t="str" cm="1">
        <f t="array" ref="A2:A3">_xlfn._xlws.SORT(_xlfn.UNIQUE(Data!G2:G14))</f>
        <v>F</v>
      </c>
      <c r="B2">
        <f>SUMIF(Data!G:G, A2, Data!M:M)</f>
        <v>137</v>
      </c>
      <c r="C2">
        <f>COUNTIF(Data!G:G, A2)</f>
        <v>5</v>
      </c>
      <c r="D2" s="3">
        <f>SUMIFS(Data!Q:Q, Data!G:G, A2)</f>
        <v>210295</v>
      </c>
      <c r="E2" s="3">
        <f>SUMIFS(Data!R:R, Data!G:G, A2)</f>
        <v>341576</v>
      </c>
      <c r="F2" s="3">
        <f>E2-D2</f>
        <v>131281</v>
      </c>
    </row>
    <row r="3" spans="1:6" x14ac:dyDescent="0.35">
      <c r="A3" t="str">
        <v>M</v>
      </c>
      <c r="B3">
        <f>SUMIF(Data!G:G, A3, Data!M:M)</f>
        <v>161</v>
      </c>
      <c r="C3">
        <f>COUNTIF(Data!G:G, A3)</f>
        <v>8</v>
      </c>
      <c r="D3" s="3">
        <f>SUMIFS(Data!Q:Q, Data!G:G, A3)</f>
        <v>133936</v>
      </c>
      <c r="E3" s="3">
        <f>SUMIFS(Data!R:R, Data!G:G, A3)</f>
        <v>227360</v>
      </c>
      <c r="F3" s="3">
        <f t="shared" ref="F3:F4" si="0">E3-D3</f>
        <v>93424</v>
      </c>
    </row>
    <row r="4" spans="1:6" x14ac:dyDescent="0.35">
      <c r="D4" s="3"/>
      <c r="E4" s="3"/>
      <c r="F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448CC1-7C21-4F51-9E61-B31CDCD807B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638E245F-5B7F-4B70-A514-532F2327F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DA1A21-031B-42A7-AAD2-F764216F51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Tax</vt:lpstr>
      <vt:lpstr>Product Dashboard</vt:lpstr>
      <vt:lpstr>Country Dashboard</vt:lpstr>
      <vt:lpstr>Monthly Dashboard</vt:lpstr>
      <vt:lpstr>Age Group Dashbaord</vt:lpstr>
      <vt:lpstr>Gender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Patti Keefe</dc:creator>
  <cp:lastModifiedBy>MUHAMMAD TALHA IRFAN</cp:lastModifiedBy>
  <dcterms:created xsi:type="dcterms:W3CDTF">2022-12-08T03:28:21Z</dcterms:created>
  <dcterms:modified xsi:type="dcterms:W3CDTF">2025-02-02T07:21:17Z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2391800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